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0" windowWidth="22995" windowHeight="10050" activeTab="1"/>
  </bookViews>
  <sheets>
    <sheet name="start" sheetId="1" r:id="rId1"/>
    <sheet name="Лист1" sheetId="2" r:id="rId2"/>
    <sheet name="Лист2" sheetId="3" r:id="rId3"/>
  </sheets>
  <calcPr calcId="0"/>
</workbook>
</file>

<file path=xl/calcChain.xml><?xml version="1.0" encoding="utf-8"?>
<calcChain xmlns="http://schemas.openxmlformats.org/spreadsheetml/2006/main">
  <c r="F4872" i="2" l="1"/>
  <c r="A4872" i="2"/>
  <c r="E4871" i="2"/>
  <c r="D4871" i="2"/>
  <c r="A4871" i="2"/>
  <c r="L4870" i="2"/>
  <c r="K4870" i="2"/>
  <c r="A4870" i="2"/>
  <c r="J4869" i="2"/>
  <c r="I4869" i="2"/>
  <c r="A4869" i="2"/>
  <c r="H4868" i="2"/>
  <c r="G4868" i="2"/>
  <c r="A4868" i="2"/>
  <c r="F4867" i="2"/>
  <c r="A4867" i="2"/>
  <c r="D4866" i="2"/>
  <c r="A4866" i="2"/>
  <c r="K4865" i="2"/>
  <c r="A4865" i="2"/>
  <c r="I4864" i="2"/>
  <c r="A4864" i="2"/>
  <c r="G4863" i="2"/>
  <c r="A4863" i="2"/>
  <c r="E4862" i="2"/>
  <c r="A4862" i="2"/>
  <c r="L4861" i="2"/>
  <c r="A4861" i="2"/>
  <c r="J4860" i="2"/>
  <c r="A4860" i="2"/>
  <c r="H4859" i="2"/>
  <c r="A4859" i="2"/>
  <c r="G4858" i="2"/>
  <c r="F4858" i="2"/>
  <c r="E4858" i="2"/>
  <c r="D4858" i="2"/>
  <c r="L4858" i="2"/>
  <c r="K4858" i="2"/>
  <c r="J4858" i="2"/>
  <c r="I4858" i="2"/>
  <c r="H4858" i="2"/>
  <c r="A4858" i="2"/>
  <c r="J4857" i="2"/>
  <c r="I4857" i="2"/>
  <c r="A4857" i="2"/>
  <c r="H4856" i="2"/>
  <c r="G4856" i="2"/>
  <c r="A4856" i="2"/>
  <c r="F4855" i="2"/>
  <c r="E4855" i="2"/>
  <c r="A4855" i="2"/>
  <c r="D4854" i="2"/>
  <c r="L4854" i="2"/>
  <c r="A4854" i="2"/>
  <c r="K4853" i="2"/>
  <c r="J4853" i="2"/>
  <c r="A4853" i="2"/>
  <c r="I4852" i="2"/>
  <c r="H4852" i="2"/>
  <c r="A4852" i="2"/>
  <c r="G4851" i="2"/>
  <c r="F4851" i="2"/>
  <c r="A4851" i="2"/>
  <c r="E4850" i="2"/>
  <c r="A4850" i="2"/>
  <c r="L4849" i="2"/>
  <c r="A4849" i="2"/>
  <c r="J4848" i="2"/>
  <c r="A4848" i="2"/>
  <c r="H4847" i="2"/>
  <c r="A4847" i="2"/>
  <c r="F4846" i="2"/>
  <c r="A4846" i="2"/>
  <c r="D4845" i="2"/>
  <c r="A4845" i="2"/>
  <c r="K4844" i="2"/>
  <c r="A4844" i="2"/>
  <c r="I4843" i="2"/>
  <c r="A4843" i="2"/>
  <c r="G4842" i="2"/>
  <c r="A4842" i="2"/>
  <c r="E4841" i="2"/>
  <c r="D4841" i="2"/>
  <c r="L4841" i="2"/>
  <c r="K4841" i="2"/>
  <c r="J4841" i="2"/>
  <c r="I4841" i="2"/>
  <c r="H4841" i="2"/>
  <c r="G4841" i="2"/>
  <c r="F4841" i="2"/>
  <c r="A4841" i="2"/>
  <c r="F4840" i="2"/>
  <c r="E4840" i="2"/>
  <c r="A4840" i="2"/>
  <c r="D4839" i="2"/>
  <c r="L4839" i="2"/>
  <c r="A4839" i="2"/>
  <c r="K4838" i="2"/>
  <c r="J4838" i="2"/>
  <c r="A4838" i="2"/>
  <c r="I4837" i="2"/>
  <c r="H4837" i="2"/>
  <c r="A4837" i="2"/>
  <c r="G4836" i="2"/>
  <c r="F4836" i="2"/>
  <c r="A4836" i="2"/>
  <c r="E4835" i="2"/>
  <c r="D4835" i="2"/>
  <c r="A4835" i="2"/>
  <c r="L4834" i="2"/>
  <c r="K4834" i="2"/>
  <c r="A4834" i="2"/>
  <c r="J4833" i="2"/>
  <c r="A4833" i="2"/>
  <c r="H4832" i="2"/>
  <c r="A4832" i="2"/>
  <c r="F4831" i="2"/>
  <c r="A4831" i="2"/>
  <c r="D4830" i="2"/>
  <c r="A4830" i="2"/>
  <c r="K4829" i="2"/>
  <c r="A4829" i="2"/>
  <c r="I4828" i="2"/>
  <c r="A4828" i="2"/>
  <c r="G4827" i="2"/>
  <c r="A4827" i="2"/>
  <c r="E4826" i="2"/>
  <c r="D4826" i="2"/>
  <c r="L4826" i="2"/>
  <c r="K4826" i="2"/>
  <c r="J4826" i="2"/>
  <c r="I4826" i="2"/>
  <c r="H4826" i="2"/>
  <c r="G4826" i="2"/>
  <c r="F4826" i="2"/>
  <c r="A4826" i="2"/>
  <c r="F4825" i="2"/>
  <c r="E4825" i="2"/>
  <c r="A4825" i="2"/>
  <c r="D4824" i="2"/>
  <c r="L4824" i="2"/>
  <c r="A4824" i="2"/>
  <c r="K4823" i="2"/>
  <c r="J4823" i="2"/>
  <c r="A4823" i="2"/>
  <c r="I4822" i="2"/>
  <c r="H4822" i="2"/>
  <c r="A4822" i="2"/>
  <c r="G4821" i="2"/>
  <c r="F4821" i="2"/>
  <c r="A4821" i="2"/>
  <c r="E4820" i="2"/>
  <c r="D4820" i="2"/>
  <c r="A4820" i="2"/>
  <c r="L4819" i="2"/>
  <c r="K4819" i="2"/>
  <c r="A4819" i="2"/>
  <c r="J4818" i="2"/>
  <c r="A4818" i="2"/>
  <c r="H4817" i="2"/>
  <c r="A4817" i="2"/>
  <c r="F4816" i="2"/>
  <c r="A4816" i="2"/>
  <c r="D4815" i="2"/>
  <c r="A4815" i="2"/>
  <c r="K4814" i="2"/>
  <c r="A4814" i="2"/>
  <c r="I4813" i="2"/>
  <c r="A4813" i="2"/>
  <c r="G4812" i="2"/>
  <c r="A4812" i="2"/>
  <c r="E4811" i="2"/>
  <c r="A4811" i="2"/>
  <c r="L4810" i="2"/>
  <c r="A4810" i="2"/>
  <c r="J4809" i="2"/>
  <c r="I4809" i="2"/>
  <c r="H4809" i="2"/>
  <c r="G4809" i="2"/>
  <c r="F4809" i="2"/>
  <c r="E4809" i="2"/>
  <c r="D4809" i="2"/>
  <c r="L4809" i="2"/>
  <c r="K4809" i="2"/>
  <c r="A4809" i="2"/>
  <c r="D4808" i="2"/>
  <c r="L4808" i="2"/>
  <c r="A4808" i="2"/>
  <c r="K4807" i="2"/>
  <c r="J4807" i="2"/>
  <c r="A4807" i="2"/>
  <c r="I4806" i="2"/>
  <c r="H4806" i="2"/>
  <c r="A4806" i="2"/>
  <c r="G4805" i="2"/>
  <c r="F4805" i="2"/>
  <c r="A4805" i="2"/>
  <c r="E4804" i="2"/>
  <c r="D4804" i="2"/>
  <c r="A4804" i="2"/>
  <c r="L4803" i="2"/>
  <c r="K4803" i="2"/>
  <c r="A4803" i="2"/>
  <c r="J4802" i="2"/>
  <c r="A4802" i="2"/>
  <c r="H4801" i="2"/>
  <c r="A4801" i="2"/>
  <c r="F4800" i="2"/>
  <c r="A4800" i="2"/>
  <c r="D4799" i="2"/>
  <c r="A4799" i="2"/>
  <c r="K4798" i="2"/>
  <c r="A4798" i="2"/>
  <c r="I4797" i="2"/>
  <c r="A4797" i="2"/>
  <c r="G4796" i="2"/>
  <c r="A4796" i="2"/>
  <c r="E4795" i="2"/>
  <c r="A4795" i="2"/>
  <c r="L4794" i="2"/>
  <c r="A4794" i="2"/>
  <c r="J4793" i="2"/>
  <c r="I4793" i="2"/>
  <c r="H4793" i="2"/>
  <c r="G4793" i="2"/>
  <c r="F4793" i="2"/>
  <c r="E4793" i="2"/>
  <c r="D4793" i="2"/>
  <c r="L4793" i="2"/>
  <c r="K4793" i="2"/>
  <c r="A4793" i="2"/>
  <c r="D4792" i="2"/>
  <c r="L4792" i="2"/>
  <c r="A4792" i="2"/>
  <c r="K4791" i="2"/>
  <c r="J4791" i="2"/>
  <c r="A4791" i="2"/>
  <c r="I4790" i="2"/>
  <c r="H4790" i="2"/>
  <c r="A4790" i="2"/>
  <c r="G4789" i="2"/>
  <c r="F4789" i="2"/>
  <c r="A4789" i="2"/>
  <c r="E4788" i="2"/>
  <c r="D4788" i="2"/>
  <c r="A4788" i="2"/>
  <c r="L4787" i="2"/>
  <c r="K4787" i="2"/>
  <c r="A4787" i="2"/>
  <c r="J4786" i="2"/>
  <c r="A4786" i="2"/>
  <c r="H4785" i="2"/>
  <c r="A4785" i="2"/>
  <c r="F4784" i="2"/>
  <c r="A4784" i="2"/>
  <c r="D4783" i="2"/>
  <c r="A4783" i="2"/>
  <c r="K4782" i="2"/>
  <c r="A4782" i="2"/>
  <c r="I4781" i="2"/>
  <c r="A4781" i="2"/>
  <c r="G4780" i="2"/>
  <c r="A4780" i="2"/>
  <c r="E4779" i="2"/>
  <c r="A4779" i="2"/>
  <c r="D4778" i="2"/>
  <c r="L4778" i="2"/>
  <c r="K4778" i="2"/>
  <c r="J4778" i="2"/>
  <c r="I4778" i="2"/>
  <c r="H4778" i="2"/>
  <c r="G4778" i="2"/>
  <c r="F4778" i="2"/>
  <c r="E4778" i="2"/>
  <c r="A4778" i="2"/>
  <c r="G4777" i="2"/>
  <c r="F4777" i="2"/>
  <c r="A4777" i="2"/>
  <c r="E4776" i="2"/>
  <c r="D4776" i="2"/>
  <c r="A4776" i="2"/>
  <c r="L4775" i="2"/>
  <c r="K4775" i="2"/>
  <c r="A4775" i="2"/>
  <c r="J4774" i="2"/>
  <c r="I4774" i="2"/>
  <c r="A4774" i="2"/>
  <c r="H4773" i="2"/>
  <c r="G4773" i="2"/>
  <c r="A4773" i="2"/>
  <c r="F4772" i="2"/>
  <c r="E4772" i="2"/>
  <c r="A4772" i="2"/>
  <c r="D4771" i="2"/>
  <c r="A4771" i="2"/>
  <c r="K4770" i="2"/>
  <c r="A4770" i="2"/>
  <c r="I4769" i="2"/>
  <c r="A4769" i="2"/>
  <c r="G4768" i="2"/>
  <c r="A4768" i="2"/>
  <c r="E4767" i="2"/>
  <c r="A4767" i="2"/>
  <c r="L4766" i="2"/>
  <c r="A4766" i="2"/>
  <c r="J4765" i="2"/>
  <c r="A4765" i="2"/>
  <c r="H4764" i="2"/>
  <c r="A4764" i="2"/>
  <c r="F4763" i="2"/>
  <c r="A4763" i="2"/>
  <c r="D4762" i="2"/>
  <c r="L4762" i="2"/>
  <c r="K4762" i="2"/>
  <c r="J4762" i="2"/>
  <c r="I4762" i="2"/>
  <c r="H4762" i="2"/>
  <c r="G4762" i="2"/>
  <c r="F4762" i="2"/>
  <c r="E4762" i="2"/>
  <c r="A4762" i="2"/>
  <c r="E4761" i="2"/>
  <c r="D4761" i="2"/>
  <c r="A4761" i="2"/>
  <c r="L4760" i="2"/>
  <c r="K4760" i="2"/>
  <c r="A4760" i="2"/>
  <c r="J4759" i="2"/>
  <c r="I4759" i="2"/>
  <c r="A4759" i="2"/>
  <c r="H4758" i="2"/>
  <c r="G4758" i="2"/>
  <c r="A4758" i="2"/>
  <c r="F4757" i="2"/>
  <c r="E4757" i="2"/>
  <c r="A4757" i="2"/>
  <c r="D4756" i="2"/>
  <c r="A4756" i="2"/>
  <c r="K4755" i="2"/>
  <c r="A4755" i="2"/>
  <c r="I4754" i="2"/>
  <c r="A4754" i="2"/>
  <c r="G4753" i="2"/>
  <c r="A4753" i="2"/>
  <c r="E4752" i="2"/>
  <c r="A4752" i="2"/>
  <c r="L4751" i="2"/>
  <c r="A4751" i="2"/>
  <c r="J4750" i="2"/>
  <c r="A4750" i="2"/>
  <c r="H4749" i="2"/>
  <c r="A4749" i="2"/>
  <c r="F4748" i="2"/>
  <c r="E4748" i="2"/>
  <c r="D4748" i="2"/>
  <c r="L4748" i="2"/>
  <c r="K4748" i="2"/>
  <c r="J4748" i="2"/>
  <c r="I4748" i="2"/>
  <c r="H4748" i="2"/>
  <c r="G4748" i="2"/>
  <c r="A4748" i="2"/>
  <c r="G4747" i="2"/>
  <c r="F4747" i="2"/>
  <c r="A4747" i="2"/>
  <c r="E4746" i="2"/>
  <c r="D4746" i="2"/>
  <c r="A4746" i="2"/>
  <c r="L4745" i="2"/>
  <c r="K4745" i="2"/>
  <c r="A4745" i="2"/>
  <c r="J4744" i="2"/>
  <c r="I4744" i="2"/>
  <c r="A4744" i="2"/>
  <c r="H4743" i="2"/>
  <c r="G4743" i="2"/>
  <c r="A4743" i="2"/>
  <c r="F4742" i="2"/>
  <c r="E4742" i="2"/>
  <c r="A4742" i="2"/>
  <c r="D4741" i="2"/>
  <c r="A4741" i="2"/>
  <c r="K4740" i="2"/>
  <c r="A4740" i="2"/>
  <c r="I4739" i="2"/>
  <c r="A4739" i="2"/>
  <c r="G4738" i="2"/>
  <c r="A4738" i="2"/>
  <c r="E4737" i="2"/>
  <c r="A4737" i="2"/>
  <c r="L4736" i="2"/>
  <c r="A4736" i="2"/>
  <c r="J4735" i="2"/>
  <c r="A4735" i="2"/>
  <c r="H4734" i="2"/>
  <c r="G4734" i="2"/>
  <c r="F4734" i="2"/>
  <c r="E4734" i="2"/>
  <c r="D4734" i="2"/>
  <c r="L4734" i="2"/>
  <c r="K4734" i="2"/>
  <c r="J4734" i="2"/>
  <c r="I4734" i="2"/>
  <c r="A4734" i="2"/>
  <c r="K4733" i="2"/>
  <c r="J4733" i="2"/>
  <c r="A4733" i="2"/>
  <c r="I4732" i="2"/>
  <c r="H4732" i="2"/>
  <c r="A4732" i="2"/>
  <c r="G4731" i="2"/>
  <c r="F4731" i="2"/>
  <c r="A4731" i="2"/>
  <c r="E4730" i="2"/>
  <c r="D4730" i="2"/>
  <c r="A4730" i="2"/>
  <c r="L4729" i="2"/>
  <c r="K4729" i="2"/>
  <c r="A4729" i="2"/>
  <c r="J4728" i="2"/>
  <c r="I4728" i="2"/>
  <c r="A4728" i="2"/>
  <c r="H4727" i="2"/>
  <c r="A4727" i="2"/>
  <c r="F4726" i="2"/>
  <c r="A4726" i="2"/>
  <c r="D4725" i="2"/>
  <c r="A4725" i="2"/>
  <c r="K4724" i="2"/>
  <c r="A4724" i="2"/>
  <c r="I4723" i="2"/>
  <c r="A4723" i="2"/>
  <c r="G4722" i="2"/>
  <c r="A4722" i="2"/>
  <c r="E4721" i="2"/>
  <c r="A4721" i="2"/>
  <c r="L4720" i="2"/>
  <c r="A4720" i="2"/>
  <c r="J4719" i="2"/>
  <c r="A4719" i="2"/>
  <c r="H4718" i="2"/>
  <c r="G4718" i="2"/>
  <c r="F4718" i="2"/>
  <c r="E4718" i="2"/>
  <c r="D4718" i="2"/>
  <c r="L4718" i="2"/>
  <c r="K4718" i="2"/>
  <c r="J4718" i="2"/>
  <c r="I4718" i="2"/>
  <c r="A4718" i="2"/>
  <c r="K4717" i="2"/>
  <c r="J4717" i="2"/>
  <c r="A4717" i="2"/>
  <c r="I4716" i="2"/>
  <c r="H4716" i="2"/>
  <c r="A4716" i="2"/>
  <c r="G4715" i="2"/>
  <c r="F4715" i="2"/>
  <c r="A4715" i="2"/>
  <c r="E4714" i="2"/>
  <c r="D4714" i="2"/>
  <c r="A4714" i="2"/>
  <c r="L4713" i="2"/>
  <c r="K4713" i="2"/>
  <c r="A4713" i="2"/>
  <c r="J4712" i="2"/>
  <c r="I4712" i="2"/>
  <c r="A4712" i="2"/>
  <c r="H4711" i="2"/>
  <c r="G4711" i="2"/>
  <c r="A4711" i="2"/>
  <c r="F4710" i="2"/>
  <c r="A4710" i="2"/>
  <c r="D4709" i="2"/>
  <c r="A4709" i="2"/>
  <c r="K4708" i="2"/>
  <c r="A4708" i="2"/>
  <c r="I4707" i="2"/>
  <c r="A4707" i="2"/>
  <c r="G4706" i="2"/>
  <c r="A4706" i="2"/>
  <c r="E4705" i="2"/>
  <c r="A4705" i="2"/>
  <c r="L4704" i="2"/>
  <c r="A4704" i="2"/>
  <c r="J4703" i="2"/>
  <c r="A4703" i="2"/>
  <c r="H4702" i="2"/>
  <c r="G4702" i="2"/>
  <c r="F4702" i="2"/>
  <c r="E4702" i="2"/>
  <c r="D4702" i="2"/>
  <c r="L4702" i="2"/>
  <c r="K4702" i="2"/>
  <c r="J4702" i="2"/>
  <c r="I4702" i="2"/>
  <c r="A4702" i="2"/>
  <c r="K4701" i="2"/>
  <c r="J4701" i="2"/>
  <c r="A4701" i="2"/>
  <c r="I4700" i="2"/>
  <c r="H4700" i="2"/>
  <c r="A4700" i="2"/>
  <c r="G4699" i="2"/>
  <c r="F4699" i="2"/>
  <c r="A4699" i="2"/>
  <c r="E4698" i="2"/>
  <c r="D4698" i="2"/>
  <c r="A4698" i="2"/>
  <c r="L4697" i="2"/>
  <c r="K4697" i="2"/>
  <c r="A4697" i="2"/>
  <c r="J4696" i="2"/>
  <c r="I4696" i="2"/>
  <c r="A4696" i="2"/>
  <c r="H4695" i="2"/>
  <c r="G4695" i="2"/>
  <c r="A4695" i="2"/>
  <c r="F4694" i="2"/>
  <c r="A4694" i="2"/>
  <c r="D4693" i="2"/>
  <c r="A4693" i="2"/>
  <c r="K4692" i="2"/>
  <c r="A4692" i="2"/>
  <c r="I4691" i="2"/>
  <c r="A4691" i="2"/>
  <c r="G4690" i="2"/>
  <c r="A4690" i="2"/>
  <c r="E4689" i="2"/>
  <c r="A4689" i="2"/>
  <c r="L4688" i="2"/>
  <c r="A4688" i="2"/>
  <c r="J4687" i="2"/>
  <c r="A4687" i="2"/>
  <c r="I4686" i="2"/>
  <c r="H4686" i="2"/>
  <c r="G4686" i="2"/>
  <c r="F4686" i="2"/>
  <c r="E4686" i="2"/>
  <c r="D4686" i="2"/>
  <c r="L4686" i="2"/>
  <c r="K4686" i="2"/>
  <c r="J4686" i="2"/>
  <c r="A4686" i="2"/>
  <c r="J4685" i="2"/>
  <c r="I4685" i="2"/>
  <c r="A4685" i="2"/>
  <c r="H4684" i="2"/>
  <c r="G4684" i="2"/>
  <c r="A4684" i="2"/>
  <c r="F4683" i="2"/>
  <c r="E4683" i="2"/>
  <c r="A4683" i="2"/>
  <c r="D4682" i="2"/>
  <c r="L4682" i="2"/>
  <c r="A4682" i="2"/>
  <c r="K4681" i="2"/>
  <c r="J4681" i="2"/>
  <c r="A4681" i="2"/>
  <c r="I4680" i="2"/>
  <c r="H4680" i="2"/>
  <c r="A4680" i="2"/>
  <c r="G4679" i="2"/>
  <c r="A4679" i="2"/>
  <c r="E4678" i="2"/>
  <c r="A4678" i="2"/>
  <c r="L4677" i="2"/>
  <c r="A4677" i="2"/>
  <c r="J4676" i="2"/>
  <c r="A4676" i="2"/>
  <c r="H4675" i="2"/>
  <c r="A4675" i="2"/>
  <c r="F4674" i="2"/>
  <c r="A4674" i="2"/>
  <c r="D4673" i="2"/>
  <c r="A4673" i="2"/>
  <c r="K4672" i="2"/>
  <c r="J4672" i="2"/>
  <c r="I4672" i="2"/>
  <c r="H4672" i="2"/>
  <c r="G4672" i="2"/>
  <c r="F4672" i="2"/>
  <c r="E4672" i="2"/>
  <c r="D4672" i="2"/>
  <c r="L4672" i="2"/>
  <c r="A4672" i="2"/>
  <c r="L4671" i="2"/>
  <c r="K4671" i="2"/>
  <c r="A4671" i="2"/>
  <c r="J4670" i="2"/>
  <c r="I4670" i="2"/>
  <c r="A4670" i="2"/>
  <c r="H4669" i="2"/>
  <c r="G4669" i="2"/>
  <c r="A4669" i="2"/>
  <c r="F4668" i="2"/>
  <c r="E4668" i="2"/>
  <c r="A4668" i="2"/>
  <c r="D4667" i="2"/>
  <c r="L4667" i="2"/>
  <c r="A4667" i="2"/>
  <c r="K4666" i="2"/>
  <c r="J4666" i="2"/>
  <c r="A4666" i="2"/>
  <c r="I4665" i="2"/>
  <c r="A4665" i="2"/>
  <c r="G4664" i="2"/>
  <c r="A4664" i="2"/>
  <c r="E4663" i="2"/>
  <c r="A4663" i="2"/>
  <c r="L4662" i="2"/>
  <c r="A4662" i="2"/>
  <c r="J4661" i="2"/>
  <c r="A4661" i="2"/>
  <c r="H4660" i="2"/>
  <c r="A4660" i="2"/>
  <c r="F4659" i="2"/>
  <c r="A4659" i="2"/>
  <c r="D4658" i="2"/>
  <c r="A4658" i="2"/>
  <c r="K4657" i="2"/>
  <c r="A4657" i="2"/>
  <c r="I4656" i="2"/>
  <c r="A4656" i="2"/>
  <c r="H4655" i="2"/>
  <c r="G4655" i="2"/>
  <c r="F4655" i="2"/>
  <c r="E4655" i="2"/>
  <c r="D4655" i="2"/>
  <c r="L4655" i="2"/>
  <c r="K4655" i="2"/>
  <c r="J4655" i="2"/>
  <c r="I4655" i="2"/>
  <c r="A4655" i="2"/>
  <c r="I4654" i="2"/>
  <c r="H4654" i="2"/>
  <c r="A4654" i="2"/>
  <c r="G4653" i="2"/>
  <c r="F4653" i="2"/>
  <c r="A4653" i="2"/>
  <c r="E4652" i="2"/>
  <c r="D4652" i="2"/>
  <c r="A4652" i="2"/>
  <c r="L4651" i="2"/>
  <c r="K4651" i="2"/>
  <c r="A4651" i="2"/>
  <c r="J4650" i="2"/>
  <c r="I4650" i="2"/>
  <c r="A4650" i="2"/>
  <c r="H4649" i="2"/>
  <c r="G4649" i="2"/>
  <c r="A4649" i="2"/>
  <c r="F4648" i="2"/>
  <c r="A4648" i="2"/>
  <c r="D4647" i="2"/>
  <c r="A4647" i="2"/>
  <c r="K4646" i="2"/>
  <c r="A4646" i="2"/>
  <c r="I4645" i="2"/>
  <c r="A4645" i="2"/>
  <c r="G4644" i="2"/>
  <c r="A4644" i="2"/>
  <c r="E4643" i="2"/>
  <c r="A4643" i="2"/>
  <c r="L4642" i="2"/>
  <c r="A4642" i="2"/>
  <c r="J4641" i="2"/>
  <c r="A4641" i="2"/>
  <c r="H4640" i="2"/>
  <c r="A4640" i="2"/>
  <c r="F4639" i="2"/>
  <c r="E4639" i="2"/>
  <c r="D4639" i="2"/>
  <c r="L4639" i="2"/>
  <c r="K4639" i="2"/>
  <c r="J4639" i="2"/>
  <c r="I4639" i="2"/>
  <c r="H4639" i="2"/>
  <c r="G4639" i="2"/>
  <c r="A4639" i="2"/>
  <c r="G4638" i="2"/>
  <c r="F4638" i="2"/>
  <c r="A4638" i="2"/>
  <c r="E4637" i="2"/>
  <c r="D4637" i="2"/>
  <c r="A4637" i="2"/>
  <c r="L4636" i="2"/>
  <c r="K4636" i="2"/>
  <c r="A4636" i="2"/>
  <c r="J4635" i="2"/>
  <c r="I4635" i="2"/>
  <c r="A4635" i="2"/>
  <c r="H4634" i="2"/>
  <c r="G4634" i="2"/>
  <c r="A4634" i="2"/>
  <c r="F4633" i="2"/>
  <c r="E4633" i="2"/>
  <c r="A4633" i="2"/>
  <c r="D4632" i="2"/>
  <c r="L4632" i="2"/>
  <c r="A4632" i="2"/>
  <c r="K4631" i="2"/>
  <c r="A4631" i="2"/>
  <c r="I4630" i="2"/>
  <c r="A4630" i="2"/>
  <c r="G4629" i="2"/>
  <c r="A4629" i="2"/>
  <c r="E4628" i="2"/>
  <c r="A4628" i="2"/>
  <c r="L4627" i="2"/>
  <c r="A4627" i="2"/>
  <c r="J4626" i="2"/>
  <c r="A4626" i="2"/>
  <c r="H4625" i="2"/>
  <c r="A4625" i="2"/>
  <c r="F4624" i="2"/>
  <c r="A4624" i="2"/>
  <c r="D4623" i="2"/>
  <c r="L4623" i="2"/>
  <c r="K4623" i="2"/>
  <c r="J4623" i="2"/>
  <c r="I4623" i="2"/>
  <c r="H4623" i="2"/>
  <c r="G4623" i="2"/>
  <c r="F4623" i="2"/>
  <c r="E4623" i="2"/>
  <c r="A4623" i="2"/>
  <c r="L4622" i="2"/>
  <c r="K4622" i="2"/>
  <c r="A4622" i="2"/>
  <c r="J4621" i="2"/>
  <c r="I4621" i="2"/>
  <c r="A4621" i="2"/>
  <c r="H4620" i="2"/>
  <c r="G4620" i="2"/>
  <c r="A4620" i="2"/>
  <c r="F4619" i="2"/>
  <c r="E4619" i="2"/>
  <c r="A4619" i="2"/>
  <c r="D4618" i="2"/>
  <c r="L4618" i="2"/>
  <c r="A4618" i="2"/>
  <c r="K4617" i="2"/>
  <c r="A4617" i="2"/>
  <c r="I4616" i="2"/>
  <c r="A4616" i="2"/>
  <c r="G4615" i="2"/>
  <c r="A4615" i="2"/>
  <c r="E4614" i="2"/>
  <c r="A4614" i="2"/>
  <c r="L4613" i="2"/>
  <c r="A4613" i="2"/>
  <c r="J4612" i="2"/>
  <c r="A4612" i="2"/>
  <c r="H4611" i="2"/>
  <c r="A4611" i="2"/>
  <c r="F4610" i="2"/>
  <c r="A4610" i="2"/>
  <c r="D4609" i="2"/>
  <c r="A4609" i="2"/>
  <c r="K4608" i="2"/>
  <c r="A4608" i="2"/>
  <c r="J4607" i="2"/>
  <c r="I4607" i="2"/>
  <c r="H4607" i="2"/>
  <c r="G4607" i="2"/>
  <c r="F4607" i="2"/>
  <c r="E4607" i="2"/>
  <c r="D4607" i="2"/>
  <c r="L4607" i="2"/>
  <c r="K4607" i="2"/>
  <c r="A4607" i="2"/>
  <c r="K4606" i="2"/>
  <c r="J4606" i="2"/>
  <c r="A4606" i="2"/>
  <c r="I4605" i="2"/>
  <c r="H4605" i="2"/>
  <c r="A4605" i="2"/>
  <c r="G4604" i="2"/>
  <c r="F4604" i="2"/>
  <c r="A4604" i="2"/>
  <c r="E4603" i="2"/>
  <c r="D4603" i="2"/>
  <c r="A4603" i="2"/>
  <c r="L4602" i="2"/>
  <c r="K4602" i="2"/>
  <c r="A4602" i="2"/>
  <c r="J4601" i="2"/>
  <c r="I4601" i="2"/>
  <c r="A4601" i="2"/>
  <c r="H4600" i="2"/>
  <c r="G4600" i="2"/>
  <c r="F4600" i="2"/>
  <c r="E4600" i="2"/>
  <c r="A4600" i="2"/>
  <c r="D4599" i="2"/>
  <c r="A4599" i="2"/>
  <c r="K4598" i="2"/>
  <c r="A4598" i="2"/>
  <c r="I4597" i="2"/>
  <c r="A4597" i="2"/>
  <c r="G4596" i="2"/>
  <c r="A4596" i="2"/>
  <c r="E4595" i="2"/>
  <c r="A4595" i="2"/>
  <c r="L4594" i="2"/>
  <c r="A4594" i="2"/>
  <c r="J4593" i="2"/>
  <c r="A4593" i="2"/>
  <c r="H4592" i="2"/>
  <c r="A4592" i="2"/>
  <c r="F4591" i="2"/>
  <c r="A4591" i="2"/>
  <c r="D4590" i="2"/>
  <c r="A4590" i="2"/>
  <c r="K4589" i="2"/>
  <c r="J4589" i="2"/>
  <c r="I4589" i="2"/>
  <c r="H4589" i="2"/>
  <c r="G4589" i="2"/>
  <c r="F4589" i="2"/>
  <c r="E4589" i="2"/>
  <c r="D4589" i="2"/>
  <c r="L4589" i="2"/>
  <c r="A4589" i="2"/>
  <c r="J4588" i="2"/>
  <c r="I4588" i="2"/>
  <c r="A4588" i="2"/>
  <c r="H4587" i="2"/>
  <c r="G4587" i="2"/>
  <c r="A4587" i="2"/>
  <c r="F4586" i="2"/>
  <c r="E4586" i="2"/>
  <c r="A4586" i="2"/>
  <c r="D4585" i="2"/>
  <c r="L4585" i="2"/>
  <c r="A4585" i="2"/>
  <c r="K4584" i="2"/>
  <c r="J4584" i="2"/>
  <c r="A4584" i="2"/>
  <c r="I4583" i="2"/>
  <c r="H4583" i="2"/>
  <c r="A4583" i="2"/>
  <c r="G4582" i="2"/>
  <c r="A4582" i="2"/>
  <c r="E4581" i="2"/>
  <c r="A4581" i="2"/>
  <c r="L4580" i="2"/>
  <c r="A4580" i="2"/>
  <c r="J4579" i="2"/>
  <c r="A4579" i="2"/>
  <c r="H4578" i="2"/>
  <c r="A4578" i="2"/>
  <c r="F4577" i="2"/>
  <c r="A4577" i="2"/>
  <c r="D4576" i="2"/>
  <c r="A4576" i="2"/>
  <c r="K4575" i="2"/>
  <c r="A4575" i="2"/>
  <c r="I4574" i="2"/>
  <c r="A4574" i="2"/>
  <c r="G4573" i="2"/>
  <c r="A4573" i="2"/>
  <c r="E4572" i="2"/>
  <c r="D4572" i="2"/>
  <c r="L4572" i="2"/>
  <c r="K4572" i="2"/>
  <c r="J4572" i="2"/>
  <c r="I4572" i="2"/>
  <c r="H4572" i="2"/>
  <c r="G4572" i="2"/>
  <c r="F4572" i="2"/>
  <c r="A4572" i="2"/>
  <c r="D4571" i="2"/>
  <c r="L4571" i="2"/>
  <c r="A4571" i="2"/>
  <c r="K4570" i="2"/>
  <c r="J4570" i="2"/>
  <c r="A4570" i="2"/>
  <c r="I4569" i="2"/>
  <c r="H4569" i="2"/>
  <c r="A4569" i="2"/>
  <c r="G4568" i="2"/>
  <c r="F4568" i="2"/>
  <c r="A4568" i="2"/>
  <c r="E4567" i="2"/>
  <c r="D4567" i="2"/>
  <c r="A4567" i="2"/>
  <c r="L4566" i="2"/>
  <c r="K4566" i="2"/>
  <c r="A4566" i="2"/>
  <c r="J4565" i="2"/>
  <c r="I4565" i="2"/>
  <c r="A4565" i="2"/>
  <c r="H4564" i="2"/>
  <c r="A4564" i="2"/>
  <c r="F4563" i="2"/>
  <c r="A4563" i="2"/>
  <c r="D4562" i="2"/>
  <c r="A4562" i="2"/>
  <c r="K4561" i="2"/>
  <c r="A4561" i="2"/>
  <c r="I4560" i="2"/>
  <c r="A4560" i="2"/>
  <c r="G4559" i="2"/>
  <c r="A4559" i="2"/>
  <c r="E4558" i="2"/>
  <c r="A4558" i="2"/>
  <c r="L4557" i="2"/>
  <c r="A4557" i="2"/>
  <c r="J4556" i="2"/>
  <c r="A4556" i="2"/>
  <c r="H4555" i="2"/>
  <c r="A4555" i="2"/>
  <c r="F4554" i="2"/>
  <c r="E4554" i="2"/>
  <c r="D4554" i="2"/>
  <c r="L4554" i="2"/>
  <c r="K4554" i="2"/>
  <c r="J4554" i="2"/>
  <c r="I4554" i="2"/>
  <c r="H4554" i="2"/>
  <c r="G4554" i="2"/>
  <c r="A4554" i="2"/>
  <c r="E4553" i="2"/>
  <c r="D4553" i="2"/>
  <c r="A4553" i="2"/>
  <c r="L4552" i="2"/>
  <c r="K4552" i="2"/>
  <c r="A4552" i="2"/>
  <c r="J4551" i="2"/>
  <c r="I4551" i="2"/>
  <c r="A4551" i="2"/>
  <c r="H4550" i="2"/>
  <c r="G4550" i="2"/>
  <c r="A4550" i="2"/>
  <c r="F4549" i="2"/>
  <c r="E4549" i="2"/>
  <c r="A4549" i="2"/>
  <c r="D4548" i="2"/>
  <c r="L4548" i="2"/>
  <c r="A4548" i="2"/>
  <c r="K4547" i="2"/>
  <c r="J4547" i="2"/>
  <c r="A4547" i="2"/>
  <c r="I4546" i="2"/>
  <c r="H4546" i="2"/>
  <c r="A4546" i="2"/>
  <c r="G4545" i="2"/>
  <c r="A4545" i="2"/>
  <c r="E4544" i="2"/>
  <c r="A4544" i="2"/>
  <c r="L4543" i="2"/>
  <c r="A4543" i="2"/>
  <c r="J4542" i="2"/>
  <c r="A4542" i="2"/>
  <c r="H4541" i="2"/>
  <c r="A4541" i="2"/>
  <c r="F4540" i="2"/>
  <c r="A4540" i="2"/>
  <c r="D4539" i="2"/>
  <c r="A4539" i="2"/>
  <c r="K4538" i="2"/>
  <c r="A4538" i="2"/>
  <c r="I4537" i="2"/>
  <c r="A4537" i="2"/>
  <c r="G4536" i="2"/>
  <c r="A4536" i="2"/>
  <c r="E4535" i="2"/>
  <c r="D4535" i="2"/>
  <c r="L4535" i="2"/>
  <c r="K4535" i="2"/>
  <c r="J4535" i="2"/>
  <c r="I4535" i="2"/>
  <c r="H4535" i="2"/>
  <c r="G4535" i="2"/>
  <c r="F4535" i="2"/>
  <c r="A4535" i="2"/>
  <c r="D4534" i="2"/>
  <c r="L4534" i="2"/>
  <c r="A4534" i="2"/>
  <c r="K4533" i="2"/>
  <c r="J4533" i="2"/>
  <c r="A4533" i="2"/>
  <c r="I4532" i="2"/>
  <c r="H4532" i="2"/>
  <c r="A4532" i="2"/>
  <c r="G4531" i="2"/>
  <c r="F4531" i="2"/>
  <c r="A4531" i="2"/>
  <c r="E4530" i="2"/>
  <c r="D4530" i="2"/>
  <c r="A4530" i="2"/>
  <c r="L4529" i="2"/>
  <c r="K4529" i="2"/>
  <c r="A4529" i="2"/>
  <c r="J4528" i="2"/>
  <c r="I4528" i="2"/>
  <c r="A4528" i="2"/>
  <c r="H4527" i="2"/>
  <c r="G4527" i="2"/>
  <c r="A4527" i="2"/>
  <c r="F4526" i="2"/>
  <c r="A4526" i="2"/>
  <c r="D4525" i="2"/>
  <c r="A4525" i="2"/>
  <c r="K4524" i="2"/>
  <c r="A4524" i="2"/>
  <c r="I4523" i="2"/>
  <c r="A4523" i="2"/>
  <c r="G4522" i="2"/>
  <c r="A4522" i="2"/>
  <c r="E4521" i="2"/>
  <c r="A4521" i="2"/>
  <c r="L4520" i="2"/>
  <c r="A4520" i="2"/>
  <c r="J4519" i="2"/>
  <c r="A4519" i="2"/>
  <c r="H4518" i="2"/>
  <c r="A4518" i="2"/>
  <c r="F4517" i="2"/>
  <c r="A4517" i="2"/>
  <c r="E4516" i="2"/>
  <c r="D4516" i="2"/>
  <c r="L4516" i="2"/>
  <c r="K4516" i="2"/>
  <c r="J4516" i="2"/>
  <c r="I4516" i="2"/>
  <c r="H4516" i="2"/>
  <c r="G4516" i="2"/>
  <c r="F4516" i="2"/>
  <c r="A4516" i="2"/>
  <c r="D4515" i="2"/>
  <c r="L4515" i="2"/>
  <c r="A4515" i="2"/>
  <c r="K4514" i="2"/>
  <c r="J4514" i="2"/>
  <c r="A4514" i="2"/>
  <c r="I4513" i="2"/>
  <c r="H4513" i="2"/>
  <c r="A4513" i="2"/>
  <c r="G4512" i="2"/>
  <c r="F4512" i="2"/>
  <c r="A4512" i="2"/>
  <c r="E4511" i="2"/>
  <c r="D4511" i="2"/>
  <c r="A4511" i="2"/>
  <c r="L4510" i="2"/>
  <c r="K4510" i="2"/>
  <c r="A4510" i="2"/>
  <c r="J4509" i="2"/>
  <c r="I4509" i="2"/>
  <c r="A4509" i="2"/>
  <c r="H4508" i="2"/>
  <c r="A4508" i="2"/>
  <c r="F4507" i="2"/>
  <c r="A4507" i="2"/>
  <c r="D4506" i="2"/>
  <c r="A4506" i="2"/>
  <c r="K4505" i="2"/>
  <c r="A4505" i="2"/>
  <c r="I4504" i="2"/>
  <c r="A4504" i="2"/>
  <c r="G4503" i="2"/>
  <c r="A4503" i="2"/>
  <c r="E4502" i="2"/>
  <c r="A4502" i="2"/>
  <c r="L4501" i="2"/>
  <c r="A4501" i="2"/>
  <c r="J4500" i="2"/>
  <c r="A4500" i="2"/>
  <c r="H4499" i="2"/>
  <c r="A4499" i="2"/>
  <c r="F4498" i="2"/>
  <c r="A4498" i="2"/>
  <c r="D4497" i="2"/>
  <c r="L4497" i="2"/>
  <c r="K4497" i="2"/>
  <c r="J4497" i="2"/>
  <c r="I4497" i="2"/>
  <c r="H4497" i="2"/>
  <c r="G4497" i="2"/>
  <c r="F4497" i="2"/>
  <c r="E4497" i="2"/>
  <c r="A4497" i="2"/>
  <c r="J4496" i="2"/>
  <c r="I4496" i="2"/>
  <c r="A4496" i="2"/>
  <c r="H4495" i="2"/>
  <c r="G4495" i="2"/>
  <c r="A4495" i="2"/>
  <c r="F4494" i="2"/>
  <c r="E4494" i="2"/>
  <c r="A4494" i="2"/>
  <c r="D4493" i="2"/>
  <c r="L4493" i="2"/>
  <c r="A4493" i="2"/>
  <c r="K4492" i="2"/>
  <c r="J4492" i="2"/>
  <c r="A4492" i="2"/>
  <c r="I4491" i="2"/>
  <c r="H4491" i="2"/>
  <c r="A4491" i="2"/>
  <c r="G4490" i="2"/>
  <c r="F4490" i="2"/>
  <c r="A4490" i="2"/>
  <c r="E4489" i="2"/>
  <c r="D4489" i="2"/>
  <c r="A4489" i="2"/>
  <c r="L4488" i="2"/>
  <c r="K4488" i="2"/>
  <c r="A4488" i="2"/>
  <c r="J4487" i="2"/>
  <c r="I4487" i="2"/>
  <c r="A4487" i="2"/>
  <c r="H4486" i="2"/>
  <c r="A4486" i="2"/>
  <c r="F4485" i="2"/>
  <c r="A4485" i="2"/>
  <c r="D4484" i="2"/>
  <c r="A4484" i="2"/>
  <c r="K4483" i="2"/>
  <c r="A4483" i="2"/>
  <c r="I4482" i="2"/>
  <c r="A4482" i="2"/>
  <c r="G4481" i="2"/>
  <c r="A4481" i="2"/>
  <c r="E4480" i="2"/>
  <c r="A4480" i="2"/>
  <c r="L4479" i="2"/>
  <c r="A4479" i="2"/>
  <c r="J4478" i="2"/>
  <c r="A4478" i="2"/>
  <c r="H4477" i="2"/>
  <c r="A4477" i="2"/>
  <c r="F4476" i="2"/>
  <c r="E4476" i="2"/>
  <c r="D4476" i="2"/>
  <c r="A4476" i="2"/>
  <c r="K4475" i="2"/>
  <c r="A4475" i="2"/>
  <c r="I4474" i="2"/>
  <c r="H4474" i="2"/>
  <c r="G4474" i="2"/>
  <c r="F4474" i="2"/>
  <c r="E4474" i="2"/>
  <c r="D4474" i="2"/>
  <c r="L4474" i="2"/>
  <c r="K4474" i="2"/>
  <c r="J4474" i="2"/>
  <c r="A4474" i="2"/>
  <c r="H4473" i="2"/>
  <c r="G4473" i="2"/>
  <c r="A4473" i="2"/>
  <c r="F4472" i="2"/>
  <c r="E4472" i="2"/>
  <c r="A4472" i="2"/>
  <c r="D4471" i="2"/>
  <c r="L4471" i="2"/>
  <c r="A4471" i="2"/>
  <c r="K4470" i="2"/>
  <c r="J4470" i="2"/>
  <c r="A4470" i="2"/>
  <c r="I4469" i="2"/>
  <c r="H4469" i="2"/>
  <c r="A4469" i="2"/>
  <c r="G4468" i="2"/>
  <c r="F4468" i="2"/>
  <c r="A4468" i="2"/>
  <c r="E4467" i="2"/>
  <c r="D4467" i="2"/>
  <c r="A4467" i="2"/>
  <c r="L4466" i="2"/>
  <c r="K4466" i="2"/>
  <c r="A4466" i="2"/>
  <c r="J4465" i="2"/>
  <c r="I4465" i="2"/>
  <c r="A4465" i="2"/>
  <c r="H4464" i="2"/>
  <c r="A4464" i="2"/>
  <c r="F4463" i="2"/>
  <c r="A4463" i="2"/>
  <c r="D4462" i="2"/>
  <c r="A4462" i="2"/>
  <c r="K4461" i="2"/>
  <c r="A4461" i="2"/>
  <c r="I4460" i="2"/>
  <c r="A4460" i="2"/>
  <c r="G4459" i="2"/>
  <c r="A4459" i="2"/>
  <c r="E4458" i="2"/>
  <c r="A4458" i="2"/>
  <c r="L4457" i="2"/>
  <c r="A4457" i="2"/>
  <c r="J4456" i="2"/>
  <c r="A4456" i="2"/>
  <c r="H4455" i="2"/>
  <c r="A4455" i="2"/>
  <c r="F4454" i="2"/>
  <c r="A4454" i="2"/>
  <c r="D4453" i="2"/>
  <c r="A4453" i="2"/>
  <c r="K4452" i="2"/>
  <c r="J4452" i="2"/>
  <c r="I4452" i="2"/>
  <c r="H4452" i="2"/>
  <c r="G4452" i="2"/>
  <c r="F4452" i="2"/>
  <c r="E4452" i="2"/>
  <c r="D4452" i="2"/>
  <c r="L4452" i="2"/>
  <c r="A4452" i="2"/>
  <c r="H4451" i="2"/>
  <c r="G4451" i="2"/>
  <c r="A4451" i="2"/>
  <c r="F4450" i="2"/>
  <c r="E4450" i="2"/>
  <c r="A4450" i="2"/>
  <c r="D4449" i="2"/>
  <c r="L4449" i="2"/>
  <c r="A4449" i="2"/>
  <c r="K4448" i="2"/>
  <c r="J4448" i="2"/>
  <c r="A4448" i="2"/>
  <c r="I4447" i="2"/>
  <c r="H4447" i="2"/>
  <c r="A4447" i="2"/>
  <c r="G4446" i="2"/>
  <c r="F4446" i="2"/>
  <c r="A4446" i="2"/>
  <c r="E4445" i="2"/>
  <c r="D4445" i="2"/>
  <c r="A4445" i="2"/>
  <c r="L4444" i="2"/>
  <c r="K4444" i="2"/>
  <c r="A4444" i="2"/>
  <c r="J4443" i="2"/>
  <c r="I4443" i="2"/>
  <c r="A4443" i="2"/>
  <c r="H4442" i="2"/>
  <c r="G4442" i="2"/>
  <c r="A4442" i="2"/>
  <c r="F4441" i="2"/>
  <c r="A4441" i="2"/>
  <c r="D4440" i="2"/>
  <c r="A4440" i="2"/>
  <c r="K4439" i="2"/>
  <c r="A4439" i="2"/>
  <c r="I4438" i="2"/>
  <c r="A4438" i="2"/>
  <c r="G4437" i="2"/>
  <c r="A4437" i="2"/>
  <c r="E4436" i="2"/>
  <c r="A4436" i="2"/>
  <c r="L4435" i="2"/>
  <c r="A4435" i="2"/>
  <c r="J4434" i="2"/>
  <c r="A4434" i="2"/>
  <c r="H4433" i="2"/>
  <c r="A4433" i="2"/>
  <c r="F4432" i="2"/>
  <c r="A4432" i="2"/>
  <c r="D4431" i="2"/>
  <c r="A4431" i="2"/>
  <c r="K4430" i="2"/>
  <c r="A4430" i="2"/>
  <c r="I4429" i="2"/>
  <c r="H4429" i="2"/>
  <c r="G4429" i="2"/>
  <c r="F4429" i="2"/>
  <c r="E4429" i="2"/>
  <c r="D4429" i="2"/>
  <c r="L4429" i="2"/>
  <c r="K4429" i="2"/>
  <c r="J4429" i="2"/>
  <c r="A4429" i="2"/>
  <c r="K4428" i="2"/>
  <c r="J4428" i="2"/>
  <c r="A4428" i="2"/>
  <c r="I4427" i="2"/>
  <c r="H4427" i="2"/>
  <c r="A4427" i="2"/>
  <c r="G4426" i="2"/>
  <c r="F4426" i="2"/>
  <c r="A4426" i="2"/>
  <c r="E4425" i="2"/>
  <c r="D4425" i="2"/>
  <c r="A4425" i="2"/>
  <c r="L4424" i="2"/>
  <c r="K4424" i="2"/>
  <c r="A4424" i="2"/>
  <c r="J4423" i="2"/>
  <c r="I4423" i="2"/>
  <c r="A4423" i="2"/>
  <c r="H4422" i="2"/>
  <c r="G4422" i="2"/>
  <c r="A4422" i="2"/>
  <c r="F4421" i="2"/>
  <c r="E4421" i="2"/>
  <c r="A4421" i="2"/>
  <c r="D4420" i="2"/>
  <c r="L4420" i="2"/>
  <c r="A4420" i="2"/>
  <c r="K4419" i="2"/>
  <c r="J4419" i="2"/>
  <c r="A4419" i="2"/>
  <c r="I4418" i="2"/>
  <c r="A4418" i="2"/>
  <c r="G4417" i="2"/>
  <c r="A4417" i="2"/>
  <c r="E4416" i="2"/>
  <c r="A4416" i="2"/>
  <c r="L4415" i="2"/>
  <c r="A4415" i="2"/>
  <c r="J4414" i="2"/>
  <c r="A4414" i="2"/>
  <c r="H4413" i="2"/>
  <c r="A4413" i="2"/>
  <c r="F4412" i="2"/>
  <c r="A4412" i="2"/>
  <c r="D4411" i="2"/>
  <c r="A4411" i="2"/>
  <c r="K4410" i="2"/>
  <c r="A4410" i="2"/>
  <c r="I4409" i="2"/>
  <c r="A4409" i="2"/>
  <c r="G4408" i="2"/>
  <c r="A4408" i="2"/>
  <c r="E4407" i="2"/>
  <c r="A4407" i="2"/>
  <c r="D4406" i="2"/>
  <c r="L4406" i="2"/>
  <c r="K4406" i="2"/>
  <c r="J4406" i="2"/>
  <c r="I4406" i="2"/>
  <c r="H4406" i="2"/>
  <c r="G4406" i="2"/>
  <c r="F4406" i="2"/>
  <c r="E4406" i="2"/>
  <c r="A4406" i="2"/>
  <c r="H4405" i="2"/>
  <c r="G4405" i="2"/>
  <c r="A4405" i="2"/>
  <c r="F4404" i="2"/>
  <c r="E4404" i="2"/>
  <c r="A4404" i="2"/>
  <c r="D4403" i="2"/>
  <c r="L4403" i="2"/>
  <c r="A4403" i="2"/>
  <c r="K4402" i="2"/>
  <c r="J4402" i="2"/>
  <c r="A4402" i="2"/>
  <c r="I4401" i="2"/>
  <c r="H4401" i="2"/>
  <c r="A4401" i="2"/>
  <c r="G4400" i="2"/>
  <c r="F4400" i="2"/>
  <c r="A4400" i="2"/>
  <c r="E4399" i="2"/>
  <c r="D4399" i="2"/>
  <c r="A4399" i="2"/>
  <c r="L4398" i="2"/>
  <c r="K4398" i="2"/>
  <c r="A4398" i="2"/>
  <c r="J4397" i="2"/>
  <c r="I4397" i="2"/>
  <c r="A4397" i="2"/>
  <c r="H4396" i="2"/>
  <c r="G4396" i="2"/>
  <c r="A4396" i="2"/>
  <c r="F4395" i="2"/>
  <c r="E4395" i="2"/>
  <c r="A4395" i="2"/>
  <c r="D4394" i="2"/>
  <c r="A4394" i="2"/>
  <c r="K4393" i="2"/>
  <c r="A4393" i="2"/>
  <c r="I4392" i="2"/>
  <c r="A4392" i="2"/>
  <c r="G4391" i="2"/>
  <c r="A4391" i="2"/>
  <c r="E4390" i="2"/>
  <c r="A4390" i="2"/>
  <c r="L4389" i="2"/>
  <c r="A4389" i="2"/>
  <c r="J4388" i="2"/>
  <c r="A4388" i="2"/>
  <c r="H4387" i="2"/>
  <c r="A4387" i="2"/>
  <c r="F4386" i="2"/>
  <c r="A4386" i="2"/>
  <c r="D4385" i="2"/>
  <c r="A4385" i="2"/>
  <c r="K4384" i="2"/>
  <c r="A4384" i="2"/>
  <c r="I4383" i="2"/>
  <c r="A4383" i="2"/>
  <c r="G4382" i="2"/>
  <c r="A4382" i="2"/>
  <c r="E4381" i="2"/>
  <c r="A4381" i="2"/>
  <c r="L4380" i="2"/>
  <c r="K4380" i="2"/>
  <c r="J4380" i="2"/>
  <c r="I4380" i="2"/>
  <c r="H4380" i="2"/>
  <c r="G4380" i="2"/>
  <c r="F4380" i="2"/>
  <c r="E4380" i="2"/>
  <c r="D4380" i="2"/>
  <c r="A4380" i="2"/>
  <c r="L4379" i="2"/>
  <c r="K4379" i="2"/>
  <c r="A4379" i="2"/>
  <c r="J4378" i="2"/>
  <c r="I4378" i="2"/>
  <c r="A4378" i="2"/>
  <c r="H4377" i="2"/>
  <c r="G4377" i="2"/>
  <c r="A4377" i="2"/>
  <c r="F4376" i="2"/>
  <c r="E4376" i="2"/>
  <c r="A4376" i="2"/>
  <c r="D4375" i="2"/>
  <c r="L4375" i="2"/>
  <c r="A4375" i="2"/>
  <c r="K4374" i="2"/>
  <c r="J4374" i="2"/>
  <c r="A4374" i="2"/>
  <c r="I4373" i="2"/>
  <c r="H4373" i="2"/>
  <c r="A4373" i="2"/>
  <c r="G4372" i="2"/>
  <c r="F4372" i="2"/>
  <c r="A4372" i="2"/>
  <c r="E4371" i="2"/>
  <c r="D4371" i="2"/>
  <c r="A4371" i="2"/>
  <c r="L4370" i="2"/>
  <c r="K4370" i="2"/>
  <c r="A4370" i="2"/>
  <c r="J4369" i="2"/>
  <c r="I4369" i="2"/>
  <c r="A4369" i="2"/>
  <c r="H4368" i="2"/>
  <c r="G4368" i="2"/>
  <c r="A4368" i="2"/>
  <c r="F4367" i="2"/>
  <c r="E4367" i="2"/>
  <c r="A4367" i="2"/>
  <c r="D4366" i="2"/>
  <c r="A4366" i="2"/>
  <c r="K4365" i="2"/>
  <c r="A4365" i="2"/>
  <c r="I4364" i="2"/>
  <c r="A4364" i="2"/>
  <c r="G4363" i="2"/>
  <c r="A4363" i="2"/>
  <c r="E4362" i="2"/>
  <c r="A4362" i="2"/>
  <c r="L4361" i="2"/>
  <c r="A4361" i="2"/>
  <c r="J4360" i="2"/>
  <c r="A4360" i="2"/>
  <c r="H4359" i="2"/>
  <c r="A4359" i="2"/>
  <c r="F4358" i="2"/>
  <c r="A4358" i="2"/>
  <c r="D4357" i="2"/>
  <c r="A4357" i="2"/>
  <c r="K4356" i="2"/>
  <c r="A4356" i="2"/>
  <c r="I4355" i="2"/>
  <c r="A4355" i="2"/>
  <c r="G4354" i="2"/>
  <c r="A4354" i="2"/>
  <c r="E4353" i="2"/>
  <c r="A4353" i="2"/>
  <c r="L4352" i="2"/>
  <c r="K4352" i="2"/>
  <c r="J4352" i="2"/>
  <c r="A4352" i="2"/>
  <c r="H4351" i="2"/>
  <c r="A4351" i="2"/>
  <c r="F4350" i="2"/>
  <c r="A4350" i="2"/>
  <c r="D4349" i="2"/>
  <c r="A4349" i="2"/>
  <c r="L4348" i="2"/>
  <c r="K4348" i="2"/>
  <c r="J4348" i="2"/>
  <c r="I4348" i="2"/>
  <c r="H4348" i="2"/>
  <c r="G4348" i="2"/>
  <c r="F4348" i="2"/>
  <c r="E4348" i="2"/>
  <c r="D4348" i="2"/>
  <c r="A4348" i="2"/>
  <c r="L4347" i="2"/>
  <c r="K4347" i="2"/>
  <c r="A4347" i="2"/>
  <c r="J4346" i="2"/>
  <c r="I4346" i="2"/>
  <c r="A4346" i="2"/>
  <c r="H4345" i="2"/>
  <c r="G4345" i="2"/>
  <c r="A4345" i="2"/>
  <c r="F4344" i="2"/>
  <c r="E4344" i="2"/>
  <c r="A4344" i="2"/>
  <c r="D4343" i="2"/>
  <c r="L4343" i="2"/>
  <c r="A4343" i="2"/>
  <c r="K4342" i="2"/>
  <c r="J4342" i="2"/>
  <c r="A4342" i="2"/>
  <c r="I4341" i="2"/>
  <c r="H4341" i="2"/>
  <c r="A4341" i="2"/>
  <c r="G4340" i="2"/>
  <c r="F4340" i="2"/>
  <c r="A4340" i="2"/>
  <c r="E4339" i="2"/>
  <c r="D4339" i="2"/>
  <c r="A4339" i="2"/>
  <c r="L4338" i="2"/>
  <c r="K4338" i="2"/>
  <c r="A4338" i="2"/>
  <c r="J4337" i="2"/>
  <c r="I4337" i="2"/>
  <c r="A4337" i="2"/>
  <c r="H4336" i="2"/>
  <c r="G4336" i="2"/>
  <c r="A4336" i="2"/>
  <c r="F4335" i="2"/>
  <c r="E4335" i="2"/>
  <c r="A4335" i="2"/>
  <c r="D4334" i="2"/>
  <c r="L4334" i="2"/>
  <c r="A4334" i="2"/>
  <c r="K4333" i="2"/>
  <c r="A4333" i="2"/>
  <c r="I4332" i="2"/>
  <c r="A4332" i="2"/>
  <c r="G4331" i="2"/>
  <c r="A4331" i="2"/>
  <c r="E4330" i="2"/>
  <c r="A4330" i="2"/>
  <c r="L4329" i="2"/>
  <c r="A4329" i="2"/>
  <c r="J4328" i="2"/>
  <c r="A4328" i="2"/>
  <c r="H4327" i="2"/>
  <c r="A4327" i="2"/>
  <c r="F4326" i="2"/>
  <c r="A4326" i="2"/>
  <c r="D4325" i="2"/>
  <c r="A4325" i="2"/>
  <c r="K4324" i="2"/>
  <c r="A4324" i="2"/>
  <c r="I4323" i="2"/>
  <c r="A4323" i="2"/>
  <c r="G4322" i="2"/>
  <c r="A4322" i="2"/>
  <c r="E4321" i="2"/>
  <c r="A4321" i="2"/>
  <c r="L4320" i="2"/>
  <c r="A4320" i="2"/>
  <c r="J4319" i="2"/>
  <c r="A4319" i="2"/>
  <c r="H4318" i="2"/>
  <c r="A4318" i="2"/>
  <c r="F4317" i="2"/>
  <c r="A4317" i="2"/>
  <c r="D4316" i="2"/>
  <c r="A4316" i="2"/>
  <c r="K4315" i="2"/>
  <c r="A4315" i="2"/>
  <c r="I4314" i="2"/>
  <c r="A4314" i="2"/>
  <c r="G4313" i="2"/>
  <c r="A4313" i="2"/>
  <c r="E4312" i="2"/>
  <c r="A4312" i="2"/>
  <c r="L4311" i="2"/>
  <c r="A4311" i="2"/>
  <c r="J4310" i="2"/>
  <c r="A4310" i="2"/>
  <c r="H4309" i="2"/>
  <c r="A4309" i="2"/>
  <c r="F4308" i="2"/>
  <c r="A4308" i="2"/>
  <c r="D4307" i="2"/>
  <c r="A4307" i="2"/>
  <c r="K4306" i="2"/>
  <c r="A4306" i="2"/>
  <c r="I4305" i="2"/>
  <c r="A4305" i="2"/>
  <c r="G4304" i="2"/>
  <c r="F4304" i="2"/>
  <c r="E4304" i="2"/>
  <c r="D4304" i="2"/>
  <c r="L4304" i="2"/>
  <c r="K4304" i="2"/>
  <c r="J4304" i="2"/>
  <c r="I4304" i="2"/>
  <c r="H4304" i="2"/>
  <c r="A4304" i="2"/>
  <c r="E4303" i="2"/>
  <c r="D4303" i="2"/>
  <c r="A4303" i="2"/>
  <c r="L4302" i="2"/>
  <c r="K4302" i="2"/>
  <c r="A4302" i="2"/>
  <c r="J4301" i="2"/>
  <c r="I4301" i="2"/>
  <c r="A4301" i="2"/>
  <c r="H4300" i="2"/>
  <c r="G4300" i="2"/>
  <c r="A4300" i="2"/>
  <c r="F4299" i="2"/>
  <c r="E4299" i="2"/>
  <c r="A4299" i="2"/>
  <c r="D4298" i="2"/>
  <c r="L4298" i="2"/>
  <c r="A4298" i="2"/>
  <c r="K4297" i="2"/>
  <c r="J4297" i="2"/>
  <c r="A4297" i="2"/>
  <c r="I4296" i="2"/>
  <c r="H4296" i="2"/>
  <c r="A4296" i="2"/>
  <c r="G4295" i="2"/>
  <c r="F4295" i="2"/>
  <c r="A4295" i="2"/>
  <c r="E4294" i="2"/>
  <c r="D4294" i="2"/>
  <c r="A4294" i="2"/>
  <c r="L4293" i="2"/>
  <c r="K4293" i="2"/>
  <c r="A4293" i="2"/>
  <c r="J4292" i="2"/>
  <c r="I4292" i="2"/>
  <c r="A4292" i="2"/>
  <c r="H4291" i="2"/>
  <c r="G4291" i="2"/>
  <c r="A4291" i="2"/>
  <c r="F4290" i="2"/>
  <c r="E4290" i="2"/>
  <c r="A4290" i="2"/>
  <c r="D4289" i="2"/>
  <c r="L4289" i="2"/>
  <c r="A4289" i="2"/>
  <c r="K4288" i="2"/>
  <c r="J4288" i="2"/>
  <c r="A4288" i="2"/>
  <c r="I4287" i="2"/>
  <c r="H4287" i="2"/>
  <c r="A4287" i="2"/>
  <c r="G4286" i="2"/>
  <c r="F4286" i="2"/>
  <c r="A4286" i="2"/>
  <c r="E4285" i="2"/>
  <c r="D4285" i="2"/>
  <c r="A4285" i="2"/>
  <c r="L4284" i="2"/>
  <c r="A4284" i="2"/>
  <c r="J4283" i="2"/>
  <c r="A4283" i="2"/>
  <c r="H4282" i="2"/>
  <c r="A4282" i="2"/>
  <c r="F4281" i="2"/>
  <c r="A4281" i="2"/>
  <c r="D4280" i="2"/>
  <c r="A4280" i="2"/>
  <c r="K4279" i="2"/>
  <c r="A4279" i="2"/>
  <c r="I4278" i="2"/>
  <c r="A4278" i="2"/>
  <c r="G4277" i="2"/>
  <c r="A4277" i="2"/>
  <c r="E4276" i="2"/>
  <c r="A4276" i="2"/>
  <c r="L4275" i="2"/>
  <c r="A4275" i="2"/>
  <c r="J4274" i="2"/>
  <c r="A4274" i="2"/>
  <c r="H4273" i="2"/>
  <c r="A4273" i="2"/>
  <c r="F4272" i="2"/>
  <c r="A4272" i="2"/>
  <c r="D4271" i="2"/>
  <c r="A4271" i="2"/>
  <c r="K4270" i="2"/>
  <c r="A4270" i="2"/>
  <c r="I4269" i="2"/>
  <c r="A4269" i="2"/>
  <c r="G4268" i="2"/>
  <c r="A4268" i="2"/>
  <c r="E4267" i="2"/>
  <c r="A4267" i="2"/>
  <c r="L4266" i="2"/>
  <c r="A4266" i="2"/>
  <c r="J4265" i="2"/>
  <c r="A4265" i="2"/>
  <c r="H4264" i="2"/>
  <c r="A4264" i="2"/>
  <c r="F4263" i="2"/>
  <c r="A4263" i="2"/>
  <c r="D4262" i="2"/>
  <c r="A4262" i="2"/>
  <c r="K4261" i="2"/>
  <c r="J4261" i="2"/>
  <c r="I4261" i="2"/>
  <c r="H4261" i="2"/>
  <c r="G4261" i="2"/>
  <c r="F4261" i="2"/>
  <c r="E4261" i="2"/>
  <c r="D4261" i="2"/>
  <c r="L4261" i="2"/>
  <c r="A4261" i="2"/>
  <c r="J4260" i="2"/>
  <c r="I4260" i="2"/>
  <c r="A4260" i="2"/>
  <c r="H4259" i="2"/>
  <c r="G4259" i="2"/>
  <c r="A4259" i="2"/>
  <c r="F4258" i="2"/>
  <c r="E4258" i="2"/>
  <c r="A4258" i="2"/>
  <c r="D4257" i="2"/>
  <c r="L4257" i="2"/>
  <c r="A4257" i="2"/>
  <c r="K4256" i="2"/>
  <c r="J4256" i="2"/>
  <c r="A4256" i="2"/>
  <c r="I4255" i="2"/>
  <c r="H4255" i="2"/>
  <c r="A4255" i="2"/>
  <c r="G4254" i="2"/>
  <c r="F4254" i="2"/>
  <c r="A4254" i="2"/>
  <c r="E4253" i="2"/>
  <c r="D4253" i="2"/>
  <c r="A4253" i="2"/>
  <c r="L4252" i="2"/>
  <c r="K4252" i="2"/>
  <c r="A4252" i="2"/>
  <c r="J4251" i="2"/>
  <c r="I4251" i="2"/>
  <c r="A4251" i="2"/>
  <c r="H4250" i="2"/>
  <c r="G4250" i="2"/>
  <c r="A4250" i="2"/>
  <c r="F4249" i="2"/>
  <c r="E4249" i="2"/>
  <c r="A4249" i="2"/>
  <c r="D4248" i="2"/>
  <c r="L4248" i="2"/>
  <c r="A4248" i="2"/>
  <c r="K4247" i="2"/>
  <c r="J4247" i="2"/>
  <c r="A4247" i="2"/>
  <c r="I4246" i="2"/>
  <c r="H4246" i="2"/>
  <c r="A4246" i="2"/>
  <c r="G4245" i="2"/>
  <c r="F4245" i="2"/>
  <c r="A4245" i="2"/>
  <c r="E4244" i="2"/>
  <c r="D4244" i="2"/>
  <c r="A4244" i="2"/>
  <c r="L4243" i="2"/>
  <c r="K4243" i="2"/>
  <c r="A4243" i="2"/>
  <c r="J4242" i="2"/>
  <c r="I4242" i="2"/>
  <c r="A4242" i="2"/>
  <c r="H4241" i="2"/>
  <c r="G4241" i="2"/>
  <c r="A4241" i="2"/>
  <c r="F4240" i="2"/>
  <c r="E4240" i="2"/>
  <c r="A4240" i="2"/>
  <c r="D4239" i="2"/>
  <c r="L4239" i="2"/>
  <c r="A4239" i="2"/>
  <c r="K4238" i="2"/>
  <c r="J4238" i="2"/>
  <c r="A4238" i="2"/>
  <c r="I4237" i="2"/>
  <c r="H4237" i="2"/>
  <c r="A4237" i="2"/>
  <c r="G4236" i="2"/>
  <c r="F4236" i="2"/>
  <c r="A4236" i="2"/>
  <c r="E4235" i="2"/>
  <c r="D4235" i="2"/>
  <c r="A4235" i="2"/>
  <c r="L4234" i="2"/>
  <c r="A4234" i="2"/>
  <c r="J4233" i="2"/>
  <c r="A4233" i="2"/>
  <c r="H4232" i="2"/>
  <c r="A4232" i="2"/>
  <c r="F4231" i="2"/>
  <c r="A4231" i="2"/>
  <c r="D4230" i="2"/>
  <c r="A4230" i="2"/>
  <c r="K4229" i="2"/>
  <c r="A4229" i="2"/>
  <c r="I4228" i="2"/>
  <c r="A4228" i="2"/>
  <c r="G4227" i="2"/>
  <c r="A4227" i="2"/>
  <c r="E4226" i="2"/>
  <c r="A4226" i="2"/>
  <c r="L4225" i="2"/>
  <c r="A4225" i="2"/>
  <c r="J4224" i="2"/>
  <c r="A4224" i="2"/>
  <c r="H4223" i="2"/>
  <c r="A4223" i="2"/>
  <c r="F4222" i="2"/>
  <c r="A4222" i="2"/>
  <c r="D4221" i="2"/>
  <c r="A4221" i="2"/>
  <c r="K4220" i="2"/>
  <c r="A4220" i="2"/>
  <c r="I4219" i="2"/>
  <c r="A4219" i="2"/>
  <c r="G4218" i="2"/>
  <c r="F4218" i="2"/>
  <c r="E4218" i="2"/>
  <c r="A4218" i="2"/>
  <c r="L4217" i="2"/>
  <c r="A4217" i="2"/>
  <c r="J4216" i="2"/>
  <c r="A4216" i="2"/>
  <c r="H4215" i="2"/>
  <c r="A4215" i="2"/>
  <c r="F4214" i="2"/>
  <c r="A4214" i="2"/>
  <c r="D4213" i="2"/>
  <c r="A4213" i="2"/>
  <c r="K4212" i="2"/>
  <c r="A4212" i="2"/>
  <c r="I4211" i="2"/>
  <c r="A4211" i="2"/>
  <c r="G4210" i="2"/>
  <c r="A4210" i="2"/>
  <c r="E4209" i="2"/>
  <c r="A4209" i="2"/>
  <c r="L4208" i="2"/>
  <c r="A4208" i="2"/>
  <c r="J4207" i="2"/>
  <c r="A4207" i="2"/>
  <c r="H4206" i="2"/>
  <c r="A4206" i="2"/>
  <c r="F4205" i="2"/>
  <c r="A4205" i="2"/>
  <c r="D4204" i="2"/>
  <c r="A4204" i="2"/>
  <c r="K4203" i="2"/>
  <c r="A4203" i="2"/>
  <c r="I4202" i="2"/>
  <c r="A4202" i="2"/>
  <c r="G4201" i="2"/>
  <c r="A4201" i="2"/>
  <c r="E4200" i="2"/>
  <c r="A4200" i="2"/>
  <c r="L4199" i="2"/>
  <c r="A4199" i="2"/>
  <c r="J4198" i="2"/>
  <c r="A4198" i="2"/>
  <c r="H4197" i="2"/>
  <c r="A4197" i="2"/>
  <c r="F4196" i="2"/>
  <c r="A4196" i="2"/>
  <c r="D4195" i="2"/>
  <c r="A4195" i="2"/>
  <c r="K4194" i="2"/>
  <c r="A4194" i="2"/>
  <c r="I4193" i="2"/>
  <c r="A4193" i="2"/>
  <c r="G4192" i="2"/>
  <c r="A4192" i="2"/>
  <c r="E4191" i="2"/>
  <c r="A4191" i="2"/>
  <c r="L4190" i="2"/>
  <c r="A4190" i="2"/>
  <c r="J4189" i="2"/>
  <c r="A4189" i="2"/>
  <c r="H4188" i="2"/>
  <c r="A4188" i="2"/>
  <c r="F4187" i="2"/>
  <c r="A4187" i="2"/>
  <c r="D4186" i="2"/>
  <c r="A4186" i="2"/>
  <c r="K4185" i="2"/>
  <c r="A4185" i="2"/>
  <c r="I4184" i="2"/>
  <c r="A4184" i="2"/>
  <c r="G4183" i="2"/>
  <c r="A4183" i="2"/>
  <c r="E4182" i="2"/>
  <c r="A4182" i="2"/>
  <c r="L4181" i="2"/>
  <c r="A4181" i="2"/>
  <c r="J4180" i="2"/>
  <c r="A4180" i="2"/>
  <c r="H4179" i="2"/>
  <c r="A4179" i="2"/>
  <c r="F4178" i="2"/>
  <c r="A4178" i="2"/>
  <c r="D4177" i="2"/>
  <c r="A4177" i="2"/>
  <c r="K4176" i="2"/>
  <c r="A4176" i="2"/>
  <c r="I4175" i="2"/>
  <c r="A4175" i="2"/>
  <c r="G4174" i="2"/>
  <c r="A4174" i="2"/>
  <c r="E4173" i="2"/>
  <c r="A4173" i="2"/>
  <c r="L4172" i="2"/>
  <c r="A4172" i="2"/>
  <c r="J4171" i="2"/>
  <c r="A4171" i="2"/>
  <c r="H4170" i="2"/>
  <c r="A4170" i="2"/>
  <c r="F4169" i="2"/>
  <c r="A4169" i="2"/>
  <c r="D4168" i="2"/>
  <c r="A4168" i="2"/>
  <c r="K4167" i="2"/>
  <c r="A4167" i="2"/>
  <c r="I4166" i="2"/>
  <c r="A4166" i="2"/>
  <c r="G4165" i="2"/>
  <c r="A4165" i="2"/>
  <c r="E4164" i="2"/>
  <c r="A4164" i="2"/>
  <c r="L4163" i="2"/>
  <c r="A4163" i="2"/>
  <c r="J4162" i="2"/>
  <c r="A4162" i="2"/>
  <c r="H4161" i="2"/>
  <c r="A4161" i="2"/>
  <c r="F4160" i="2"/>
  <c r="A4160" i="2"/>
  <c r="D4159" i="2"/>
  <c r="A4159" i="2"/>
  <c r="K4158" i="2"/>
  <c r="A4158" i="2"/>
  <c r="I4157" i="2"/>
  <c r="A4157" i="2"/>
  <c r="G4156" i="2"/>
  <c r="A4156" i="2"/>
  <c r="E4155" i="2"/>
  <c r="A4155" i="2"/>
  <c r="L4154" i="2"/>
  <c r="A4154" i="2"/>
  <c r="J4153" i="2"/>
  <c r="A4153" i="2"/>
  <c r="H4152" i="2"/>
  <c r="A4152" i="2"/>
  <c r="F4151" i="2"/>
  <c r="A4151" i="2"/>
  <c r="D4150" i="2"/>
  <c r="A4150" i="2"/>
  <c r="K4149" i="2"/>
  <c r="A4149" i="2"/>
  <c r="I4148" i="2"/>
  <c r="A4148" i="2"/>
  <c r="G4147" i="2"/>
  <c r="A4147" i="2"/>
  <c r="E4146" i="2"/>
  <c r="A4146" i="2"/>
  <c r="L4145" i="2"/>
  <c r="A4145" i="2"/>
  <c r="J4144" i="2"/>
  <c r="A4144" i="2"/>
  <c r="H4143" i="2"/>
  <c r="A4143" i="2"/>
  <c r="F4142" i="2"/>
  <c r="A4142" i="2"/>
  <c r="D4141" i="2"/>
  <c r="A4141" i="2"/>
  <c r="K4140" i="2"/>
  <c r="A4140" i="2"/>
  <c r="I4139" i="2"/>
  <c r="A4139" i="2"/>
  <c r="G4138" i="2"/>
  <c r="A4138" i="2"/>
  <c r="E4137" i="2"/>
  <c r="A4137" i="2"/>
  <c r="L4136" i="2"/>
  <c r="A4136" i="2"/>
  <c r="J4135" i="2"/>
  <c r="A4135" i="2"/>
  <c r="H4134" i="2"/>
  <c r="A4134" i="2"/>
  <c r="F4133" i="2"/>
  <c r="A4133" i="2"/>
  <c r="D4132" i="2"/>
  <c r="A4132" i="2"/>
  <c r="K4131" i="2"/>
  <c r="A4131" i="2"/>
  <c r="I4130" i="2"/>
  <c r="A4130" i="2"/>
  <c r="G4129" i="2"/>
  <c r="A4129" i="2"/>
  <c r="E4128" i="2"/>
  <c r="A4128" i="2"/>
  <c r="L4127" i="2"/>
  <c r="A4127" i="2"/>
  <c r="J4126" i="2"/>
  <c r="A4126" i="2"/>
  <c r="H4125" i="2"/>
  <c r="A4125" i="2"/>
  <c r="F4124" i="2"/>
  <c r="A4124" i="2"/>
  <c r="D4123" i="2"/>
  <c r="A4123" i="2"/>
  <c r="K4122" i="2"/>
  <c r="A4122" i="2"/>
  <c r="I4121" i="2"/>
  <c r="A4121" i="2"/>
  <c r="G4120" i="2"/>
  <c r="A4120" i="2"/>
  <c r="E4119" i="2"/>
  <c r="A4119" i="2"/>
  <c r="L4118" i="2"/>
  <c r="A4118" i="2"/>
  <c r="J4117" i="2"/>
  <c r="A4117" i="2"/>
  <c r="H4116" i="2"/>
  <c r="A4116" i="2"/>
  <c r="F4115" i="2"/>
  <c r="A4115" i="2"/>
  <c r="D4114" i="2"/>
  <c r="A4114" i="2"/>
  <c r="K4113" i="2"/>
  <c r="A4113" i="2"/>
  <c r="I4112" i="2"/>
  <c r="A4112" i="2"/>
  <c r="G4111" i="2"/>
  <c r="A4111" i="2"/>
  <c r="E4110" i="2"/>
  <c r="A4110" i="2"/>
  <c r="L4109" i="2"/>
  <c r="A4109" i="2"/>
  <c r="J4108" i="2"/>
  <c r="A4108" i="2"/>
  <c r="H4107" i="2"/>
  <c r="A4107" i="2"/>
  <c r="F4106" i="2"/>
  <c r="A4106" i="2"/>
  <c r="D4105" i="2"/>
  <c r="A4105" i="2"/>
  <c r="K4104" i="2"/>
  <c r="A4104" i="2"/>
  <c r="I4103" i="2"/>
  <c r="A4103" i="2"/>
  <c r="G4102" i="2"/>
  <c r="A4102" i="2"/>
  <c r="E4101" i="2"/>
  <c r="A4101" i="2"/>
  <c r="L4100" i="2"/>
  <c r="A4100" i="2"/>
  <c r="J4099" i="2"/>
  <c r="A4099" i="2"/>
  <c r="H4098" i="2"/>
  <c r="A4098" i="2"/>
  <c r="F4097" i="2"/>
  <c r="A4097" i="2"/>
  <c r="D4096" i="2"/>
  <c r="A4096" i="2"/>
  <c r="K4095" i="2"/>
  <c r="A4095" i="2"/>
  <c r="I4094" i="2"/>
  <c r="A4094" i="2"/>
  <c r="G4093" i="2"/>
  <c r="A4093" i="2"/>
  <c r="E4092" i="2"/>
  <c r="A4092" i="2"/>
  <c r="L4091" i="2"/>
  <c r="A4091" i="2"/>
  <c r="J4090" i="2"/>
  <c r="A4090" i="2"/>
  <c r="H4089" i="2"/>
  <c r="A4089" i="2"/>
  <c r="F4088" i="2"/>
  <c r="A4088" i="2"/>
  <c r="D4087" i="2"/>
  <c r="A4087" i="2"/>
  <c r="K4086" i="2"/>
  <c r="A4086" i="2"/>
  <c r="I4085" i="2"/>
  <c r="A4085" i="2"/>
  <c r="G4084" i="2"/>
  <c r="A4084" i="2"/>
  <c r="E4083" i="2"/>
  <c r="A4083" i="2"/>
  <c r="L4082" i="2"/>
  <c r="A4082" i="2"/>
  <c r="J4081" i="2"/>
  <c r="A4081" i="2"/>
  <c r="H4080" i="2"/>
  <c r="A4080" i="2"/>
  <c r="F4079" i="2"/>
  <c r="A4079" i="2"/>
  <c r="D4078" i="2"/>
  <c r="A4078" i="2"/>
  <c r="K4077" i="2"/>
  <c r="A4077" i="2"/>
  <c r="I4076" i="2"/>
  <c r="A4076" i="2"/>
  <c r="G4075" i="2"/>
  <c r="A4075" i="2"/>
  <c r="E4074" i="2"/>
  <c r="A4074" i="2"/>
  <c r="L4073" i="2"/>
  <c r="A4073" i="2"/>
  <c r="J4072" i="2"/>
  <c r="A4072" i="2"/>
  <c r="H4071" i="2"/>
  <c r="A4071" i="2"/>
  <c r="F4070" i="2"/>
  <c r="A4070" i="2"/>
  <c r="D4069" i="2"/>
  <c r="A4069" i="2"/>
  <c r="K4068" i="2"/>
  <c r="A4068" i="2"/>
  <c r="I4067" i="2"/>
  <c r="A4067" i="2"/>
  <c r="G4066" i="2"/>
  <c r="A4066" i="2"/>
  <c r="E4065" i="2"/>
  <c r="A4065" i="2"/>
  <c r="L4064" i="2"/>
  <c r="A4064" i="2"/>
  <c r="J4063" i="2"/>
  <c r="A4063" i="2"/>
  <c r="H4062" i="2"/>
  <c r="A4062" i="2"/>
  <c r="F4061" i="2"/>
  <c r="A4061" i="2"/>
  <c r="D4060" i="2"/>
  <c r="A4060" i="2"/>
  <c r="K4059" i="2"/>
  <c r="A4059" i="2"/>
  <c r="I4058" i="2"/>
  <c r="A4058" i="2"/>
  <c r="G4057" i="2"/>
  <c r="A4057" i="2"/>
  <c r="E4056" i="2"/>
  <c r="A4056" i="2"/>
  <c r="L4055" i="2"/>
  <c r="A4055" i="2"/>
  <c r="J4054" i="2"/>
  <c r="A4054" i="2"/>
  <c r="H4053" i="2"/>
  <c r="A4053" i="2"/>
  <c r="F4052" i="2"/>
  <c r="A4052" i="2"/>
  <c r="D4051" i="2"/>
  <c r="A4051" i="2"/>
  <c r="K4050" i="2"/>
  <c r="A4050" i="2"/>
  <c r="I4049" i="2"/>
  <c r="A4049" i="2"/>
  <c r="G4048" i="2"/>
  <c r="A4048" i="2"/>
  <c r="E4047" i="2"/>
  <c r="A4047" i="2"/>
  <c r="L4046" i="2"/>
  <c r="A4046" i="2"/>
  <c r="J4045" i="2"/>
  <c r="A4045" i="2"/>
  <c r="H4044" i="2"/>
  <c r="A4044" i="2"/>
  <c r="F4043" i="2"/>
  <c r="A4043" i="2"/>
  <c r="D4042" i="2"/>
  <c r="A4042" i="2"/>
  <c r="K4041" i="2"/>
  <c r="A4041" i="2"/>
  <c r="I4040" i="2"/>
  <c r="A4040" i="2"/>
  <c r="G4039" i="2"/>
  <c r="F4039" i="2"/>
  <c r="E4039" i="2"/>
  <c r="A4039" i="2"/>
  <c r="L4038" i="2"/>
  <c r="A4038" i="2"/>
  <c r="J4037" i="2"/>
  <c r="A4037" i="2"/>
  <c r="H4036" i="2"/>
  <c r="A4036" i="2"/>
  <c r="F4035" i="2"/>
  <c r="A4035" i="2"/>
  <c r="D4034" i="2"/>
  <c r="A4034" i="2"/>
  <c r="K4033" i="2"/>
  <c r="A4033" i="2"/>
  <c r="I4032" i="2"/>
  <c r="A4032" i="2"/>
  <c r="G4031" i="2"/>
  <c r="A4031" i="2"/>
  <c r="E4030" i="2"/>
  <c r="A4030" i="2"/>
  <c r="L4029" i="2"/>
  <c r="A4029" i="2"/>
  <c r="J4028" i="2"/>
  <c r="A4028" i="2"/>
  <c r="H4027" i="2"/>
  <c r="A4027" i="2"/>
  <c r="F4026" i="2"/>
  <c r="A4026" i="2"/>
  <c r="D4025" i="2"/>
  <c r="A4025" i="2"/>
  <c r="K4024" i="2"/>
  <c r="A4024" i="2"/>
  <c r="I4023" i="2"/>
  <c r="A4023" i="2"/>
  <c r="G4022" i="2"/>
  <c r="A4022" i="2"/>
  <c r="E4021" i="2"/>
  <c r="A4021" i="2"/>
  <c r="L4020" i="2"/>
  <c r="A4020" i="2"/>
  <c r="J4019" i="2"/>
  <c r="A4019" i="2"/>
  <c r="H4018" i="2"/>
  <c r="A4018" i="2"/>
  <c r="F4017" i="2"/>
  <c r="A4017" i="2"/>
  <c r="D4016" i="2"/>
  <c r="A4016" i="2"/>
  <c r="K4015" i="2"/>
  <c r="A4015" i="2"/>
  <c r="I4014" i="2"/>
  <c r="A4014" i="2"/>
  <c r="G4013" i="2"/>
  <c r="A4013" i="2"/>
  <c r="E4012" i="2"/>
  <c r="A4012" i="2"/>
  <c r="L4011" i="2"/>
  <c r="A4011" i="2"/>
  <c r="J4010" i="2"/>
  <c r="A4010" i="2"/>
  <c r="H4009" i="2"/>
  <c r="A4009" i="2"/>
  <c r="F4008" i="2"/>
  <c r="A4008" i="2"/>
  <c r="D4007" i="2"/>
  <c r="A4007" i="2"/>
  <c r="K4006" i="2"/>
  <c r="A4006" i="2"/>
  <c r="I4005" i="2"/>
  <c r="A4005" i="2"/>
  <c r="G4004" i="2"/>
  <c r="A4004" i="2"/>
  <c r="E4003" i="2"/>
  <c r="A4003" i="2"/>
  <c r="L4002" i="2"/>
  <c r="A4002" i="2"/>
  <c r="J4001" i="2"/>
  <c r="A4001" i="2"/>
  <c r="H4000" i="2"/>
  <c r="A4000" i="2"/>
  <c r="F3999" i="2"/>
  <c r="A3999" i="2"/>
  <c r="D3998" i="2"/>
  <c r="A3998" i="2"/>
  <c r="K3997" i="2"/>
  <c r="A3997" i="2"/>
  <c r="I3996" i="2"/>
  <c r="A3996" i="2"/>
  <c r="G3995" i="2"/>
  <c r="A3995" i="2"/>
  <c r="E3994" i="2"/>
  <c r="A3994" i="2"/>
  <c r="L3993" i="2"/>
  <c r="A3993" i="2"/>
  <c r="J3992" i="2"/>
  <c r="A3992" i="2"/>
  <c r="H3991" i="2"/>
  <c r="A3991" i="2"/>
  <c r="F3990" i="2"/>
  <c r="A3990" i="2"/>
  <c r="D3989" i="2"/>
  <c r="A3989" i="2"/>
  <c r="K3988" i="2"/>
  <c r="A3988" i="2"/>
  <c r="I3987" i="2"/>
  <c r="A3987" i="2"/>
  <c r="G3986" i="2"/>
  <c r="A3986" i="2"/>
  <c r="E3985" i="2"/>
  <c r="A3985" i="2"/>
  <c r="L3984" i="2"/>
  <c r="A3984" i="2"/>
  <c r="J3983" i="2"/>
  <c r="A3983" i="2"/>
  <c r="H3982" i="2"/>
  <c r="A3982" i="2"/>
  <c r="F3981" i="2"/>
  <c r="A3981" i="2"/>
  <c r="D3980" i="2"/>
  <c r="A3980" i="2"/>
  <c r="K3979" i="2"/>
  <c r="A3979" i="2"/>
  <c r="I3978" i="2"/>
  <c r="A3978" i="2"/>
  <c r="G3977" i="2"/>
  <c r="A3977" i="2"/>
  <c r="E3976" i="2"/>
  <c r="A3976" i="2"/>
  <c r="L3975" i="2"/>
  <c r="A3975" i="2"/>
  <c r="J3974" i="2"/>
  <c r="A3974" i="2"/>
  <c r="H3973" i="2"/>
  <c r="A3973" i="2"/>
  <c r="F3972" i="2"/>
  <c r="A3972" i="2"/>
  <c r="D3971" i="2"/>
  <c r="A3971" i="2"/>
  <c r="K3970" i="2"/>
  <c r="A3970" i="2"/>
  <c r="I3969" i="2"/>
  <c r="A3969" i="2"/>
  <c r="G3968" i="2"/>
  <c r="A3968" i="2"/>
  <c r="E3967" i="2"/>
  <c r="A3967" i="2"/>
  <c r="L3966" i="2"/>
  <c r="A3966" i="2"/>
  <c r="J3965" i="2"/>
  <c r="A3965" i="2"/>
  <c r="H3964" i="2"/>
  <c r="A3964" i="2"/>
  <c r="F3963" i="2"/>
  <c r="A3963" i="2"/>
  <c r="D3962" i="2"/>
  <c r="A3962" i="2"/>
  <c r="K3961" i="2"/>
  <c r="A3961" i="2"/>
  <c r="I3960" i="2"/>
  <c r="A3960" i="2"/>
  <c r="G3959" i="2"/>
  <c r="A3959" i="2"/>
  <c r="E3958" i="2"/>
  <c r="A3958" i="2"/>
  <c r="L3957" i="2"/>
  <c r="A3957" i="2"/>
  <c r="J3956" i="2"/>
  <c r="A3956" i="2"/>
  <c r="H3955" i="2"/>
  <c r="A3955" i="2"/>
  <c r="F3954" i="2"/>
  <c r="A3954" i="2"/>
  <c r="D3953" i="2"/>
  <c r="A3953" i="2"/>
  <c r="K3952" i="2"/>
  <c r="A3952" i="2"/>
  <c r="I3951" i="2"/>
  <c r="A3951" i="2"/>
  <c r="G3950" i="2"/>
  <c r="A3950" i="2"/>
  <c r="E3949" i="2"/>
  <c r="A3949" i="2"/>
  <c r="L3948" i="2"/>
  <c r="A3948" i="2"/>
  <c r="J3947" i="2"/>
  <c r="A3947" i="2"/>
  <c r="H3946" i="2"/>
  <c r="A3946" i="2"/>
  <c r="F3945" i="2"/>
  <c r="A3945" i="2"/>
  <c r="D3944" i="2"/>
  <c r="A3944" i="2"/>
  <c r="K3943" i="2"/>
  <c r="A3943" i="2"/>
  <c r="I3942" i="2"/>
  <c r="A3942" i="2"/>
  <c r="G3941" i="2"/>
  <c r="A3941" i="2"/>
  <c r="E3940" i="2"/>
  <c r="A3940" i="2"/>
  <c r="L3939" i="2"/>
  <c r="A3939" i="2"/>
  <c r="J3938" i="2"/>
  <c r="A3938" i="2"/>
  <c r="H3937" i="2"/>
  <c r="A3937" i="2"/>
  <c r="F3936" i="2"/>
  <c r="A3936" i="2"/>
  <c r="D3935" i="2"/>
  <c r="A3935" i="2"/>
  <c r="K3934" i="2"/>
  <c r="A3934" i="2"/>
  <c r="I3933" i="2"/>
  <c r="A3933" i="2"/>
  <c r="G3932" i="2"/>
  <c r="A3932" i="2"/>
  <c r="E3931" i="2"/>
  <c r="A3931" i="2"/>
  <c r="L3930" i="2"/>
  <c r="A3930" i="2"/>
  <c r="J3929" i="2"/>
  <c r="A3929" i="2"/>
  <c r="H3928" i="2"/>
  <c r="A3928" i="2"/>
  <c r="F3927" i="2"/>
  <c r="A3927" i="2"/>
  <c r="D3926" i="2"/>
  <c r="A3926" i="2"/>
  <c r="K3925" i="2"/>
  <c r="A3925" i="2"/>
  <c r="I3924" i="2"/>
  <c r="A3924" i="2"/>
  <c r="G3923" i="2"/>
  <c r="A3923" i="2"/>
  <c r="E3922" i="2"/>
  <c r="A3922" i="2"/>
  <c r="L3921" i="2"/>
  <c r="A3921" i="2"/>
  <c r="J3920" i="2"/>
  <c r="A3920" i="2"/>
  <c r="H3919" i="2"/>
  <c r="A3919" i="2"/>
  <c r="F3918" i="2"/>
  <c r="A3918" i="2"/>
  <c r="D3917" i="2"/>
  <c r="A3917" i="2"/>
  <c r="K3916" i="2"/>
  <c r="A3916" i="2"/>
  <c r="I3915" i="2"/>
  <c r="A3915" i="2"/>
  <c r="G3914" i="2"/>
  <c r="A3914" i="2"/>
  <c r="E3913" i="2"/>
  <c r="A3913" i="2"/>
  <c r="L3912" i="2"/>
  <c r="A3912" i="2"/>
  <c r="J3911" i="2"/>
  <c r="A3911" i="2"/>
  <c r="H3910" i="2"/>
  <c r="A3910" i="2"/>
  <c r="F3909" i="2"/>
  <c r="A3909" i="2"/>
  <c r="D3908" i="2"/>
  <c r="A3908" i="2"/>
  <c r="K3907" i="2"/>
  <c r="A3907" i="2"/>
  <c r="I3906" i="2"/>
  <c r="A3906" i="2"/>
  <c r="G3905" i="2"/>
  <c r="A3905" i="2"/>
  <c r="E3904" i="2"/>
  <c r="A3904" i="2"/>
  <c r="L3903" i="2"/>
  <c r="A3903" i="2"/>
  <c r="J3902" i="2"/>
  <c r="A3902" i="2"/>
  <c r="H3901" i="2"/>
  <c r="A3901" i="2"/>
  <c r="F3900" i="2"/>
  <c r="A3900" i="2"/>
  <c r="D3899" i="2"/>
  <c r="A3899" i="2"/>
  <c r="K3898" i="2"/>
  <c r="A3898" i="2"/>
  <c r="I3897" i="2"/>
  <c r="A3897" i="2"/>
  <c r="G3896" i="2"/>
  <c r="A3896" i="2"/>
  <c r="E3895" i="2"/>
  <c r="A3895" i="2"/>
  <c r="L3894" i="2"/>
  <c r="A3894" i="2"/>
  <c r="J3893" i="2"/>
  <c r="A3893" i="2"/>
  <c r="H3892" i="2"/>
  <c r="A3892" i="2"/>
  <c r="F3891" i="2"/>
  <c r="A3891" i="2"/>
  <c r="D3890" i="2"/>
  <c r="A3890" i="2"/>
  <c r="K3889" i="2"/>
  <c r="A3889" i="2"/>
  <c r="I3888" i="2"/>
  <c r="A3888" i="2"/>
  <c r="G3887" i="2"/>
  <c r="A3887" i="2"/>
  <c r="E3886" i="2"/>
  <c r="A3886" i="2"/>
  <c r="L3885" i="2"/>
  <c r="A3885" i="2"/>
  <c r="J3884" i="2"/>
  <c r="A3884" i="2"/>
  <c r="H3883" i="2"/>
  <c r="A3883" i="2"/>
  <c r="F3882" i="2"/>
  <c r="A3882" i="2"/>
  <c r="D3881" i="2"/>
  <c r="A3881" i="2"/>
  <c r="K3880" i="2"/>
  <c r="A3880" i="2"/>
  <c r="I3879" i="2"/>
  <c r="A3879" i="2"/>
  <c r="G3878" i="2"/>
  <c r="A3878" i="2"/>
  <c r="E3877" i="2"/>
  <c r="A3877" i="2"/>
  <c r="L3876" i="2"/>
  <c r="A3876" i="2"/>
  <c r="J3875" i="2"/>
  <c r="A3875" i="2"/>
  <c r="H3874" i="2"/>
  <c r="A3874" i="2"/>
  <c r="F3873" i="2"/>
  <c r="A3873" i="2"/>
  <c r="D3872" i="2"/>
  <c r="A3872" i="2"/>
  <c r="K3871" i="2"/>
  <c r="A3871" i="2"/>
  <c r="I3870" i="2"/>
  <c r="A3870" i="2"/>
  <c r="G3869" i="2"/>
  <c r="A3869" i="2"/>
  <c r="E3868" i="2"/>
  <c r="A3868" i="2"/>
  <c r="L3867" i="2"/>
  <c r="A3867" i="2"/>
  <c r="J3866" i="2"/>
  <c r="A3866" i="2"/>
  <c r="H3865" i="2"/>
  <c r="A3865" i="2"/>
  <c r="F3864" i="2"/>
  <c r="A3864" i="2"/>
  <c r="D3863" i="2"/>
  <c r="A3863" i="2"/>
  <c r="K3862" i="2"/>
  <c r="A3862" i="2"/>
  <c r="I3861" i="2"/>
  <c r="A3861" i="2"/>
  <c r="G3860" i="2"/>
  <c r="F3860" i="2"/>
  <c r="E3860" i="2"/>
  <c r="A3860" i="2"/>
  <c r="L3859" i="2"/>
  <c r="A3859" i="2"/>
  <c r="J3858" i="2"/>
  <c r="A3858" i="2"/>
  <c r="H3857" i="2"/>
  <c r="A3857" i="2"/>
  <c r="F3856" i="2"/>
  <c r="A3856" i="2"/>
  <c r="D3855" i="2"/>
  <c r="A3855" i="2"/>
  <c r="K3854" i="2"/>
  <c r="A3854" i="2"/>
  <c r="I3853" i="2"/>
  <c r="A3853" i="2"/>
  <c r="G3852" i="2"/>
  <c r="A3852" i="2"/>
  <c r="E3851" i="2"/>
  <c r="A3851" i="2"/>
  <c r="L3850" i="2"/>
  <c r="A3850" i="2"/>
  <c r="J3849" i="2"/>
  <c r="A3849" i="2"/>
  <c r="H3848" i="2"/>
  <c r="A3848" i="2"/>
  <c r="F3847" i="2"/>
  <c r="A3847" i="2"/>
  <c r="D3846" i="2"/>
  <c r="A3846" i="2"/>
  <c r="K3845" i="2"/>
  <c r="A3845" i="2"/>
  <c r="I3844" i="2"/>
  <c r="A3844" i="2"/>
  <c r="G3843" i="2"/>
  <c r="A3843" i="2"/>
  <c r="E3842" i="2"/>
  <c r="A3842" i="2"/>
  <c r="L3841" i="2"/>
  <c r="A3841" i="2"/>
  <c r="J3840" i="2"/>
  <c r="A3840" i="2"/>
  <c r="H3839" i="2"/>
  <c r="A3839" i="2"/>
  <c r="F3838" i="2"/>
  <c r="A3838" i="2"/>
  <c r="D3837" i="2"/>
  <c r="A3837" i="2"/>
  <c r="K3836" i="2"/>
  <c r="A3836" i="2"/>
  <c r="I3835" i="2"/>
  <c r="A3835" i="2"/>
  <c r="G3834" i="2"/>
  <c r="A3834" i="2"/>
  <c r="E3833" i="2"/>
  <c r="A3833" i="2"/>
  <c r="L3832" i="2"/>
  <c r="A3832" i="2"/>
  <c r="J3831" i="2"/>
  <c r="A3831" i="2"/>
  <c r="H3830" i="2"/>
  <c r="A3830" i="2"/>
  <c r="F3829" i="2"/>
  <c r="A3829" i="2"/>
  <c r="D3828" i="2"/>
  <c r="A3828" i="2"/>
  <c r="K3827" i="2"/>
  <c r="A3827" i="2"/>
  <c r="I3826" i="2"/>
  <c r="A3826" i="2"/>
  <c r="G3825" i="2"/>
  <c r="A3825" i="2"/>
  <c r="E3824" i="2"/>
  <c r="A3824" i="2"/>
  <c r="L3823" i="2"/>
  <c r="A3823" i="2"/>
  <c r="J3822" i="2"/>
  <c r="A3822" i="2"/>
  <c r="H3821" i="2"/>
  <c r="A3821" i="2"/>
  <c r="F3820" i="2"/>
  <c r="A3820" i="2"/>
  <c r="D3819" i="2"/>
  <c r="A3819" i="2"/>
  <c r="K3818" i="2"/>
  <c r="A3818" i="2"/>
  <c r="I3817" i="2"/>
  <c r="A3817" i="2"/>
  <c r="G3816" i="2"/>
  <c r="A3816" i="2"/>
  <c r="E3815" i="2"/>
  <c r="A3815" i="2"/>
  <c r="L3814" i="2"/>
  <c r="A3814" i="2"/>
  <c r="J3813" i="2"/>
  <c r="A3813" i="2"/>
  <c r="H3812" i="2"/>
  <c r="A3812" i="2"/>
  <c r="F3811" i="2"/>
  <c r="A3811" i="2"/>
  <c r="D3810" i="2"/>
  <c r="A3810" i="2"/>
  <c r="K3809" i="2"/>
  <c r="A3809" i="2"/>
  <c r="I3808" i="2"/>
  <c r="A3808" i="2"/>
  <c r="G3807" i="2"/>
  <c r="A3807" i="2"/>
  <c r="E3806" i="2"/>
  <c r="A3806" i="2"/>
  <c r="L3805" i="2"/>
  <c r="A3805" i="2"/>
  <c r="J3804" i="2"/>
  <c r="A3804" i="2"/>
  <c r="H3803" i="2"/>
  <c r="A3803" i="2"/>
  <c r="F3802" i="2"/>
  <c r="A3802" i="2"/>
  <c r="D3801" i="2"/>
  <c r="A3801" i="2"/>
  <c r="K3800" i="2"/>
  <c r="A3800" i="2"/>
  <c r="I3799" i="2"/>
  <c r="A3799" i="2"/>
  <c r="G3798" i="2"/>
  <c r="A3798" i="2"/>
  <c r="E3797" i="2"/>
  <c r="A3797" i="2"/>
  <c r="L3796" i="2"/>
  <c r="A3796" i="2"/>
  <c r="J3795" i="2"/>
  <c r="A3795" i="2"/>
  <c r="H3794" i="2"/>
  <c r="A3794" i="2"/>
  <c r="F3793" i="2"/>
  <c r="A3793" i="2"/>
  <c r="D3792" i="2"/>
  <c r="A3792" i="2"/>
  <c r="K3791" i="2"/>
  <c r="A3791" i="2"/>
  <c r="I3790" i="2"/>
  <c r="A3790" i="2"/>
  <c r="G3789" i="2"/>
  <c r="A3789" i="2"/>
  <c r="E3788" i="2"/>
  <c r="A3788" i="2"/>
  <c r="L3787" i="2"/>
  <c r="A3787" i="2"/>
  <c r="J3786" i="2"/>
  <c r="A3786" i="2"/>
  <c r="H3785" i="2"/>
  <c r="A3785" i="2"/>
  <c r="F3784" i="2"/>
  <c r="A3784" i="2"/>
  <c r="D3783" i="2"/>
  <c r="A3783" i="2"/>
  <c r="K3782" i="2"/>
  <c r="A3782" i="2"/>
  <c r="I3781" i="2"/>
  <c r="A3781" i="2"/>
  <c r="G3780" i="2"/>
  <c r="A3780" i="2"/>
  <c r="E3779" i="2"/>
  <c r="A3779" i="2"/>
  <c r="L3778" i="2"/>
  <c r="A3778" i="2"/>
  <c r="J3777" i="2"/>
  <c r="A3777" i="2"/>
  <c r="H3776" i="2"/>
  <c r="A3776" i="2"/>
  <c r="F3775" i="2"/>
  <c r="A3775" i="2"/>
  <c r="D3774" i="2"/>
  <c r="A3774" i="2"/>
  <c r="K3773" i="2"/>
  <c r="A3773" i="2"/>
  <c r="I3772" i="2"/>
  <c r="A3772" i="2"/>
  <c r="G3771" i="2"/>
  <c r="A3771" i="2"/>
  <c r="E3770" i="2"/>
  <c r="A3770" i="2"/>
  <c r="L3769" i="2"/>
  <c r="A3769" i="2"/>
  <c r="J3768" i="2"/>
  <c r="A3768" i="2"/>
  <c r="H3767" i="2"/>
  <c r="A3767" i="2"/>
  <c r="F3766" i="2"/>
  <c r="A3766" i="2"/>
  <c r="D3765" i="2"/>
  <c r="A3765" i="2"/>
  <c r="K3764" i="2"/>
  <c r="A3764" i="2"/>
  <c r="I3763" i="2"/>
  <c r="A3763" i="2"/>
  <c r="G3762" i="2"/>
  <c r="A3762" i="2"/>
  <c r="E3761" i="2"/>
  <c r="A3761" i="2"/>
  <c r="L3760" i="2"/>
  <c r="A3760" i="2"/>
  <c r="J3759" i="2"/>
  <c r="A3759" i="2"/>
  <c r="H3758" i="2"/>
  <c r="A3758" i="2"/>
  <c r="F3757" i="2"/>
  <c r="A3757" i="2"/>
  <c r="D3756" i="2"/>
  <c r="A3756" i="2"/>
  <c r="K3755" i="2"/>
  <c r="A3755" i="2"/>
  <c r="I3754" i="2"/>
  <c r="A3754" i="2"/>
  <c r="G3753" i="2"/>
  <c r="A3753" i="2"/>
  <c r="E3752" i="2"/>
  <c r="A3752" i="2"/>
  <c r="L3751" i="2"/>
  <c r="A3751" i="2"/>
  <c r="J3750" i="2"/>
  <c r="A3750" i="2"/>
  <c r="H3749" i="2"/>
  <c r="A3749" i="2"/>
  <c r="F3748" i="2"/>
  <c r="A3748" i="2"/>
  <c r="D3747" i="2"/>
  <c r="A3747" i="2"/>
  <c r="K3746" i="2"/>
  <c r="A3746" i="2"/>
  <c r="I3745" i="2"/>
  <c r="A3745" i="2"/>
  <c r="G3744" i="2"/>
  <c r="A3744" i="2"/>
  <c r="E3743" i="2"/>
  <c r="A3743" i="2"/>
  <c r="L3742" i="2"/>
  <c r="A3742" i="2"/>
  <c r="J3741" i="2"/>
  <c r="A3741" i="2"/>
  <c r="H3740" i="2"/>
  <c r="A3740" i="2"/>
  <c r="F3739" i="2"/>
  <c r="A3739" i="2"/>
  <c r="D3738" i="2"/>
  <c r="A3738" i="2"/>
  <c r="K3737" i="2"/>
  <c r="A3737" i="2"/>
  <c r="I3736" i="2"/>
  <c r="A3736" i="2"/>
  <c r="G3735" i="2"/>
  <c r="A3735" i="2"/>
  <c r="E3734" i="2"/>
  <c r="A3734" i="2"/>
  <c r="L3733" i="2"/>
  <c r="A3733" i="2"/>
  <c r="J3732" i="2"/>
  <c r="I3732" i="2"/>
  <c r="A3732" i="2"/>
  <c r="H3731" i="2"/>
  <c r="G3731" i="2"/>
  <c r="A3731" i="2"/>
  <c r="F3730" i="2"/>
  <c r="E3730" i="2"/>
  <c r="A3730" i="2"/>
  <c r="D3729" i="2"/>
  <c r="A3729" i="2"/>
  <c r="K3728" i="2"/>
  <c r="J3728" i="2"/>
  <c r="A3728" i="2"/>
  <c r="I3727" i="2"/>
  <c r="H3727" i="2"/>
  <c r="A3727" i="2"/>
  <c r="G3726" i="2"/>
  <c r="F3726" i="2"/>
  <c r="A3726" i="2"/>
  <c r="E3725" i="2"/>
  <c r="D3725" i="2"/>
  <c r="A3725" i="2"/>
  <c r="L3724" i="2"/>
  <c r="K3724" i="2"/>
  <c r="A3724" i="2"/>
  <c r="J3723" i="2"/>
  <c r="I3723" i="2"/>
  <c r="A3723" i="2"/>
  <c r="H3722" i="2"/>
  <c r="G3722" i="2"/>
  <c r="A3722" i="2"/>
  <c r="F3721" i="2"/>
  <c r="E3721" i="2"/>
  <c r="A3721" i="2"/>
  <c r="D3720" i="2"/>
  <c r="L3720" i="2"/>
  <c r="A3720" i="2"/>
  <c r="K3719" i="2"/>
  <c r="J3719" i="2"/>
  <c r="A3719" i="2"/>
  <c r="I3718" i="2"/>
  <c r="H3718" i="2"/>
  <c r="A3718" i="2"/>
  <c r="G3717" i="2"/>
  <c r="F3717" i="2"/>
  <c r="A3717" i="2"/>
  <c r="E3716" i="2"/>
  <c r="D3716" i="2"/>
  <c r="A3716" i="2"/>
  <c r="L3715" i="2"/>
  <c r="K3715" i="2"/>
  <c r="A3715" i="2"/>
  <c r="J3714" i="2"/>
  <c r="I3714" i="2"/>
  <c r="A3714" i="2"/>
  <c r="H3713" i="2"/>
  <c r="G3713" i="2"/>
  <c r="A3713" i="2"/>
  <c r="F3712" i="2"/>
  <c r="E3712" i="2"/>
  <c r="A3712" i="2"/>
  <c r="D3711" i="2"/>
  <c r="L3711" i="2"/>
  <c r="A3711" i="2"/>
  <c r="K3710" i="2"/>
  <c r="J3710" i="2"/>
  <c r="A3710" i="2"/>
  <c r="I3709" i="2"/>
  <c r="H3709" i="2"/>
  <c r="A3709" i="2"/>
  <c r="G3708" i="2"/>
  <c r="F3708" i="2"/>
  <c r="A3708" i="2"/>
  <c r="E3707" i="2"/>
  <c r="D3707" i="2"/>
  <c r="A3707" i="2"/>
  <c r="L3706" i="2"/>
  <c r="K3706" i="2"/>
  <c r="A3706" i="2"/>
  <c r="J3705" i="2"/>
  <c r="I3705" i="2"/>
  <c r="A3705" i="2"/>
  <c r="H3704" i="2"/>
  <c r="G3704" i="2"/>
  <c r="A3704" i="2"/>
  <c r="F3703" i="2"/>
  <c r="E3703" i="2"/>
  <c r="A3703" i="2"/>
  <c r="D3702" i="2"/>
  <c r="L3702" i="2"/>
  <c r="A3702" i="2"/>
  <c r="K3701" i="2"/>
  <c r="J3701" i="2"/>
  <c r="A3701" i="2"/>
  <c r="I3700" i="2"/>
  <c r="H3700" i="2"/>
  <c r="A3700" i="2"/>
  <c r="G3699" i="2"/>
  <c r="F3699" i="2"/>
  <c r="A3699" i="2"/>
  <c r="E3698" i="2"/>
  <c r="D3698" i="2"/>
  <c r="A3698" i="2"/>
  <c r="L3697" i="2"/>
  <c r="K3697" i="2"/>
  <c r="A3697" i="2"/>
  <c r="J3696" i="2"/>
  <c r="I3696" i="2"/>
  <c r="A3696" i="2"/>
  <c r="H3695" i="2"/>
  <c r="G3695" i="2"/>
  <c r="A3695" i="2"/>
  <c r="F3694" i="2"/>
  <c r="E3694" i="2"/>
  <c r="A3694" i="2"/>
  <c r="D3693" i="2"/>
  <c r="L3693" i="2"/>
  <c r="A3693" i="2"/>
  <c r="K3692" i="2"/>
  <c r="J3692" i="2"/>
  <c r="A3692" i="2"/>
  <c r="I3691" i="2"/>
  <c r="H3691" i="2"/>
  <c r="A3691" i="2"/>
  <c r="G3690" i="2"/>
  <c r="F3690" i="2"/>
  <c r="A3690" i="2"/>
  <c r="E3689" i="2"/>
  <c r="D3689" i="2"/>
  <c r="A3689" i="2"/>
  <c r="L3688" i="2"/>
  <c r="K3688" i="2"/>
  <c r="A3688" i="2"/>
  <c r="J3687" i="2"/>
  <c r="I3687" i="2"/>
  <c r="A3687" i="2"/>
  <c r="H3686" i="2"/>
  <c r="G3686" i="2"/>
  <c r="A3686" i="2"/>
  <c r="F3685" i="2"/>
  <c r="E3685" i="2"/>
  <c r="A3685" i="2"/>
  <c r="D3684" i="2"/>
  <c r="L3684" i="2"/>
  <c r="A3684" i="2"/>
  <c r="K3683" i="2"/>
  <c r="J3683" i="2"/>
  <c r="A3683" i="2"/>
  <c r="I3682" i="2"/>
  <c r="H3682" i="2"/>
  <c r="A3682" i="2"/>
  <c r="G3681" i="2"/>
  <c r="F3681" i="2"/>
  <c r="E3681" i="2"/>
  <c r="D3681" i="2"/>
  <c r="L3681" i="2"/>
  <c r="K3681" i="2"/>
  <c r="J3681" i="2"/>
  <c r="I3681" i="2"/>
  <c r="H3681" i="2"/>
  <c r="A3681" i="2"/>
  <c r="D3680" i="2"/>
  <c r="A3680" i="2"/>
  <c r="K3679" i="2"/>
  <c r="A3679" i="2"/>
  <c r="I3678" i="2"/>
  <c r="A3678" i="2"/>
  <c r="G3677" i="2"/>
  <c r="A3677" i="2"/>
  <c r="E3676" i="2"/>
  <c r="A3676" i="2"/>
  <c r="L3675" i="2"/>
  <c r="A3675" i="2"/>
  <c r="J3674" i="2"/>
  <c r="A3674" i="2"/>
  <c r="H3673" i="2"/>
  <c r="A3673" i="2"/>
  <c r="F3672" i="2"/>
  <c r="A3672" i="2"/>
  <c r="D3671" i="2"/>
  <c r="A3671" i="2"/>
  <c r="K3670" i="2"/>
  <c r="A3670" i="2"/>
  <c r="I3669" i="2"/>
  <c r="A3669" i="2"/>
  <c r="G3668" i="2"/>
  <c r="A3668" i="2"/>
  <c r="E3667" i="2"/>
  <c r="A3667" i="2"/>
  <c r="L3666" i="2"/>
  <c r="A3666" i="2"/>
  <c r="J3665" i="2"/>
  <c r="A3665" i="2"/>
  <c r="H3664" i="2"/>
  <c r="A3664" i="2"/>
  <c r="F3663" i="2"/>
  <c r="A3663" i="2"/>
  <c r="D3662" i="2"/>
  <c r="A3662" i="2"/>
  <c r="K3661" i="2"/>
  <c r="A3661" i="2"/>
  <c r="I3660" i="2"/>
  <c r="A3660" i="2"/>
  <c r="G3659" i="2"/>
  <c r="A3659" i="2"/>
  <c r="E3658" i="2"/>
  <c r="A3658" i="2"/>
  <c r="L3657" i="2"/>
  <c r="A3657" i="2"/>
  <c r="J3656" i="2"/>
  <c r="A3656" i="2"/>
  <c r="H3655" i="2"/>
  <c r="A3655" i="2"/>
  <c r="F3654" i="2"/>
  <c r="A3654" i="2"/>
  <c r="D3653" i="2"/>
  <c r="L3653" i="2"/>
  <c r="A3653" i="2"/>
  <c r="K3652" i="2"/>
  <c r="J3652" i="2"/>
  <c r="A3652" i="2"/>
  <c r="I3651" i="2"/>
  <c r="H3651" i="2"/>
  <c r="A3651" i="2"/>
  <c r="G3650" i="2"/>
  <c r="F3650" i="2"/>
  <c r="A3650" i="2"/>
  <c r="E3649" i="2"/>
  <c r="D3649" i="2"/>
  <c r="A3649" i="2"/>
  <c r="L3648" i="2"/>
  <c r="K3648" i="2"/>
  <c r="A3648" i="2"/>
  <c r="J3647" i="2"/>
  <c r="I3647" i="2"/>
  <c r="A3647" i="2"/>
  <c r="H3646" i="2"/>
  <c r="G3646" i="2"/>
  <c r="A3646" i="2"/>
  <c r="F3645" i="2"/>
  <c r="E3645" i="2"/>
  <c r="A3645" i="2"/>
  <c r="D3644" i="2"/>
  <c r="L3644" i="2"/>
  <c r="A3644" i="2"/>
  <c r="K3643" i="2"/>
  <c r="J3643" i="2"/>
  <c r="A3643" i="2"/>
  <c r="I3642" i="2"/>
  <c r="H3642" i="2"/>
  <c r="A3642" i="2"/>
  <c r="G3641" i="2"/>
  <c r="F3641" i="2"/>
  <c r="A3641" i="2"/>
  <c r="E3640" i="2"/>
  <c r="D3640" i="2"/>
  <c r="A3640" i="2"/>
  <c r="L3639" i="2"/>
  <c r="K3639" i="2"/>
  <c r="A3639" i="2"/>
  <c r="J3638" i="2"/>
  <c r="I3638" i="2"/>
  <c r="A3638" i="2"/>
  <c r="H3637" i="2"/>
  <c r="G3637" i="2"/>
  <c r="A3637" i="2"/>
  <c r="F3636" i="2"/>
  <c r="E3636" i="2"/>
  <c r="A3636" i="2"/>
  <c r="D3635" i="2"/>
  <c r="L3635" i="2"/>
  <c r="A3635" i="2"/>
  <c r="K3634" i="2"/>
  <c r="J3634" i="2"/>
  <c r="I3634" i="2"/>
  <c r="H3634" i="2"/>
  <c r="G3634" i="2"/>
  <c r="F3634" i="2"/>
  <c r="E3634" i="2"/>
  <c r="D3634" i="2"/>
  <c r="L3634" i="2"/>
  <c r="A3634" i="2"/>
  <c r="D3633" i="2"/>
  <c r="A3633" i="2"/>
  <c r="K3632" i="2"/>
  <c r="A3632" i="2"/>
  <c r="I3631" i="2"/>
  <c r="A3631" i="2"/>
  <c r="G3630" i="2"/>
  <c r="A3630" i="2"/>
  <c r="E3629" i="2"/>
  <c r="A3629" i="2"/>
  <c r="L3628" i="2"/>
  <c r="A3628" i="2"/>
  <c r="J3627" i="2"/>
  <c r="A3627" i="2"/>
  <c r="H3626" i="2"/>
  <c r="A3626" i="2"/>
  <c r="F3625" i="2"/>
  <c r="A3625" i="2"/>
  <c r="D3624" i="2"/>
  <c r="A3624" i="2"/>
  <c r="K3623" i="2"/>
  <c r="A3623" i="2"/>
  <c r="I3622" i="2"/>
  <c r="A3622" i="2"/>
  <c r="G3621" i="2"/>
  <c r="A3621" i="2"/>
  <c r="E3620" i="2"/>
  <c r="A3620" i="2"/>
  <c r="L3619" i="2"/>
  <c r="A3619" i="2"/>
  <c r="J3618" i="2"/>
  <c r="A3618" i="2"/>
  <c r="H3617" i="2"/>
  <c r="G3617" i="2"/>
  <c r="A3617" i="2"/>
  <c r="F3616" i="2"/>
  <c r="E3616" i="2"/>
  <c r="A3616" i="2"/>
  <c r="D3615" i="2"/>
  <c r="L3615" i="2"/>
  <c r="A3615" i="2"/>
  <c r="K3614" i="2"/>
  <c r="J3614" i="2"/>
  <c r="A3614" i="2"/>
  <c r="I3613" i="2"/>
  <c r="H3613" i="2"/>
  <c r="A3613" i="2"/>
  <c r="G3612" i="2"/>
  <c r="F3612" i="2"/>
  <c r="A3612" i="2"/>
  <c r="E3611" i="2"/>
  <c r="D3611" i="2"/>
  <c r="A3611" i="2"/>
  <c r="L3610" i="2"/>
  <c r="K3610" i="2"/>
  <c r="A3610" i="2"/>
  <c r="J3609" i="2"/>
  <c r="I3609" i="2"/>
  <c r="A3609" i="2"/>
  <c r="H3608" i="2"/>
  <c r="G3608" i="2"/>
  <c r="A3608" i="2"/>
  <c r="F3607" i="2"/>
  <c r="E3607" i="2"/>
  <c r="A3607" i="2"/>
  <c r="D3606" i="2"/>
  <c r="L3606" i="2"/>
  <c r="A3606" i="2"/>
  <c r="K3605" i="2"/>
  <c r="J3605" i="2"/>
  <c r="A3605" i="2"/>
  <c r="I3604" i="2"/>
  <c r="H3604" i="2"/>
  <c r="A3604" i="2"/>
  <c r="G3603" i="2"/>
  <c r="F3603" i="2"/>
  <c r="A3603" i="2"/>
  <c r="E3602" i="2"/>
  <c r="D3602" i="2"/>
  <c r="A3602" i="2"/>
  <c r="L3601" i="2"/>
  <c r="K3601" i="2"/>
  <c r="J3601" i="2"/>
  <c r="I3601" i="2"/>
  <c r="H3601" i="2"/>
  <c r="G3601" i="2"/>
  <c r="F3601" i="2"/>
  <c r="E3601" i="2"/>
  <c r="D3601" i="2"/>
  <c r="A3601" i="2"/>
  <c r="G3600" i="2"/>
  <c r="A3600" i="2"/>
  <c r="E3599" i="2"/>
  <c r="A3599" i="2"/>
  <c r="L3598" i="2"/>
  <c r="A3598" i="2"/>
  <c r="J3597" i="2"/>
  <c r="A3597" i="2"/>
  <c r="H3596" i="2"/>
  <c r="A3596" i="2"/>
  <c r="F3595" i="2"/>
  <c r="A3595" i="2"/>
  <c r="D3594" i="2"/>
  <c r="A3594" i="2"/>
  <c r="K3593" i="2"/>
  <c r="A3593" i="2"/>
  <c r="I3592" i="2"/>
  <c r="A3592" i="2"/>
  <c r="G3591" i="2"/>
  <c r="A3591" i="2"/>
  <c r="E3590" i="2"/>
  <c r="A3590" i="2"/>
  <c r="L3589" i="2"/>
  <c r="A3589" i="2"/>
  <c r="J3588" i="2"/>
  <c r="A3588" i="2"/>
  <c r="H3587" i="2"/>
  <c r="A3587" i="2"/>
  <c r="F3586" i="2"/>
  <c r="E3586" i="2"/>
  <c r="D3586" i="2"/>
  <c r="L3586" i="2"/>
  <c r="A3586" i="2"/>
  <c r="K3585" i="2"/>
  <c r="J3585" i="2"/>
  <c r="A3585" i="2"/>
  <c r="I3584" i="2"/>
  <c r="H3584" i="2"/>
  <c r="A3584" i="2"/>
  <c r="G3583" i="2"/>
  <c r="F3583" i="2"/>
  <c r="A3583" i="2"/>
  <c r="E3582" i="2"/>
  <c r="D3582" i="2"/>
  <c r="A3582" i="2"/>
  <c r="L3581" i="2"/>
  <c r="K3581" i="2"/>
  <c r="A3581" i="2"/>
  <c r="J3580" i="2"/>
  <c r="I3580" i="2"/>
  <c r="A3580" i="2"/>
  <c r="H3579" i="2"/>
  <c r="G3579" i="2"/>
  <c r="A3579" i="2"/>
  <c r="F3578" i="2"/>
  <c r="E3578" i="2"/>
  <c r="A3578" i="2"/>
  <c r="D3577" i="2"/>
  <c r="L3577" i="2"/>
  <c r="A3577" i="2"/>
  <c r="K3576" i="2"/>
  <c r="J3576" i="2"/>
  <c r="A3576" i="2"/>
  <c r="I3575" i="2"/>
  <c r="H3575" i="2"/>
  <c r="G3575" i="2"/>
  <c r="F3575" i="2"/>
  <c r="E3575" i="2"/>
  <c r="D3575" i="2"/>
  <c r="L3575" i="2"/>
  <c r="K3575" i="2"/>
  <c r="J3575" i="2"/>
  <c r="A3575" i="2"/>
  <c r="I3574" i="2"/>
  <c r="A3574" i="2"/>
  <c r="G3573" i="2"/>
  <c r="A3573" i="2"/>
  <c r="E3572" i="2"/>
  <c r="A3572" i="2"/>
  <c r="L3571" i="2"/>
  <c r="A3571" i="2"/>
  <c r="J3570" i="2"/>
  <c r="A3570" i="2"/>
  <c r="H3569" i="2"/>
  <c r="A3569" i="2"/>
  <c r="F3568" i="2"/>
  <c r="A3568" i="2"/>
  <c r="D3567" i="2"/>
  <c r="A3567" i="2"/>
  <c r="K3566" i="2"/>
  <c r="A3566" i="2"/>
  <c r="I3565" i="2"/>
  <c r="A3565" i="2"/>
  <c r="G3564" i="2"/>
  <c r="A3564" i="2"/>
  <c r="E3563" i="2"/>
  <c r="D3563" i="2"/>
  <c r="A3563" i="2"/>
  <c r="L3562" i="2"/>
  <c r="K3562" i="2"/>
  <c r="A3562" i="2"/>
  <c r="J3561" i="2"/>
  <c r="I3561" i="2"/>
  <c r="A3561" i="2"/>
  <c r="H3560" i="2"/>
  <c r="G3560" i="2"/>
  <c r="A3560" i="2"/>
  <c r="F3559" i="2"/>
  <c r="E3559" i="2"/>
  <c r="A3559" i="2"/>
  <c r="D3558" i="2"/>
  <c r="L3558" i="2"/>
  <c r="A3558" i="2"/>
  <c r="K3557" i="2"/>
  <c r="J3557" i="2"/>
  <c r="A3557" i="2"/>
  <c r="I3556" i="2"/>
  <c r="H3556" i="2"/>
  <c r="A3556" i="2"/>
  <c r="G3555" i="2"/>
  <c r="F3555" i="2"/>
  <c r="A3555" i="2"/>
  <c r="E3554" i="2"/>
  <c r="D3554" i="2"/>
  <c r="A3554" i="2"/>
  <c r="L3553" i="2"/>
  <c r="K3553" i="2"/>
  <c r="A3553" i="2"/>
  <c r="J3552" i="2"/>
  <c r="I3552" i="2"/>
  <c r="A3552" i="2"/>
  <c r="H3551" i="2"/>
  <c r="G3551" i="2"/>
  <c r="F3551" i="2"/>
  <c r="E3551" i="2"/>
  <c r="D3551" i="2"/>
  <c r="L3551" i="2"/>
  <c r="K3551" i="2"/>
  <c r="J3551" i="2"/>
  <c r="I3551" i="2"/>
  <c r="A3551" i="2"/>
  <c r="K3550" i="2"/>
  <c r="A3550" i="2"/>
  <c r="I3549" i="2"/>
  <c r="A3549" i="2"/>
  <c r="G3548" i="2"/>
  <c r="A3548" i="2"/>
  <c r="E3547" i="2"/>
  <c r="A3547" i="2"/>
  <c r="L3546" i="2"/>
  <c r="A3546" i="2"/>
  <c r="J3545" i="2"/>
  <c r="A3545" i="2"/>
  <c r="H3544" i="2"/>
  <c r="A3544" i="2"/>
  <c r="F3543" i="2"/>
  <c r="A3543" i="2"/>
  <c r="D3542" i="2"/>
  <c r="A3542" i="2"/>
  <c r="K3541" i="2"/>
  <c r="A3541" i="2"/>
  <c r="I3540" i="2"/>
  <c r="A3540" i="2"/>
  <c r="G3539" i="2"/>
  <c r="A3539" i="2"/>
  <c r="E3538" i="2"/>
  <c r="D3538" i="2"/>
  <c r="A3538" i="2"/>
  <c r="L3537" i="2"/>
  <c r="K3537" i="2"/>
  <c r="A3537" i="2"/>
  <c r="J3536" i="2"/>
  <c r="I3536" i="2"/>
  <c r="A3536" i="2"/>
  <c r="H3535" i="2"/>
  <c r="G3535" i="2"/>
  <c r="A3535" i="2"/>
  <c r="F3534" i="2"/>
  <c r="E3534" i="2"/>
  <c r="A3534" i="2"/>
  <c r="D3533" i="2"/>
  <c r="L3533" i="2"/>
  <c r="A3533" i="2"/>
  <c r="K3532" i="2"/>
  <c r="J3532" i="2"/>
  <c r="A3532" i="2"/>
  <c r="I3531" i="2"/>
  <c r="H3531" i="2"/>
  <c r="A3531" i="2"/>
  <c r="G3530" i="2"/>
  <c r="F3530" i="2"/>
  <c r="A3530" i="2"/>
  <c r="E3529" i="2"/>
  <c r="D3529" i="2"/>
  <c r="A3529" i="2"/>
  <c r="L3528" i="2"/>
  <c r="K3528" i="2"/>
  <c r="A3528" i="2"/>
  <c r="J3527" i="2"/>
  <c r="I3527" i="2"/>
  <c r="H3527" i="2"/>
  <c r="G3527" i="2"/>
  <c r="F3527" i="2"/>
  <c r="E3527" i="2"/>
  <c r="D3527" i="2"/>
  <c r="L3527" i="2"/>
  <c r="K3527" i="2"/>
  <c r="A3527" i="2"/>
  <c r="G3526" i="2"/>
  <c r="A3526" i="2"/>
  <c r="E3525" i="2"/>
  <c r="A3525" i="2"/>
  <c r="L3524" i="2"/>
  <c r="A3524" i="2"/>
  <c r="J3523" i="2"/>
  <c r="A3523" i="2"/>
  <c r="H3522" i="2"/>
  <c r="A3522" i="2"/>
  <c r="F3521" i="2"/>
  <c r="A3521" i="2"/>
  <c r="D3520" i="2"/>
  <c r="A3520" i="2"/>
  <c r="K3519" i="2"/>
  <c r="A3519" i="2"/>
  <c r="I3518" i="2"/>
  <c r="A3518" i="2"/>
  <c r="G3517" i="2"/>
  <c r="A3517" i="2"/>
  <c r="E3516" i="2"/>
  <c r="A3516" i="2"/>
  <c r="L3515" i="2"/>
  <c r="K3515" i="2"/>
  <c r="A3515" i="2"/>
  <c r="J3514" i="2"/>
  <c r="I3514" i="2"/>
  <c r="A3514" i="2"/>
  <c r="H3513" i="2"/>
  <c r="G3513" i="2"/>
  <c r="A3513" i="2"/>
  <c r="F3512" i="2"/>
  <c r="E3512" i="2"/>
  <c r="A3512" i="2"/>
  <c r="D3511" i="2"/>
  <c r="L3511" i="2"/>
  <c r="A3511" i="2"/>
  <c r="K3510" i="2"/>
  <c r="J3510" i="2"/>
  <c r="A3510" i="2"/>
  <c r="I3509" i="2"/>
  <c r="H3509" i="2"/>
  <c r="A3509" i="2"/>
  <c r="G3508" i="2"/>
  <c r="F3508" i="2"/>
  <c r="A3508" i="2"/>
  <c r="E3507" i="2"/>
  <c r="D3507" i="2"/>
  <c r="A3507" i="2"/>
  <c r="L3506" i="2"/>
  <c r="K3506" i="2"/>
  <c r="A3506" i="2"/>
  <c r="J3505" i="2"/>
  <c r="I3505" i="2"/>
  <c r="H3505" i="2"/>
  <c r="G3505" i="2"/>
  <c r="F3505" i="2"/>
  <c r="E3505" i="2"/>
  <c r="D3505" i="2"/>
  <c r="L3505" i="2"/>
  <c r="K3505" i="2"/>
  <c r="A3505" i="2"/>
  <c r="G3504" i="2"/>
  <c r="A3504" i="2"/>
  <c r="E3503" i="2"/>
  <c r="A3503" i="2"/>
  <c r="L3502" i="2"/>
  <c r="A3502" i="2"/>
  <c r="J3501" i="2"/>
  <c r="A3501" i="2"/>
  <c r="H3500" i="2"/>
  <c r="A3500" i="2"/>
  <c r="F3499" i="2"/>
  <c r="A3499" i="2"/>
  <c r="D3498" i="2"/>
  <c r="A3498" i="2"/>
  <c r="K3497" i="2"/>
  <c r="A3497" i="2"/>
  <c r="I3496" i="2"/>
  <c r="A3496" i="2"/>
  <c r="G3495" i="2"/>
  <c r="A3495" i="2"/>
  <c r="E3494" i="2"/>
  <c r="D3494" i="2"/>
  <c r="A3494" i="2"/>
  <c r="L3493" i="2"/>
  <c r="K3493" i="2"/>
  <c r="A3493" i="2"/>
  <c r="J3492" i="2"/>
  <c r="I3492" i="2"/>
  <c r="A3492" i="2"/>
  <c r="H3491" i="2"/>
  <c r="G3491" i="2"/>
  <c r="A3491" i="2"/>
  <c r="F3490" i="2"/>
  <c r="E3490" i="2"/>
  <c r="A3490" i="2"/>
  <c r="D3489" i="2"/>
  <c r="L3489" i="2"/>
  <c r="A3489" i="2"/>
  <c r="K3488" i="2"/>
  <c r="J3488" i="2"/>
  <c r="A3488" i="2"/>
  <c r="I3487" i="2"/>
  <c r="H3487" i="2"/>
  <c r="A3487" i="2"/>
  <c r="G3486" i="2"/>
  <c r="F3486" i="2"/>
  <c r="A3486" i="2"/>
  <c r="E3485" i="2"/>
  <c r="D3485" i="2"/>
  <c r="A3485" i="2"/>
  <c r="L3484" i="2"/>
  <c r="K3484" i="2"/>
  <c r="J3484" i="2"/>
  <c r="I3484" i="2"/>
  <c r="H3484" i="2"/>
  <c r="G3484" i="2"/>
  <c r="F3484" i="2"/>
  <c r="E3484" i="2"/>
  <c r="D3484" i="2"/>
  <c r="A3484" i="2"/>
  <c r="D3483" i="2"/>
  <c r="A3483" i="2"/>
  <c r="K3482" i="2"/>
  <c r="A3482" i="2"/>
  <c r="I3481" i="2"/>
  <c r="A3481" i="2"/>
  <c r="G3480" i="2"/>
  <c r="A3480" i="2"/>
  <c r="E3479" i="2"/>
  <c r="D3479" i="2"/>
  <c r="L3479" i="2"/>
  <c r="A3479" i="2"/>
  <c r="J3478" i="2"/>
  <c r="A3478" i="2"/>
  <c r="H3477" i="2"/>
  <c r="A3477" i="2"/>
  <c r="F3476" i="2"/>
  <c r="A3476" i="2"/>
  <c r="D3475" i="2"/>
  <c r="L3475" i="2"/>
  <c r="A3475" i="2"/>
  <c r="K3474" i="2"/>
  <c r="J3474" i="2"/>
  <c r="A3474" i="2"/>
  <c r="I3473" i="2"/>
  <c r="H3473" i="2"/>
  <c r="A3473" i="2"/>
  <c r="G3472" i="2"/>
  <c r="F3472" i="2"/>
  <c r="A3472" i="2"/>
  <c r="E3471" i="2"/>
  <c r="D3471" i="2"/>
  <c r="A3471" i="2"/>
  <c r="L3470" i="2"/>
  <c r="K3470" i="2"/>
  <c r="A3470" i="2"/>
  <c r="J3469" i="2"/>
  <c r="I3469" i="2"/>
  <c r="A3469" i="2"/>
  <c r="H3468" i="2"/>
  <c r="G3468" i="2"/>
  <c r="A3468" i="2"/>
  <c r="F3467" i="2"/>
  <c r="E3467" i="2"/>
  <c r="A3467" i="2"/>
  <c r="D3466" i="2"/>
  <c r="L3466" i="2"/>
  <c r="A3466" i="2"/>
  <c r="K3465" i="2"/>
  <c r="J3465" i="2"/>
  <c r="I3465" i="2"/>
  <c r="H3465" i="2"/>
  <c r="G3465" i="2"/>
  <c r="F3465" i="2"/>
  <c r="E3465" i="2"/>
  <c r="D3465" i="2"/>
  <c r="L3465" i="2"/>
  <c r="A3465" i="2"/>
  <c r="I3464" i="2"/>
  <c r="A3464" i="2"/>
  <c r="G3463" i="2"/>
  <c r="A3463" i="2"/>
  <c r="E3462" i="2"/>
  <c r="A3462" i="2"/>
  <c r="L3461" i="2"/>
  <c r="A3461" i="2"/>
  <c r="J3460" i="2"/>
  <c r="A3460" i="2"/>
  <c r="H3459" i="2"/>
  <c r="A3459" i="2"/>
  <c r="F3458" i="2"/>
  <c r="A3458" i="2"/>
  <c r="D3457" i="2"/>
  <c r="A3457" i="2"/>
  <c r="K3456" i="2"/>
  <c r="A3456" i="2"/>
  <c r="I3455" i="2"/>
  <c r="A3455" i="2"/>
  <c r="G3454" i="2"/>
  <c r="F3454" i="2"/>
  <c r="A3454" i="2"/>
  <c r="E3453" i="2"/>
  <c r="D3453" i="2"/>
  <c r="A3453" i="2"/>
  <c r="L3452" i="2"/>
  <c r="K3452" i="2"/>
  <c r="A3452" i="2"/>
  <c r="J3451" i="2"/>
  <c r="I3451" i="2"/>
  <c r="A3451" i="2"/>
  <c r="H3450" i="2"/>
  <c r="G3450" i="2"/>
  <c r="A3450" i="2"/>
  <c r="F3449" i="2"/>
  <c r="E3449" i="2"/>
  <c r="A3449" i="2"/>
  <c r="D3448" i="2"/>
  <c r="L3448" i="2"/>
  <c r="A3448" i="2"/>
  <c r="K3447" i="2"/>
  <c r="J3447" i="2"/>
  <c r="A3447" i="2"/>
  <c r="I3446" i="2"/>
  <c r="H3446" i="2"/>
  <c r="A3446" i="2"/>
  <c r="G3445" i="2"/>
  <c r="F3445" i="2"/>
  <c r="A3445" i="2"/>
  <c r="E3444" i="2"/>
  <c r="D3444" i="2"/>
  <c r="L3444" i="2"/>
  <c r="K3444" i="2"/>
  <c r="J3444" i="2"/>
  <c r="I3444" i="2"/>
  <c r="H3444" i="2"/>
  <c r="G3444" i="2"/>
  <c r="F3444" i="2"/>
  <c r="A3444" i="2"/>
  <c r="H3443" i="2"/>
  <c r="A3443" i="2"/>
  <c r="F3442" i="2"/>
  <c r="A3442" i="2"/>
  <c r="D3441" i="2"/>
  <c r="A3441" i="2"/>
  <c r="K3440" i="2"/>
  <c r="A3440" i="2"/>
  <c r="I3439" i="2"/>
  <c r="A3439" i="2"/>
  <c r="G3438" i="2"/>
  <c r="A3438" i="2"/>
  <c r="E3437" i="2"/>
  <c r="A3437" i="2"/>
  <c r="L3436" i="2"/>
  <c r="A3436" i="2"/>
  <c r="J3435" i="2"/>
  <c r="A3435" i="2"/>
  <c r="H3434" i="2"/>
  <c r="G3434" i="2"/>
  <c r="A3434" i="2"/>
  <c r="F3433" i="2"/>
  <c r="E3433" i="2"/>
  <c r="A3433" i="2"/>
  <c r="D3432" i="2"/>
  <c r="L3432" i="2"/>
  <c r="A3432" i="2"/>
  <c r="K3431" i="2"/>
  <c r="J3431" i="2"/>
  <c r="A3431" i="2"/>
  <c r="I3430" i="2"/>
  <c r="H3430" i="2"/>
  <c r="A3430" i="2"/>
  <c r="G3429" i="2"/>
  <c r="F3429" i="2"/>
  <c r="A3429" i="2"/>
  <c r="E3428" i="2"/>
  <c r="D3428" i="2"/>
  <c r="A3428" i="2"/>
  <c r="L3427" i="2"/>
  <c r="K3427" i="2"/>
  <c r="A3427" i="2"/>
  <c r="J3426" i="2"/>
  <c r="I3426" i="2"/>
  <c r="A3426" i="2"/>
  <c r="H3425" i="2"/>
  <c r="G3425" i="2"/>
  <c r="F3425" i="2"/>
  <c r="E3425" i="2"/>
  <c r="D3425" i="2"/>
  <c r="L3425" i="2"/>
  <c r="K3425" i="2"/>
  <c r="J3425" i="2"/>
  <c r="I3425" i="2"/>
  <c r="A3425" i="2"/>
  <c r="H3424" i="2"/>
  <c r="A3424" i="2"/>
  <c r="F3423" i="2"/>
  <c r="A3423" i="2"/>
  <c r="D3422" i="2"/>
  <c r="A3422" i="2"/>
  <c r="K3421" i="2"/>
  <c r="A3421" i="2"/>
  <c r="I3420" i="2"/>
  <c r="A3420" i="2"/>
  <c r="G3419" i="2"/>
  <c r="A3419" i="2"/>
  <c r="E3418" i="2"/>
  <c r="A3418" i="2"/>
  <c r="L3417" i="2"/>
  <c r="A3417" i="2"/>
  <c r="J3416" i="2"/>
  <c r="A3416" i="2"/>
  <c r="H3415" i="2"/>
  <c r="A3415" i="2"/>
  <c r="F3414" i="2"/>
  <c r="E3414" i="2"/>
  <c r="A3414" i="2"/>
  <c r="D3413" i="2"/>
  <c r="L3413" i="2"/>
  <c r="A3413" i="2"/>
  <c r="K3412" i="2"/>
  <c r="J3412" i="2"/>
  <c r="A3412" i="2"/>
  <c r="I3411" i="2"/>
  <c r="H3411" i="2"/>
  <c r="A3411" i="2"/>
  <c r="G3410" i="2"/>
  <c r="F3410" i="2"/>
  <c r="A3410" i="2"/>
  <c r="E3409" i="2"/>
  <c r="D3409" i="2"/>
  <c r="A3409" i="2"/>
  <c r="L3408" i="2"/>
  <c r="K3408" i="2"/>
  <c r="A3408" i="2"/>
  <c r="J3407" i="2"/>
  <c r="I3407" i="2"/>
  <c r="A3407" i="2"/>
  <c r="H3406" i="2"/>
  <c r="G3406" i="2"/>
  <c r="A3406" i="2"/>
  <c r="F3405" i="2"/>
  <c r="E3405" i="2"/>
  <c r="D3405" i="2"/>
  <c r="L3405" i="2"/>
  <c r="K3405" i="2"/>
  <c r="J3405" i="2"/>
  <c r="I3405" i="2"/>
  <c r="H3405" i="2"/>
  <c r="G3405" i="2"/>
  <c r="A3405" i="2"/>
  <c r="K3404" i="2"/>
  <c r="A3404" i="2"/>
  <c r="I3403" i="2"/>
  <c r="A3403" i="2"/>
  <c r="G3402" i="2"/>
  <c r="A3402" i="2"/>
  <c r="E3401" i="2"/>
  <c r="A3401" i="2"/>
  <c r="L3400" i="2"/>
  <c r="A3400" i="2"/>
  <c r="J3399" i="2"/>
  <c r="A3399" i="2"/>
  <c r="H3398" i="2"/>
  <c r="A3398" i="2"/>
  <c r="F3397" i="2"/>
  <c r="A3397" i="2"/>
  <c r="D3396" i="2"/>
  <c r="A3396" i="2"/>
  <c r="K3395" i="2"/>
  <c r="A3395" i="2"/>
  <c r="I3394" i="2"/>
  <c r="H3394" i="2"/>
  <c r="A3394" i="2"/>
  <c r="G3393" i="2"/>
  <c r="F3393" i="2"/>
  <c r="A3393" i="2"/>
  <c r="E3392" i="2"/>
  <c r="D3392" i="2"/>
  <c r="A3392" i="2"/>
  <c r="L3391" i="2"/>
  <c r="K3391" i="2"/>
  <c r="A3391" i="2"/>
  <c r="J3390" i="2"/>
  <c r="I3390" i="2"/>
  <c r="A3390" i="2"/>
  <c r="H3389" i="2"/>
  <c r="G3389" i="2"/>
  <c r="A3389" i="2"/>
  <c r="F3388" i="2"/>
  <c r="E3388" i="2"/>
  <c r="A3388" i="2"/>
  <c r="D3387" i="2"/>
  <c r="L3387" i="2"/>
  <c r="A3387" i="2"/>
  <c r="K3386" i="2"/>
  <c r="J3386" i="2"/>
  <c r="I3386" i="2"/>
  <c r="H3386" i="2"/>
  <c r="G3386" i="2"/>
  <c r="F3386" i="2"/>
  <c r="E3386" i="2"/>
  <c r="D3386" i="2"/>
  <c r="L3386" i="2"/>
  <c r="A3386" i="2"/>
  <c r="F3385" i="2"/>
  <c r="A3385" i="2"/>
  <c r="D3384" i="2"/>
  <c r="A3384" i="2"/>
  <c r="K3383" i="2"/>
  <c r="A3383" i="2"/>
  <c r="I3382" i="2"/>
  <c r="A3382" i="2"/>
  <c r="G3381" i="2"/>
  <c r="A3381" i="2"/>
  <c r="E3380" i="2"/>
  <c r="A3380" i="2"/>
  <c r="L3379" i="2"/>
  <c r="A3379" i="2"/>
  <c r="J3378" i="2"/>
  <c r="A3378" i="2"/>
  <c r="H3377" i="2"/>
  <c r="A3377" i="2"/>
  <c r="F3376" i="2"/>
  <c r="E3376" i="2"/>
  <c r="A3376" i="2"/>
  <c r="D3375" i="2"/>
  <c r="L3375" i="2"/>
  <c r="A3375" i="2"/>
  <c r="K3374" i="2"/>
  <c r="J3374" i="2"/>
  <c r="A3374" i="2"/>
  <c r="I3373" i="2"/>
  <c r="H3373" i="2"/>
  <c r="A3373" i="2"/>
  <c r="G3372" i="2"/>
  <c r="F3372" i="2"/>
  <c r="A3372" i="2"/>
  <c r="E3371" i="2"/>
  <c r="D3371" i="2"/>
  <c r="A3371" i="2"/>
  <c r="L3370" i="2"/>
  <c r="K3370" i="2"/>
  <c r="A3370" i="2"/>
  <c r="J3369" i="2"/>
  <c r="I3369" i="2"/>
  <c r="A3369" i="2"/>
  <c r="H3368" i="2"/>
  <c r="G3368" i="2"/>
  <c r="A3368" i="2"/>
  <c r="F3367" i="2"/>
  <c r="E3367" i="2"/>
  <c r="A3367" i="2"/>
  <c r="D3366" i="2"/>
  <c r="L3366" i="2"/>
  <c r="K3366" i="2"/>
  <c r="J3366" i="2"/>
  <c r="I3366" i="2"/>
  <c r="H3366" i="2"/>
  <c r="G3366" i="2"/>
  <c r="F3366" i="2"/>
  <c r="E3366" i="2"/>
  <c r="A3366" i="2"/>
  <c r="F3365" i="2"/>
  <c r="A3365" i="2"/>
  <c r="D3364" i="2"/>
  <c r="A3364" i="2"/>
  <c r="K3363" i="2"/>
  <c r="A3363" i="2"/>
  <c r="I3362" i="2"/>
  <c r="A3362" i="2"/>
  <c r="G3361" i="2"/>
  <c r="A3361" i="2"/>
  <c r="E3360" i="2"/>
  <c r="A3360" i="2"/>
  <c r="L3359" i="2"/>
  <c r="K3359" i="2"/>
  <c r="A3359" i="2"/>
  <c r="J3358" i="2"/>
  <c r="I3358" i="2"/>
  <c r="A3358" i="2"/>
  <c r="H3357" i="2"/>
  <c r="G3357" i="2"/>
  <c r="A3357" i="2"/>
  <c r="F3356" i="2"/>
  <c r="E3356" i="2"/>
  <c r="A3356" i="2"/>
  <c r="D3355" i="2"/>
  <c r="L3355" i="2"/>
  <c r="A3355" i="2"/>
  <c r="K3354" i="2"/>
  <c r="J3354" i="2"/>
  <c r="A3354" i="2"/>
  <c r="I3353" i="2"/>
  <c r="H3353" i="2"/>
  <c r="A3353" i="2"/>
  <c r="G3352" i="2"/>
  <c r="F3352" i="2"/>
  <c r="A3352" i="2"/>
  <c r="E3351" i="2"/>
  <c r="D3351" i="2"/>
  <c r="L3351" i="2"/>
  <c r="K3351" i="2"/>
  <c r="J3351" i="2"/>
  <c r="I3351" i="2"/>
  <c r="H3351" i="2"/>
  <c r="G3351" i="2"/>
  <c r="F3351" i="2"/>
  <c r="A3351" i="2"/>
  <c r="I3350" i="2"/>
  <c r="A3350" i="2"/>
  <c r="G3349" i="2"/>
  <c r="A3349" i="2"/>
  <c r="E3348" i="2"/>
  <c r="A3348" i="2"/>
  <c r="L3347" i="2"/>
  <c r="A3347" i="2"/>
  <c r="J3346" i="2"/>
  <c r="A3346" i="2"/>
  <c r="H3345" i="2"/>
  <c r="A3345" i="2"/>
  <c r="F3344" i="2"/>
  <c r="A3344" i="2"/>
  <c r="D3343" i="2"/>
  <c r="L3343" i="2"/>
  <c r="A3343" i="2"/>
  <c r="K3342" i="2"/>
  <c r="J3342" i="2"/>
  <c r="A3342" i="2"/>
  <c r="I3341" i="2"/>
  <c r="H3341" i="2"/>
  <c r="A3341" i="2"/>
  <c r="G3340" i="2"/>
  <c r="F3340" i="2"/>
  <c r="A3340" i="2"/>
  <c r="E3339" i="2"/>
  <c r="D3339" i="2"/>
  <c r="A3339" i="2"/>
  <c r="L3338" i="2"/>
  <c r="K3338" i="2"/>
  <c r="A3338" i="2"/>
  <c r="J3337" i="2"/>
  <c r="I3337" i="2"/>
  <c r="A3337" i="2"/>
  <c r="H3336" i="2"/>
  <c r="G3336" i="2"/>
  <c r="A3336" i="2"/>
  <c r="F3335" i="2"/>
  <c r="E3335" i="2"/>
  <c r="A3335" i="2"/>
  <c r="D3334" i="2"/>
  <c r="L3334" i="2"/>
  <c r="K3334" i="2"/>
  <c r="J3334" i="2"/>
  <c r="I3334" i="2"/>
  <c r="H3334" i="2"/>
  <c r="G3334" i="2"/>
  <c r="F3334" i="2"/>
  <c r="E3334" i="2"/>
  <c r="A3334" i="2"/>
  <c r="J3333" i="2"/>
  <c r="A3333" i="2"/>
  <c r="H3332" i="2"/>
  <c r="A3332" i="2"/>
  <c r="F3331" i="2"/>
  <c r="A3331" i="2"/>
  <c r="D3330" i="2"/>
  <c r="A3330" i="2"/>
  <c r="K3329" i="2"/>
  <c r="A3329" i="2"/>
  <c r="I3328" i="2"/>
  <c r="A3328" i="2"/>
  <c r="G3327" i="2"/>
  <c r="A3327" i="2"/>
  <c r="E3326" i="2"/>
  <c r="D3326" i="2"/>
  <c r="A3326" i="2"/>
  <c r="L3325" i="2"/>
  <c r="K3325" i="2"/>
  <c r="A3325" i="2"/>
  <c r="J3324" i="2"/>
  <c r="I3324" i="2"/>
  <c r="A3324" i="2"/>
  <c r="H3323" i="2"/>
  <c r="G3323" i="2"/>
  <c r="A3323" i="2"/>
  <c r="F3322" i="2"/>
  <c r="E3322" i="2"/>
  <c r="A3322" i="2"/>
  <c r="D3321" i="2"/>
  <c r="L3321" i="2"/>
  <c r="A3321" i="2"/>
  <c r="K3320" i="2"/>
  <c r="J3320" i="2"/>
  <c r="A3320" i="2"/>
  <c r="I3319" i="2"/>
  <c r="H3319" i="2"/>
  <c r="A3319" i="2"/>
  <c r="G3318" i="2"/>
  <c r="F3318" i="2"/>
  <c r="E3318" i="2"/>
  <c r="D3318" i="2"/>
  <c r="L3318" i="2"/>
  <c r="K3318" i="2"/>
  <c r="J3318" i="2"/>
  <c r="I3318" i="2"/>
  <c r="H3318" i="2"/>
  <c r="A3318" i="2"/>
  <c r="K3317" i="2"/>
  <c r="A3317" i="2"/>
  <c r="I3316" i="2"/>
  <c r="A3316" i="2"/>
  <c r="G3315" i="2"/>
  <c r="A3315" i="2"/>
  <c r="E3314" i="2"/>
  <c r="A3314" i="2"/>
  <c r="L3313" i="2"/>
  <c r="A3313" i="2"/>
  <c r="J3312" i="2"/>
  <c r="A3312" i="2"/>
  <c r="H3311" i="2"/>
  <c r="A3311" i="2"/>
  <c r="F3310" i="2"/>
  <c r="E3310" i="2"/>
  <c r="A3310" i="2"/>
  <c r="D3309" i="2"/>
  <c r="L3309" i="2"/>
  <c r="A3309" i="2"/>
  <c r="K3308" i="2"/>
  <c r="J3308" i="2"/>
  <c r="A3308" i="2"/>
  <c r="I3307" i="2"/>
  <c r="H3307" i="2"/>
  <c r="A3307" i="2"/>
  <c r="G3306" i="2"/>
  <c r="F3306" i="2"/>
  <c r="A3306" i="2"/>
  <c r="E3305" i="2"/>
  <c r="D3305" i="2"/>
  <c r="A3305" i="2"/>
  <c r="L3304" i="2"/>
  <c r="K3304" i="2"/>
  <c r="A3304" i="2"/>
  <c r="J3303" i="2"/>
  <c r="I3303" i="2"/>
  <c r="A3303" i="2"/>
  <c r="H3302" i="2"/>
  <c r="G3302" i="2"/>
  <c r="F3302" i="2"/>
  <c r="E3302" i="2"/>
  <c r="D3302" i="2"/>
  <c r="L3302" i="2"/>
  <c r="K3302" i="2"/>
  <c r="J3302" i="2"/>
  <c r="I3302" i="2"/>
  <c r="A3302" i="2"/>
  <c r="H3301" i="2"/>
  <c r="A3301" i="2"/>
  <c r="F3300" i="2"/>
  <c r="A3300" i="2"/>
  <c r="D3299" i="2"/>
  <c r="A3299" i="2"/>
  <c r="K3298" i="2"/>
  <c r="A3298" i="2"/>
  <c r="I3297" i="2"/>
  <c r="A3297" i="2"/>
  <c r="G3296" i="2"/>
  <c r="A3296" i="2"/>
  <c r="E3295" i="2"/>
  <c r="A3295" i="2"/>
  <c r="L3294" i="2"/>
  <c r="K3294" i="2"/>
  <c r="A3294" i="2"/>
  <c r="J3293" i="2"/>
  <c r="I3293" i="2"/>
  <c r="A3293" i="2"/>
  <c r="H3292" i="2"/>
  <c r="G3292" i="2"/>
  <c r="A3292" i="2"/>
  <c r="F3291" i="2"/>
  <c r="E3291" i="2"/>
  <c r="A3291" i="2"/>
  <c r="D3290" i="2"/>
  <c r="L3290" i="2"/>
  <c r="A3290" i="2"/>
  <c r="K3289" i="2"/>
  <c r="J3289" i="2"/>
  <c r="A3289" i="2"/>
  <c r="I3288" i="2"/>
  <c r="H3288" i="2"/>
  <c r="A3288" i="2"/>
  <c r="G3287" i="2"/>
  <c r="F3287" i="2"/>
  <c r="A3287" i="2"/>
  <c r="E3286" i="2"/>
  <c r="D3286" i="2"/>
  <c r="L3286" i="2"/>
  <c r="K3286" i="2"/>
  <c r="J3286" i="2"/>
  <c r="I3286" i="2"/>
  <c r="H3286" i="2"/>
  <c r="G3286" i="2"/>
  <c r="F3286" i="2"/>
  <c r="A3286" i="2"/>
  <c r="K3285" i="2"/>
  <c r="A3285" i="2"/>
  <c r="I3284" i="2"/>
  <c r="A3284" i="2"/>
  <c r="G3283" i="2"/>
  <c r="A3283" i="2"/>
  <c r="E3282" i="2"/>
  <c r="A3282" i="2"/>
  <c r="L3281" i="2"/>
  <c r="A3281" i="2"/>
  <c r="J3280" i="2"/>
  <c r="A3280" i="2"/>
  <c r="H3279" i="2"/>
  <c r="A3279" i="2"/>
  <c r="F3278" i="2"/>
  <c r="E3278" i="2"/>
  <c r="A3278" i="2"/>
  <c r="D3277" i="2"/>
  <c r="L3277" i="2"/>
  <c r="A3277" i="2"/>
  <c r="K3276" i="2"/>
  <c r="J3276" i="2"/>
  <c r="A3276" i="2"/>
  <c r="I3275" i="2"/>
  <c r="H3275" i="2"/>
  <c r="A3275" i="2"/>
  <c r="G3274" i="2"/>
  <c r="F3274" i="2"/>
  <c r="A3274" i="2"/>
  <c r="E3273" i="2"/>
  <c r="D3273" i="2"/>
  <c r="A3273" i="2"/>
  <c r="L3272" i="2"/>
  <c r="K3272" i="2"/>
  <c r="A3272" i="2"/>
  <c r="J3271" i="2"/>
  <c r="I3271" i="2"/>
  <c r="A3271" i="2"/>
  <c r="H3270" i="2"/>
  <c r="G3270" i="2"/>
  <c r="F3270" i="2"/>
  <c r="E3270" i="2"/>
  <c r="D3270" i="2"/>
  <c r="L3270" i="2"/>
  <c r="K3270" i="2"/>
  <c r="J3270" i="2"/>
  <c r="I3270" i="2"/>
  <c r="A3270" i="2"/>
  <c r="E3269" i="2"/>
  <c r="A3269" i="2"/>
  <c r="L3268" i="2"/>
  <c r="A3268" i="2"/>
  <c r="J3267" i="2"/>
  <c r="A3267" i="2"/>
  <c r="H3266" i="2"/>
  <c r="A3266" i="2"/>
  <c r="F3265" i="2"/>
  <c r="A3265" i="2"/>
  <c r="D3264" i="2"/>
  <c r="A3264" i="2"/>
  <c r="K3263" i="2"/>
  <c r="A3263" i="2"/>
  <c r="I3262" i="2"/>
  <c r="H3262" i="2"/>
  <c r="A3262" i="2"/>
  <c r="G3261" i="2"/>
  <c r="F3261" i="2"/>
  <c r="A3261" i="2"/>
  <c r="E3260" i="2"/>
  <c r="D3260" i="2"/>
  <c r="A3260" i="2"/>
  <c r="L3259" i="2"/>
  <c r="K3259" i="2"/>
  <c r="A3259" i="2"/>
  <c r="J3258" i="2"/>
  <c r="I3258" i="2"/>
  <c r="A3258" i="2"/>
  <c r="H3257" i="2"/>
  <c r="G3257" i="2"/>
  <c r="A3257" i="2"/>
  <c r="F3256" i="2"/>
  <c r="E3256" i="2"/>
  <c r="A3256" i="2"/>
  <c r="D3255" i="2"/>
  <c r="L3255" i="2"/>
  <c r="A3255" i="2"/>
  <c r="K3254" i="2"/>
  <c r="J3254" i="2"/>
  <c r="I3254" i="2"/>
  <c r="H3254" i="2"/>
  <c r="G3254" i="2"/>
  <c r="F3254" i="2"/>
  <c r="E3254" i="2"/>
  <c r="D3254" i="2"/>
  <c r="L3254" i="2"/>
  <c r="A3254" i="2"/>
  <c r="H3253" i="2"/>
  <c r="A3253" i="2"/>
  <c r="F3252" i="2"/>
  <c r="A3252" i="2"/>
  <c r="D3251" i="2"/>
  <c r="L3251" i="2"/>
  <c r="K3251" i="2"/>
  <c r="A3251" i="2"/>
  <c r="I3250" i="2"/>
  <c r="A3250" i="2"/>
  <c r="G3249" i="2"/>
  <c r="A3249" i="2"/>
  <c r="E3248" i="2"/>
  <c r="D3248" i="2"/>
  <c r="A3248" i="2"/>
  <c r="L3247" i="2"/>
  <c r="K3247" i="2"/>
  <c r="A3247" i="2"/>
  <c r="J3246" i="2"/>
  <c r="I3246" i="2"/>
  <c r="A3246" i="2"/>
  <c r="H3245" i="2"/>
  <c r="G3245" i="2"/>
  <c r="A3245" i="2"/>
  <c r="F3244" i="2"/>
  <c r="E3244" i="2"/>
  <c r="A3244" i="2"/>
  <c r="D3243" i="2"/>
  <c r="L3243" i="2"/>
  <c r="A3243" i="2"/>
  <c r="K3242" i="2"/>
  <c r="J3242" i="2"/>
  <c r="A3242" i="2"/>
  <c r="I3241" i="2"/>
  <c r="H3241" i="2"/>
  <c r="A3241" i="2"/>
  <c r="G3240" i="2"/>
  <c r="F3240" i="2"/>
  <c r="E3240" i="2"/>
  <c r="D3240" i="2"/>
  <c r="L3240" i="2"/>
  <c r="K3240" i="2"/>
  <c r="J3240" i="2"/>
  <c r="I3240" i="2"/>
  <c r="H3240" i="2"/>
  <c r="A3240" i="2"/>
  <c r="F3239" i="2"/>
  <c r="A3239" i="2"/>
  <c r="D3238" i="2"/>
  <c r="A3238" i="2"/>
  <c r="K3237" i="2"/>
  <c r="A3237" i="2"/>
  <c r="I3236" i="2"/>
  <c r="A3236" i="2"/>
  <c r="G3235" i="2"/>
  <c r="A3235" i="2"/>
  <c r="E3234" i="2"/>
  <c r="A3234" i="2"/>
  <c r="L3233" i="2"/>
  <c r="A3233" i="2"/>
  <c r="J3232" i="2"/>
  <c r="A3232" i="2"/>
  <c r="H3231" i="2"/>
  <c r="G3231" i="2"/>
  <c r="A3231" i="2"/>
  <c r="F3230" i="2"/>
  <c r="E3230" i="2"/>
  <c r="A3230" i="2"/>
  <c r="D3229" i="2"/>
  <c r="L3229" i="2"/>
  <c r="A3229" i="2"/>
  <c r="K3228" i="2"/>
  <c r="J3228" i="2"/>
  <c r="A3228" i="2"/>
  <c r="I3227" i="2"/>
  <c r="H3227" i="2"/>
  <c r="A3227" i="2"/>
  <c r="G3226" i="2"/>
  <c r="F3226" i="2"/>
  <c r="A3226" i="2"/>
  <c r="E3225" i="2"/>
  <c r="D3225" i="2"/>
  <c r="L3225" i="2"/>
  <c r="K3225" i="2"/>
  <c r="J3225" i="2"/>
  <c r="I3225" i="2"/>
  <c r="H3225" i="2"/>
  <c r="G3225" i="2"/>
  <c r="F3225" i="2"/>
  <c r="A3225" i="2"/>
  <c r="D3224" i="2"/>
  <c r="A3224" i="2"/>
  <c r="K3223" i="2"/>
  <c r="A3223" i="2"/>
  <c r="I3222" i="2"/>
  <c r="A3222" i="2"/>
  <c r="G3221" i="2"/>
  <c r="A3221" i="2"/>
  <c r="E3220" i="2"/>
  <c r="A3220" i="2"/>
  <c r="L3219" i="2"/>
  <c r="A3219" i="2"/>
  <c r="J3218" i="2"/>
  <c r="A3218" i="2"/>
  <c r="H3217" i="2"/>
  <c r="G3217" i="2"/>
  <c r="A3217" i="2"/>
  <c r="F3216" i="2"/>
  <c r="E3216" i="2"/>
  <c r="A3216" i="2"/>
  <c r="D3215" i="2"/>
  <c r="L3215" i="2"/>
  <c r="A3215" i="2"/>
  <c r="K3214" i="2"/>
  <c r="J3214" i="2"/>
  <c r="A3214" i="2"/>
  <c r="I3213" i="2"/>
  <c r="H3213" i="2"/>
  <c r="A3213" i="2"/>
  <c r="G3212" i="2"/>
  <c r="F3212" i="2"/>
  <c r="A3212" i="2"/>
  <c r="E3211" i="2"/>
  <c r="D3211" i="2"/>
  <c r="A3211" i="2"/>
  <c r="L3210" i="2"/>
  <c r="K3210" i="2"/>
  <c r="A3210" i="2"/>
  <c r="J3209" i="2"/>
  <c r="I3209" i="2"/>
  <c r="H3209" i="2"/>
  <c r="G3209" i="2"/>
  <c r="F3209" i="2"/>
  <c r="E3209" i="2"/>
  <c r="D3209" i="2"/>
  <c r="L3209" i="2"/>
  <c r="K3209" i="2"/>
  <c r="A3209" i="2"/>
  <c r="I3208" i="2"/>
  <c r="A3208" i="2"/>
  <c r="G3207" i="2"/>
  <c r="A3207" i="2"/>
  <c r="E3206" i="2"/>
  <c r="A3206" i="2"/>
  <c r="L3205" i="2"/>
  <c r="A3205" i="2"/>
  <c r="J3204" i="2"/>
  <c r="A3204" i="2"/>
  <c r="H3203" i="2"/>
  <c r="A3203" i="2"/>
  <c r="F3202" i="2"/>
  <c r="A3202" i="2"/>
  <c r="D3201" i="2"/>
  <c r="L3201" i="2"/>
  <c r="A3201" i="2"/>
  <c r="K3200" i="2"/>
  <c r="J3200" i="2"/>
  <c r="A3200" i="2"/>
  <c r="I3199" i="2"/>
  <c r="H3199" i="2"/>
  <c r="A3199" i="2"/>
  <c r="G3198" i="2"/>
  <c r="F3198" i="2"/>
  <c r="A3198" i="2"/>
  <c r="E3197" i="2"/>
  <c r="D3197" i="2"/>
  <c r="A3197" i="2"/>
  <c r="L3196" i="2"/>
  <c r="K3196" i="2"/>
  <c r="A3196" i="2"/>
  <c r="J3195" i="2"/>
  <c r="I3195" i="2"/>
  <c r="H3195" i="2"/>
  <c r="G3195" i="2"/>
  <c r="F3195" i="2"/>
  <c r="E3195" i="2"/>
  <c r="D3195" i="2"/>
  <c r="L3195" i="2"/>
  <c r="K3195" i="2"/>
  <c r="A3195" i="2"/>
  <c r="I3194" i="2"/>
  <c r="A3194" i="2"/>
  <c r="G3193" i="2"/>
  <c r="A3193" i="2"/>
  <c r="E3192" i="2"/>
  <c r="A3192" i="2"/>
  <c r="L3191" i="2"/>
  <c r="A3191" i="2"/>
  <c r="J3190" i="2"/>
  <c r="A3190" i="2"/>
  <c r="H3189" i="2"/>
  <c r="A3189" i="2"/>
  <c r="F3188" i="2"/>
  <c r="A3188" i="2"/>
  <c r="D3187" i="2"/>
  <c r="L3187" i="2"/>
  <c r="A3187" i="2"/>
  <c r="K3186" i="2"/>
  <c r="J3186" i="2"/>
  <c r="A3186" i="2"/>
  <c r="I3185" i="2"/>
  <c r="H3185" i="2"/>
  <c r="A3185" i="2"/>
  <c r="G3184" i="2"/>
  <c r="F3184" i="2"/>
  <c r="A3184" i="2"/>
  <c r="E3183" i="2"/>
  <c r="D3183" i="2"/>
  <c r="A3183" i="2"/>
  <c r="L3182" i="2"/>
  <c r="K3182" i="2"/>
  <c r="A3182" i="2"/>
  <c r="J3181" i="2"/>
  <c r="I3181" i="2"/>
  <c r="H3181" i="2"/>
  <c r="G3181" i="2"/>
  <c r="F3181" i="2"/>
  <c r="E3181" i="2"/>
  <c r="D3181" i="2"/>
  <c r="L3181" i="2"/>
  <c r="K3181" i="2"/>
  <c r="A3181" i="2"/>
  <c r="I3180" i="2"/>
  <c r="A3180" i="2"/>
  <c r="G3179" i="2"/>
  <c r="A3179" i="2"/>
  <c r="E3178" i="2"/>
  <c r="A3178" i="2"/>
  <c r="L3177" i="2"/>
  <c r="A3177" i="2"/>
  <c r="J3176" i="2"/>
  <c r="A3176" i="2"/>
  <c r="H3175" i="2"/>
  <c r="A3175" i="2"/>
  <c r="F3174" i="2"/>
  <c r="E3174" i="2"/>
  <c r="A3174" i="2"/>
  <c r="D3173" i="2"/>
  <c r="L3173" i="2"/>
  <c r="A3173" i="2"/>
  <c r="K3172" i="2"/>
  <c r="J3172" i="2"/>
  <c r="A3172" i="2"/>
  <c r="I3171" i="2"/>
  <c r="H3171" i="2"/>
  <c r="A3171" i="2"/>
  <c r="G3170" i="2"/>
  <c r="F3170" i="2"/>
  <c r="A3170" i="2"/>
  <c r="E3169" i="2"/>
  <c r="D3169" i="2"/>
  <c r="A3169" i="2"/>
  <c r="L3168" i="2"/>
  <c r="K3168" i="2"/>
  <c r="A3168" i="2"/>
  <c r="J3167" i="2"/>
  <c r="I3167" i="2"/>
  <c r="A3167" i="2"/>
  <c r="H3166" i="2"/>
  <c r="G3166" i="2"/>
  <c r="F3166" i="2"/>
  <c r="E3166" i="2"/>
  <c r="D3166" i="2"/>
  <c r="L3166" i="2"/>
  <c r="K3166" i="2"/>
  <c r="J3166" i="2"/>
  <c r="I3166" i="2"/>
  <c r="A3166" i="2"/>
  <c r="I3165" i="2"/>
  <c r="A3165" i="2"/>
  <c r="G3164" i="2"/>
  <c r="A3164" i="2"/>
  <c r="E3163" i="2"/>
  <c r="A3163" i="2"/>
  <c r="L3162" i="2"/>
  <c r="A3162" i="2"/>
  <c r="J3161" i="2"/>
  <c r="A3161" i="2"/>
  <c r="H3160" i="2"/>
  <c r="A3160" i="2"/>
  <c r="F3159" i="2"/>
  <c r="A3159" i="2"/>
  <c r="D3158" i="2"/>
  <c r="L3158" i="2"/>
  <c r="A3158" i="2"/>
  <c r="K3157" i="2"/>
  <c r="J3157" i="2"/>
  <c r="A3157" i="2"/>
  <c r="I3156" i="2"/>
  <c r="H3156" i="2"/>
  <c r="A3156" i="2"/>
  <c r="G3155" i="2"/>
  <c r="F3155" i="2"/>
  <c r="A3155" i="2"/>
  <c r="E3154" i="2"/>
  <c r="D3154" i="2"/>
  <c r="A3154" i="2"/>
  <c r="L3153" i="2"/>
  <c r="K3153" i="2"/>
  <c r="A3153" i="2"/>
  <c r="J3152" i="2"/>
  <c r="I3152" i="2"/>
  <c r="H3152" i="2"/>
  <c r="G3152" i="2"/>
  <c r="F3152" i="2"/>
  <c r="E3152" i="2"/>
  <c r="D3152" i="2"/>
  <c r="L3152" i="2"/>
  <c r="K3152" i="2"/>
  <c r="A3152" i="2"/>
  <c r="K3151" i="2"/>
  <c r="A3151" i="2"/>
  <c r="I3150" i="2"/>
  <c r="A3150" i="2"/>
  <c r="G3149" i="2"/>
  <c r="A3149" i="2"/>
  <c r="E3148" i="2"/>
  <c r="A3148" i="2"/>
  <c r="L3147" i="2"/>
  <c r="A3147" i="2"/>
  <c r="J3146" i="2"/>
  <c r="A3146" i="2"/>
  <c r="H3145" i="2"/>
  <c r="G3145" i="2"/>
  <c r="A3145" i="2"/>
  <c r="F3144" i="2"/>
  <c r="E3144" i="2"/>
  <c r="A3144" i="2"/>
  <c r="D3143" i="2"/>
  <c r="L3143" i="2"/>
  <c r="A3143" i="2"/>
  <c r="K3142" i="2"/>
  <c r="J3142" i="2"/>
  <c r="A3142" i="2"/>
  <c r="I3141" i="2"/>
  <c r="H3141" i="2"/>
  <c r="A3141" i="2"/>
  <c r="G3140" i="2"/>
  <c r="F3140" i="2"/>
  <c r="A3140" i="2"/>
  <c r="E3139" i="2"/>
  <c r="D3139" i="2"/>
  <c r="A3139" i="2"/>
  <c r="L3138" i="2"/>
  <c r="K3138" i="2"/>
  <c r="J3138" i="2"/>
  <c r="I3138" i="2"/>
  <c r="H3138" i="2"/>
  <c r="G3138" i="2"/>
  <c r="F3138" i="2"/>
  <c r="E3138" i="2"/>
  <c r="D3138" i="2"/>
  <c r="A3138" i="2"/>
  <c r="E3137" i="2"/>
  <c r="A3137" i="2"/>
  <c r="L3136" i="2"/>
  <c r="A3136" i="2"/>
  <c r="J3135" i="2"/>
  <c r="A3135" i="2"/>
  <c r="H3134" i="2"/>
  <c r="A3134" i="2"/>
  <c r="F3133" i="2"/>
  <c r="E3133" i="2"/>
  <c r="D3133" i="2"/>
  <c r="A3133" i="2"/>
  <c r="K3132" i="2"/>
  <c r="J3132" i="2"/>
  <c r="A3132" i="2"/>
  <c r="I3131" i="2"/>
  <c r="H3131" i="2"/>
  <c r="A3131" i="2"/>
  <c r="G3130" i="2"/>
  <c r="F3130" i="2"/>
  <c r="A3130" i="2"/>
  <c r="E3129" i="2"/>
  <c r="D3129" i="2"/>
  <c r="A3129" i="2"/>
  <c r="L3128" i="2"/>
  <c r="K3128" i="2"/>
  <c r="A3128" i="2"/>
  <c r="J3127" i="2"/>
  <c r="I3127" i="2"/>
  <c r="A3127" i="2"/>
  <c r="H3126" i="2"/>
  <c r="G3126" i="2"/>
  <c r="F3126" i="2"/>
  <c r="E3126" i="2"/>
  <c r="D3126" i="2"/>
  <c r="L3126" i="2"/>
  <c r="K3126" i="2"/>
  <c r="J3126" i="2"/>
  <c r="I3126" i="2"/>
  <c r="A3126" i="2"/>
  <c r="I3125" i="2"/>
  <c r="A3125" i="2"/>
  <c r="G3124" i="2"/>
  <c r="A3124" i="2"/>
  <c r="E3123" i="2"/>
  <c r="A3123" i="2"/>
  <c r="L3122" i="2"/>
  <c r="A3122" i="2"/>
  <c r="J3121" i="2"/>
  <c r="A3121" i="2"/>
  <c r="H3120" i="2"/>
  <c r="G3120" i="2"/>
  <c r="A3120" i="2"/>
  <c r="F3119" i="2"/>
  <c r="E3119" i="2"/>
  <c r="A3119" i="2"/>
  <c r="D3118" i="2"/>
  <c r="L3118" i="2"/>
  <c r="A3118" i="2"/>
  <c r="K3117" i="2"/>
  <c r="J3117" i="2"/>
  <c r="A3117" i="2"/>
  <c r="I3116" i="2"/>
  <c r="H3116" i="2"/>
  <c r="A3116" i="2"/>
  <c r="G3115" i="2"/>
  <c r="F3115" i="2"/>
  <c r="A3115" i="2"/>
  <c r="E3114" i="2"/>
  <c r="D3114" i="2"/>
  <c r="A3114" i="2"/>
  <c r="L3113" i="2"/>
  <c r="K3113" i="2"/>
  <c r="J3113" i="2"/>
  <c r="I3113" i="2"/>
  <c r="H3113" i="2"/>
  <c r="G3113" i="2"/>
  <c r="F3113" i="2"/>
  <c r="E3113" i="2"/>
  <c r="D3113" i="2"/>
  <c r="A3113" i="2"/>
  <c r="D3112" i="2"/>
  <c r="A3112" i="2"/>
  <c r="K3111" i="2"/>
  <c r="A3111" i="2"/>
  <c r="I3110" i="2"/>
  <c r="A3110" i="2"/>
  <c r="G3109" i="2"/>
  <c r="A3109" i="2"/>
  <c r="E3108" i="2"/>
  <c r="A3108" i="2"/>
  <c r="L3107" i="2"/>
  <c r="A3107" i="2"/>
  <c r="J3106" i="2"/>
  <c r="I3106" i="2"/>
  <c r="A3106" i="2"/>
  <c r="H3105" i="2"/>
  <c r="G3105" i="2"/>
  <c r="A3105" i="2"/>
  <c r="F3104" i="2"/>
  <c r="E3104" i="2"/>
  <c r="A3104" i="2"/>
  <c r="D3103" i="2"/>
  <c r="L3103" i="2"/>
  <c r="A3103" i="2"/>
  <c r="K3102" i="2"/>
  <c r="J3102" i="2"/>
  <c r="A3102" i="2"/>
  <c r="I3101" i="2"/>
  <c r="H3101" i="2"/>
  <c r="A3101" i="2"/>
  <c r="G3100" i="2"/>
  <c r="F3100" i="2"/>
  <c r="E3100" i="2"/>
  <c r="D3100" i="2"/>
  <c r="L3100" i="2"/>
  <c r="K3100" i="2"/>
  <c r="J3100" i="2"/>
  <c r="I3100" i="2"/>
  <c r="H3100" i="2"/>
  <c r="A3100" i="2"/>
  <c r="H3099" i="2"/>
  <c r="A3099" i="2"/>
  <c r="F3098" i="2"/>
  <c r="A3098" i="2"/>
  <c r="D3097" i="2"/>
  <c r="A3097" i="2"/>
  <c r="K3096" i="2"/>
  <c r="A3096" i="2"/>
  <c r="I3095" i="2"/>
  <c r="A3095" i="2"/>
  <c r="G3094" i="2"/>
  <c r="A3094" i="2"/>
  <c r="E3093" i="2"/>
  <c r="D3093" i="2"/>
  <c r="A3093" i="2"/>
  <c r="L3092" i="2"/>
  <c r="K3092" i="2"/>
  <c r="A3092" i="2"/>
  <c r="J3091" i="2"/>
  <c r="I3091" i="2"/>
  <c r="A3091" i="2"/>
  <c r="H3090" i="2"/>
  <c r="G3090" i="2"/>
  <c r="A3090" i="2"/>
  <c r="F3089" i="2"/>
  <c r="E3089" i="2"/>
  <c r="A3089" i="2"/>
  <c r="D3088" i="2"/>
  <c r="L3088" i="2"/>
  <c r="A3088" i="2"/>
  <c r="K3087" i="2"/>
  <c r="J3087" i="2"/>
  <c r="I3087" i="2"/>
  <c r="H3087" i="2"/>
  <c r="G3087" i="2"/>
  <c r="F3087" i="2"/>
  <c r="E3087" i="2"/>
  <c r="D3087" i="2"/>
  <c r="L3087" i="2"/>
  <c r="A3087" i="2"/>
  <c r="L3086" i="2"/>
  <c r="A3086" i="2"/>
  <c r="J3085" i="2"/>
  <c r="A3085" i="2"/>
  <c r="H3084" i="2"/>
  <c r="A3084" i="2"/>
  <c r="F3083" i="2"/>
  <c r="A3083" i="2"/>
  <c r="D3082" i="2"/>
  <c r="A3082" i="2"/>
  <c r="K3081" i="2"/>
  <c r="A3081" i="2"/>
  <c r="I3080" i="2"/>
  <c r="H3080" i="2"/>
  <c r="A3080" i="2"/>
  <c r="G3079" i="2"/>
  <c r="F3079" i="2"/>
  <c r="A3079" i="2"/>
  <c r="E3078" i="2"/>
  <c r="D3078" i="2"/>
  <c r="A3078" i="2"/>
  <c r="L3077" i="2"/>
  <c r="K3077" i="2"/>
  <c r="A3077" i="2"/>
  <c r="J3076" i="2"/>
  <c r="I3076" i="2"/>
  <c r="A3076" i="2"/>
  <c r="H3075" i="2"/>
  <c r="G3075" i="2"/>
  <c r="A3075" i="2"/>
  <c r="F3074" i="2"/>
  <c r="E3074" i="2"/>
  <c r="D3074" i="2"/>
  <c r="L3074" i="2"/>
  <c r="K3074" i="2"/>
  <c r="J3074" i="2"/>
  <c r="I3074" i="2"/>
  <c r="H3074" i="2"/>
  <c r="G3074" i="2"/>
  <c r="A3074" i="2"/>
  <c r="I3073" i="2"/>
  <c r="A3073" i="2"/>
  <c r="G3072" i="2"/>
  <c r="A3072" i="2"/>
  <c r="E3071" i="2"/>
  <c r="A3071" i="2"/>
  <c r="L3070" i="2"/>
  <c r="A3070" i="2"/>
  <c r="J3069" i="2"/>
  <c r="A3069" i="2"/>
  <c r="H3068" i="2"/>
  <c r="A3068" i="2"/>
  <c r="F3067" i="2"/>
  <c r="E3067" i="2"/>
  <c r="A3067" i="2"/>
  <c r="D3066" i="2"/>
  <c r="L3066" i="2"/>
  <c r="A3066" i="2"/>
  <c r="K3065" i="2"/>
  <c r="J3065" i="2"/>
  <c r="A3065" i="2"/>
  <c r="I3064" i="2"/>
  <c r="H3064" i="2"/>
  <c r="A3064" i="2"/>
  <c r="G3063" i="2"/>
  <c r="F3063" i="2"/>
  <c r="A3063" i="2"/>
  <c r="E3062" i="2"/>
  <c r="D3062" i="2"/>
  <c r="L3062" i="2"/>
  <c r="K3062" i="2"/>
  <c r="J3062" i="2"/>
  <c r="I3062" i="2"/>
  <c r="H3062" i="2"/>
  <c r="G3062" i="2"/>
  <c r="F3062" i="2"/>
  <c r="A3062" i="2"/>
  <c r="F3061" i="2"/>
  <c r="A3061" i="2"/>
  <c r="D3060" i="2"/>
  <c r="A3060" i="2"/>
  <c r="K3059" i="2"/>
  <c r="A3059" i="2"/>
  <c r="I3058" i="2"/>
  <c r="A3058" i="2"/>
  <c r="G3057" i="2"/>
  <c r="A3057" i="2"/>
  <c r="E3056" i="2"/>
  <c r="D3056" i="2"/>
  <c r="A3056" i="2"/>
  <c r="L3055" i="2"/>
  <c r="K3055" i="2"/>
  <c r="A3055" i="2"/>
  <c r="J3054" i="2"/>
  <c r="I3054" i="2"/>
  <c r="A3054" i="2"/>
  <c r="H3053" i="2"/>
  <c r="G3053" i="2"/>
  <c r="A3053" i="2"/>
  <c r="F3052" i="2"/>
  <c r="E3052" i="2"/>
  <c r="A3052" i="2"/>
  <c r="D3051" i="2"/>
  <c r="L3051" i="2"/>
  <c r="A3051" i="2"/>
  <c r="K3050" i="2"/>
  <c r="J3050" i="2"/>
  <c r="I3050" i="2"/>
  <c r="H3050" i="2"/>
  <c r="G3050" i="2"/>
  <c r="F3050" i="2"/>
  <c r="E3050" i="2"/>
  <c r="D3050" i="2"/>
  <c r="L3050" i="2"/>
  <c r="A3050" i="2"/>
  <c r="L3049" i="2"/>
  <c r="A3049" i="2"/>
  <c r="J3048" i="2"/>
  <c r="A3048" i="2"/>
  <c r="H3047" i="2"/>
  <c r="A3047" i="2"/>
  <c r="F3046" i="2"/>
  <c r="A3046" i="2"/>
  <c r="D3045" i="2"/>
  <c r="A3045" i="2"/>
  <c r="K3044" i="2"/>
  <c r="J3044" i="2"/>
  <c r="A3044" i="2"/>
  <c r="I3043" i="2"/>
  <c r="H3043" i="2"/>
  <c r="A3043" i="2"/>
  <c r="G3042" i="2"/>
  <c r="F3042" i="2"/>
  <c r="A3042" i="2"/>
  <c r="E3041" i="2"/>
  <c r="D3041" i="2"/>
  <c r="A3041" i="2"/>
  <c r="L3040" i="2"/>
  <c r="K3040" i="2"/>
  <c r="A3040" i="2"/>
  <c r="J3039" i="2"/>
  <c r="I3039" i="2"/>
  <c r="A3039" i="2"/>
  <c r="H3038" i="2"/>
  <c r="G3038" i="2"/>
  <c r="F3038" i="2"/>
  <c r="E3038" i="2"/>
  <c r="D3038" i="2"/>
  <c r="L3038" i="2"/>
  <c r="K3038" i="2"/>
  <c r="J3038" i="2"/>
  <c r="I3038" i="2"/>
  <c r="A3038" i="2"/>
  <c r="J3037" i="2"/>
  <c r="A3037" i="2"/>
  <c r="H3036" i="2"/>
  <c r="A3036" i="2"/>
  <c r="F3035" i="2"/>
  <c r="A3035" i="2"/>
  <c r="D3034" i="2"/>
  <c r="A3034" i="2"/>
  <c r="K3033" i="2"/>
  <c r="A3033" i="2"/>
  <c r="I3032" i="2"/>
  <c r="A3032" i="2"/>
  <c r="G3031" i="2"/>
  <c r="F3031" i="2"/>
  <c r="A3031" i="2"/>
  <c r="E3030" i="2"/>
  <c r="D3030" i="2"/>
  <c r="A3030" i="2"/>
  <c r="L3029" i="2"/>
  <c r="K3029" i="2"/>
  <c r="A3029" i="2"/>
  <c r="J3028" i="2"/>
  <c r="I3028" i="2"/>
  <c r="A3028" i="2"/>
  <c r="H3027" i="2"/>
  <c r="G3027" i="2"/>
  <c r="A3027" i="2"/>
  <c r="F3026" i="2"/>
  <c r="E3026" i="2"/>
  <c r="D3026" i="2"/>
  <c r="L3026" i="2"/>
  <c r="K3026" i="2"/>
  <c r="J3026" i="2"/>
  <c r="I3026" i="2"/>
  <c r="H3026" i="2"/>
  <c r="G3026" i="2"/>
  <c r="A3026" i="2"/>
  <c r="H3025" i="2"/>
  <c r="A3025" i="2"/>
  <c r="F3024" i="2"/>
  <c r="A3024" i="2"/>
  <c r="D3023" i="2"/>
  <c r="A3023" i="2"/>
  <c r="K3022" i="2"/>
  <c r="A3022" i="2"/>
  <c r="I3021" i="2"/>
  <c r="A3021" i="2"/>
  <c r="G3020" i="2"/>
  <c r="A3020" i="2"/>
  <c r="E3019" i="2"/>
  <c r="D3019" i="2"/>
  <c r="A3019" i="2"/>
  <c r="L3018" i="2"/>
  <c r="K3018" i="2"/>
  <c r="A3018" i="2"/>
  <c r="J3017" i="2"/>
  <c r="I3017" i="2"/>
  <c r="A3017" i="2"/>
  <c r="H3016" i="2"/>
  <c r="G3016" i="2"/>
  <c r="F3016" i="2"/>
  <c r="E3016" i="2"/>
  <c r="A3016" i="2"/>
  <c r="D3015" i="2"/>
  <c r="L3015" i="2"/>
  <c r="K3015" i="2"/>
  <c r="J3015" i="2"/>
  <c r="I3015" i="2"/>
  <c r="H3015" i="2"/>
  <c r="G3015" i="2"/>
  <c r="F3015" i="2"/>
  <c r="E3015" i="2"/>
  <c r="A3015" i="2"/>
  <c r="G3014" i="2"/>
  <c r="A3014" i="2"/>
  <c r="E3013" i="2"/>
  <c r="A3013" i="2"/>
  <c r="L3012" i="2"/>
  <c r="A3012" i="2"/>
  <c r="J3011" i="2"/>
  <c r="A3011" i="2"/>
  <c r="H3010" i="2"/>
  <c r="A3010" i="2"/>
  <c r="F3009" i="2"/>
  <c r="A3009" i="2"/>
  <c r="D3008" i="2"/>
  <c r="L3008" i="2"/>
  <c r="A3008" i="2"/>
  <c r="K3007" i="2"/>
  <c r="J3007" i="2"/>
  <c r="A3007" i="2"/>
  <c r="I3006" i="2"/>
  <c r="H3006" i="2"/>
  <c r="A3006" i="2"/>
  <c r="G3005" i="2"/>
  <c r="F3005" i="2"/>
  <c r="A3005" i="2"/>
  <c r="E3004" i="2"/>
  <c r="D3004" i="2"/>
  <c r="A3004" i="2"/>
  <c r="L3003" i="2"/>
  <c r="K3003" i="2"/>
  <c r="J3003" i="2"/>
  <c r="I3003" i="2"/>
  <c r="H3003" i="2"/>
  <c r="G3003" i="2"/>
  <c r="F3003" i="2"/>
  <c r="E3003" i="2"/>
  <c r="D3003" i="2"/>
  <c r="A3003" i="2"/>
  <c r="D3002" i="2"/>
  <c r="A3002" i="2"/>
  <c r="K3001" i="2"/>
  <c r="A3001" i="2"/>
  <c r="I3000" i="2"/>
  <c r="A3000" i="2"/>
  <c r="G2999" i="2"/>
  <c r="A2999" i="2"/>
  <c r="E2998" i="2"/>
  <c r="A2998" i="2"/>
  <c r="L2997" i="2"/>
  <c r="K2997" i="2"/>
  <c r="A2997" i="2"/>
  <c r="J2996" i="2"/>
  <c r="I2996" i="2"/>
  <c r="A2996" i="2"/>
  <c r="H2995" i="2"/>
  <c r="G2995" i="2"/>
  <c r="A2995" i="2"/>
  <c r="F2994" i="2"/>
  <c r="E2994" i="2"/>
  <c r="A2994" i="2"/>
  <c r="D2993" i="2"/>
  <c r="L2993" i="2"/>
  <c r="A2993" i="2"/>
  <c r="K2992" i="2"/>
  <c r="J2992" i="2"/>
  <c r="A2992" i="2"/>
  <c r="I2991" i="2"/>
  <c r="H2991" i="2"/>
  <c r="G2991" i="2"/>
  <c r="F2991" i="2"/>
  <c r="E2991" i="2"/>
  <c r="D2991" i="2"/>
  <c r="L2991" i="2"/>
  <c r="K2991" i="2"/>
  <c r="J2991" i="2"/>
  <c r="A2991" i="2"/>
  <c r="L2990" i="2"/>
  <c r="A2990" i="2"/>
  <c r="J2989" i="2"/>
  <c r="A2989" i="2"/>
  <c r="H2988" i="2"/>
  <c r="A2988" i="2"/>
  <c r="F2987" i="2"/>
  <c r="A2987" i="2"/>
  <c r="D2986" i="2"/>
  <c r="A2986" i="2"/>
  <c r="K2985" i="2"/>
  <c r="A2985" i="2"/>
  <c r="I2984" i="2"/>
  <c r="H2984" i="2"/>
  <c r="A2984" i="2"/>
  <c r="G2983" i="2"/>
  <c r="F2983" i="2"/>
  <c r="A2983" i="2"/>
  <c r="E2982" i="2"/>
  <c r="D2982" i="2"/>
  <c r="A2982" i="2"/>
  <c r="L2981" i="2"/>
  <c r="K2981" i="2"/>
  <c r="A2981" i="2"/>
  <c r="J2980" i="2"/>
  <c r="I2980" i="2"/>
  <c r="A2980" i="2"/>
  <c r="H2979" i="2"/>
  <c r="G2979" i="2"/>
  <c r="A2979" i="2"/>
  <c r="F2978" i="2"/>
  <c r="E2978" i="2"/>
  <c r="D2978" i="2"/>
  <c r="L2978" i="2"/>
  <c r="K2978" i="2"/>
  <c r="J2978" i="2"/>
  <c r="I2978" i="2"/>
  <c r="H2978" i="2"/>
  <c r="G2978" i="2"/>
  <c r="A2978" i="2"/>
  <c r="I2977" i="2"/>
  <c r="A2977" i="2"/>
  <c r="G2976" i="2"/>
  <c r="A2976" i="2"/>
  <c r="E2975" i="2"/>
  <c r="A2975" i="2"/>
  <c r="L2974" i="2"/>
  <c r="A2974" i="2"/>
  <c r="J2973" i="2"/>
  <c r="A2973" i="2"/>
  <c r="H2972" i="2"/>
  <c r="A2972" i="2"/>
  <c r="F2971" i="2"/>
  <c r="E2971" i="2"/>
  <c r="A2971" i="2"/>
  <c r="D2970" i="2"/>
  <c r="L2970" i="2"/>
  <c r="A2970" i="2"/>
  <c r="K2969" i="2"/>
  <c r="J2969" i="2"/>
  <c r="A2969" i="2"/>
  <c r="I2968" i="2"/>
  <c r="H2968" i="2"/>
  <c r="A2968" i="2"/>
  <c r="G2967" i="2"/>
  <c r="F2967" i="2"/>
  <c r="A2967" i="2"/>
  <c r="E2966" i="2"/>
  <c r="D2966" i="2"/>
  <c r="A2966" i="2"/>
  <c r="L2965" i="2"/>
  <c r="K2965" i="2"/>
  <c r="J2965" i="2"/>
  <c r="I2965" i="2"/>
  <c r="H2965" i="2"/>
  <c r="G2965" i="2"/>
  <c r="F2965" i="2"/>
  <c r="E2965" i="2"/>
  <c r="D2965" i="2"/>
  <c r="A2965" i="2"/>
  <c r="F2964" i="2"/>
  <c r="A2964" i="2"/>
  <c r="D2963" i="2"/>
  <c r="A2963" i="2"/>
  <c r="K2962" i="2"/>
  <c r="A2962" i="2"/>
  <c r="I2961" i="2"/>
  <c r="A2961" i="2"/>
  <c r="G2960" i="2"/>
  <c r="A2960" i="2"/>
  <c r="E2959" i="2"/>
  <c r="A2959" i="2"/>
  <c r="L2958" i="2"/>
  <c r="K2958" i="2"/>
  <c r="A2958" i="2"/>
  <c r="J2957" i="2"/>
  <c r="I2957" i="2"/>
  <c r="A2957" i="2"/>
  <c r="H2956" i="2"/>
  <c r="G2956" i="2"/>
  <c r="A2956" i="2"/>
  <c r="F2955" i="2"/>
  <c r="E2955" i="2"/>
  <c r="A2955" i="2"/>
  <c r="D2954" i="2"/>
  <c r="L2954" i="2"/>
  <c r="A2954" i="2"/>
  <c r="K2953" i="2"/>
  <c r="J2953" i="2"/>
  <c r="A2953" i="2"/>
  <c r="I2952" i="2"/>
  <c r="H2952" i="2"/>
  <c r="G2952" i="2"/>
  <c r="F2952" i="2"/>
  <c r="E2952" i="2"/>
  <c r="D2952" i="2"/>
  <c r="L2952" i="2"/>
  <c r="K2952" i="2"/>
  <c r="J2952" i="2"/>
  <c r="A2952" i="2"/>
  <c r="J2951" i="2"/>
  <c r="A2951" i="2"/>
  <c r="H2950" i="2"/>
  <c r="A2950" i="2"/>
  <c r="F2949" i="2"/>
  <c r="A2949" i="2"/>
  <c r="D2948" i="2"/>
  <c r="A2948" i="2"/>
  <c r="K2947" i="2"/>
  <c r="A2947" i="2"/>
  <c r="I2946" i="2"/>
  <c r="H2946" i="2"/>
  <c r="A2946" i="2"/>
  <c r="G2945" i="2"/>
  <c r="F2945" i="2"/>
  <c r="A2945" i="2"/>
  <c r="E2944" i="2"/>
  <c r="D2944" i="2"/>
  <c r="A2944" i="2"/>
  <c r="L2943" i="2"/>
  <c r="K2943" i="2"/>
  <c r="A2943" i="2"/>
  <c r="J2942" i="2"/>
  <c r="I2942" i="2"/>
  <c r="A2942" i="2"/>
  <c r="H2941" i="2"/>
  <c r="G2941" i="2"/>
  <c r="F2941" i="2"/>
  <c r="E2941" i="2"/>
  <c r="D2941" i="2"/>
  <c r="L2941" i="2"/>
  <c r="K2941" i="2"/>
  <c r="J2941" i="2"/>
  <c r="I2941" i="2"/>
  <c r="A2941" i="2"/>
  <c r="I2940" i="2"/>
  <c r="A2940" i="2"/>
  <c r="G2939" i="2"/>
  <c r="A2939" i="2"/>
  <c r="E2938" i="2"/>
  <c r="A2938" i="2"/>
  <c r="L2937" i="2"/>
  <c r="A2937" i="2"/>
  <c r="J2936" i="2"/>
  <c r="A2936" i="2"/>
  <c r="H2935" i="2"/>
  <c r="G2935" i="2"/>
  <c r="A2935" i="2"/>
  <c r="F2934" i="2"/>
  <c r="E2934" i="2"/>
  <c r="A2934" i="2"/>
  <c r="D2933" i="2"/>
  <c r="L2933" i="2"/>
  <c r="A2933" i="2"/>
  <c r="K2932" i="2"/>
  <c r="J2932" i="2"/>
  <c r="A2932" i="2"/>
  <c r="I2931" i="2"/>
  <c r="H2931" i="2"/>
  <c r="A2931" i="2"/>
  <c r="G2930" i="2"/>
  <c r="F2930" i="2"/>
  <c r="E2930" i="2"/>
  <c r="D2930" i="2"/>
  <c r="L2930" i="2"/>
  <c r="K2930" i="2"/>
  <c r="J2930" i="2"/>
  <c r="I2930" i="2"/>
  <c r="H2930" i="2"/>
  <c r="A2930" i="2"/>
  <c r="K2929" i="2"/>
  <c r="A2929" i="2"/>
  <c r="I2928" i="2"/>
  <c r="A2928" i="2"/>
  <c r="G2927" i="2"/>
  <c r="A2927" i="2"/>
  <c r="E2926" i="2"/>
  <c r="A2926" i="2"/>
  <c r="L2925" i="2"/>
  <c r="A2925" i="2"/>
  <c r="J2924" i="2"/>
  <c r="I2924" i="2"/>
  <c r="A2924" i="2"/>
  <c r="H2923" i="2"/>
  <c r="G2923" i="2"/>
  <c r="A2923" i="2"/>
  <c r="F2922" i="2"/>
  <c r="E2922" i="2"/>
  <c r="A2922" i="2"/>
  <c r="D2921" i="2"/>
  <c r="L2921" i="2"/>
  <c r="A2921" i="2"/>
  <c r="K2920" i="2"/>
  <c r="J2920" i="2"/>
  <c r="A2920" i="2"/>
  <c r="I2919" i="2"/>
  <c r="H2919" i="2"/>
  <c r="G2919" i="2"/>
  <c r="F2919" i="2"/>
  <c r="E2919" i="2"/>
  <c r="D2919" i="2"/>
  <c r="L2919" i="2"/>
  <c r="K2919" i="2"/>
  <c r="J2919" i="2"/>
  <c r="A2919" i="2"/>
  <c r="L2918" i="2"/>
  <c r="A2918" i="2"/>
  <c r="J2917" i="2"/>
  <c r="A2917" i="2"/>
  <c r="H2916" i="2"/>
  <c r="A2916" i="2"/>
  <c r="F2915" i="2"/>
  <c r="A2915" i="2"/>
  <c r="D2914" i="2"/>
  <c r="A2914" i="2"/>
  <c r="K2913" i="2"/>
  <c r="A2913" i="2"/>
  <c r="I2912" i="2"/>
  <c r="H2912" i="2"/>
  <c r="A2912" i="2"/>
  <c r="G2911" i="2"/>
  <c r="F2911" i="2"/>
  <c r="A2911" i="2"/>
  <c r="E2910" i="2"/>
  <c r="D2910" i="2"/>
  <c r="A2910" i="2"/>
  <c r="L2909" i="2"/>
  <c r="K2909" i="2"/>
  <c r="A2909" i="2"/>
  <c r="J2908" i="2"/>
  <c r="I2908" i="2"/>
  <c r="A2908" i="2"/>
  <c r="H2907" i="2"/>
  <c r="G2907" i="2"/>
  <c r="F2907" i="2"/>
  <c r="E2907" i="2"/>
  <c r="D2907" i="2"/>
  <c r="L2907" i="2"/>
  <c r="K2907" i="2"/>
  <c r="J2907" i="2"/>
  <c r="I2907" i="2"/>
  <c r="A2907" i="2"/>
  <c r="L2906" i="2"/>
  <c r="A2906" i="2"/>
  <c r="J2905" i="2"/>
  <c r="A2905" i="2"/>
  <c r="H2904" i="2"/>
  <c r="A2904" i="2"/>
  <c r="F2903" i="2"/>
  <c r="A2903" i="2"/>
  <c r="D2902" i="2"/>
  <c r="A2902" i="2"/>
  <c r="K2901" i="2"/>
  <c r="J2901" i="2"/>
  <c r="A2901" i="2"/>
  <c r="I2900" i="2"/>
  <c r="H2900" i="2"/>
  <c r="G2900" i="2"/>
  <c r="F2900" i="2"/>
  <c r="A2900" i="2"/>
  <c r="E2899" i="2"/>
  <c r="D2899" i="2"/>
  <c r="A2899" i="2"/>
  <c r="L2898" i="2"/>
  <c r="K2898" i="2"/>
  <c r="A2898" i="2"/>
  <c r="J2897" i="2"/>
  <c r="I2897" i="2"/>
  <c r="A2897" i="2"/>
  <c r="H2896" i="2"/>
  <c r="G2896" i="2"/>
  <c r="F2896" i="2"/>
  <c r="E2896" i="2"/>
  <c r="D2896" i="2"/>
  <c r="L2896" i="2"/>
  <c r="K2896" i="2"/>
  <c r="J2896" i="2"/>
  <c r="I2896" i="2"/>
  <c r="A2896" i="2"/>
  <c r="K2895" i="2"/>
  <c r="A2895" i="2"/>
  <c r="I2894" i="2"/>
  <c r="A2894" i="2"/>
  <c r="G2893" i="2"/>
  <c r="A2893" i="2"/>
  <c r="E2892" i="2"/>
  <c r="A2892" i="2"/>
  <c r="L2891" i="2"/>
  <c r="A2891" i="2"/>
  <c r="J2890" i="2"/>
  <c r="I2890" i="2"/>
  <c r="A2890" i="2"/>
  <c r="H2889" i="2"/>
  <c r="G2889" i="2"/>
  <c r="A2889" i="2"/>
  <c r="F2888" i="2"/>
  <c r="E2888" i="2"/>
  <c r="A2888" i="2"/>
  <c r="D2887" i="2"/>
  <c r="L2887" i="2"/>
  <c r="A2887" i="2"/>
  <c r="K2886" i="2"/>
  <c r="J2886" i="2"/>
  <c r="A2886" i="2"/>
  <c r="I2885" i="2"/>
  <c r="H2885" i="2"/>
  <c r="A2885" i="2"/>
  <c r="G2884" i="2"/>
  <c r="F2884" i="2"/>
  <c r="E2884" i="2"/>
  <c r="D2884" i="2"/>
  <c r="L2884" i="2"/>
  <c r="K2884" i="2"/>
  <c r="J2884" i="2"/>
  <c r="I2884" i="2"/>
  <c r="H2884" i="2"/>
  <c r="A2884" i="2"/>
  <c r="J2883" i="2"/>
  <c r="A2883" i="2"/>
  <c r="H2882" i="2"/>
  <c r="A2882" i="2"/>
  <c r="F2881" i="2"/>
  <c r="A2881" i="2"/>
  <c r="D2880" i="2"/>
  <c r="A2880" i="2"/>
  <c r="K2879" i="2"/>
  <c r="A2879" i="2"/>
  <c r="I2878" i="2"/>
  <c r="H2878" i="2"/>
  <c r="A2878" i="2"/>
  <c r="G2877" i="2"/>
  <c r="F2877" i="2"/>
  <c r="A2877" i="2"/>
  <c r="E2876" i="2"/>
  <c r="D2876" i="2"/>
  <c r="A2876" i="2"/>
  <c r="L2875" i="2"/>
  <c r="K2875" i="2"/>
  <c r="A2875" i="2"/>
  <c r="J2874" i="2"/>
  <c r="I2874" i="2"/>
  <c r="A2874" i="2"/>
  <c r="H2873" i="2"/>
  <c r="G2873" i="2"/>
  <c r="A2873" i="2"/>
  <c r="F2872" i="2"/>
  <c r="E2872" i="2"/>
  <c r="D2872" i="2"/>
  <c r="L2872" i="2"/>
  <c r="K2872" i="2"/>
  <c r="J2872" i="2"/>
  <c r="I2872" i="2"/>
  <c r="H2872" i="2"/>
  <c r="G2872" i="2"/>
  <c r="A2872" i="2"/>
  <c r="J2871" i="2"/>
  <c r="A2871" i="2"/>
  <c r="H2870" i="2"/>
  <c r="A2870" i="2"/>
  <c r="F2869" i="2"/>
  <c r="A2869" i="2"/>
  <c r="D2868" i="2"/>
  <c r="A2868" i="2"/>
  <c r="K2867" i="2"/>
  <c r="A2867" i="2"/>
  <c r="I2866" i="2"/>
  <c r="H2866" i="2"/>
  <c r="A2866" i="2"/>
  <c r="G2865" i="2"/>
  <c r="F2865" i="2"/>
  <c r="A2865" i="2"/>
  <c r="E2864" i="2"/>
  <c r="D2864" i="2"/>
  <c r="A2864" i="2"/>
  <c r="L2863" i="2"/>
  <c r="K2863" i="2"/>
  <c r="A2863" i="2"/>
  <c r="J2862" i="2"/>
  <c r="I2862" i="2"/>
  <c r="A2862" i="2"/>
  <c r="H2861" i="2"/>
  <c r="G2861" i="2"/>
  <c r="A2861" i="2"/>
  <c r="F2860" i="2"/>
  <c r="E2860" i="2"/>
  <c r="D2860" i="2"/>
  <c r="L2860" i="2"/>
  <c r="K2860" i="2"/>
  <c r="J2860" i="2"/>
  <c r="I2860" i="2"/>
  <c r="H2860" i="2"/>
  <c r="G2860" i="2"/>
  <c r="A2860" i="2"/>
  <c r="J2859" i="2"/>
  <c r="A2859" i="2"/>
  <c r="H2858" i="2"/>
  <c r="A2858" i="2"/>
  <c r="F2857" i="2"/>
  <c r="A2857" i="2"/>
  <c r="D2856" i="2"/>
  <c r="A2856" i="2"/>
  <c r="K2855" i="2"/>
  <c r="A2855" i="2"/>
  <c r="I2854" i="2"/>
  <c r="H2854" i="2"/>
  <c r="A2854" i="2"/>
  <c r="G2853" i="2"/>
  <c r="F2853" i="2"/>
  <c r="A2853" i="2"/>
  <c r="E2852" i="2"/>
  <c r="D2852" i="2"/>
  <c r="A2852" i="2"/>
  <c r="L2851" i="2"/>
  <c r="K2851" i="2"/>
  <c r="A2851" i="2"/>
  <c r="J2850" i="2"/>
  <c r="I2850" i="2"/>
  <c r="A2850" i="2"/>
  <c r="H2849" i="2"/>
  <c r="G2849" i="2"/>
  <c r="A2849" i="2"/>
  <c r="F2848" i="2"/>
  <c r="E2848" i="2"/>
  <c r="D2848" i="2"/>
  <c r="L2848" i="2"/>
  <c r="K2848" i="2"/>
  <c r="J2848" i="2"/>
  <c r="I2848" i="2"/>
  <c r="H2848" i="2"/>
  <c r="G2848" i="2"/>
  <c r="A2848" i="2"/>
  <c r="I2847" i="2"/>
  <c r="A2847" i="2"/>
  <c r="G2846" i="2"/>
  <c r="A2846" i="2"/>
  <c r="E2845" i="2"/>
  <c r="A2845" i="2"/>
  <c r="L2844" i="2"/>
  <c r="A2844" i="2"/>
  <c r="J2843" i="2"/>
  <c r="A2843" i="2"/>
  <c r="H2842" i="2"/>
  <c r="G2842" i="2"/>
  <c r="A2842" i="2"/>
  <c r="F2841" i="2"/>
  <c r="E2841" i="2"/>
  <c r="A2841" i="2"/>
  <c r="D2840" i="2"/>
  <c r="L2840" i="2"/>
  <c r="A2840" i="2"/>
  <c r="K2839" i="2"/>
  <c r="J2839" i="2"/>
  <c r="A2839" i="2"/>
  <c r="I2838" i="2"/>
  <c r="H2838" i="2"/>
  <c r="A2838" i="2"/>
  <c r="G2837" i="2"/>
  <c r="F2837" i="2"/>
  <c r="E2837" i="2"/>
  <c r="D2837" i="2"/>
  <c r="L2837" i="2"/>
  <c r="K2837" i="2"/>
  <c r="J2837" i="2"/>
  <c r="I2837" i="2"/>
  <c r="H2837" i="2"/>
  <c r="A2837" i="2"/>
  <c r="H2836" i="2"/>
  <c r="A2836" i="2"/>
  <c r="F2835" i="2"/>
  <c r="A2835" i="2"/>
  <c r="D2834" i="2"/>
  <c r="A2834" i="2"/>
  <c r="K2833" i="2"/>
  <c r="A2833" i="2"/>
  <c r="I2832" i="2"/>
  <c r="A2832" i="2"/>
  <c r="G2831" i="2"/>
  <c r="F2831" i="2"/>
  <c r="A2831" i="2"/>
  <c r="E2830" i="2"/>
  <c r="D2830" i="2"/>
  <c r="A2830" i="2"/>
  <c r="L2829" i="2"/>
  <c r="K2829" i="2"/>
  <c r="A2829" i="2"/>
  <c r="J2828" i="2"/>
  <c r="I2828" i="2"/>
  <c r="A2828" i="2"/>
  <c r="H2827" i="2"/>
  <c r="G2827" i="2"/>
  <c r="A2827" i="2"/>
  <c r="F2826" i="2"/>
  <c r="E2826" i="2"/>
  <c r="A2826" i="2"/>
  <c r="D2825" i="2"/>
  <c r="L2825" i="2"/>
  <c r="K2825" i="2"/>
  <c r="J2825" i="2"/>
  <c r="I2825" i="2"/>
  <c r="H2825" i="2"/>
  <c r="G2825" i="2"/>
  <c r="F2825" i="2"/>
  <c r="E2825" i="2"/>
  <c r="A2825" i="2"/>
  <c r="G2824" i="2"/>
  <c r="A2824" i="2"/>
  <c r="E2823" i="2"/>
  <c r="A2823" i="2"/>
  <c r="L2822" i="2"/>
  <c r="A2822" i="2"/>
  <c r="J2821" i="2"/>
  <c r="A2821" i="2"/>
  <c r="H2820" i="2"/>
  <c r="G2820" i="2"/>
  <c r="A2820" i="2"/>
  <c r="F2819" i="2"/>
  <c r="E2819" i="2"/>
  <c r="A2819" i="2"/>
  <c r="D2818" i="2"/>
  <c r="L2818" i="2"/>
  <c r="A2818" i="2"/>
  <c r="K2817" i="2"/>
  <c r="J2817" i="2"/>
  <c r="A2817" i="2"/>
  <c r="I2816" i="2"/>
  <c r="H2816" i="2"/>
  <c r="A2816" i="2"/>
  <c r="G2815" i="2"/>
  <c r="F2815" i="2"/>
  <c r="A2815" i="2"/>
  <c r="E2814" i="2"/>
  <c r="D2814" i="2"/>
  <c r="L2814" i="2"/>
  <c r="K2814" i="2"/>
  <c r="J2814" i="2"/>
  <c r="I2814" i="2"/>
  <c r="H2814" i="2"/>
  <c r="G2814" i="2"/>
  <c r="F2814" i="2"/>
  <c r="A2814" i="2"/>
  <c r="F2813" i="2"/>
  <c r="A2813" i="2"/>
  <c r="D2812" i="2"/>
  <c r="A2812" i="2"/>
  <c r="K2811" i="2"/>
  <c r="A2811" i="2"/>
  <c r="I2810" i="2"/>
  <c r="A2810" i="2"/>
  <c r="G2809" i="2"/>
  <c r="A2809" i="2"/>
  <c r="E2808" i="2"/>
  <c r="D2808" i="2"/>
  <c r="A2808" i="2"/>
  <c r="L2807" i="2"/>
  <c r="K2807" i="2"/>
  <c r="A2807" i="2"/>
  <c r="J2806" i="2"/>
  <c r="I2806" i="2"/>
  <c r="A2806" i="2"/>
  <c r="H2805" i="2"/>
  <c r="G2805" i="2"/>
  <c r="A2805" i="2"/>
  <c r="F2804" i="2"/>
  <c r="E2804" i="2"/>
  <c r="A2804" i="2"/>
  <c r="D2803" i="2"/>
  <c r="L2803" i="2"/>
  <c r="K2803" i="2"/>
  <c r="J2803" i="2"/>
  <c r="I2803" i="2"/>
  <c r="H2803" i="2"/>
  <c r="G2803" i="2"/>
  <c r="F2803" i="2"/>
  <c r="E2803" i="2"/>
  <c r="A2803" i="2"/>
  <c r="G2802" i="2"/>
  <c r="A2802" i="2"/>
  <c r="E2801" i="2"/>
  <c r="A2801" i="2"/>
  <c r="L2800" i="2"/>
  <c r="A2800" i="2"/>
  <c r="J2799" i="2"/>
  <c r="A2799" i="2"/>
  <c r="H2798" i="2"/>
  <c r="A2798" i="2"/>
  <c r="F2797" i="2"/>
  <c r="E2797" i="2"/>
  <c r="A2797" i="2"/>
  <c r="D2796" i="2"/>
  <c r="L2796" i="2"/>
  <c r="A2796" i="2"/>
  <c r="K2795" i="2"/>
  <c r="J2795" i="2"/>
  <c r="A2795" i="2"/>
  <c r="I2794" i="2"/>
  <c r="H2794" i="2"/>
  <c r="A2794" i="2"/>
  <c r="G2793" i="2"/>
  <c r="F2793" i="2"/>
  <c r="A2793" i="2"/>
  <c r="E2792" i="2"/>
  <c r="D2792" i="2"/>
  <c r="L2792" i="2"/>
  <c r="K2792" i="2"/>
  <c r="J2792" i="2"/>
  <c r="I2792" i="2"/>
  <c r="H2792" i="2"/>
  <c r="G2792" i="2"/>
  <c r="F2792" i="2"/>
  <c r="A2792" i="2"/>
  <c r="I2791" i="2"/>
  <c r="A2791" i="2"/>
  <c r="G2790" i="2"/>
  <c r="A2790" i="2"/>
  <c r="E2789" i="2"/>
  <c r="A2789" i="2"/>
  <c r="L2788" i="2"/>
  <c r="A2788" i="2"/>
  <c r="J2787" i="2"/>
  <c r="A2787" i="2"/>
  <c r="H2786" i="2"/>
  <c r="G2786" i="2"/>
  <c r="A2786" i="2"/>
  <c r="F2785" i="2"/>
  <c r="E2785" i="2"/>
  <c r="A2785" i="2"/>
  <c r="D2784" i="2"/>
  <c r="L2784" i="2"/>
  <c r="A2784" i="2"/>
  <c r="K2783" i="2"/>
  <c r="J2783" i="2"/>
  <c r="I2783" i="2"/>
  <c r="H2783" i="2"/>
  <c r="G2783" i="2"/>
  <c r="F2783" i="2"/>
  <c r="E2783" i="2"/>
  <c r="D2783" i="2"/>
  <c r="L2783" i="2"/>
  <c r="A2783" i="2"/>
  <c r="L2782" i="2"/>
  <c r="A2782" i="2"/>
  <c r="J2781" i="2"/>
  <c r="A2781" i="2"/>
  <c r="H2780" i="2"/>
  <c r="A2780" i="2"/>
  <c r="F2779" i="2"/>
  <c r="A2779" i="2"/>
  <c r="D2778" i="2"/>
  <c r="A2778" i="2"/>
  <c r="K2777" i="2"/>
  <c r="J2777" i="2"/>
  <c r="A2777" i="2"/>
  <c r="I2776" i="2"/>
  <c r="H2776" i="2"/>
  <c r="A2776" i="2"/>
  <c r="G2775" i="2"/>
  <c r="F2775" i="2"/>
  <c r="A2775" i="2"/>
  <c r="E2774" i="2"/>
  <c r="D2774" i="2"/>
  <c r="A2774" i="2"/>
  <c r="L2773" i="2"/>
  <c r="K2773" i="2"/>
  <c r="A2773" i="2"/>
  <c r="J2772" i="2"/>
  <c r="I2772" i="2"/>
  <c r="H2772" i="2"/>
  <c r="G2772" i="2"/>
  <c r="F2772" i="2"/>
  <c r="E2772" i="2"/>
  <c r="D2772" i="2"/>
  <c r="L2772" i="2"/>
  <c r="K2772" i="2"/>
  <c r="A2772" i="2"/>
  <c r="F2771" i="2"/>
  <c r="A2771" i="2"/>
  <c r="D2770" i="2"/>
  <c r="A2770" i="2"/>
  <c r="K2769" i="2"/>
  <c r="A2769" i="2"/>
  <c r="I2768" i="2"/>
  <c r="A2768" i="2"/>
  <c r="G2767" i="2"/>
  <c r="A2767" i="2"/>
  <c r="E2766" i="2"/>
  <c r="D2766" i="2"/>
  <c r="A2766" i="2"/>
  <c r="L2765" i="2"/>
  <c r="K2765" i="2"/>
  <c r="A2765" i="2"/>
  <c r="J2764" i="2"/>
  <c r="I2764" i="2"/>
  <c r="A2764" i="2"/>
  <c r="H2763" i="2"/>
  <c r="G2763" i="2"/>
  <c r="A2763" i="2"/>
  <c r="F2762" i="2"/>
  <c r="E2762" i="2"/>
  <c r="A2762" i="2"/>
  <c r="D2761" i="2"/>
  <c r="L2761" i="2"/>
  <c r="A2761" i="2"/>
  <c r="K2760" i="2"/>
  <c r="J2760" i="2"/>
  <c r="I2760" i="2"/>
  <c r="H2760" i="2"/>
  <c r="G2760" i="2"/>
  <c r="F2760" i="2"/>
  <c r="E2760" i="2"/>
  <c r="D2760" i="2"/>
  <c r="L2760" i="2"/>
  <c r="A2760" i="2"/>
  <c r="E2759" i="2"/>
  <c r="A2759" i="2"/>
  <c r="L2758" i="2"/>
  <c r="A2758" i="2"/>
  <c r="J2757" i="2"/>
  <c r="A2757" i="2"/>
  <c r="H2756" i="2"/>
  <c r="A2756" i="2"/>
  <c r="F2755" i="2"/>
  <c r="E2755" i="2"/>
  <c r="A2755" i="2"/>
  <c r="D2754" i="2"/>
  <c r="L2754" i="2"/>
  <c r="A2754" i="2"/>
  <c r="K2753" i="2"/>
  <c r="J2753" i="2"/>
  <c r="A2753" i="2"/>
  <c r="I2752" i="2"/>
  <c r="H2752" i="2"/>
  <c r="A2752" i="2"/>
  <c r="G2751" i="2"/>
  <c r="F2751" i="2"/>
  <c r="A2751" i="2"/>
  <c r="E2750" i="2"/>
  <c r="D2750" i="2"/>
  <c r="L2750" i="2"/>
  <c r="K2750" i="2"/>
  <c r="J2750" i="2"/>
  <c r="I2750" i="2"/>
  <c r="H2750" i="2"/>
  <c r="G2750" i="2"/>
  <c r="F2750" i="2"/>
  <c r="A2750" i="2"/>
  <c r="H2749" i="2"/>
  <c r="A2749" i="2"/>
  <c r="F2748" i="2"/>
  <c r="A2748" i="2"/>
  <c r="D2747" i="2"/>
  <c r="A2747" i="2"/>
  <c r="K2746" i="2"/>
  <c r="A2746" i="2"/>
  <c r="I2745" i="2"/>
  <c r="H2745" i="2"/>
  <c r="A2745" i="2"/>
  <c r="G2744" i="2"/>
  <c r="F2744" i="2"/>
  <c r="A2744" i="2"/>
  <c r="E2743" i="2"/>
  <c r="D2743" i="2"/>
  <c r="A2743" i="2"/>
  <c r="L2742" i="2"/>
  <c r="K2742" i="2"/>
  <c r="A2742" i="2"/>
  <c r="J2741" i="2"/>
  <c r="I2741" i="2"/>
  <c r="A2741" i="2"/>
  <c r="H2740" i="2"/>
  <c r="G2740" i="2"/>
  <c r="F2740" i="2"/>
  <c r="E2740" i="2"/>
  <c r="D2740" i="2"/>
  <c r="L2740" i="2"/>
  <c r="K2740" i="2"/>
  <c r="J2740" i="2"/>
  <c r="I2740" i="2"/>
  <c r="A2740" i="2"/>
  <c r="K2739" i="2"/>
  <c r="A2739" i="2"/>
  <c r="I2738" i="2"/>
  <c r="A2738" i="2"/>
  <c r="G2737" i="2"/>
  <c r="A2737" i="2"/>
  <c r="E2736" i="2"/>
  <c r="A2736" i="2"/>
  <c r="L2735" i="2"/>
  <c r="K2735" i="2"/>
  <c r="A2735" i="2"/>
  <c r="J2734" i="2"/>
  <c r="I2734" i="2"/>
  <c r="A2734" i="2"/>
  <c r="H2733" i="2"/>
  <c r="G2733" i="2"/>
  <c r="A2733" i="2"/>
  <c r="F2732" i="2"/>
  <c r="E2732" i="2"/>
  <c r="A2732" i="2"/>
  <c r="D2731" i="2"/>
  <c r="L2731" i="2"/>
  <c r="A2731" i="2"/>
  <c r="K2730" i="2"/>
  <c r="J2730" i="2"/>
  <c r="A2730" i="2"/>
  <c r="I2729" i="2"/>
  <c r="H2729" i="2"/>
  <c r="G2729" i="2"/>
  <c r="F2729" i="2"/>
  <c r="E2729" i="2"/>
  <c r="D2729" i="2"/>
  <c r="L2729" i="2"/>
  <c r="K2729" i="2"/>
  <c r="J2729" i="2"/>
  <c r="A2729" i="2"/>
  <c r="L2728" i="2"/>
  <c r="A2728" i="2"/>
  <c r="J2727" i="2"/>
  <c r="A2727" i="2"/>
  <c r="H2726" i="2"/>
  <c r="A2726" i="2"/>
  <c r="F2725" i="2"/>
  <c r="A2725" i="2"/>
  <c r="D2724" i="2"/>
  <c r="L2724" i="2"/>
  <c r="A2724" i="2"/>
  <c r="K2723" i="2"/>
  <c r="J2723" i="2"/>
  <c r="A2723" i="2"/>
  <c r="I2722" i="2"/>
  <c r="H2722" i="2"/>
  <c r="A2722" i="2"/>
  <c r="G2721" i="2"/>
  <c r="F2721" i="2"/>
  <c r="A2721" i="2"/>
  <c r="E2720" i="2"/>
  <c r="D2720" i="2"/>
  <c r="A2720" i="2"/>
  <c r="L2719" i="2"/>
  <c r="K2719" i="2"/>
  <c r="J2719" i="2"/>
  <c r="I2719" i="2"/>
  <c r="H2719" i="2"/>
  <c r="G2719" i="2"/>
  <c r="F2719" i="2"/>
  <c r="E2719" i="2"/>
  <c r="D2719" i="2"/>
  <c r="A2719" i="2"/>
  <c r="F2718" i="2"/>
  <c r="A2718" i="2"/>
  <c r="D2717" i="2"/>
  <c r="A2717" i="2"/>
  <c r="K2716" i="2"/>
  <c r="A2716" i="2"/>
  <c r="I2715" i="2"/>
  <c r="A2715" i="2"/>
  <c r="G2714" i="2"/>
  <c r="A2714" i="2"/>
  <c r="E2713" i="2"/>
  <c r="D2713" i="2"/>
  <c r="A2713" i="2"/>
  <c r="L2712" i="2"/>
  <c r="K2712" i="2"/>
  <c r="A2712" i="2"/>
  <c r="J2711" i="2"/>
  <c r="I2711" i="2"/>
  <c r="A2711" i="2"/>
  <c r="H2710" i="2"/>
  <c r="G2710" i="2"/>
  <c r="A2710" i="2"/>
  <c r="F2709" i="2"/>
  <c r="E2709" i="2"/>
  <c r="A2709" i="2"/>
  <c r="D2708" i="2"/>
  <c r="L2708" i="2"/>
  <c r="K2708" i="2"/>
  <c r="J2708" i="2"/>
  <c r="I2708" i="2"/>
  <c r="H2708" i="2"/>
  <c r="G2708" i="2"/>
  <c r="F2708" i="2"/>
  <c r="E2708" i="2"/>
  <c r="A2708" i="2"/>
  <c r="I2707" i="2"/>
  <c r="A2707" i="2"/>
  <c r="G2706" i="2"/>
  <c r="A2706" i="2"/>
  <c r="E2705" i="2"/>
  <c r="A2705" i="2"/>
  <c r="L2704" i="2"/>
  <c r="A2704" i="2"/>
  <c r="J2703" i="2"/>
  <c r="A2703" i="2"/>
  <c r="H2702" i="2"/>
  <c r="G2702" i="2"/>
  <c r="A2702" i="2"/>
  <c r="F2701" i="2"/>
  <c r="E2701" i="2"/>
  <c r="A2701" i="2"/>
  <c r="D2700" i="2"/>
  <c r="L2700" i="2"/>
  <c r="A2700" i="2"/>
  <c r="K2699" i="2"/>
  <c r="J2699" i="2"/>
  <c r="A2699" i="2"/>
  <c r="I2698" i="2"/>
  <c r="H2698" i="2"/>
  <c r="A2698" i="2"/>
  <c r="G2697" i="2"/>
  <c r="F2697" i="2"/>
  <c r="E2697" i="2"/>
  <c r="D2697" i="2"/>
  <c r="L2697" i="2"/>
  <c r="K2697" i="2"/>
  <c r="J2697" i="2"/>
  <c r="I2697" i="2"/>
  <c r="H2697" i="2"/>
  <c r="A2697" i="2"/>
  <c r="J2696" i="2"/>
  <c r="A2696" i="2"/>
  <c r="H2695" i="2"/>
  <c r="A2695" i="2"/>
  <c r="F2694" i="2"/>
  <c r="A2694" i="2"/>
  <c r="D2693" i="2"/>
  <c r="A2693" i="2"/>
  <c r="K2692" i="2"/>
  <c r="A2692" i="2"/>
  <c r="I2691" i="2"/>
  <c r="H2691" i="2"/>
  <c r="A2691" i="2"/>
  <c r="G2690" i="2"/>
  <c r="F2690" i="2"/>
  <c r="A2690" i="2"/>
  <c r="E2689" i="2"/>
  <c r="D2689" i="2"/>
  <c r="A2689" i="2"/>
  <c r="L2688" i="2"/>
  <c r="K2688" i="2"/>
  <c r="A2688" i="2"/>
  <c r="J2687" i="2"/>
  <c r="I2687" i="2"/>
  <c r="A2687" i="2"/>
  <c r="H2686" i="2"/>
  <c r="G2686" i="2"/>
  <c r="F2686" i="2"/>
  <c r="E2686" i="2"/>
  <c r="D2686" i="2"/>
  <c r="L2686" i="2"/>
  <c r="K2686" i="2"/>
  <c r="J2686" i="2"/>
  <c r="I2686" i="2"/>
  <c r="A2686" i="2"/>
  <c r="K2685" i="2"/>
  <c r="A2685" i="2"/>
  <c r="I2684" i="2"/>
  <c r="A2684" i="2"/>
  <c r="G2683" i="2"/>
  <c r="A2683" i="2"/>
  <c r="E2682" i="2"/>
  <c r="A2682" i="2"/>
  <c r="L2681" i="2"/>
  <c r="K2681" i="2"/>
  <c r="A2681" i="2"/>
  <c r="J2680" i="2"/>
  <c r="I2680" i="2"/>
  <c r="A2680" i="2"/>
  <c r="H2679" i="2"/>
  <c r="G2679" i="2"/>
  <c r="A2679" i="2"/>
  <c r="F2678" i="2"/>
  <c r="E2678" i="2"/>
  <c r="A2678" i="2"/>
  <c r="D2677" i="2"/>
  <c r="L2677" i="2"/>
  <c r="A2677" i="2"/>
  <c r="K2676" i="2"/>
  <c r="J2676" i="2"/>
  <c r="I2676" i="2"/>
  <c r="H2676" i="2"/>
  <c r="G2676" i="2"/>
  <c r="F2676" i="2"/>
  <c r="E2676" i="2"/>
  <c r="D2676" i="2"/>
  <c r="L2676" i="2"/>
  <c r="A2676" i="2"/>
  <c r="G2675" i="2"/>
  <c r="A2675" i="2"/>
  <c r="E2674" i="2"/>
  <c r="A2674" i="2"/>
  <c r="L2673" i="2"/>
  <c r="A2673" i="2"/>
  <c r="J2672" i="2"/>
  <c r="A2672" i="2"/>
  <c r="H2671" i="2"/>
  <c r="A2671" i="2"/>
  <c r="F2670" i="2"/>
  <c r="E2670" i="2"/>
  <c r="A2670" i="2"/>
  <c r="D2669" i="2"/>
  <c r="L2669" i="2"/>
  <c r="A2669" i="2"/>
  <c r="K2668" i="2"/>
  <c r="J2668" i="2"/>
  <c r="A2668" i="2"/>
  <c r="I2667" i="2"/>
  <c r="H2667" i="2"/>
  <c r="G2667" i="2"/>
  <c r="F2667" i="2"/>
  <c r="E2667" i="2"/>
  <c r="D2667" i="2"/>
  <c r="L2667" i="2"/>
  <c r="K2667" i="2"/>
  <c r="J2667" i="2"/>
  <c r="A2667" i="2"/>
  <c r="J2666" i="2"/>
  <c r="A2666" i="2"/>
  <c r="H2665" i="2"/>
  <c r="A2665" i="2"/>
  <c r="F2664" i="2"/>
  <c r="A2664" i="2"/>
  <c r="D2663" i="2"/>
  <c r="A2663" i="2"/>
  <c r="K2662" i="2"/>
  <c r="A2662" i="2"/>
  <c r="I2661" i="2"/>
  <c r="H2661" i="2"/>
  <c r="A2661" i="2"/>
  <c r="G2660" i="2"/>
  <c r="F2660" i="2"/>
  <c r="A2660" i="2"/>
  <c r="E2659" i="2"/>
  <c r="D2659" i="2"/>
  <c r="A2659" i="2"/>
  <c r="L2658" i="2"/>
  <c r="K2658" i="2"/>
  <c r="A2658" i="2"/>
  <c r="J2657" i="2"/>
  <c r="I2657" i="2"/>
  <c r="A2657" i="2"/>
  <c r="H2656" i="2"/>
  <c r="G2656" i="2"/>
  <c r="F2656" i="2"/>
  <c r="E2656" i="2"/>
  <c r="D2656" i="2"/>
  <c r="L2656" i="2"/>
  <c r="K2656" i="2"/>
  <c r="J2656" i="2"/>
  <c r="I2656" i="2"/>
  <c r="A2656" i="2"/>
  <c r="E2655" i="2"/>
  <c r="A2655" i="2"/>
  <c r="L2654" i="2"/>
  <c r="A2654" i="2"/>
  <c r="J2653" i="2"/>
  <c r="A2653" i="2"/>
  <c r="H2652" i="2"/>
  <c r="A2652" i="2"/>
  <c r="F2651" i="2"/>
  <c r="A2651" i="2"/>
  <c r="D2650" i="2"/>
  <c r="L2650" i="2"/>
  <c r="A2650" i="2"/>
  <c r="K2649" i="2"/>
  <c r="J2649" i="2"/>
  <c r="A2649" i="2"/>
  <c r="I2648" i="2"/>
  <c r="H2648" i="2"/>
  <c r="A2648" i="2"/>
  <c r="G2647" i="2"/>
  <c r="F2647" i="2"/>
  <c r="A2647" i="2"/>
  <c r="E2646" i="2"/>
  <c r="D2646" i="2"/>
  <c r="A2646" i="2"/>
  <c r="L2645" i="2"/>
  <c r="K2645" i="2"/>
  <c r="J2645" i="2"/>
  <c r="I2645" i="2"/>
  <c r="H2645" i="2"/>
  <c r="G2645" i="2"/>
  <c r="F2645" i="2"/>
  <c r="E2645" i="2"/>
  <c r="D2645" i="2"/>
  <c r="A2645" i="2"/>
  <c r="F2644" i="2"/>
  <c r="A2644" i="2"/>
  <c r="D2643" i="2"/>
  <c r="A2643" i="2"/>
  <c r="K2642" i="2"/>
  <c r="A2642" i="2"/>
  <c r="I2641" i="2"/>
  <c r="A2641" i="2"/>
  <c r="G2640" i="2"/>
  <c r="F2640" i="2"/>
  <c r="A2640" i="2"/>
  <c r="E2639" i="2"/>
  <c r="D2639" i="2"/>
  <c r="A2639" i="2"/>
  <c r="L2638" i="2"/>
  <c r="K2638" i="2"/>
  <c r="A2638" i="2"/>
  <c r="J2637" i="2"/>
  <c r="I2637" i="2"/>
  <c r="A2637" i="2"/>
  <c r="H2636" i="2"/>
  <c r="G2636" i="2"/>
  <c r="A2636" i="2"/>
  <c r="F2635" i="2"/>
  <c r="E2635" i="2"/>
  <c r="D2635" i="2"/>
  <c r="L2635" i="2"/>
  <c r="K2635" i="2"/>
  <c r="J2635" i="2"/>
  <c r="I2635" i="2"/>
  <c r="H2635" i="2"/>
  <c r="G2635" i="2"/>
  <c r="A2635" i="2"/>
  <c r="I2634" i="2"/>
  <c r="A2634" i="2"/>
  <c r="G2633" i="2"/>
  <c r="A2633" i="2"/>
  <c r="E2632" i="2"/>
  <c r="A2632" i="2"/>
  <c r="L2631" i="2"/>
  <c r="A2631" i="2"/>
  <c r="J2630" i="2"/>
  <c r="A2630" i="2"/>
  <c r="H2629" i="2"/>
  <c r="G2629" i="2"/>
  <c r="A2629" i="2"/>
  <c r="F2628" i="2"/>
  <c r="E2628" i="2"/>
  <c r="A2628" i="2"/>
  <c r="D2627" i="2"/>
  <c r="L2627" i="2"/>
  <c r="A2627" i="2"/>
  <c r="K2626" i="2"/>
  <c r="J2626" i="2"/>
  <c r="A2626" i="2"/>
  <c r="I2625" i="2"/>
  <c r="H2625" i="2"/>
  <c r="A2625" i="2"/>
  <c r="G2624" i="2"/>
  <c r="F2624" i="2"/>
  <c r="E2624" i="2"/>
  <c r="D2624" i="2"/>
  <c r="L2624" i="2"/>
  <c r="K2624" i="2"/>
  <c r="J2624" i="2"/>
  <c r="I2624" i="2"/>
  <c r="H2624" i="2"/>
  <c r="A2624" i="2"/>
  <c r="J2623" i="2"/>
  <c r="A2623" i="2"/>
  <c r="H2622" i="2"/>
  <c r="A2622" i="2"/>
  <c r="F2621" i="2"/>
  <c r="A2621" i="2"/>
  <c r="D2620" i="2"/>
  <c r="A2620" i="2"/>
  <c r="K2619" i="2"/>
  <c r="J2619" i="2"/>
  <c r="A2619" i="2"/>
  <c r="I2618" i="2"/>
  <c r="H2618" i="2"/>
  <c r="A2618" i="2"/>
  <c r="G2617" i="2"/>
  <c r="F2617" i="2"/>
  <c r="A2617" i="2"/>
  <c r="E2616" i="2"/>
  <c r="D2616" i="2"/>
  <c r="A2616" i="2"/>
  <c r="L2615" i="2"/>
  <c r="K2615" i="2"/>
  <c r="A2615" i="2"/>
  <c r="J2614" i="2"/>
  <c r="I2614" i="2"/>
  <c r="H2614" i="2"/>
  <c r="G2614" i="2"/>
  <c r="F2614" i="2"/>
  <c r="E2614" i="2"/>
  <c r="D2614" i="2"/>
  <c r="L2614" i="2"/>
  <c r="K2614" i="2"/>
  <c r="A2614" i="2"/>
  <c r="D2613" i="2"/>
  <c r="A2613" i="2"/>
  <c r="K2612" i="2"/>
  <c r="A2612" i="2"/>
  <c r="I2611" i="2"/>
  <c r="A2611" i="2"/>
  <c r="G2610" i="2"/>
  <c r="A2610" i="2"/>
  <c r="E2609" i="2"/>
  <c r="D2609" i="2"/>
  <c r="A2609" i="2"/>
  <c r="L2608" i="2"/>
  <c r="K2608" i="2"/>
  <c r="A2608" i="2"/>
  <c r="J2607" i="2"/>
  <c r="I2607" i="2"/>
  <c r="A2607" i="2"/>
  <c r="H2606" i="2"/>
  <c r="G2606" i="2"/>
  <c r="A2606" i="2"/>
  <c r="F2605" i="2"/>
  <c r="E2605" i="2"/>
  <c r="A2605" i="2"/>
  <c r="D2604" i="2"/>
  <c r="L2604" i="2"/>
  <c r="K2604" i="2"/>
  <c r="J2604" i="2"/>
  <c r="I2604" i="2"/>
  <c r="H2604" i="2"/>
  <c r="G2604" i="2"/>
  <c r="F2604" i="2"/>
  <c r="E2604" i="2"/>
  <c r="A2604" i="2"/>
  <c r="G2603" i="2"/>
  <c r="A2603" i="2"/>
  <c r="E2602" i="2"/>
  <c r="A2602" i="2"/>
  <c r="L2601" i="2"/>
  <c r="A2601" i="2"/>
  <c r="J2600" i="2"/>
  <c r="A2600" i="2"/>
  <c r="H2599" i="2"/>
  <c r="G2599" i="2"/>
  <c r="A2599" i="2"/>
  <c r="F2598" i="2"/>
  <c r="E2598" i="2"/>
  <c r="A2598" i="2"/>
  <c r="D2597" i="2"/>
  <c r="L2597" i="2"/>
  <c r="A2597" i="2"/>
  <c r="K2596" i="2"/>
  <c r="J2596" i="2"/>
  <c r="A2596" i="2"/>
  <c r="I2595" i="2"/>
  <c r="H2595" i="2"/>
  <c r="A2595" i="2"/>
  <c r="G2594" i="2"/>
  <c r="F2594" i="2"/>
  <c r="E2594" i="2"/>
  <c r="D2594" i="2"/>
  <c r="L2594" i="2"/>
  <c r="K2594" i="2"/>
  <c r="J2594" i="2"/>
  <c r="I2594" i="2"/>
  <c r="H2594" i="2"/>
  <c r="A2594" i="2"/>
  <c r="J2593" i="2"/>
  <c r="A2593" i="2"/>
  <c r="H2592" i="2"/>
  <c r="A2592" i="2"/>
  <c r="F2591" i="2"/>
  <c r="A2591" i="2"/>
  <c r="D2590" i="2"/>
  <c r="A2590" i="2"/>
  <c r="K2589" i="2"/>
  <c r="J2589" i="2"/>
  <c r="A2589" i="2"/>
  <c r="I2588" i="2"/>
  <c r="H2588" i="2"/>
  <c r="A2588" i="2"/>
  <c r="G2587" i="2"/>
  <c r="F2587" i="2"/>
  <c r="A2587" i="2"/>
  <c r="E2586" i="2"/>
  <c r="D2586" i="2"/>
  <c r="A2586" i="2"/>
  <c r="L2585" i="2"/>
  <c r="K2585" i="2"/>
  <c r="A2585" i="2"/>
  <c r="J2584" i="2"/>
  <c r="I2584" i="2"/>
  <c r="H2584" i="2"/>
  <c r="G2584" i="2"/>
  <c r="F2584" i="2"/>
  <c r="E2584" i="2"/>
  <c r="D2584" i="2"/>
  <c r="L2584" i="2"/>
  <c r="K2584" i="2"/>
  <c r="A2584" i="2"/>
  <c r="D2583" i="2"/>
  <c r="A2583" i="2"/>
  <c r="K2582" i="2"/>
  <c r="A2582" i="2"/>
  <c r="I2581" i="2"/>
  <c r="A2581" i="2"/>
  <c r="G2580" i="2"/>
  <c r="A2580" i="2"/>
  <c r="E2579" i="2"/>
  <c r="D2579" i="2"/>
  <c r="A2579" i="2"/>
  <c r="L2578" i="2"/>
  <c r="K2578" i="2"/>
  <c r="A2578" i="2"/>
  <c r="J2577" i="2"/>
  <c r="I2577" i="2"/>
  <c r="A2577" i="2"/>
  <c r="H2576" i="2"/>
  <c r="G2576" i="2"/>
  <c r="A2576" i="2"/>
  <c r="F2575" i="2"/>
  <c r="E2575" i="2"/>
  <c r="A2575" i="2"/>
  <c r="D2574" i="2"/>
  <c r="L2574" i="2"/>
  <c r="K2574" i="2"/>
  <c r="J2574" i="2"/>
  <c r="I2574" i="2"/>
  <c r="H2574" i="2"/>
  <c r="G2574" i="2"/>
  <c r="F2574" i="2"/>
  <c r="E2574" i="2"/>
  <c r="A2574" i="2"/>
  <c r="G2573" i="2"/>
  <c r="A2573" i="2"/>
  <c r="E2572" i="2"/>
  <c r="A2572" i="2"/>
  <c r="L2571" i="2"/>
  <c r="A2571" i="2"/>
  <c r="J2570" i="2"/>
  <c r="A2570" i="2"/>
  <c r="H2569" i="2"/>
  <c r="G2569" i="2"/>
  <c r="A2569" i="2"/>
  <c r="F2568" i="2"/>
  <c r="E2568" i="2"/>
  <c r="A2568" i="2"/>
  <c r="D2567" i="2"/>
  <c r="L2567" i="2"/>
  <c r="A2567" i="2"/>
  <c r="K2566" i="2"/>
  <c r="J2566" i="2"/>
  <c r="A2566" i="2"/>
  <c r="I2565" i="2"/>
  <c r="H2565" i="2"/>
  <c r="A2565" i="2"/>
  <c r="G2564" i="2"/>
  <c r="F2564" i="2"/>
  <c r="E2564" i="2"/>
  <c r="D2564" i="2"/>
  <c r="L2564" i="2"/>
  <c r="K2564" i="2"/>
  <c r="J2564" i="2"/>
  <c r="I2564" i="2"/>
  <c r="H2564" i="2"/>
  <c r="A2564" i="2"/>
  <c r="J2563" i="2"/>
  <c r="A2563" i="2"/>
  <c r="H2562" i="2"/>
  <c r="A2562" i="2"/>
  <c r="F2561" i="2"/>
  <c r="A2561" i="2"/>
  <c r="D2560" i="2"/>
  <c r="A2560" i="2"/>
  <c r="K2559" i="2"/>
  <c r="J2559" i="2"/>
  <c r="A2559" i="2"/>
  <c r="I2558" i="2"/>
  <c r="H2558" i="2"/>
  <c r="A2558" i="2"/>
  <c r="G2557" i="2"/>
  <c r="F2557" i="2"/>
  <c r="A2557" i="2"/>
  <c r="E2556" i="2"/>
  <c r="D2556" i="2"/>
  <c r="A2556" i="2"/>
  <c r="L2555" i="2"/>
  <c r="K2555" i="2"/>
  <c r="A2555" i="2"/>
  <c r="J2554" i="2"/>
  <c r="I2554" i="2"/>
  <c r="H2554" i="2"/>
  <c r="G2554" i="2"/>
  <c r="F2554" i="2"/>
  <c r="E2554" i="2"/>
  <c r="D2554" i="2"/>
  <c r="L2554" i="2"/>
  <c r="K2554" i="2"/>
  <c r="A2554" i="2"/>
  <c r="F2553" i="2"/>
  <c r="A2553" i="2"/>
  <c r="D2552" i="2"/>
  <c r="A2552" i="2"/>
  <c r="K2551" i="2"/>
  <c r="A2551" i="2"/>
  <c r="I2550" i="2"/>
  <c r="A2550" i="2"/>
  <c r="G2549" i="2"/>
  <c r="F2549" i="2"/>
  <c r="A2549" i="2"/>
  <c r="E2548" i="2"/>
  <c r="D2548" i="2"/>
  <c r="A2548" i="2"/>
  <c r="L2547" i="2"/>
  <c r="K2547" i="2"/>
  <c r="A2547" i="2"/>
  <c r="J2546" i="2"/>
  <c r="I2546" i="2"/>
  <c r="A2546" i="2"/>
  <c r="H2545" i="2"/>
  <c r="G2545" i="2"/>
  <c r="A2545" i="2"/>
  <c r="F2544" i="2"/>
  <c r="E2544" i="2"/>
  <c r="D2544" i="2"/>
  <c r="L2544" i="2"/>
  <c r="K2544" i="2"/>
  <c r="J2544" i="2"/>
  <c r="I2544" i="2"/>
  <c r="H2544" i="2"/>
  <c r="G2544" i="2"/>
  <c r="A2544" i="2"/>
  <c r="I2543" i="2"/>
  <c r="A2543" i="2"/>
  <c r="G2542" i="2"/>
  <c r="A2542" i="2"/>
  <c r="E2541" i="2"/>
  <c r="A2541" i="2"/>
  <c r="L2540" i="2"/>
  <c r="A2540" i="2"/>
  <c r="J2539" i="2"/>
  <c r="I2539" i="2"/>
  <c r="A2539" i="2"/>
  <c r="H2538" i="2"/>
  <c r="G2538" i="2"/>
  <c r="A2538" i="2"/>
  <c r="F2537" i="2"/>
  <c r="E2537" i="2"/>
  <c r="A2537" i="2"/>
  <c r="D2536" i="2"/>
  <c r="L2536" i="2"/>
  <c r="A2536" i="2"/>
  <c r="K2535" i="2"/>
  <c r="J2535" i="2"/>
  <c r="I2535" i="2"/>
  <c r="H2535" i="2"/>
  <c r="G2535" i="2"/>
  <c r="F2535" i="2"/>
  <c r="E2535" i="2"/>
  <c r="D2535" i="2"/>
  <c r="L2535" i="2"/>
  <c r="A2535" i="2"/>
  <c r="E2534" i="2"/>
  <c r="A2534" i="2"/>
  <c r="L2533" i="2"/>
  <c r="A2533" i="2"/>
  <c r="J2532" i="2"/>
  <c r="A2532" i="2"/>
  <c r="H2531" i="2"/>
  <c r="A2531" i="2"/>
  <c r="F2530" i="2"/>
  <c r="E2530" i="2"/>
  <c r="A2530" i="2"/>
  <c r="D2529" i="2"/>
  <c r="L2529" i="2"/>
  <c r="A2529" i="2"/>
  <c r="K2528" i="2"/>
  <c r="J2528" i="2"/>
  <c r="A2528" i="2"/>
  <c r="I2527" i="2"/>
  <c r="H2527" i="2"/>
  <c r="A2527" i="2"/>
  <c r="G2526" i="2"/>
  <c r="F2526" i="2"/>
  <c r="E2526" i="2"/>
  <c r="D2526" i="2"/>
  <c r="L2526" i="2"/>
  <c r="K2526" i="2"/>
  <c r="J2526" i="2"/>
  <c r="I2526" i="2"/>
  <c r="H2526" i="2"/>
  <c r="A2526" i="2"/>
  <c r="J2525" i="2"/>
  <c r="A2525" i="2"/>
  <c r="H2524" i="2"/>
  <c r="A2524" i="2"/>
  <c r="F2523" i="2"/>
  <c r="A2523" i="2"/>
  <c r="D2522" i="2"/>
  <c r="A2522" i="2"/>
  <c r="K2521" i="2"/>
  <c r="J2521" i="2"/>
  <c r="A2521" i="2"/>
  <c r="I2520" i="2"/>
  <c r="H2520" i="2"/>
  <c r="A2520" i="2"/>
  <c r="G2519" i="2"/>
  <c r="F2519" i="2"/>
  <c r="A2519" i="2"/>
  <c r="E2518" i="2"/>
  <c r="D2518" i="2"/>
  <c r="A2518" i="2"/>
  <c r="L2517" i="2"/>
  <c r="K2517" i="2"/>
  <c r="J2517" i="2"/>
  <c r="I2517" i="2"/>
  <c r="H2517" i="2"/>
  <c r="G2517" i="2"/>
  <c r="F2517" i="2"/>
  <c r="E2517" i="2"/>
  <c r="D2517" i="2"/>
  <c r="A2517" i="2"/>
  <c r="F2516" i="2"/>
  <c r="A2516" i="2"/>
  <c r="D2515" i="2"/>
  <c r="A2515" i="2"/>
  <c r="K2514" i="2"/>
  <c r="A2514" i="2"/>
  <c r="I2513" i="2"/>
  <c r="A2513" i="2"/>
  <c r="G2512" i="2"/>
  <c r="F2512" i="2"/>
  <c r="A2512" i="2"/>
  <c r="E2511" i="2"/>
  <c r="D2511" i="2"/>
  <c r="A2511" i="2"/>
  <c r="L2510" i="2"/>
  <c r="K2510" i="2"/>
  <c r="A2510" i="2"/>
  <c r="J2509" i="2"/>
  <c r="I2509" i="2"/>
  <c r="A2509" i="2"/>
  <c r="H2508" i="2"/>
  <c r="G2508" i="2"/>
  <c r="A2508" i="2"/>
  <c r="F2507" i="2"/>
  <c r="E2507" i="2"/>
  <c r="D2507" i="2"/>
  <c r="L2507" i="2"/>
  <c r="K2507" i="2"/>
  <c r="J2507" i="2"/>
  <c r="I2507" i="2"/>
  <c r="H2507" i="2"/>
  <c r="G2507" i="2"/>
  <c r="A2507" i="2"/>
  <c r="K2506" i="2"/>
  <c r="A2506" i="2"/>
  <c r="I2505" i="2"/>
  <c r="A2505" i="2"/>
  <c r="G2504" i="2"/>
  <c r="A2504" i="2"/>
  <c r="E2503" i="2"/>
  <c r="A2503" i="2"/>
  <c r="L2502" i="2"/>
  <c r="K2502" i="2"/>
  <c r="A2502" i="2"/>
  <c r="J2501" i="2"/>
  <c r="I2501" i="2"/>
  <c r="A2501" i="2"/>
  <c r="H2500" i="2"/>
  <c r="G2500" i="2"/>
  <c r="A2500" i="2"/>
  <c r="F2499" i="2"/>
  <c r="E2499" i="2"/>
  <c r="A2499" i="2"/>
  <c r="D2498" i="2"/>
  <c r="L2498" i="2"/>
  <c r="K2498" i="2"/>
  <c r="J2498" i="2"/>
  <c r="I2498" i="2"/>
  <c r="H2498" i="2"/>
  <c r="G2498" i="2"/>
  <c r="F2498" i="2"/>
  <c r="E2498" i="2"/>
  <c r="A2498" i="2"/>
  <c r="G2497" i="2"/>
  <c r="A2497" i="2"/>
  <c r="E2496" i="2"/>
  <c r="A2496" i="2"/>
  <c r="L2495" i="2"/>
  <c r="A2495" i="2"/>
  <c r="J2494" i="2"/>
  <c r="A2494" i="2"/>
  <c r="H2493" i="2"/>
  <c r="G2493" i="2"/>
  <c r="A2493" i="2"/>
  <c r="F2492" i="2"/>
  <c r="E2492" i="2"/>
  <c r="A2492" i="2"/>
  <c r="D2491" i="2"/>
  <c r="L2491" i="2"/>
  <c r="A2491" i="2"/>
  <c r="K2490" i="2"/>
  <c r="J2490" i="2"/>
  <c r="A2490" i="2"/>
  <c r="I2489" i="2"/>
  <c r="H2489" i="2"/>
  <c r="G2489" i="2"/>
  <c r="F2489" i="2"/>
  <c r="E2489" i="2"/>
  <c r="D2489" i="2"/>
  <c r="L2489" i="2"/>
  <c r="K2489" i="2"/>
  <c r="J2489" i="2"/>
  <c r="A2489" i="2"/>
  <c r="L2488" i="2"/>
  <c r="A2488" i="2"/>
  <c r="J2487" i="2"/>
  <c r="A2487" i="2"/>
  <c r="H2486" i="2"/>
  <c r="A2486" i="2"/>
  <c r="F2485" i="2"/>
  <c r="A2485" i="2"/>
  <c r="D2484" i="2"/>
  <c r="L2484" i="2"/>
  <c r="A2484" i="2"/>
  <c r="K2483" i="2"/>
  <c r="J2483" i="2"/>
  <c r="A2483" i="2"/>
  <c r="I2482" i="2"/>
  <c r="H2482" i="2"/>
  <c r="A2482" i="2"/>
  <c r="G2481" i="2"/>
  <c r="F2481" i="2"/>
  <c r="A2481" i="2"/>
  <c r="E2480" i="2"/>
  <c r="D2480" i="2"/>
  <c r="L2480" i="2"/>
  <c r="K2480" i="2"/>
  <c r="J2480" i="2"/>
  <c r="I2480" i="2"/>
  <c r="H2480" i="2"/>
  <c r="G2480" i="2"/>
  <c r="F2480" i="2"/>
  <c r="A2480" i="2"/>
  <c r="H2479" i="2"/>
  <c r="A2479" i="2"/>
  <c r="F2478" i="2"/>
  <c r="A2478" i="2"/>
  <c r="D2477" i="2"/>
  <c r="A2477" i="2"/>
  <c r="K2476" i="2"/>
  <c r="A2476" i="2"/>
  <c r="I2475" i="2"/>
  <c r="H2475" i="2"/>
  <c r="A2475" i="2"/>
  <c r="G2474" i="2"/>
  <c r="F2474" i="2"/>
  <c r="A2474" i="2"/>
  <c r="E2473" i="2"/>
  <c r="D2473" i="2"/>
  <c r="A2473" i="2"/>
  <c r="L2472" i="2"/>
  <c r="K2472" i="2"/>
  <c r="A2472" i="2"/>
  <c r="J2471" i="2"/>
  <c r="I2471" i="2"/>
  <c r="A2471" i="2"/>
  <c r="H2470" i="2"/>
  <c r="G2470" i="2"/>
  <c r="F2470" i="2"/>
  <c r="E2470" i="2"/>
  <c r="D2470" i="2"/>
  <c r="L2470" i="2"/>
  <c r="K2470" i="2"/>
  <c r="J2470" i="2"/>
  <c r="I2470" i="2"/>
  <c r="A2470" i="2"/>
  <c r="D2469" i="2"/>
  <c r="A2469" i="2"/>
  <c r="K2468" i="2"/>
  <c r="A2468" i="2"/>
  <c r="I2467" i="2"/>
  <c r="A2467" i="2"/>
  <c r="G2466" i="2"/>
  <c r="A2466" i="2"/>
  <c r="E2465" i="2"/>
  <c r="D2465" i="2"/>
  <c r="A2465" i="2"/>
  <c r="L2464" i="2"/>
  <c r="K2464" i="2"/>
  <c r="A2464" i="2"/>
  <c r="J2463" i="2"/>
  <c r="I2463" i="2"/>
  <c r="A2463" i="2"/>
  <c r="H2462" i="2"/>
  <c r="G2462" i="2"/>
  <c r="A2462" i="2"/>
  <c r="F2461" i="2"/>
  <c r="E2461" i="2"/>
  <c r="D2461" i="2"/>
  <c r="L2461" i="2"/>
  <c r="K2461" i="2"/>
  <c r="J2461" i="2"/>
  <c r="I2461" i="2"/>
  <c r="H2461" i="2"/>
  <c r="G2461" i="2"/>
  <c r="A2461" i="2"/>
  <c r="I2460" i="2"/>
  <c r="A2460" i="2"/>
  <c r="G2459" i="2"/>
  <c r="A2459" i="2"/>
  <c r="E2458" i="2"/>
  <c r="A2458" i="2"/>
  <c r="L2457" i="2"/>
  <c r="A2457" i="2"/>
  <c r="J2456" i="2"/>
  <c r="I2456" i="2"/>
  <c r="A2456" i="2"/>
  <c r="H2455" i="2"/>
  <c r="G2455" i="2"/>
  <c r="A2455" i="2"/>
  <c r="F2454" i="2"/>
  <c r="E2454" i="2"/>
  <c r="A2454" i="2"/>
  <c r="D2453" i="2"/>
  <c r="L2453" i="2"/>
  <c r="A2453" i="2"/>
  <c r="K2452" i="2"/>
  <c r="J2452" i="2"/>
  <c r="I2452" i="2"/>
  <c r="H2452" i="2"/>
  <c r="G2452" i="2"/>
  <c r="F2452" i="2"/>
  <c r="E2452" i="2"/>
  <c r="D2452" i="2"/>
  <c r="L2452" i="2"/>
  <c r="A2452" i="2"/>
  <c r="E2451" i="2"/>
  <c r="A2451" i="2"/>
  <c r="L2450" i="2"/>
  <c r="A2450" i="2"/>
  <c r="J2449" i="2"/>
  <c r="A2449" i="2"/>
  <c r="H2448" i="2"/>
  <c r="A2448" i="2"/>
  <c r="F2447" i="2"/>
  <c r="E2447" i="2"/>
  <c r="A2447" i="2"/>
  <c r="D2446" i="2"/>
  <c r="L2446" i="2"/>
  <c r="A2446" i="2"/>
  <c r="K2445" i="2"/>
  <c r="J2445" i="2"/>
  <c r="A2445" i="2"/>
  <c r="I2444" i="2"/>
  <c r="H2444" i="2"/>
  <c r="A2444" i="2"/>
  <c r="G2443" i="2"/>
  <c r="F2443" i="2"/>
  <c r="E2443" i="2"/>
  <c r="D2443" i="2"/>
  <c r="L2443" i="2"/>
  <c r="K2443" i="2"/>
  <c r="J2443" i="2"/>
  <c r="I2443" i="2"/>
  <c r="H2443" i="2"/>
  <c r="A2443" i="2"/>
  <c r="D2442" i="2"/>
  <c r="A2442" i="2"/>
  <c r="K2441" i="2"/>
  <c r="A2441" i="2"/>
  <c r="I2440" i="2"/>
  <c r="A2440" i="2"/>
  <c r="G2439" i="2"/>
  <c r="A2439" i="2"/>
  <c r="E2438" i="2"/>
  <c r="D2438" i="2"/>
  <c r="A2438" i="2"/>
  <c r="L2437" i="2"/>
  <c r="K2437" i="2"/>
  <c r="A2437" i="2"/>
  <c r="J2436" i="2"/>
  <c r="I2436" i="2"/>
  <c r="A2436" i="2"/>
  <c r="H2435" i="2"/>
  <c r="G2435" i="2"/>
  <c r="A2435" i="2"/>
  <c r="F2434" i="2"/>
  <c r="E2434" i="2"/>
  <c r="A2434" i="2"/>
  <c r="D2433" i="2"/>
  <c r="L2433" i="2"/>
  <c r="K2433" i="2"/>
  <c r="J2433" i="2"/>
  <c r="I2433" i="2"/>
  <c r="H2433" i="2"/>
  <c r="G2433" i="2"/>
  <c r="F2433" i="2"/>
  <c r="E2433" i="2"/>
  <c r="A2433" i="2"/>
  <c r="I2432" i="2"/>
  <c r="A2432" i="2"/>
  <c r="G2431" i="2"/>
  <c r="A2431" i="2"/>
  <c r="E2430" i="2"/>
  <c r="A2430" i="2"/>
  <c r="L2429" i="2"/>
  <c r="A2429" i="2"/>
  <c r="J2428" i="2"/>
  <c r="I2428" i="2"/>
  <c r="A2428" i="2"/>
  <c r="H2427" i="2"/>
  <c r="G2427" i="2"/>
  <c r="A2427" i="2"/>
  <c r="F2426" i="2"/>
  <c r="E2426" i="2"/>
  <c r="A2426" i="2"/>
  <c r="D2425" i="2"/>
  <c r="L2425" i="2"/>
  <c r="A2425" i="2"/>
  <c r="K2424" i="2"/>
  <c r="J2424" i="2"/>
  <c r="A2424" i="2"/>
  <c r="I2423" i="2"/>
  <c r="H2423" i="2"/>
  <c r="G2423" i="2"/>
  <c r="F2423" i="2"/>
  <c r="E2423" i="2"/>
  <c r="D2423" i="2"/>
  <c r="L2423" i="2"/>
  <c r="K2423" i="2"/>
  <c r="J2423" i="2"/>
  <c r="A2423" i="2"/>
  <c r="E2422" i="2"/>
  <c r="A2422" i="2"/>
  <c r="L2421" i="2"/>
  <c r="A2421" i="2"/>
  <c r="J2420" i="2"/>
  <c r="A2420" i="2"/>
  <c r="H2419" i="2"/>
  <c r="A2419" i="2"/>
  <c r="F2418" i="2"/>
  <c r="E2418" i="2"/>
  <c r="A2418" i="2"/>
  <c r="D2417" i="2"/>
  <c r="L2417" i="2"/>
  <c r="A2417" i="2"/>
  <c r="K2416" i="2"/>
  <c r="J2416" i="2"/>
  <c r="A2416" i="2"/>
  <c r="I2415" i="2"/>
  <c r="H2415" i="2"/>
  <c r="A2415" i="2"/>
  <c r="G2414" i="2"/>
  <c r="F2414" i="2"/>
  <c r="E2414" i="2"/>
  <c r="D2414" i="2"/>
  <c r="L2414" i="2"/>
  <c r="K2414" i="2"/>
  <c r="J2414" i="2"/>
  <c r="I2414" i="2"/>
  <c r="H2414" i="2"/>
  <c r="A2414" i="2"/>
  <c r="D2413" i="2"/>
  <c r="A2413" i="2"/>
  <c r="K2412" i="2"/>
  <c r="A2412" i="2"/>
  <c r="I2411" i="2"/>
  <c r="A2411" i="2"/>
  <c r="G2410" i="2"/>
  <c r="A2410" i="2"/>
  <c r="E2409" i="2"/>
  <c r="D2409" i="2"/>
  <c r="A2409" i="2"/>
  <c r="L2408" i="2"/>
  <c r="K2408" i="2"/>
  <c r="A2408" i="2"/>
  <c r="J2407" i="2"/>
  <c r="I2407" i="2"/>
  <c r="A2407" i="2"/>
  <c r="H2406" i="2"/>
  <c r="G2406" i="2"/>
  <c r="A2406" i="2"/>
  <c r="F2405" i="2"/>
  <c r="E2405" i="2"/>
  <c r="A2405" i="2"/>
  <c r="D2404" i="2"/>
  <c r="L2404" i="2"/>
  <c r="K2404" i="2"/>
  <c r="J2404" i="2"/>
  <c r="I2404" i="2"/>
  <c r="H2404" i="2"/>
  <c r="G2404" i="2"/>
  <c r="F2404" i="2"/>
  <c r="E2404" i="2"/>
  <c r="A2404" i="2"/>
  <c r="I2403" i="2"/>
  <c r="A2403" i="2"/>
  <c r="G2402" i="2"/>
  <c r="A2402" i="2"/>
  <c r="E2401" i="2"/>
  <c r="A2401" i="2"/>
  <c r="L2400" i="2"/>
  <c r="A2400" i="2"/>
  <c r="J2399" i="2"/>
  <c r="I2399" i="2"/>
  <c r="A2399" i="2"/>
  <c r="H2398" i="2"/>
  <c r="G2398" i="2"/>
  <c r="A2398" i="2"/>
  <c r="F2397" i="2"/>
  <c r="E2397" i="2"/>
  <c r="A2397" i="2"/>
  <c r="D2396" i="2"/>
  <c r="L2396" i="2"/>
  <c r="A2396" i="2"/>
  <c r="K2395" i="2"/>
  <c r="J2395" i="2"/>
  <c r="I2395" i="2"/>
  <c r="H2395" i="2"/>
  <c r="G2395" i="2"/>
  <c r="F2395" i="2"/>
  <c r="E2395" i="2"/>
  <c r="D2395" i="2"/>
  <c r="L2395" i="2"/>
  <c r="A2395" i="2"/>
  <c r="E2394" i="2"/>
  <c r="A2394" i="2"/>
  <c r="L2393" i="2"/>
  <c r="A2393" i="2"/>
  <c r="J2392" i="2"/>
  <c r="A2392" i="2"/>
  <c r="H2391" i="2"/>
  <c r="A2391" i="2"/>
  <c r="F2390" i="2"/>
  <c r="E2390" i="2"/>
  <c r="A2390" i="2"/>
  <c r="D2389" i="2"/>
  <c r="L2389" i="2"/>
  <c r="A2389" i="2"/>
  <c r="K2388" i="2"/>
  <c r="J2388" i="2"/>
  <c r="A2388" i="2"/>
  <c r="I2387" i="2"/>
  <c r="H2387" i="2"/>
  <c r="A2387" i="2"/>
  <c r="G2386" i="2"/>
  <c r="F2386" i="2"/>
  <c r="A2386" i="2"/>
  <c r="E2385" i="2"/>
  <c r="D2385" i="2"/>
  <c r="L2385" i="2"/>
  <c r="K2385" i="2"/>
  <c r="J2385" i="2"/>
  <c r="I2385" i="2"/>
  <c r="H2385" i="2"/>
  <c r="G2385" i="2"/>
  <c r="F2385" i="2"/>
  <c r="A2385" i="2"/>
  <c r="J2384" i="2"/>
  <c r="A2384" i="2"/>
  <c r="H2383" i="2"/>
  <c r="A2383" i="2"/>
  <c r="F2382" i="2"/>
  <c r="A2382" i="2"/>
  <c r="D2381" i="2"/>
  <c r="A2381" i="2"/>
  <c r="K2380" i="2"/>
  <c r="J2380" i="2"/>
  <c r="A2380" i="2"/>
  <c r="I2379" i="2"/>
  <c r="H2379" i="2"/>
  <c r="A2379" i="2"/>
  <c r="G2378" i="2"/>
  <c r="F2378" i="2"/>
  <c r="A2378" i="2"/>
  <c r="E2377" i="2"/>
  <c r="D2377" i="2"/>
  <c r="A2377" i="2"/>
  <c r="L2376" i="2"/>
  <c r="K2376" i="2"/>
  <c r="A2376" i="2"/>
  <c r="J2375" i="2"/>
  <c r="I2375" i="2"/>
  <c r="H2375" i="2"/>
  <c r="G2375" i="2"/>
  <c r="F2375" i="2"/>
  <c r="E2375" i="2"/>
  <c r="D2375" i="2"/>
  <c r="L2375" i="2"/>
  <c r="K2375" i="2"/>
  <c r="A2375" i="2"/>
  <c r="F2374" i="2"/>
  <c r="A2374" i="2"/>
  <c r="D2373" i="2"/>
  <c r="A2373" i="2"/>
  <c r="K2372" i="2"/>
  <c r="A2372" i="2"/>
  <c r="I2371" i="2"/>
  <c r="A2371" i="2"/>
  <c r="G2370" i="2"/>
  <c r="F2370" i="2"/>
  <c r="A2370" i="2"/>
  <c r="E2369" i="2"/>
  <c r="D2369" i="2"/>
  <c r="A2369" i="2"/>
  <c r="L2368" i="2"/>
  <c r="K2368" i="2"/>
  <c r="A2368" i="2"/>
  <c r="J2367" i="2"/>
  <c r="I2367" i="2"/>
  <c r="A2367" i="2"/>
  <c r="H2366" i="2"/>
  <c r="G2366" i="2"/>
  <c r="A2366" i="2"/>
  <c r="F2365" i="2"/>
  <c r="E2365" i="2"/>
  <c r="D2365" i="2"/>
  <c r="L2365" i="2"/>
  <c r="K2365" i="2"/>
  <c r="J2365" i="2"/>
  <c r="I2365" i="2"/>
  <c r="H2365" i="2"/>
  <c r="G2365" i="2"/>
  <c r="A2365" i="2"/>
  <c r="K2364" i="2"/>
  <c r="A2364" i="2"/>
  <c r="I2363" i="2"/>
  <c r="A2363" i="2"/>
  <c r="G2362" i="2"/>
  <c r="A2362" i="2"/>
  <c r="E2361" i="2"/>
  <c r="A2361" i="2"/>
  <c r="L2360" i="2"/>
  <c r="K2360" i="2"/>
  <c r="A2360" i="2"/>
  <c r="J2359" i="2"/>
  <c r="I2359" i="2"/>
  <c r="A2359" i="2"/>
  <c r="H2358" i="2"/>
  <c r="G2358" i="2"/>
  <c r="A2358" i="2"/>
  <c r="F2357" i="2"/>
  <c r="E2357" i="2"/>
  <c r="A2357" i="2"/>
  <c r="D2356" i="2"/>
  <c r="L2356" i="2"/>
  <c r="A2356" i="2"/>
  <c r="K2355" i="2"/>
  <c r="J2355" i="2"/>
  <c r="I2355" i="2"/>
  <c r="H2355" i="2"/>
  <c r="G2355" i="2"/>
  <c r="F2355" i="2"/>
  <c r="E2355" i="2"/>
  <c r="D2355" i="2"/>
  <c r="L2355" i="2"/>
  <c r="A2355" i="2"/>
  <c r="G2354" i="2"/>
  <c r="A2354" i="2"/>
  <c r="E2353" i="2"/>
  <c r="A2353" i="2"/>
  <c r="L2352" i="2"/>
  <c r="A2352" i="2"/>
  <c r="J2351" i="2"/>
  <c r="A2351" i="2"/>
  <c r="H2350" i="2"/>
  <c r="G2350" i="2"/>
  <c r="A2350" i="2"/>
  <c r="F2349" i="2"/>
  <c r="E2349" i="2"/>
  <c r="A2349" i="2"/>
  <c r="D2348" i="2"/>
  <c r="L2348" i="2"/>
  <c r="A2348" i="2"/>
  <c r="K2347" i="2"/>
  <c r="J2347" i="2"/>
  <c r="A2347" i="2"/>
  <c r="I2346" i="2"/>
  <c r="H2346" i="2"/>
  <c r="G2346" i="2"/>
  <c r="F2346" i="2"/>
  <c r="E2346" i="2"/>
  <c r="D2346" i="2"/>
  <c r="L2346" i="2"/>
  <c r="K2346" i="2"/>
  <c r="J2346" i="2"/>
  <c r="A2346" i="2"/>
  <c r="E2345" i="2"/>
  <c r="A2345" i="2"/>
  <c r="L2344" i="2"/>
  <c r="A2344" i="2"/>
  <c r="J2343" i="2"/>
  <c r="A2343" i="2"/>
  <c r="H2342" i="2"/>
  <c r="A2342" i="2"/>
  <c r="F2341" i="2"/>
  <c r="E2341" i="2"/>
  <c r="A2341" i="2"/>
  <c r="D2340" i="2"/>
  <c r="L2340" i="2"/>
  <c r="A2340" i="2"/>
  <c r="K2339" i="2"/>
  <c r="J2339" i="2"/>
  <c r="A2339" i="2"/>
  <c r="I2338" i="2"/>
  <c r="H2338" i="2"/>
  <c r="A2338" i="2"/>
  <c r="G2337" i="2"/>
  <c r="F2337" i="2"/>
  <c r="A2337" i="2"/>
  <c r="E2336" i="2"/>
  <c r="D2336" i="2"/>
  <c r="L2336" i="2"/>
  <c r="K2336" i="2"/>
  <c r="J2336" i="2"/>
  <c r="I2336" i="2"/>
  <c r="H2336" i="2"/>
  <c r="G2336" i="2"/>
  <c r="F2336" i="2"/>
  <c r="A2336" i="2"/>
  <c r="J2335" i="2"/>
  <c r="A2335" i="2"/>
  <c r="H2334" i="2"/>
  <c r="A2334" i="2"/>
  <c r="F2333" i="2"/>
  <c r="A2333" i="2"/>
  <c r="D2332" i="2"/>
  <c r="A2332" i="2"/>
  <c r="K2331" i="2"/>
  <c r="J2331" i="2"/>
  <c r="A2331" i="2"/>
  <c r="I2330" i="2"/>
  <c r="H2330" i="2"/>
  <c r="A2330" i="2"/>
  <c r="G2329" i="2"/>
  <c r="F2329" i="2"/>
  <c r="A2329" i="2"/>
  <c r="E2328" i="2"/>
  <c r="D2328" i="2"/>
  <c r="A2328" i="2"/>
  <c r="L2327" i="2"/>
  <c r="K2327" i="2"/>
  <c r="A2327" i="2"/>
  <c r="J2326" i="2"/>
  <c r="I2326" i="2"/>
  <c r="H2326" i="2"/>
  <c r="G2326" i="2"/>
  <c r="F2326" i="2"/>
  <c r="E2326" i="2"/>
  <c r="D2326" i="2"/>
  <c r="L2326" i="2"/>
  <c r="K2326" i="2"/>
  <c r="A2326" i="2"/>
  <c r="H2325" i="2"/>
  <c r="A2325" i="2"/>
  <c r="F2324" i="2"/>
  <c r="A2324" i="2"/>
  <c r="D2323" i="2"/>
  <c r="A2323" i="2"/>
  <c r="K2322" i="2"/>
  <c r="A2322" i="2"/>
  <c r="I2321" i="2"/>
  <c r="H2321" i="2"/>
  <c r="A2321" i="2"/>
  <c r="G2320" i="2"/>
  <c r="F2320" i="2"/>
  <c r="A2320" i="2"/>
  <c r="E2319" i="2"/>
  <c r="D2319" i="2"/>
  <c r="A2319" i="2"/>
  <c r="L2318" i="2"/>
  <c r="K2318" i="2"/>
  <c r="A2318" i="2"/>
  <c r="J2317" i="2"/>
  <c r="I2317" i="2"/>
  <c r="H2317" i="2"/>
  <c r="G2317" i="2"/>
  <c r="F2317" i="2"/>
  <c r="E2317" i="2"/>
  <c r="D2317" i="2"/>
  <c r="L2317" i="2"/>
  <c r="K2317" i="2"/>
  <c r="A2317" i="2"/>
  <c r="G2316" i="2"/>
  <c r="A2316" i="2"/>
  <c r="E2315" i="2"/>
  <c r="A2315" i="2"/>
  <c r="L2314" i="2"/>
  <c r="A2314" i="2"/>
  <c r="J2313" i="2"/>
  <c r="A2313" i="2"/>
  <c r="H2312" i="2"/>
  <c r="G2312" i="2"/>
  <c r="A2312" i="2"/>
  <c r="F2311" i="2"/>
  <c r="E2311" i="2"/>
  <c r="A2311" i="2"/>
  <c r="D2310" i="2"/>
  <c r="L2310" i="2"/>
  <c r="A2310" i="2"/>
  <c r="K2309" i="2"/>
  <c r="J2309" i="2"/>
  <c r="A2309" i="2"/>
  <c r="I2308" i="2"/>
  <c r="H2308" i="2"/>
  <c r="A2308" i="2"/>
  <c r="G2307" i="2"/>
  <c r="F2307" i="2"/>
  <c r="E2307" i="2"/>
  <c r="D2307" i="2"/>
  <c r="L2307" i="2"/>
  <c r="K2307" i="2"/>
  <c r="J2307" i="2"/>
  <c r="I2307" i="2"/>
  <c r="H2307" i="2"/>
  <c r="A2307" i="2"/>
  <c r="L2306" i="2"/>
  <c r="A2306" i="2"/>
  <c r="J2305" i="2"/>
  <c r="A2305" i="2"/>
  <c r="H2304" i="2"/>
  <c r="A2304" i="2"/>
  <c r="F2303" i="2"/>
  <c r="A2303" i="2"/>
  <c r="D2302" i="2"/>
  <c r="L2302" i="2"/>
  <c r="A2302" i="2"/>
  <c r="K2301" i="2"/>
  <c r="J2301" i="2"/>
  <c r="A2301" i="2"/>
  <c r="I2300" i="2"/>
  <c r="H2300" i="2"/>
  <c r="A2300" i="2"/>
  <c r="G2299" i="2"/>
  <c r="F2299" i="2"/>
  <c r="A2299" i="2"/>
  <c r="E2298" i="2"/>
  <c r="D2298" i="2"/>
  <c r="L2298" i="2"/>
  <c r="K2298" i="2"/>
  <c r="J2298" i="2"/>
  <c r="I2298" i="2"/>
  <c r="H2298" i="2"/>
  <c r="G2298" i="2"/>
  <c r="F2298" i="2"/>
  <c r="A2298" i="2"/>
  <c r="J2297" i="2"/>
  <c r="A2297" i="2"/>
  <c r="H2296" i="2"/>
  <c r="A2296" i="2"/>
  <c r="F2295" i="2"/>
  <c r="A2295" i="2"/>
  <c r="D2294" i="2"/>
  <c r="A2294" i="2"/>
  <c r="K2293" i="2"/>
  <c r="J2293" i="2"/>
  <c r="A2293" i="2"/>
  <c r="I2292" i="2"/>
  <c r="H2292" i="2"/>
  <c r="A2292" i="2"/>
  <c r="G2291" i="2"/>
  <c r="F2291" i="2"/>
  <c r="A2291" i="2"/>
  <c r="E2290" i="2"/>
  <c r="D2290" i="2"/>
  <c r="A2290" i="2"/>
  <c r="L2289" i="2"/>
  <c r="K2289" i="2"/>
  <c r="J2289" i="2"/>
  <c r="I2289" i="2"/>
  <c r="H2289" i="2"/>
  <c r="G2289" i="2"/>
  <c r="F2289" i="2"/>
  <c r="E2289" i="2"/>
  <c r="D2289" i="2"/>
  <c r="A2289" i="2"/>
  <c r="H2288" i="2"/>
  <c r="A2288" i="2"/>
  <c r="F2287" i="2"/>
  <c r="A2287" i="2"/>
  <c r="D2286" i="2"/>
  <c r="A2286" i="2"/>
  <c r="K2285" i="2"/>
  <c r="A2285" i="2"/>
  <c r="I2284" i="2"/>
  <c r="H2284" i="2"/>
  <c r="A2284" i="2"/>
  <c r="G2283" i="2"/>
  <c r="F2283" i="2"/>
  <c r="A2283" i="2"/>
  <c r="E2282" i="2"/>
  <c r="D2282" i="2"/>
  <c r="A2282" i="2"/>
  <c r="L2281" i="2"/>
  <c r="K2281" i="2"/>
  <c r="A2281" i="2"/>
  <c r="J2280" i="2"/>
  <c r="I2280" i="2"/>
  <c r="A2280" i="2"/>
  <c r="H2279" i="2"/>
  <c r="G2279" i="2"/>
  <c r="F2279" i="2"/>
  <c r="E2279" i="2"/>
  <c r="D2279" i="2"/>
  <c r="L2279" i="2"/>
  <c r="K2279" i="2"/>
  <c r="J2279" i="2"/>
  <c r="I2279" i="2"/>
  <c r="A2279" i="2"/>
  <c r="D2278" i="2"/>
  <c r="A2278" i="2"/>
  <c r="K2277" i="2"/>
  <c r="A2277" i="2"/>
  <c r="I2276" i="2"/>
  <c r="A2276" i="2"/>
  <c r="G2275" i="2"/>
  <c r="F2275" i="2"/>
  <c r="A2275" i="2"/>
  <c r="E2274" i="2"/>
  <c r="D2274" i="2"/>
  <c r="A2274" i="2"/>
  <c r="L2273" i="2"/>
  <c r="K2273" i="2"/>
  <c r="A2273" i="2"/>
  <c r="J2272" i="2"/>
  <c r="I2272" i="2"/>
  <c r="A2272" i="2"/>
  <c r="H2271" i="2"/>
  <c r="G2271" i="2"/>
  <c r="A2271" i="2"/>
  <c r="F2270" i="2"/>
  <c r="E2270" i="2"/>
  <c r="D2270" i="2"/>
  <c r="L2270" i="2"/>
  <c r="K2270" i="2"/>
  <c r="J2270" i="2"/>
  <c r="I2270" i="2"/>
  <c r="H2270" i="2"/>
  <c r="G2270" i="2"/>
  <c r="A2270" i="2"/>
  <c r="K2269" i="2"/>
  <c r="A2269" i="2"/>
  <c r="I2268" i="2"/>
  <c r="A2268" i="2"/>
  <c r="G2267" i="2"/>
  <c r="A2267" i="2"/>
  <c r="E2266" i="2"/>
  <c r="A2266" i="2"/>
  <c r="L2265" i="2"/>
  <c r="K2265" i="2"/>
  <c r="A2265" i="2"/>
  <c r="J2264" i="2"/>
  <c r="I2264" i="2"/>
  <c r="A2264" i="2"/>
  <c r="H2263" i="2"/>
  <c r="G2263" i="2"/>
  <c r="A2263" i="2"/>
  <c r="F2262" i="2"/>
  <c r="E2262" i="2"/>
  <c r="A2262" i="2"/>
  <c r="D2261" i="2"/>
  <c r="L2261" i="2"/>
  <c r="K2261" i="2"/>
  <c r="J2261" i="2"/>
  <c r="I2261" i="2"/>
  <c r="H2261" i="2"/>
  <c r="G2261" i="2"/>
  <c r="F2261" i="2"/>
  <c r="E2261" i="2"/>
  <c r="A2261" i="2"/>
  <c r="I2260" i="2"/>
  <c r="A2260" i="2"/>
  <c r="G2259" i="2"/>
  <c r="A2259" i="2"/>
  <c r="E2258" i="2"/>
  <c r="A2258" i="2"/>
  <c r="L2257" i="2"/>
  <c r="A2257" i="2"/>
  <c r="J2256" i="2"/>
  <c r="I2256" i="2"/>
  <c r="A2256" i="2"/>
  <c r="H2255" i="2"/>
  <c r="G2255" i="2"/>
  <c r="A2255" i="2"/>
  <c r="F2254" i="2"/>
  <c r="E2254" i="2"/>
  <c r="A2254" i="2"/>
  <c r="D2253" i="2"/>
  <c r="L2253" i="2"/>
  <c r="A2253" i="2"/>
  <c r="K2252" i="2"/>
  <c r="J2252" i="2"/>
  <c r="A2252" i="2"/>
  <c r="I2251" i="2"/>
  <c r="H2251" i="2"/>
  <c r="G2251" i="2"/>
  <c r="F2251" i="2"/>
  <c r="E2251" i="2"/>
  <c r="D2251" i="2"/>
  <c r="L2251" i="2"/>
  <c r="K2251" i="2"/>
  <c r="J2251" i="2"/>
  <c r="A2251" i="2"/>
  <c r="E2250" i="2"/>
  <c r="A2250" i="2"/>
  <c r="L2249" i="2"/>
  <c r="A2249" i="2"/>
  <c r="J2248" i="2"/>
  <c r="A2248" i="2"/>
  <c r="H2247" i="2"/>
  <c r="G2247" i="2"/>
  <c r="A2247" i="2"/>
  <c r="F2246" i="2"/>
  <c r="E2246" i="2"/>
  <c r="A2246" i="2"/>
  <c r="D2245" i="2"/>
  <c r="L2245" i="2"/>
  <c r="A2245" i="2"/>
  <c r="K2244" i="2"/>
  <c r="J2244" i="2"/>
  <c r="A2244" i="2"/>
  <c r="I2243" i="2"/>
  <c r="H2243" i="2"/>
  <c r="A2243" i="2"/>
  <c r="G2242" i="2"/>
  <c r="F2242" i="2"/>
  <c r="E2242" i="2"/>
  <c r="D2242" i="2"/>
  <c r="L2242" i="2"/>
  <c r="K2242" i="2"/>
  <c r="J2242" i="2"/>
  <c r="I2242" i="2"/>
  <c r="H2242" i="2"/>
  <c r="A2242" i="2"/>
  <c r="L2241" i="2"/>
  <c r="A2241" i="2"/>
  <c r="J2240" i="2"/>
  <c r="A2240" i="2"/>
  <c r="H2239" i="2"/>
  <c r="A2239" i="2"/>
  <c r="F2238" i="2"/>
  <c r="E2238" i="2"/>
  <c r="A2238" i="2"/>
  <c r="D2237" i="2"/>
  <c r="L2237" i="2"/>
  <c r="A2237" i="2"/>
  <c r="K2236" i="2"/>
  <c r="J2236" i="2"/>
  <c r="A2236" i="2"/>
  <c r="I2235" i="2"/>
  <c r="H2235" i="2"/>
  <c r="A2235" i="2"/>
  <c r="G2234" i="2"/>
  <c r="F2234" i="2"/>
  <c r="A2234" i="2"/>
  <c r="E2233" i="2"/>
  <c r="D2233" i="2"/>
  <c r="L2233" i="2"/>
  <c r="K2233" i="2"/>
  <c r="J2233" i="2"/>
  <c r="I2233" i="2"/>
  <c r="H2233" i="2"/>
  <c r="G2233" i="2"/>
  <c r="F2233" i="2"/>
  <c r="A2233" i="2"/>
  <c r="L2232" i="2"/>
  <c r="A2232" i="2"/>
  <c r="J2231" i="2"/>
  <c r="A2231" i="2"/>
  <c r="H2230" i="2"/>
  <c r="A2230" i="2"/>
  <c r="F2229" i="2"/>
  <c r="A2229" i="2"/>
  <c r="D2228" i="2"/>
  <c r="L2228" i="2"/>
  <c r="A2228" i="2"/>
  <c r="K2227" i="2"/>
  <c r="J2227" i="2"/>
  <c r="A2227" i="2"/>
  <c r="I2226" i="2"/>
  <c r="H2226" i="2"/>
  <c r="A2226" i="2"/>
  <c r="G2225" i="2"/>
  <c r="F2225" i="2"/>
  <c r="A2225" i="2"/>
  <c r="E2224" i="2"/>
  <c r="D2224" i="2"/>
  <c r="A2224" i="2"/>
  <c r="L2223" i="2"/>
  <c r="K2223" i="2"/>
  <c r="J2223" i="2"/>
  <c r="I2223" i="2"/>
  <c r="H2223" i="2"/>
  <c r="G2223" i="2"/>
  <c r="F2223" i="2"/>
  <c r="E2223" i="2"/>
  <c r="D2223" i="2"/>
  <c r="A2223" i="2"/>
  <c r="H2222" i="2"/>
  <c r="A2222" i="2"/>
  <c r="F2221" i="2"/>
  <c r="A2221" i="2"/>
  <c r="D2220" i="2"/>
  <c r="A2220" i="2"/>
  <c r="K2219" i="2"/>
  <c r="J2219" i="2"/>
  <c r="A2219" i="2"/>
  <c r="I2218" i="2"/>
  <c r="H2218" i="2"/>
  <c r="A2218" i="2"/>
  <c r="G2217" i="2"/>
  <c r="F2217" i="2"/>
  <c r="A2217" i="2"/>
  <c r="E2216" i="2"/>
  <c r="D2216" i="2"/>
  <c r="A2216" i="2"/>
  <c r="L2215" i="2"/>
  <c r="K2215" i="2"/>
  <c r="J2215" i="2"/>
  <c r="I2215" i="2"/>
  <c r="H2215" i="2"/>
  <c r="G2215" i="2"/>
  <c r="F2215" i="2"/>
  <c r="E2215" i="2"/>
  <c r="D2215" i="2"/>
  <c r="A2215" i="2"/>
  <c r="H2214" i="2"/>
  <c r="A2214" i="2"/>
  <c r="F2213" i="2"/>
  <c r="A2213" i="2"/>
  <c r="D2212" i="2"/>
  <c r="A2212" i="2"/>
  <c r="K2211" i="2"/>
  <c r="J2211" i="2"/>
  <c r="A2211" i="2"/>
  <c r="I2210" i="2"/>
  <c r="H2210" i="2"/>
  <c r="A2210" i="2"/>
  <c r="G2209" i="2"/>
  <c r="F2209" i="2"/>
  <c r="A2209" i="2"/>
  <c r="E2208" i="2"/>
  <c r="D2208" i="2"/>
  <c r="A2208" i="2"/>
  <c r="L2207" i="2"/>
  <c r="K2207" i="2"/>
  <c r="J2207" i="2"/>
  <c r="I2207" i="2"/>
  <c r="H2207" i="2"/>
  <c r="G2207" i="2"/>
  <c r="F2207" i="2"/>
  <c r="E2207" i="2"/>
  <c r="D2207" i="2"/>
  <c r="A2207" i="2"/>
  <c r="H2206" i="2"/>
  <c r="A2206" i="2"/>
  <c r="F2205" i="2"/>
  <c r="A2205" i="2"/>
  <c r="D2204" i="2"/>
  <c r="A2204" i="2"/>
  <c r="K2203" i="2"/>
  <c r="J2203" i="2"/>
  <c r="A2203" i="2"/>
  <c r="I2202" i="2"/>
  <c r="H2202" i="2"/>
  <c r="A2202" i="2"/>
  <c r="G2201" i="2"/>
  <c r="F2201" i="2"/>
  <c r="A2201" i="2"/>
  <c r="E2200" i="2"/>
  <c r="D2200" i="2"/>
  <c r="A2200" i="2"/>
  <c r="L2199" i="2"/>
  <c r="K2199" i="2"/>
  <c r="J2199" i="2"/>
  <c r="I2199" i="2"/>
  <c r="H2199" i="2"/>
  <c r="G2199" i="2"/>
  <c r="F2199" i="2"/>
  <c r="E2199" i="2"/>
  <c r="D2199" i="2"/>
  <c r="A2199" i="2"/>
  <c r="H2198" i="2"/>
  <c r="A2198" i="2"/>
  <c r="F2197" i="2"/>
  <c r="A2197" i="2"/>
  <c r="D2196" i="2"/>
  <c r="A2196" i="2"/>
  <c r="K2195" i="2"/>
  <c r="J2195" i="2"/>
  <c r="A2195" i="2"/>
  <c r="I2194" i="2"/>
  <c r="H2194" i="2"/>
  <c r="A2194" i="2"/>
  <c r="G2193" i="2"/>
  <c r="F2193" i="2"/>
  <c r="A2193" i="2"/>
  <c r="E2192" i="2"/>
  <c r="D2192" i="2"/>
  <c r="A2192" i="2"/>
  <c r="L2191" i="2"/>
  <c r="K2191" i="2"/>
  <c r="A2191" i="2"/>
  <c r="J2190" i="2"/>
  <c r="I2190" i="2"/>
  <c r="H2190" i="2"/>
  <c r="G2190" i="2"/>
  <c r="F2190" i="2"/>
  <c r="E2190" i="2"/>
  <c r="D2190" i="2"/>
  <c r="L2190" i="2"/>
  <c r="K2190" i="2"/>
  <c r="A2190" i="2"/>
  <c r="H2189" i="2"/>
  <c r="A2189" i="2"/>
  <c r="F2188" i="2"/>
  <c r="A2188" i="2"/>
  <c r="D2187" i="2"/>
  <c r="A2187" i="2"/>
  <c r="K2186" i="2"/>
  <c r="A2186" i="2"/>
  <c r="I2185" i="2"/>
  <c r="H2185" i="2"/>
  <c r="A2185" i="2"/>
  <c r="G2184" i="2"/>
  <c r="F2184" i="2"/>
  <c r="A2184" i="2"/>
  <c r="E2183" i="2"/>
  <c r="D2183" i="2"/>
  <c r="A2183" i="2"/>
  <c r="L2182" i="2"/>
  <c r="K2182" i="2"/>
  <c r="A2182" i="2"/>
  <c r="J2181" i="2"/>
  <c r="I2181" i="2"/>
  <c r="H2181" i="2"/>
  <c r="G2181" i="2"/>
  <c r="F2181" i="2"/>
  <c r="E2181" i="2"/>
  <c r="D2181" i="2"/>
  <c r="L2181" i="2"/>
  <c r="K2181" i="2"/>
  <c r="A2181" i="2"/>
  <c r="F2180" i="2"/>
  <c r="A2180" i="2"/>
  <c r="D2179" i="2"/>
  <c r="A2179" i="2"/>
  <c r="K2178" i="2"/>
  <c r="A2178" i="2"/>
  <c r="I2177" i="2"/>
  <c r="A2177" i="2"/>
  <c r="G2176" i="2"/>
  <c r="F2176" i="2"/>
  <c r="A2176" i="2"/>
  <c r="E2175" i="2"/>
  <c r="D2175" i="2"/>
  <c r="A2175" i="2"/>
  <c r="L2174" i="2"/>
  <c r="K2174" i="2"/>
  <c r="A2174" i="2"/>
  <c r="J2173" i="2"/>
  <c r="I2173" i="2"/>
  <c r="A2173" i="2"/>
  <c r="H2172" i="2"/>
  <c r="G2172" i="2"/>
  <c r="F2172" i="2"/>
  <c r="E2172" i="2"/>
  <c r="D2172" i="2"/>
  <c r="L2172" i="2"/>
  <c r="K2172" i="2"/>
  <c r="J2172" i="2"/>
  <c r="I2172" i="2"/>
  <c r="A2172" i="2"/>
  <c r="D2171" i="2"/>
  <c r="A2171" i="2"/>
  <c r="K2170" i="2"/>
  <c r="A2170" i="2"/>
  <c r="I2169" i="2"/>
  <c r="A2169" i="2"/>
  <c r="G2168" i="2"/>
  <c r="A2168" i="2"/>
  <c r="E2167" i="2"/>
  <c r="D2167" i="2"/>
  <c r="A2167" i="2"/>
  <c r="L2166" i="2"/>
  <c r="K2166" i="2"/>
  <c r="A2166" i="2"/>
  <c r="J2165" i="2"/>
  <c r="I2165" i="2"/>
  <c r="A2165" i="2"/>
  <c r="H2164" i="2"/>
  <c r="G2164" i="2"/>
  <c r="A2164" i="2"/>
  <c r="F2163" i="2"/>
  <c r="E2163" i="2"/>
  <c r="D2163" i="2"/>
  <c r="L2163" i="2"/>
  <c r="K2163" i="2"/>
  <c r="J2163" i="2"/>
  <c r="I2163" i="2"/>
  <c r="H2163" i="2"/>
  <c r="G2163" i="2"/>
  <c r="A2163" i="2"/>
  <c r="K2162" i="2"/>
  <c r="A2162" i="2"/>
  <c r="I2161" i="2"/>
  <c r="A2161" i="2"/>
  <c r="G2160" i="2"/>
  <c r="A2160" i="2"/>
  <c r="E2159" i="2"/>
  <c r="A2159" i="2"/>
  <c r="L2158" i="2"/>
  <c r="K2158" i="2"/>
  <c r="A2158" i="2"/>
  <c r="J2157" i="2"/>
  <c r="I2157" i="2"/>
  <c r="A2157" i="2"/>
  <c r="H2156" i="2"/>
  <c r="G2156" i="2"/>
  <c r="A2156" i="2"/>
  <c r="F2155" i="2"/>
  <c r="E2155" i="2"/>
  <c r="A2155" i="2"/>
  <c r="D2154" i="2"/>
  <c r="L2154" i="2"/>
  <c r="A2154" i="2"/>
  <c r="K2153" i="2"/>
  <c r="J2153" i="2"/>
  <c r="I2153" i="2"/>
  <c r="H2153" i="2"/>
  <c r="G2153" i="2"/>
  <c r="F2153" i="2"/>
  <c r="E2153" i="2"/>
  <c r="D2153" i="2"/>
  <c r="L2153" i="2"/>
  <c r="A2153" i="2"/>
  <c r="G2152" i="2"/>
  <c r="A2152" i="2"/>
  <c r="E2151" i="2"/>
  <c r="A2151" i="2"/>
  <c r="L2150" i="2"/>
  <c r="A2150" i="2"/>
  <c r="J2149" i="2"/>
  <c r="A2149" i="2"/>
  <c r="H2148" i="2"/>
  <c r="G2148" i="2"/>
  <c r="A2148" i="2"/>
  <c r="F2147" i="2"/>
  <c r="E2147" i="2"/>
  <c r="A2147" i="2"/>
  <c r="D2146" i="2"/>
  <c r="L2146" i="2"/>
  <c r="A2146" i="2"/>
  <c r="K2145" i="2"/>
  <c r="J2145" i="2"/>
  <c r="A2145" i="2"/>
  <c r="I2144" i="2"/>
  <c r="H2144" i="2"/>
  <c r="A2144" i="2"/>
  <c r="G2143" i="2"/>
  <c r="F2143" i="2"/>
  <c r="E2143" i="2"/>
  <c r="D2143" i="2"/>
  <c r="L2143" i="2"/>
  <c r="K2143" i="2"/>
  <c r="J2143" i="2"/>
  <c r="I2143" i="2"/>
  <c r="H2143" i="2"/>
  <c r="A2143" i="2"/>
  <c r="F2142" i="2"/>
  <c r="A2142" i="2"/>
  <c r="D2141" i="2"/>
  <c r="A2141" i="2"/>
  <c r="K2140" i="2"/>
  <c r="A2140" i="2"/>
  <c r="I2139" i="2"/>
  <c r="A2139" i="2"/>
  <c r="G2138" i="2"/>
  <c r="F2138" i="2"/>
  <c r="A2138" i="2"/>
  <c r="E2137" i="2"/>
  <c r="D2137" i="2"/>
  <c r="A2137" i="2"/>
  <c r="L2136" i="2"/>
  <c r="K2136" i="2"/>
  <c r="A2136" i="2"/>
  <c r="J2135" i="2"/>
  <c r="I2135" i="2"/>
  <c r="A2135" i="2"/>
  <c r="H2134" i="2"/>
  <c r="G2134" i="2"/>
  <c r="A2134" i="2"/>
  <c r="F2133" i="2"/>
  <c r="E2133" i="2"/>
  <c r="D2133" i="2"/>
  <c r="L2133" i="2"/>
  <c r="K2133" i="2"/>
  <c r="J2133" i="2"/>
  <c r="I2133" i="2"/>
  <c r="H2133" i="2"/>
  <c r="G2133" i="2"/>
  <c r="A2133" i="2"/>
  <c r="L2132" i="2"/>
  <c r="A2132" i="2"/>
  <c r="J2131" i="2"/>
  <c r="A2131" i="2"/>
  <c r="H2130" i="2"/>
  <c r="A2130" i="2"/>
  <c r="F2129" i="2"/>
  <c r="A2129" i="2"/>
  <c r="D2128" i="2"/>
  <c r="L2128" i="2"/>
  <c r="A2128" i="2"/>
  <c r="K2127" i="2"/>
  <c r="J2127" i="2"/>
  <c r="A2127" i="2"/>
  <c r="I2126" i="2"/>
  <c r="H2126" i="2"/>
  <c r="A2126" i="2"/>
  <c r="G2125" i="2"/>
  <c r="F2125" i="2"/>
  <c r="A2125" i="2"/>
  <c r="E2124" i="2"/>
  <c r="D2124" i="2"/>
  <c r="A2124" i="2"/>
  <c r="L2123" i="2"/>
  <c r="K2123" i="2"/>
  <c r="J2123" i="2"/>
  <c r="I2123" i="2"/>
  <c r="H2123" i="2"/>
  <c r="G2123" i="2"/>
  <c r="F2123" i="2"/>
  <c r="E2123" i="2"/>
  <c r="D2123" i="2"/>
  <c r="A2123" i="2"/>
  <c r="H2122" i="2"/>
  <c r="A2122" i="2"/>
  <c r="F2121" i="2"/>
  <c r="A2121" i="2"/>
  <c r="D2120" i="2"/>
  <c r="A2120" i="2"/>
  <c r="K2119" i="2"/>
  <c r="A2119" i="2"/>
  <c r="I2118" i="2"/>
  <c r="H2118" i="2"/>
  <c r="A2118" i="2"/>
  <c r="G2117" i="2"/>
  <c r="F2117" i="2"/>
  <c r="A2117" i="2"/>
  <c r="E2116" i="2"/>
  <c r="D2116" i="2"/>
  <c r="A2116" i="2"/>
  <c r="L2115" i="2"/>
  <c r="K2115" i="2"/>
  <c r="A2115" i="2"/>
  <c r="J2114" i="2"/>
  <c r="I2114" i="2"/>
  <c r="H2114" i="2"/>
  <c r="G2114" i="2"/>
  <c r="F2114" i="2"/>
  <c r="E2114" i="2"/>
  <c r="D2114" i="2"/>
  <c r="L2114" i="2"/>
  <c r="K2114" i="2"/>
  <c r="A2114" i="2"/>
  <c r="G2113" i="2"/>
  <c r="A2113" i="2"/>
  <c r="E2112" i="2"/>
  <c r="A2112" i="2"/>
  <c r="L2111" i="2"/>
  <c r="A2111" i="2"/>
  <c r="J2110" i="2"/>
  <c r="A2110" i="2"/>
  <c r="H2109" i="2"/>
  <c r="G2109" i="2"/>
  <c r="A2109" i="2"/>
  <c r="F2108" i="2"/>
  <c r="E2108" i="2"/>
  <c r="A2108" i="2"/>
  <c r="D2107" i="2"/>
  <c r="L2107" i="2"/>
  <c r="A2107" i="2"/>
  <c r="K2106" i="2"/>
  <c r="J2106" i="2"/>
  <c r="A2106" i="2"/>
  <c r="I2105" i="2"/>
  <c r="H2105" i="2"/>
  <c r="A2105" i="2"/>
  <c r="G2104" i="2"/>
  <c r="F2104" i="2"/>
  <c r="E2104" i="2"/>
  <c r="D2104" i="2"/>
  <c r="L2104" i="2"/>
  <c r="K2104" i="2"/>
  <c r="J2104" i="2"/>
  <c r="I2104" i="2"/>
  <c r="H2104" i="2"/>
  <c r="A2104" i="2"/>
  <c r="L2103" i="2"/>
  <c r="A2103" i="2"/>
  <c r="J2102" i="2"/>
  <c r="A2102" i="2"/>
  <c r="H2101" i="2"/>
  <c r="A2101" i="2"/>
  <c r="F2100" i="2"/>
  <c r="A2100" i="2"/>
  <c r="D2099" i="2"/>
  <c r="L2099" i="2"/>
  <c r="A2099" i="2"/>
  <c r="K2098" i="2"/>
  <c r="J2098" i="2"/>
  <c r="A2098" i="2"/>
  <c r="I2097" i="2"/>
  <c r="H2097" i="2"/>
  <c r="A2097" i="2"/>
  <c r="G2096" i="2"/>
  <c r="F2096" i="2"/>
  <c r="A2096" i="2"/>
  <c r="E2095" i="2"/>
  <c r="D2095" i="2"/>
  <c r="A2095" i="2"/>
  <c r="L2094" i="2"/>
  <c r="K2094" i="2"/>
  <c r="J2094" i="2"/>
  <c r="I2094" i="2"/>
  <c r="H2094" i="2"/>
  <c r="G2094" i="2"/>
  <c r="F2094" i="2"/>
  <c r="E2094" i="2"/>
  <c r="D2094" i="2"/>
  <c r="A2094" i="2"/>
  <c r="H2093" i="2"/>
  <c r="A2093" i="2"/>
  <c r="F2092" i="2"/>
  <c r="A2092" i="2"/>
  <c r="D2091" i="2"/>
  <c r="A2091" i="2"/>
  <c r="K2090" i="2"/>
  <c r="A2090" i="2"/>
  <c r="I2089" i="2"/>
  <c r="H2089" i="2"/>
  <c r="G2089" i="2"/>
  <c r="F2089" i="2"/>
  <c r="A2089" i="2"/>
  <c r="E2088" i="2"/>
  <c r="D2088" i="2"/>
  <c r="A2088" i="2"/>
  <c r="L2087" i="2"/>
  <c r="K2087" i="2"/>
  <c r="A2087" i="2"/>
  <c r="J2086" i="2"/>
  <c r="I2086" i="2"/>
  <c r="H2086" i="2"/>
  <c r="G2086" i="2"/>
  <c r="F2086" i="2"/>
  <c r="E2086" i="2"/>
  <c r="D2086" i="2"/>
  <c r="L2086" i="2"/>
  <c r="K2086" i="2"/>
  <c r="A2086" i="2"/>
  <c r="F2085" i="2"/>
  <c r="A2085" i="2"/>
  <c r="D2084" i="2"/>
  <c r="A2084" i="2"/>
  <c r="K2083" i="2"/>
  <c r="A2083" i="2"/>
  <c r="I2082" i="2"/>
  <c r="A2082" i="2"/>
  <c r="G2081" i="2"/>
  <c r="F2081" i="2"/>
  <c r="A2081" i="2"/>
  <c r="E2080" i="2"/>
  <c r="D2080" i="2"/>
  <c r="A2080" i="2"/>
  <c r="L2079" i="2"/>
  <c r="K2079" i="2"/>
  <c r="A2079" i="2"/>
  <c r="J2078" i="2"/>
  <c r="I2078" i="2"/>
  <c r="A2078" i="2"/>
  <c r="H2077" i="2"/>
  <c r="G2077" i="2"/>
  <c r="F2077" i="2"/>
  <c r="E2077" i="2"/>
  <c r="D2077" i="2"/>
  <c r="L2077" i="2"/>
  <c r="K2077" i="2"/>
  <c r="J2077" i="2"/>
  <c r="I2077" i="2"/>
  <c r="A2077" i="2"/>
  <c r="K2076" i="2"/>
  <c r="A2076" i="2"/>
  <c r="I2075" i="2"/>
  <c r="A2075" i="2"/>
  <c r="G2074" i="2"/>
  <c r="A2074" i="2"/>
  <c r="E2073" i="2"/>
  <c r="A2073" i="2"/>
  <c r="L2072" i="2"/>
  <c r="K2072" i="2"/>
  <c r="A2072" i="2"/>
  <c r="J2071" i="2"/>
  <c r="I2071" i="2"/>
  <c r="A2071" i="2"/>
  <c r="H2070" i="2"/>
  <c r="G2070" i="2"/>
  <c r="A2070" i="2"/>
  <c r="F2069" i="2"/>
  <c r="E2069" i="2"/>
  <c r="A2069" i="2"/>
  <c r="D2068" i="2"/>
  <c r="L2068" i="2"/>
  <c r="A2068" i="2"/>
  <c r="K2067" i="2"/>
  <c r="J2067" i="2"/>
  <c r="I2067" i="2"/>
  <c r="H2067" i="2"/>
  <c r="G2067" i="2"/>
  <c r="F2067" i="2"/>
  <c r="E2067" i="2"/>
  <c r="D2067" i="2"/>
  <c r="L2067" i="2"/>
  <c r="A2067" i="2"/>
  <c r="G2066" i="2"/>
  <c r="A2066" i="2"/>
  <c r="E2065" i="2"/>
  <c r="A2065" i="2"/>
  <c r="L2064" i="2"/>
  <c r="A2064" i="2"/>
  <c r="J2063" i="2"/>
  <c r="A2063" i="2"/>
  <c r="H2062" i="2"/>
  <c r="G2062" i="2"/>
  <c r="A2062" i="2"/>
  <c r="F2061" i="2"/>
  <c r="E2061" i="2"/>
  <c r="A2061" i="2"/>
  <c r="D2060" i="2"/>
  <c r="L2060" i="2"/>
  <c r="A2060" i="2"/>
  <c r="K2059" i="2"/>
  <c r="J2059" i="2"/>
  <c r="A2059" i="2"/>
  <c r="I2058" i="2"/>
  <c r="H2058" i="2"/>
  <c r="A2058" i="2"/>
  <c r="G2057" i="2"/>
  <c r="F2057" i="2"/>
  <c r="E2057" i="2"/>
  <c r="D2057" i="2"/>
  <c r="L2057" i="2"/>
  <c r="K2057" i="2"/>
  <c r="J2057" i="2"/>
  <c r="I2057" i="2"/>
  <c r="H2057" i="2"/>
  <c r="A2057" i="2"/>
  <c r="J2056" i="2"/>
  <c r="A2056" i="2"/>
  <c r="H2055" i="2"/>
  <c r="A2055" i="2"/>
  <c r="F2054" i="2"/>
  <c r="A2054" i="2"/>
  <c r="D2053" i="2"/>
  <c r="A2053" i="2"/>
  <c r="K2052" i="2"/>
  <c r="J2052" i="2"/>
  <c r="A2052" i="2"/>
  <c r="I2051" i="2"/>
  <c r="H2051" i="2"/>
  <c r="A2051" i="2"/>
  <c r="G2050" i="2"/>
  <c r="F2050" i="2"/>
  <c r="A2050" i="2"/>
  <c r="E2049" i="2"/>
  <c r="D2049" i="2"/>
  <c r="A2049" i="2"/>
  <c r="L2048" i="2"/>
  <c r="K2048" i="2"/>
  <c r="J2048" i="2"/>
  <c r="I2048" i="2"/>
  <c r="H2048" i="2"/>
  <c r="G2048" i="2"/>
  <c r="F2048" i="2"/>
  <c r="E2048" i="2"/>
  <c r="D2048" i="2"/>
  <c r="A2048" i="2"/>
  <c r="F2047" i="2"/>
  <c r="A2047" i="2"/>
  <c r="D2046" i="2"/>
  <c r="A2046" i="2"/>
  <c r="K2045" i="2"/>
  <c r="A2045" i="2"/>
  <c r="I2044" i="2"/>
  <c r="A2044" i="2"/>
  <c r="G2043" i="2"/>
  <c r="F2043" i="2"/>
  <c r="A2043" i="2"/>
  <c r="E2042" i="2"/>
  <c r="D2042" i="2"/>
  <c r="A2042" i="2"/>
  <c r="L2041" i="2"/>
  <c r="K2041" i="2"/>
  <c r="A2041" i="2"/>
  <c r="J2040" i="2"/>
  <c r="I2040" i="2"/>
  <c r="A2040" i="2"/>
  <c r="H2039" i="2"/>
  <c r="G2039" i="2"/>
  <c r="F2039" i="2"/>
  <c r="E2039" i="2"/>
  <c r="D2039" i="2"/>
  <c r="L2039" i="2"/>
  <c r="K2039" i="2"/>
  <c r="J2039" i="2"/>
  <c r="I2039" i="2"/>
  <c r="A2039" i="2"/>
  <c r="K2038" i="2"/>
  <c r="A2038" i="2"/>
  <c r="I2037" i="2"/>
  <c r="A2037" i="2"/>
  <c r="G2036" i="2"/>
  <c r="A2036" i="2"/>
  <c r="E2035" i="2"/>
  <c r="A2035" i="2"/>
  <c r="L2034" i="2"/>
  <c r="K2034" i="2"/>
  <c r="A2034" i="2"/>
  <c r="J2033" i="2"/>
  <c r="I2033" i="2"/>
  <c r="A2033" i="2"/>
  <c r="H2032" i="2"/>
  <c r="G2032" i="2"/>
  <c r="A2032" i="2"/>
  <c r="F2031" i="2"/>
  <c r="E2031" i="2"/>
  <c r="A2031" i="2"/>
  <c r="D2030" i="2"/>
  <c r="L2030" i="2"/>
  <c r="A2030" i="2"/>
  <c r="K2029" i="2"/>
  <c r="J2029" i="2"/>
  <c r="I2029" i="2"/>
  <c r="H2029" i="2"/>
  <c r="G2029" i="2"/>
  <c r="F2029" i="2"/>
  <c r="E2029" i="2"/>
  <c r="D2029" i="2"/>
  <c r="L2029" i="2"/>
  <c r="A2029" i="2"/>
  <c r="E2028" i="2"/>
  <c r="A2028" i="2"/>
  <c r="L2027" i="2"/>
  <c r="A2027" i="2"/>
  <c r="J2026" i="2"/>
  <c r="A2026" i="2"/>
  <c r="H2025" i="2"/>
  <c r="A2025" i="2"/>
  <c r="F2024" i="2"/>
  <c r="E2024" i="2"/>
  <c r="A2024" i="2"/>
  <c r="D2023" i="2"/>
  <c r="L2023" i="2"/>
  <c r="A2023" i="2"/>
  <c r="K2022" i="2"/>
  <c r="J2022" i="2"/>
  <c r="A2022" i="2"/>
  <c r="I2021" i="2"/>
  <c r="H2021" i="2"/>
  <c r="A2021" i="2"/>
  <c r="G2020" i="2"/>
  <c r="F2020" i="2"/>
  <c r="A2020" i="2"/>
  <c r="E2019" i="2"/>
  <c r="D2019" i="2"/>
  <c r="L2019" i="2"/>
  <c r="K2019" i="2"/>
  <c r="J2019" i="2"/>
  <c r="I2019" i="2"/>
  <c r="H2019" i="2"/>
  <c r="G2019" i="2"/>
  <c r="F2019" i="2"/>
  <c r="A2019" i="2"/>
  <c r="H2018" i="2"/>
  <c r="A2018" i="2"/>
  <c r="F2017" i="2"/>
  <c r="A2017" i="2"/>
  <c r="D2016" i="2"/>
  <c r="A2016" i="2"/>
  <c r="K2015" i="2"/>
  <c r="A2015" i="2"/>
  <c r="I2014" i="2"/>
  <c r="A2014" i="2"/>
  <c r="G2013" i="2"/>
  <c r="F2013" i="2"/>
  <c r="A2013" i="2"/>
  <c r="E2012" i="2"/>
  <c r="D2012" i="2"/>
  <c r="A2012" i="2"/>
  <c r="L2011" i="2"/>
  <c r="K2011" i="2"/>
  <c r="A2011" i="2"/>
  <c r="J2010" i="2"/>
  <c r="I2010" i="2"/>
  <c r="A2010" i="2"/>
  <c r="H2009" i="2"/>
  <c r="G2009" i="2"/>
  <c r="F2009" i="2"/>
  <c r="E2009" i="2"/>
  <c r="D2009" i="2"/>
  <c r="L2009" i="2"/>
  <c r="K2009" i="2"/>
  <c r="J2009" i="2"/>
  <c r="I2009" i="2"/>
  <c r="A2009" i="2"/>
  <c r="K2008" i="2"/>
  <c r="A2008" i="2"/>
  <c r="I2007" i="2"/>
  <c r="A2007" i="2"/>
  <c r="G2006" i="2"/>
  <c r="A2006" i="2"/>
  <c r="E2005" i="2"/>
  <c r="A2005" i="2"/>
  <c r="L2004" i="2"/>
  <c r="K2004" i="2"/>
  <c r="A2004" i="2"/>
  <c r="J2003" i="2"/>
  <c r="I2003" i="2"/>
  <c r="A2003" i="2"/>
  <c r="H2002" i="2"/>
  <c r="G2002" i="2"/>
  <c r="A2002" i="2"/>
  <c r="F2001" i="2"/>
  <c r="E2001" i="2"/>
  <c r="A2001" i="2"/>
  <c r="D2000" i="2"/>
  <c r="L2000" i="2"/>
  <c r="A2000" i="2"/>
  <c r="K1999" i="2"/>
  <c r="J1999" i="2"/>
  <c r="I1999" i="2"/>
  <c r="H1999" i="2"/>
  <c r="G1999" i="2"/>
  <c r="F1999" i="2"/>
  <c r="E1999" i="2"/>
  <c r="D1999" i="2"/>
  <c r="L1999" i="2"/>
  <c r="A1999" i="2"/>
  <c r="E1998" i="2"/>
  <c r="A1998" i="2"/>
  <c r="L1997" i="2"/>
  <c r="A1997" i="2"/>
  <c r="J1996" i="2"/>
  <c r="A1996" i="2"/>
  <c r="H1995" i="2"/>
  <c r="A1995" i="2"/>
  <c r="F1994" i="2"/>
  <c r="E1994" i="2"/>
  <c r="A1994" i="2"/>
  <c r="D1993" i="2"/>
  <c r="L1993" i="2"/>
  <c r="A1993" i="2"/>
  <c r="K1992" i="2"/>
  <c r="J1992" i="2"/>
  <c r="A1992" i="2"/>
  <c r="I1991" i="2"/>
  <c r="H1991" i="2"/>
  <c r="A1991" i="2"/>
  <c r="G1990" i="2"/>
  <c r="F1990" i="2"/>
  <c r="A1990" i="2"/>
  <c r="E1989" i="2"/>
  <c r="D1989" i="2"/>
  <c r="A1989" i="2"/>
  <c r="L1988" i="2"/>
  <c r="K1988" i="2"/>
  <c r="J1988" i="2"/>
  <c r="I1988" i="2"/>
  <c r="H1988" i="2"/>
  <c r="G1988" i="2"/>
  <c r="F1988" i="2"/>
  <c r="E1988" i="2"/>
  <c r="D1988" i="2"/>
  <c r="A1988" i="2"/>
  <c r="F1987" i="2"/>
  <c r="A1987" i="2"/>
  <c r="D1986" i="2"/>
  <c r="A1986" i="2"/>
  <c r="K1985" i="2"/>
  <c r="A1985" i="2"/>
  <c r="I1984" i="2"/>
  <c r="A1984" i="2"/>
  <c r="G1983" i="2"/>
  <c r="A1983" i="2"/>
  <c r="E1982" i="2"/>
  <c r="D1982" i="2"/>
  <c r="A1982" i="2"/>
  <c r="L1981" i="2"/>
  <c r="K1981" i="2"/>
  <c r="A1981" i="2"/>
  <c r="J1980" i="2"/>
  <c r="I1980" i="2"/>
  <c r="A1980" i="2"/>
  <c r="H1979" i="2"/>
  <c r="G1979" i="2"/>
  <c r="A1979" i="2"/>
  <c r="F1978" i="2"/>
  <c r="E1978" i="2"/>
  <c r="A1978" i="2"/>
  <c r="D1977" i="2"/>
  <c r="L1977" i="2"/>
  <c r="K1977" i="2"/>
  <c r="J1977" i="2"/>
  <c r="I1977" i="2"/>
  <c r="H1977" i="2"/>
  <c r="G1977" i="2"/>
  <c r="F1977" i="2"/>
  <c r="E1977" i="2"/>
  <c r="A1977" i="2"/>
  <c r="I1976" i="2"/>
  <c r="A1976" i="2"/>
  <c r="G1975" i="2"/>
  <c r="A1975" i="2"/>
  <c r="E1974" i="2"/>
  <c r="A1974" i="2"/>
  <c r="L1973" i="2"/>
  <c r="A1973" i="2"/>
  <c r="J1972" i="2"/>
  <c r="A1972" i="2"/>
  <c r="H1971" i="2"/>
  <c r="G1971" i="2"/>
  <c r="A1971" i="2"/>
  <c r="F1970" i="2"/>
  <c r="E1970" i="2"/>
  <c r="A1970" i="2"/>
  <c r="D1969" i="2"/>
  <c r="L1969" i="2"/>
  <c r="A1969" i="2"/>
  <c r="K1968" i="2"/>
  <c r="J1968" i="2"/>
  <c r="A1968" i="2"/>
  <c r="I1967" i="2"/>
  <c r="H1967" i="2"/>
  <c r="A1967" i="2"/>
  <c r="G1966" i="2"/>
  <c r="F1966" i="2"/>
  <c r="E1966" i="2"/>
  <c r="D1966" i="2"/>
  <c r="L1966" i="2"/>
  <c r="K1966" i="2"/>
  <c r="J1966" i="2"/>
  <c r="I1966" i="2"/>
  <c r="H1966" i="2"/>
  <c r="A1966" i="2"/>
  <c r="J1965" i="2"/>
  <c r="A1965" i="2"/>
  <c r="H1964" i="2"/>
  <c r="A1964" i="2"/>
  <c r="F1963" i="2"/>
  <c r="A1963" i="2"/>
  <c r="D1962" i="2"/>
  <c r="A1962" i="2"/>
  <c r="K1961" i="2"/>
  <c r="J1961" i="2"/>
  <c r="A1961" i="2"/>
  <c r="I1960" i="2"/>
  <c r="H1960" i="2"/>
  <c r="A1960" i="2"/>
  <c r="G1959" i="2"/>
  <c r="F1959" i="2"/>
  <c r="A1959" i="2"/>
  <c r="E1958" i="2"/>
  <c r="D1958" i="2"/>
  <c r="A1958" i="2"/>
  <c r="L1957" i="2"/>
  <c r="K1957" i="2"/>
  <c r="A1957" i="2"/>
  <c r="J1956" i="2"/>
  <c r="I1956" i="2"/>
  <c r="A1956" i="2"/>
  <c r="H1955" i="2"/>
  <c r="G1955" i="2"/>
  <c r="F1955" i="2"/>
  <c r="E1955" i="2"/>
  <c r="D1955" i="2"/>
  <c r="L1955" i="2"/>
  <c r="K1955" i="2"/>
  <c r="J1955" i="2"/>
  <c r="I1955" i="2"/>
  <c r="A1955" i="2"/>
  <c r="K1954" i="2"/>
  <c r="A1954" i="2"/>
  <c r="I1953" i="2"/>
  <c r="A1953" i="2"/>
  <c r="G1952" i="2"/>
  <c r="A1952" i="2"/>
  <c r="E1951" i="2"/>
  <c r="A1951" i="2"/>
  <c r="L1950" i="2"/>
  <c r="A1950" i="2"/>
  <c r="J1949" i="2"/>
  <c r="I1949" i="2"/>
  <c r="A1949" i="2"/>
  <c r="H1948" i="2"/>
  <c r="G1948" i="2"/>
  <c r="A1948" i="2"/>
  <c r="F1947" i="2"/>
  <c r="E1947" i="2"/>
  <c r="A1947" i="2"/>
  <c r="D1946" i="2"/>
  <c r="L1946" i="2"/>
  <c r="A1946" i="2"/>
  <c r="K1945" i="2"/>
  <c r="J1945" i="2"/>
  <c r="A1945" i="2"/>
  <c r="I1944" i="2"/>
  <c r="H1944" i="2"/>
  <c r="A1944" i="2"/>
  <c r="G1943" i="2"/>
  <c r="F1943" i="2"/>
  <c r="E1943" i="2"/>
  <c r="D1943" i="2"/>
  <c r="L1943" i="2"/>
  <c r="K1943" i="2"/>
  <c r="J1943" i="2"/>
  <c r="I1943" i="2"/>
  <c r="H1943" i="2"/>
  <c r="A1943" i="2"/>
  <c r="J1942" i="2"/>
  <c r="A1942" i="2"/>
  <c r="H1941" i="2"/>
  <c r="A1941" i="2"/>
  <c r="F1940" i="2"/>
  <c r="A1940" i="2"/>
  <c r="D1939" i="2"/>
  <c r="A1939" i="2"/>
  <c r="K1938" i="2"/>
  <c r="A1938" i="2"/>
  <c r="I1937" i="2"/>
  <c r="H1937" i="2"/>
  <c r="A1937" i="2"/>
  <c r="G1936" i="2"/>
  <c r="F1936" i="2"/>
  <c r="A1936" i="2"/>
  <c r="E1935" i="2"/>
  <c r="D1935" i="2"/>
  <c r="A1935" i="2"/>
  <c r="L1934" i="2"/>
  <c r="K1934" i="2"/>
  <c r="A1934" i="2"/>
  <c r="J1933" i="2"/>
  <c r="I1933" i="2"/>
  <c r="A1933" i="2"/>
  <c r="H1932" i="2"/>
  <c r="G1932" i="2"/>
  <c r="F1932" i="2"/>
  <c r="E1932" i="2"/>
  <c r="D1932" i="2"/>
  <c r="L1932" i="2"/>
  <c r="K1932" i="2"/>
  <c r="J1932" i="2"/>
  <c r="I1932" i="2"/>
  <c r="A1932" i="2"/>
  <c r="K1931" i="2"/>
  <c r="A1931" i="2"/>
  <c r="I1930" i="2"/>
  <c r="A1930" i="2"/>
  <c r="G1929" i="2"/>
  <c r="A1929" i="2"/>
  <c r="E1928" i="2"/>
  <c r="A1928" i="2"/>
  <c r="L1927" i="2"/>
  <c r="A1927" i="2"/>
  <c r="J1926" i="2"/>
  <c r="A1926" i="2"/>
  <c r="H1925" i="2"/>
  <c r="G1925" i="2"/>
  <c r="A1925" i="2"/>
  <c r="F1924" i="2"/>
  <c r="E1924" i="2"/>
  <c r="A1924" i="2"/>
  <c r="D1923" i="2"/>
  <c r="L1923" i="2"/>
  <c r="A1923" i="2"/>
  <c r="K1922" i="2"/>
  <c r="J1922" i="2"/>
  <c r="A1922" i="2"/>
  <c r="I1921" i="2"/>
  <c r="H1921" i="2"/>
  <c r="A1921" i="2"/>
  <c r="G1920" i="2"/>
  <c r="F1920" i="2"/>
  <c r="A1920" i="2"/>
  <c r="E1919" i="2"/>
  <c r="D1919" i="2"/>
  <c r="L1919" i="2"/>
  <c r="K1919" i="2"/>
  <c r="J1919" i="2"/>
  <c r="I1919" i="2"/>
  <c r="H1919" i="2"/>
  <c r="G1919" i="2"/>
  <c r="F1919" i="2"/>
  <c r="A1919" i="2"/>
  <c r="H1918" i="2"/>
  <c r="A1918" i="2"/>
  <c r="F1917" i="2"/>
  <c r="A1917" i="2"/>
  <c r="D1916" i="2"/>
  <c r="A1916" i="2"/>
  <c r="K1915" i="2"/>
  <c r="A1915" i="2"/>
  <c r="I1914" i="2"/>
  <c r="A1914" i="2"/>
  <c r="G1913" i="2"/>
  <c r="A1913" i="2"/>
  <c r="E1912" i="2"/>
  <c r="D1912" i="2"/>
  <c r="A1912" i="2"/>
  <c r="L1911" i="2"/>
  <c r="K1911" i="2"/>
  <c r="A1911" i="2"/>
  <c r="J1910" i="2"/>
  <c r="I1910" i="2"/>
  <c r="A1910" i="2"/>
  <c r="H1909" i="2"/>
  <c r="G1909" i="2"/>
  <c r="A1909" i="2"/>
  <c r="F1908" i="2"/>
  <c r="E1908" i="2"/>
  <c r="A1908" i="2"/>
  <c r="D1907" i="2"/>
  <c r="L1907" i="2"/>
  <c r="K1907" i="2"/>
  <c r="J1907" i="2"/>
  <c r="I1907" i="2"/>
  <c r="H1907" i="2"/>
  <c r="G1907" i="2"/>
  <c r="F1907" i="2"/>
  <c r="E1907" i="2"/>
  <c r="A1907" i="2"/>
  <c r="G1906" i="2"/>
  <c r="A1906" i="2"/>
  <c r="E1905" i="2"/>
  <c r="A1905" i="2"/>
  <c r="L1904" i="2"/>
  <c r="A1904" i="2"/>
  <c r="J1903" i="2"/>
  <c r="A1903" i="2"/>
  <c r="H1902" i="2"/>
  <c r="A1902" i="2"/>
  <c r="F1901" i="2"/>
  <c r="A1901" i="2"/>
  <c r="D1900" i="2"/>
  <c r="L1900" i="2"/>
  <c r="A1900" i="2"/>
  <c r="K1899" i="2"/>
  <c r="J1899" i="2"/>
  <c r="A1899" i="2"/>
  <c r="I1898" i="2"/>
  <c r="H1898" i="2"/>
  <c r="A1898" i="2"/>
  <c r="G1897" i="2"/>
  <c r="F1897" i="2"/>
  <c r="A1897" i="2"/>
  <c r="E1896" i="2"/>
  <c r="D1896" i="2"/>
  <c r="A1896" i="2"/>
  <c r="L1895" i="2"/>
  <c r="K1895" i="2"/>
  <c r="A1895" i="2"/>
  <c r="J1894" i="2"/>
  <c r="I1894" i="2"/>
  <c r="H1894" i="2"/>
  <c r="G1894" i="2"/>
  <c r="F1894" i="2"/>
  <c r="E1894" i="2"/>
  <c r="D1894" i="2"/>
  <c r="L1894" i="2"/>
  <c r="K1894" i="2"/>
  <c r="A1894" i="2"/>
  <c r="L1893" i="2"/>
  <c r="A1893" i="2"/>
  <c r="J1892" i="2"/>
  <c r="A1892" i="2"/>
  <c r="H1891" i="2"/>
  <c r="A1891" i="2"/>
  <c r="F1890" i="2"/>
  <c r="A1890" i="2"/>
  <c r="D1889" i="2"/>
  <c r="A1889" i="2"/>
  <c r="K1888" i="2"/>
  <c r="A1888" i="2"/>
  <c r="I1887" i="2"/>
  <c r="H1887" i="2"/>
  <c r="A1887" i="2"/>
  <c r="G1886" i="2"/>
  <c r="F1886" i="2"/>
  <c r="A1886" i="2"/>
  <c r="E1885" i="2"/>
  <c r="D1885" i="2"/>
  <c r="A1885" i="2"/>
  <c r="L1884" i="2"/>
  <c r="K1884" i="2"/>
  <c r="A1884" i="2"/>
  <c r="J1883" i="2"/>
  <c r="I1883" i="2"/>
  <c r="A1883" i="2"/>
  <c r="H1882" i="2"/>
  <c r="G1882" i="2"/>
  <c r="A1882" i="2"/>
  <c r="F1881" i="2"/>
  <c r="E1881" i="2"/>
  <c r="D1881" i="2"/>
  <c r="L1881" i="2"/>
  <c r="K1881" i="2"/>
  <c r="J1881" i="2"/>
  <c r="I1881" i="2"/>
  <c r="H1881" i="2"/>
  <c r="G1881" i="2"/>
  <c r="A1881" i="2"/>
  <c r="G1880" i="2"/>
  <c r="A1880" i="2"/>
  <c r="E1879" i="2"/>
  <c r="A1879" i="2"/>
  <c r="L1878" i="2"/>
  <c r="A1878" i="2"/>
  <c r="J1877" i="2"/>
  <c r="A1877" i="2"/>
  <c r="H1876" i="2"/>
  <c r="A1876" i="2"/>
  <c r="F1875" i="2"/>
  <c r="A1875" i="2"/>
  <c r="D1874" i="2"/>
  <c r="L1874" i="2"/>
  <c r="A1874" i="2"/>
  <c r="K1873" i="2"/>
  <c r="J1873" i="2"/>
  <c r="A1873" i="2"/>
  <c r="I1872" i="2"/>
  <c r="H1872" i="2"/>
  <c r="A1872" i="2"/>
  <c r="G1871" i="2"/>
  <c r="F1871" i="2"/>
  <c r="A1871" i="2"/>
  <c r="E1870" i="2"/>
  <c r="D1870" i="2"/>
  <c r="A1870" i="2"/>
  <c r="L1869" i="2"/>
  <c r="K1869" i="2"/>
  <c r="A1869" i="2"/>
  <c r="J1868" i="2"/>
  <c r="I1868" i="2"/>
  <c r="H1868" i="2"/>
  <c r="G1868" i="2"/>
  <c r="F1868" i="2"/>
  <c r="E1868" i="2"/>
  <c r="D1868" i="2"/>
  <c r="L1868" i="2"/>
  <c r="K1868" i="2"/>
  <c r="A1868" i="2"/>
  <c r="I1867" i="2"/>
  <c r="A1867" i="2"/>
  <c r="G1866" i="2"/>
  <c r="A1866" i="2"/>
  <c r="E1865" i="2"/>
  <c r="A1865" i="2"/>
  <c r="L1864" i="2"/>
  <c r="A1864" i="2"/>
  <c r="J1863" i="2"/>
  <c r="A1863" i="2"/>
  <c r="H1862" i="2"/>
  <c r="A1862" i="2"/>
  <c r="F1861" i="2"/>
  <c r="E1861" i="2"/>
  <c r="A1861" i="2"/>
  <c r="D1860" i="2"/>
  <c r="L1860" i="2"/>
  <c r="A1860" i="2"/>
  <c r="K1859" i="2"/>
  <c r="J1859" i="2"/>
  <c r="A1859" i="2"/>
  <c r="I1858" i="2"/>
  <c r="H1858" i="2"/>
  <c r="A1858" i="2"/>
  <c r="G1857" i="2"/>
  <c r="F1857" i="2"/>
  <c r="E1857" i="2"/>
  <c r="D1857" i="2"/>
  <c r="A1857" i="2"/>
  <c r="L1856" i="2"/>
  <c r="K1856" i="2"/>
  <c r="A1856" i="2"/>
  <c r="J1855" i="2"/>
  <c r="I1855" i="2"/>
  <c r="H1855" i="2"/>
  <c r="G1855" i="2"/>
  <c r="F1855" i="2"/>
  <c r="E1855" i="2"/>
  <c r="D1855" i="2"/>
  <c r="L1855" i="2"/>
  <c r="K1855" i="2"/>
  <c r="A1855" i="2"/>
  <c r="I1854" i="2"/>
  <c r="A1854" i="2"/>
  <c r="G1853" i="2"/>
  <c r="A1853" i="2"/>
  <c r="E1852" i="2"/>
  <c r="A1852" i="2"/>
  <c r="L1851" i="2"/>
  <c r="A1851" i="2"/>
  <c r="J1850" i="2"/>
  <c r="A1850" i="2"/>
  <c r="H1849" i="2"/>
  <c r="A1849" i="2"/>
  <c r="F1848" i="2"/>
  <c r="E1848" i="2"/>
  <c r="A1848" i="2"/>
  <c r="D1847" i="2"/>
  <c r="L1847" i="2"/>
  <c r="A1847" i="2"/>
  <c r="K1846" i="2"/>
  <c r="J1846" i="2"/>
  <c r="A1846" i="2"/>
  <c r="I1845" i="2"/>
  <c r="H1845" i="2"/>
  <c r="A1845" i="2"/>
  <c r="G1844" i="2"/>
  <c r="F1844" i="2"/>
  <c r="A1844" i="2"/>
  <c r="E1843" i="2"/>
  <c r="D1843" i="2"/>
  <c r="A1843" i="2"/>
  <c r="L1842" i="2"/>
  <c r="K1842" i="2"/>
  <c r="A1842" i="2"/>
  <c r="J1841" i="2"/>
  <c r="I1841" i="2"/>
  <c r="A1841" i="2"/>
  <c r="H1840" i="2"/>
  <c r="G1840" i="2"/>
  <c r="F1840" i="2"/>
  <c r="E1840" i="2"/>
  <c r="D1840" i="2"/>
  <c r="L1840" i="2"/>
  <c r="K1840" i="2"/>
  <c r="J1840" i="2"/>
  <c r="I1840" i="2"/>
  <c r="A1840" i="2"/>
  <c r="G1839" i="2"/>
  <c r="A1839" i="2"/>
  <c r="E1838" i="2"/>
  <c r="A1838" i="2"/>
  <c r="L1837" i="2"/>
  <c r="A1837" i="2"/>
  <c r="J1836" i="2"/>
  <c r="A1836" i="2"/>
  <c r="H1835" i="2"/>
  <c r="A1835" i="2"/>
  <c r="F1834" i="2"/>
  <c r="A1834" i="2"/>
  <c r="D1833" i="2"/>
  <c r="A1833" i="2"/>
  <c r="K1832" i="2"/>
  <c r="J1832" i="2"/>
  <c r="A1832" i="2"/>
  <c r="I1831" i="2"/>
  <c r="H1831" i="2"/>
  <c r="A1831" i="2"/>
  <c r="G1830" i="2"/>
  <c r="F1830" i="2"/>
  <c r="A1830" i="2"/>
  <c r="E1829" i="2"/>
  <c r="D1829" i="2"/>
  <c r="A1829" i="2"/>
  <c r="L1828" i="2"/>
  <c r="K1828" i="2"/>
  <c r="A1828" i="2"/>
  <c r="J1827" i="2"/>
  <c r="I1827" i="2"/>
  <c r="A1827" i="2"/>
  <c r="H1826" i="2"/>
  <c r="G1826" i="2"/>
  <c r="A1826" i="2"/>
  <c r="F1825" i="2"/>
  <c r="E1825" i="2"/>
  <c r="A1825" i="2"/>
  <c r="D1824" i="2"/>
  <c r="L1824" i="2"/>
  <c r="K1824" i="2"/>
  <c r="J1824" i="2"/>
  <c r="I1824" i="2"/>
  <c r="H1824" i="2"/>
  <c r="G1824" i="2"/>
  <c r="F1824" i="2"/>
  <c r="E1824" i="2"/>
  <c r="A1824" i="2"/>
  <c r="L1823" i="2"/>
  <c r="A1823" i="2"/>
  <c r="J1822" i="2"/>
  <c r="A1822" i="2"/>
  <c r="H1821" i="2"/>
  <c r="A1821" i="2"/>
  <c r="F1820" i="2"/>
  <c r="A1820" i="2"/>
  <c r="D1819" i="2"/>
  <c r="A1819" i="2"/>
  <c r="K1818" i="2"/>
  <c r="A1818" i="2"/>
  <c r="I1817" i="2"/>
  <c r="A1817" i="2"/>
  <c r="G1816" i="2"/>
  <c r="F1816" i="2"/>
  <c r="A1816" i="2"/>
  <c r="E1815" i="2"/>
  <c r="D1815" i="2"/>
  <c r="A1815" i="2"/>
  <c r="L1814" i="2"/>
  <c r="K1814" i="2"/>
  <c r="A1814" i="2"/>
  <c r="J1813" i="2"/>
  <c r="I1813" i="2"/>
  <c r="A1813" i="2"/>
  <c r="H1812" i="2"/>
  <c r="G1812" i="2"/>
  <c r="A1812" i="2"/>
  <c r="F1811" i="2"/>
  <c r="E1811" i="2"/>
  <c r="A1811" i="2"/>
  <c r="D1810" i="2"/>
  <c r="L1810" i="2"/>
  <c r="A1810" i="2"/>
  <c r="K1809" i="2"/>
  <c r="J1809" i="2"/>
  <c r="I1809" i="2"/>
  <c r="H1809" i="2"/>
  <c r="G1809" i="2"/>
  <c r="F1809" i="2"/>
  <c r="E1809" i="2"/>
  <c r="D1809" i="2"/>
  <c r="L1809" i="2"/>
  <c r="A1809" i="2"/>
  <c r="I1808" i="2"/>
  <c r="A1808" i="2"/>
  <c r="G1807" i="2"/>
  <c r="A1807" i="2"/>
  <c r="E1806" i="2"/>
  <c r="A1806" i="2"/>
  <c r="L1805" i="2"/>
  <c r="A1805" i="2"/>
  <c r="J1804" i="2"/>
  <c r="A1804" i="2"/>
  <c r="H1803" i="2"/>
  <c r="A1803" i="2"/>
  <c r="F1802" i="2"/>
  <c r="A1802" i="2"/>
  <c r="D1801" i="2"/>
  <c r="L1801" i="2"/>
  <c r="A1801" i="2"/>
  <c r="K1800" i="2"/>
  <c r="J1800" i="2"/>
  <c r="A1800" i="2"/>
  <c r="I1799" i="2"/>
  <c r="H1799" i="2"/>
  <c r="A1799" i="2"/>
  <c r="G1798" i="2"/>
  <c r="F1798" i="2"/>
  <c r="A1798" i="2"/>
  <c r="E1797" i="2"/>
  <c r="D1797" i="2"/>
  <c r="A1797" i="2"/>
  <c r="L1796" i="2"/>
  <c r="K1796" i="2"/>
  <c r="A1796" i="2"/>
  <c r="J1795" i="2"/>
  <c r="I1795" i="2"/>
  <c r="A1795" i="2"/>
  <c r="H1794" i="2"/>
  <c r="G1794" i="2"/>
  <c r="A1794" i="2"/>
  <c r="F1793" i="2"/>
  <c r="E1793" i="2"/>
  <c r="D1793" i="2"/>
  <c r="L1793" i="2"/>
  <c r="K1793" i="2"/>
  <c r="J1793" i="2"/>
  <c r="I1793" i="2"/>
  <c r="H1793" i="2"/>
  <c r="G1793" i="2"/>
  <c r="A1793" i="2"/>
  <c r="L1792" i="2"/>
  <c r="A1792" i="2"/>
  <c r="J1791" i="2"/>
  <c r="A1791" i="2"/>
  <c r="H1790" i="2"/>
  <c r="A1790" i="2"/>
  <c r="F1789" i="2"/>
  <c r="A1789" i="2"/>
  <c r="D1788" i="2"/>
  <c r="A1788" i="2"/>
  <c r="K1787" i="2"/>
  <c r="A1787" i="2"/>
  <c r="I1786" i="2"/>
  <c r="A1786" i="2"/>
  <c r="G1785" i="2"/>
  <c r="A1785" i="2"/>
  <c r="E1784" i="2"/>
  <c r="A1784" i="2"/>
  <c r="L1783" i="2"/>
  <c r="K1783" i="2"/>
  <c r="A1783" i="2"/>
  <c r="J1782" i="2"/>
  <c r="I1782" i="2"/>
  <c r="A1782" i="2"/>
  <c r="H1781" i="2"/>
  <c r="G1781" i="2"/>
  <c r="A1781" i="2"/>
  <c r="F1780" i="2"/>
  <c r="E1780" i="2"/>
  <c r="A1780" i="2"/>
  <c r="D1779" i="2"/>
  <c r="L1779" i="2"/>
  <c r="A1779" i="2"/>
  <c r="K1778" i="2"/>
  <c r="J1778" i="2"/>
  <c r="A1778" i="2"/>
  <c r="I1777" i="2"/>
  <c r="H1777" i="2"/>
  <c r="A1777" i="2"/>
  <c r="G1776" i="2"/>
  <c r="F1776" i="2"/>
  <c r="A1776" i="2"/>
  <c r="E1775" i="2"/>
  <c r="D1775" i="2"/>
  <c r="L1775" i="2"/>
  <c r="K1775" i="2"/>
  <c r="J1775" i="2"/>
  <c r="I1775" i="2"/>
  <c r="H1775" i="2"/>
  <c r="G1775" i="2"/>
  <c r="F1775" i="2"/>
  <c r="A1775" i="2"/>
  <c r="L1774" i="2"/>
  <c r="A1774" i="2"/>
  <c r="J1773" i="2"/>
  <c r="A1773" i="2"/>
  <c r="H1772" i="2"/>
  <c r="A1772" i="2"/>
  <c r="F1771" i="2"/>
  <c r="A1771" i="2"/>
  <c r="D1770" i="2"/>
  <c r="A1770" i="2"/>
  <c r="K1769" i="2"/>
  <c r="A1769" i="2"/>
  <c r="I1768" i="2"/>
  <c r="A1768" i="2"/>
  <c r="G1767" i="2"/>
  <c r="A1767" i="2"/>
  <c r="E1766" i="2"/>
  <c r="D1766" i="2"/>
  <c r="A1766" i="2"/>
  <c r="L1765" i="2"/>
  <c r="K1765" i="2"/>
  <c r="A1765" i="2"/>
  <c r="J1764" i="2"/>
  <c r="I1764" i="2"/>
  <c r="A1764" i="2"/>
  <c r="H1763" i="2"/>
  <c r="G1763" i="2"/>
  <c r="A1763" i="2"/>
  <c r="F1762" i="2"/>
  <c r="E1762" i="2"/>
  <c r="A1762" i="2"/>
  <c r="D1761" i="2"/>
  <c r="L1761" i="2"/>
  <c r="A1761" i="2"/>
  <c r="K1760" i="2"/>
  <c r="J1760" i="2"/>
  <c r="A1760" i="2"/>
  <c r="I1759" i="2"/>
  <c r="H1759" i="2"/>
  <c r="A1759" i="2"/>
  <c r="G1758" i="2"/>
  <c r="F1758" i="2"/>
  <c r="A1758" i="2"/>
  <c r="E1757" i="2"/>
  <c r="D1757" i="2"/>
  <c r="L1757" i="2"/>
  <c r="K1757" i="2"/>
  <c r="J1757" i="2"/>
  <c r="I1757" i="2"/>
  <c r="H1757" i="2"/>
  <c r="G1757" i="2"/>
  <c r="F1757" i="2"/>
  <c r="A1757" i="2"/>
  <c r="H1756" i="2"/>
  <c r="A1756" i="2"/>
  <c r="F1755" i="2"/>
  <c r="A1755" i="2"/>
  <c r="D1754" i="2"/>
  <c r="A1754" i="2"/>
  <c r="K1753" i="2"/>
  <c r="A1753" i="2"/>
  <c r="I1752" i="2"/>
  <c r="A1752" i="2"/>
  <c r="G1751" i="2"/>
  <c r="A1751" i="2"/>
  <c r="E1750" i="2"/>
  <c r="A1750" i="2"/>
  <c r="L1749" i="2"/>
  <c r="A1749" i="2"/>
  <c r="J1748" i="2"/>
  <c r="A1748" i="2"/>
  <c r="H1747" i="2"/>
  <c r="G1747" i="2"/>
  <c r="A1747" i="2"/>
  <c r="F1746" i="2"/>
  <c r="E1746" i="2"/>
  <c r="A1746" i="2"/>
  <c r="D1745" i="2"/>
  <c r="L1745" i="2"/>
  <c r="A1745" i="2"/>
  <c r="K1744" i="2"/>
  <c r="J1744" i="2"/>
  <c r="A1744" i="2"/>
  <c r="I1743" i="2"/>
  <c r="H1743" i="2"/>
  <c r="A1743" i="2"/>
  <c r="G1742" i="2"/>
  <c r="F1742" i="2"/>
  <c r="A1742" i="2"/>
  <c r="E1741" i="2"/>
  <c r="D1741" i="2"/>
  <c r="A1741" i="2"/>
  <c r="L1740" i="2"/>
  <c r="K1740" i="2"/>
  <c r="J1740" i="2"/>
  <c r="I1740" i="2"/>
  <c r="A1740" i="2"/>
  <c r="H1739" i="2"/>
  <c r="G1739" i="2"/>
  <c r="A1739" i="2"/>
  <c r="F1738" i="2"/>
  <c r="E1738" i="2"/>
  <c r="D1738" i="2"/>
  <c r="L1738" i="2"/>
  <c r="K1738" i="2"/>
  <c r="J1738" i="2"/>
  <c r="I1738" i="2"/>
  <c r="H1738" i="2"/>
  <c r="G1738" i="2"/>
  <c r="A1738" i="2"/>
  <c r="I1737" i="2"/>
  <c r="A1737" i="2"/>
  <c r="G1736" i="2"/>
  <c r="A1736" i="2"/>
  <c r="E1735" i="2"/>
  <c r="A1735" i="2"/>
  <c r="L1734" i="2"/>
  <c r="A1734" i="2"/>
  <c r="J1733" i="2"/>
  <c r="A1733" i="2"/>
  <c r="H1732" i="2"/>
  <c r="A1732" i="2"/>
  <c r="F1731" i="2"/>
  <c r="A1731" i="2"/>
  <c r="D1730" i="2"/>
  <c r="A1730" i="2"/>
  <c r="K1729" i="2"/>
  <c r="A1729" i="2"/>
  <c r="I1728" i="2"/>
  <c r="H1728" i="2"/>
  <c r="A1728" i="2"/>
  <c r="G1727" i="2"/>
  <c r="F1727" i="2"/>
  <c r="A1727" i="2"/>
  <c r="E1726" i="2"/>
  <c r="D1726" i="2"/>
  <c r="A1726" i="2"/>
  <c r="L1725" i="2"/>
  <c r="K1725" i="2"/>
  <c r="A1725" i="2"/>
  <c r="J1724" i="2"/>
  <c r="I1724" i="2"/>
  <c r="A1724" i="2"/>
  <c r="H1723" i="2"/>
  <c r="G1723" i="2"/>
  <c r="A1723" i="2"/>
  <c r="F1722" i="2"/>
  <c r="E1722" i="2"/>
  <c r="A1722" i="2"/>
  <c r="D1721" i="2"/>
  <c r="L1721" i="2"/>
  <c r="A1721" i="2"/>
  <c r="K1720" i="2"/>
  <c r="J1720" i="2"/>
  <c r="A1720" i="2"/>
  <c r="I1719" i="2"/>
  <c r="H1719" i="2"/>
  <c r="A1719" i="2"/>
  <c r="G1718" i="2"/>
  <c r="F1718" i="2"/>
  <c r="E1718" i="2"/>
  <c r="D1718" i="2"/>
  <c r="L1718" i="2"/>
  <c r="K1718" i="2"/>
  <c r="J1718" i="2"/>
  <c r="I1718" i="2"/>
  <c r="H1718" i="2"/>
  <c r="A1718" i="2"/>
  <c r="L1717" i="2"/>
  <c r="A1717" i="2"/>
  <c r="J1716" i="2"/>
  <c r="A1716" i="2"/>
  <c r="H1715" i="2"/>
  <c r="A1715" i="2"/>
  <c r="F1714" i="2"/>
  <c r="A1714" i="2"/>
  <c r="D1713" i="2"/>
  <c r="A1713" i="2"/>
  <c r="K1712" i="2"/>
  <c r="A1712" i="2"/>
  <c r="I1711" i="2"/>
  <c r="A1711" i="2"/>
  <c r="G1710" i="2"/>
  <c r="A1710" i="2"/>
  <c r="E1709" i="2"/>
  <c r="A1709" i="2"/>
  <c r="L1708" i="2"/>
  <c r="A1708" i="2"/>
  <c r="J1707" i="2"/>
  <c r="I1707" i="2"/>
  <c r="A1707" i="2"/>
  <c r="H1706" i="2"/>
  <c r="G1706" i="2"/>
  <c r="A1706" i="2"/>
  <c r="F1705" i="2"/>
  <c r="E1705" i="2"/>
  <c r="A1705" i="2"/>
  <c r="D1704" i="2"/>
  <c r="L1704" i="2"/>
  <c r="A1704" i="2"/>
  <c r="K1703" i="2"/>
  <c r="J1703" i="2"/>
  <c r="A1703" i="2"/>
  <c r="I1702" i="2"/>
  <c r="H1702" i="2"/>
  <c r="A1702" i="2"/>
  <c r="G1701" i="2"/>
  <c r="F1701" i="2"/>
  <c r="A1701" i="2"/>
  <c r="E1700" i="2"/>
  <c r="D1700" i="2"/>
  <c r="A1700" i="2"/>
  <c r="L1699" i="2"/>
  <c r="K1699" i="2"/>
  <c r="A1699" i="2"/>
  <c r="J1698" i="2"/>
  <c r="I1698" i="2"/>
  <c r="A1698" i="2"/>
  <c r="H1697" i="2"/>
  <c r="G1697" i="2"/>
  <c r="A1697" i="2"/>
  <c r="F1696" i="2"/>
  <c r="E1696" i="2"/>
  <c r="A1696" i="2"/>
  <c r="D1695" i="2"/>
  <c r="L1695" i="2"/>
  <c r="K1695" i="2"/>
  <c r="J1695" i="2"/>
  <c r="I1695" i="2"/>
  <c r="H1695" i="2"/>
  <c r="G1695" i="2"/>
  <c r="F1695" i="2"/>
  <c r="E1695" i="2"/>
  <c r="A1695" i="2"/>
  <c r="D1694" i="2"/>
  <c r="A1694" i="2"/>
  <c r="K1693" i="2"/>
  <c r="A1693" i="2"/>
  <c r="I1692" i="2"/>
  <c r="A1692" i="2"/>
  <c r="G1691" i="2"/>
  <c r="A1691" i="2"/>
  <c r="E1690" i="2"/>
  <c r="A1690" i="2"/>
  <c r="L1689" i="2"/>
  <c r="A1689" i="2"/>
  <c r="J1688" i="2"/>
  <c r="A1688" i="2"/>
  <c r="H1687" i="2"/>
  <c r="A1687" i="2"/>
  <c r="F1686" i="2"/>
  <c r="A1686" i="2"/>
  <c r="D1685" i="2"/>
  <c r="A1685" i="2"/>
  <c r="K1684" i="2"/>
  <c r="A1684" i="2"/>
  <c r="I1683" i="2"/>
  <c r="A1683" i="2"/>
  <c r="G1682" i="2"/>
  <c r="A1682" i="2"/>
  <c r="E1681" i="2"/>
  <c r="A1681" i="2"/>
  <c r="L1680" i="2"/>
  <c r="K1680" i="2"/>
  <c r="A1680" i="2"/>
  <c r="J1679" i="2"/>
  <c r="I1679" i="2"/>
  <c r="A1679" i="2"/>
  <c r="H1678" i="2"/>
  <c r="G1678" i="2"/>
  <c r="A1678" i="2"/>
  <c r="F1677" i="2"/>
  <c r="E1677" i="2"/>
  <c r="A1677" i="2"/>
  <c r="D1676" i="2"/>
  <c r="L1676" i="2"/>
  <c r="A1676" i="2"/>
  <c r="K1675" i="2"/>
  <c r="J1675" i="2"/>
  <c r="A1675" i="2"/>
  <c r="I1674" i="2"/>
  <c r="H1674" i="2"/>
  <c r="A1674" i="2"/>
  <c r="G1673" i="2"/>
  <c r="F1673" i="2"/>
  <c r="A1673" i="2"/>
  <c r="E1672" i="2"/>
  <c r="D1672" i="2"/>
  <c r="A1672" i="2"/>
  <c r="L1671" i="2"/>
  <c r="K1671" i="2"/>
  <c r="A1671" i="2"/>
  <c r="J1670" i="2"/>
  <c r="I1670" i="2"/>
  <c r="A1670" i="2"/>
  <c r="H1669" i="2"/>
  <c r="G1669" i="2"/>
  <c r="A1669" i="2"/>
  <c r="F1668" i="2"/>
  <c r="E1668" i="2"/>
  <c r="A1668" i="2"/>
  <c r="D1667" i="2"/>
  <c r="L1667" i="2"/>
  <c r="A1667" i="2"/>
  <c r="K1666" i="2"/>
  <c r="J1666" i="2"/>
  <c r="I1666" i="2"/>
  <c r="H1666" i="2"/>
  <c r="G1666" i="2"/>
  <c r="F1666" i="2"/>
  <c r="E1666" i="2"/>
  <c r="D1666" i="2"/>
  <c r="L1666" i="2"/>
  <c r="A1666" i="2"/>
  <c r="G1665" i="2"/>
  <c r="A1665" i="2"/>
  <c r="E1664" i="2"/>
  <c r="A1664" i="2"/>
  <c r="L1663" i="2"/>
  <c r="A1663" i="2"/>
  <c r="J1662" i="2"/>
  <c r="A1662" i="2"/>
  <c r="H1661" i="2"/>
  <c r="A1661" i="2"/>
  <c r="F1660" i="2"/>
  <c r="A1660" i="2"/>
  <c r="D1659" i="2"/>
  <c r="A1659" i="2"/>
  <c r="K1658" i="2"/>
  <c r="A1658" i="2"/>
  <c r="I1657" i="2"/>
  <c r="A1657" i="2"/>
  <c r="G1656" i="2"/>
  <c r="A1656" i="2"/>
  <c r="E1655" i="2"/>
  <c r="A1655" i="2"/>
  <c r="L1654" i="2"/>
  <c r="A1654" i="2"/>
  <c r="J1653" i="2"/>
  <c r="A1653" i="2"/>
  <c r="H1652" i="2"/>
  <c r="A1652" i="2"/>
  <c r="F1651" i="2"/>
  <c r="A1651" i="2"/>
  <c r="D1650" i="2"/>
  <c r="A1650" i="2"/>
  <c r="K1649" i="2"/>
  <c r="A1649" i="2"/>
  <c r="I1648" i="2"/>
  <c r="A1648" i="2"/>
  <c r="G1647" i="2"/>
  <c r="A1647" i="2"/>
  <c r="E1646" i="2"/>
  <c r="A1646" i="2"/>
  <c r="L1645" i="2"/>
  <c r="A1645" i="2"/>
  <c r="J1644" i="2"/>
  <c r="A1644" i="2"/>
  <c r="H1643" i="2"/>
  <c r="A1643" i="2"/>
  <c r="F1642" i="2"/>
  <c r="A1642" i="2"/>
  <c r="D1641" i="2"/>
  <c r="A1641" i="2"/>
  <c r="K1640" i="2"/>
  <c r="A1640" i="2"/>
  <c r="I1639" i="2"/>
  <c r="A1639" i="2"/>
  <c r="G1638" i="2"/>
  <c r="A1638" i="2"/>
  <c r="E1637" i="2"/>
  <c r="A1637" i="2"/>
  <c r="L1636" i="2"/>
  <c r="A1636" i="2"/>
  <c r="J1635" i="2"/>
  <c r="I1635" i="2"/>
  <c r="A1635" i="2"/>
  <c r="H1634" i="2"/>
  <c r="G1634" i="2"/>
  <c r="A1634" i="2"/>
  <c r="F1633" i="2"/>
  <c r="E1633" i="2"/>
  <c r="A1633" i="2"/>
  <c r="D1632" i="2"/>
  <c r="L1632" i="2"/>
  <c r="A1632" i="2"/>
  <c r="K1631" i="2"/>
  <c r="J1631" i="2"/>
  <c r="I1631" i="2"/>
  <c r="H1631" i="2"/>
  <c r="A1631" i="2"/>
  <c r="G1630" i="2"/>
  <c r="F1630" i="2"/>
  <c r="A1630" i="2"/>
  <c r="E1629" i="2"/>
  <c r="D1629" i="2"/>
  <c r="A1629" i="2"/>
  <c r="L1628" i="2"/>
  <c r="K1628" i="2"/>
  <c r="A1628" i="2"/>
  <c r="J1627" i="2"/>
  <c r="I1627" i="2"/>
  <c r="A1627" i="2"/>
  <c r="H1626" i="2"/>
  <c r="G1626" i="2"/>
  <c r="A1626" i="2"/>
  <c r="F1625" i="2"/>
  <c r="E1625" i="2"/>
  <c r="A1625" i="2"/>
  <c r="D1624" i="2"/>
  <c r="L1624" i="2"/>
  <c r="A1624" i="2"/>
  <c r="K1623" i="2"/>
  <c r="J1623" i="2"/>
  <c r="A1623" i="2"/>
  <c r="I1622" i="2"/>
  <c r="H1622" i="2"/>
  <c r="A1622" i="2"/>
  <c r="G1621" i="2"/>
  <c r="F1621" i="2"/>
  <c r="A1621" i="2"/>
  <c r="E1620" i="2"/>
  <c r="D1620" i="2"/>
  <c r="A1620" i="2"/>
  <c r="L1619" i="2"/>
  <c r="K1619" i="2"/>
  <c r="A1619" i="2"/>
  <c r="J1618" i="2"/>
  <c r="I1618" i="2"/>
  <c r="A1618" i="2"/>
  <c r="H1617" i="2"/>
  <c r="G1617" i="2"/>
  <c r="A1617" i="2"/>
  <c r="F1616" i="2"/>
  <c r="E1616" i="2"/>
  <c r="A1616" i="2"/>
  <c r="D1615" i="2"/>
  <c r="L1615" i="2"/>
  <c r="A1615" i="2"/>
  <c r="K1614" i="2"/>
  <c r="J1614" i="2"/>
  <c r="A1614" i="2"/>
  <c r="I1613" i="2"/>
  <c r="H1613" i="2"/>
  <c r="A1613" i="2"/>
  <c r="G1612" i="2"/>
  <c r="F1612" i="2"/>
  <c r="A1612" i="2"/>
  <c r="E1611" i="2"/>
  <c r="D1611" i="2"/>
  <c r="A1611" i="2"/>
  <c r="L1610" i="2"/>
  <c r="K1610" i="2"/>
  <c r="A1610" i="2"/>
  <c r="J1609" i="2"/>
  <c r="I1609" i="2"/>
  <c r="A1609" i="2"/>
  <c r="H1608" i="2"/>
  <c r="G1608" i="2"/>
  <c r="A1608" i="2"/>
  <c r="F1607" i="2"/>
  <c r="E1607" i="2"/>
  <c r="A1607" i="2"/>
  <c r="D1606" i="2"/>
  <c r="L1606" i="2"/>
  <c r="A1606" i="2"/>
  <c r="K1605" i="2"/>
  <c r="J1605" i="2"/>
  <c r="A1605" i="2"/>
  <c r="I1604" i="2"/>
  <c r="H1604" i="2"/>
  <c r="A1604" i="2"/>
  <c r="G1603" i="2"/>
  <c r="F1603" i="2"/>
  <c r="A1603" i="2"/>
  <c r="E1602" i="2"/>
  <c r="D1602" i="2"/>
  <c r="A1602" i="2"/>
  <c r="L1601" i="2"/>
  <c r="K1601" i="2"/>
  <c r="A1601" i="2"/>
  <c r="J1600" i="2"/>
  <c r="I1600" i="2"/>
  <c r="A1600" i="2"/>
  <c r="H1599" i="2"/>
  <c r="G1599" i="2"/>
  <c r="A1599" i="2"/>
  <c r="F1598" i="2"/>
  <c r="E1598" i="2"/>
  <c r="A1598" i="2"/>
  <c r="D1597" i="2"/>
  <c r="L1597" i="2"/>
  <c r="A1597" i="2"/>
  <c r="K1596" i="2"/>
  <c r="J1596" i="2"/>
  <c r="A1596" i="2"/>
  <c r="I1595" i="2"/>
  <c r="H1595" i="2"/>
  <c r="A1595" i="2"/>
  <c r="G1594" i="2"/>
  <c r="F1594" i="2"/>
  <c r="A1594" i="2"/>
  <c r="E1593" i="2"/>
  <c r="D1593" i="2"/>
  <c r="A1593" i="2"/>
  <c r="L1592" i="2"/>
  <c r="K1592" i="2"/>
  <c r="A1592" i="2"/>
  <c r="J1591" i="2"/>
  <c r="I1591" i="2"/>
  <c r="A1591" i="2"/>
  <c r="H1590" i="2"/>
  <c r="G1590" i="2"/>
  <c r="A1590" i="2"/>
  <c r="F1589" i="2"/>
  <c r="E1589" i="2"/>
  <c r="A1589" i="2"/>
  <c r="D1588" i="2"/>
  <c r="L1588" i="2"/>
  <c r="A1588" i="2"/>
  <c r="K1587" i="2"/>
  <c r="J1587" i="2"/>
  <c r="A1587" i="2"/>
  <c r="I1586" i="2"/>
  <c r="H1586" i="2"/>
  <c r="A1586" i="2"/>
  <c r="G1585" i="2"/>
  <c r="F1585" i="2"/>
  <c r="A1585" i="2"/>
  <c r="E1584" i="2"/>
  <c r="D1584" i="2"/>
  <c r="A1584" i="2"/>
  <c r="L1583" i="2"/>
  <c r="K1583" i="2"/>
  <c r="A1583" i="2"/>
  <c r="J1582" i="2"/>
  <c r="I1582" i="2"/>
  <c r="A1582" i="2"/>
  <c r="H1581" i="2"/>
  <c r="G1581" i="2"/>
  <c r="A1581" i="2"/>
  <c r="F1580" i="2"/>
  <c r="E1580" i="2"/>
  <c r="A1580" i="2"/>
  <c r="D1579" i="2"/>
  <c r="L1579" i="2"/>
  <c r="A1579" i="2"/>
  <c r="K1578" i="2"/>
  <c r="J1578" i="2"/>
  <c r="A1578" i="2"/>
  <c r="I1577" i="2"/>
  <c r="H1577" i="2"/>
  <c r="A1577" i="2"/>
  <c r="G1576" i="2"/>
  <c r="F1576" i="2"/>
  <c r="A1576" i="2"/>
  <c r="E1575" i="2"/>
  <c r="D1575" i="2"/>
  <c r="A1575" i="2"/>
  <c r="L1574" i="2"/>
  <c r="K1574" i="2"/>
  <c r="A1574" i="2"/>
  <c r="J1573" i="2"/>
  <c r="I1573" i="2"/>
  <c r="A1573" i="2"/>
  <c r="H1572" i="2"/>
  <c r="G1572" i="2"/>
  <c r="A1572" i="2"/>
  <c r="F1571" i="2"/>
  <c r="E1571" i="2"/>
  <c r="A1571" i="2"/>
  <c r="D1570" i="2"/>
  <c r="L1570" i="2"/>
  <c r="A1570" i="2"/>
  <c r="K1569" i="2"/>
  <c r="J1569" i="2"/>
  <c r="A1569" i="2"/>
  <c r="I1568" i="2"/>
  <c r="H1568" i="2"/>
  <c r="A1568" i="2"/>
  <c r="G1567" i="2"/>
  <c r="F1567" i="2"/>
  <c r="A1567" i="2"/>
  <c r="E1566" i="2"/>
  <c r="D1566" i="2"/>
  <c r="A1566" i="2"/>
  <c r="L1565" i="2"/>
  <c r="K1565" i="2"/>
  <c r="A1565" i="2"/>
  <c r="J1564" i="2"/>
  <c r="I1564" i="2"/>
  <c r="A1564" i="2"/>
  <c r="H1563" i="2"/>
  <c r="G1563" i="2"/>
  <c r="A1563" i="2"/>
  <c r="F1562" i="2"/>
  <c r="E1562" i="2"/>
  <c r="A1562" i="2"/>
  <c r="D1561" i="2"/>
  <c r="L1561" i="2"/>
  <c r="A1561" i="2"/>
  <c r="K1560" i="2"/>
  <c r="J1560" i="2"/>
  <c r="A1560" i="2"/>
  <c r="I1559" i="2"/>
  <c r="H1559" i="2"/>
  <c r="A1559" i="2"/>
  <c r="G1558" i="2"/>
  <c r="F1558" i="2"/>
  <c r="A1558" i="2"/>
  <c r="E1557" i="2"/>
  <c r="D1557" i="2"/>
  <c r="A1557" i="2"/>
  <c r="L1556" i="2"/>
  <c r="K1556" i="2"/>
  <c r="A1556" i="2"/>
  <c r="J1555" i="2"/>
  <c r="I1555" i="2"/>
  <c r="A1555" i="2"/>
  <c r="H1554" i="2"/>
  <c r="G1554" i="2"/>
  <c r="A1554" i="2"/>
  <c r="F1553" i="2"/>
  <c r="E1553" i="2"/>
  <c r="A1553" i="2"/>
  <c r="D1552" i="2"/>
  <c r="L1552" i="2"/>
  <c r="A1552" i="2"/>
  <c r="K1551" i="2"/>
  <c r="J1551" i="2"/>
  <c r="A1551" i="2"/>
  <c r="I1550" i="2"/>
  <c r="H1550" i="2"/>
  <c r="A1550" i="2"/>
  <c r="G1549" i="2"/>
  <c r="F1549" i="2"/>
  <c r="A1549" i="2"/>
  <c r="E1548" i="2"/>
  <c r="D1548" i="2"/>
  <c r="A1548" i="2"/>
  <c r="L1547" i="2"/>
  <c r="K1547" i="2"/>
  <c r="A1547" i="2"/>
  <c r="J1546" i="2"/>
  <c r="I1546" i="2"/>
  <c r="A1546" i="2"/>
  <c r="H1545" i="2"/>
  <c r="G1545" i="2"/>
  <c r="A1545" i="2"/>
  <c r="F1544" i="2"/>
  <c r="E1544" i="2"/>
  <c r="A1544" i="2"/>
  <c r="D1543" i="2"/>
  <c r="L1543" i="2"/>
  <c r="A1543" i="2"/>
  <c r="K1542" i="2"/>
  <c r="J1542" i="2"/>
  <c r="A1542" i="2"/>
  <c r="I1541" i="2"/>
  <c r="H1541" i="2"/>
  <c r="A1541" i="2"/>
  <c r="G1540" i="2"/>
  <c r="F1540" i="2"/>
  <c r="A1540" i="2"/>
  <c r="E1539" i="2"/>
  <c r="D1539" i="2"/>
  <c r="A1539" i="2"/>
  <c r="L1538" i="2"/>
  <c r="K1538" i="2"/>
  <c r="A1538" i="2"/>
  <c r="J1537" i="2"/>
  <c r="I1537" i="2"/>
  <c r="A1537" i="2"/>
  <c r="H1536" i="2"/>
  <c r="G1536" i="2"/>
  <c r="A1536" i="2"/>
  <c r="F1535" i="2"/>
  <c r="E1535" i="2"/>
  <c r="A1535" i="2"/>
  <c r="D1534" i="2"/>
  <c r="L1534" i="2"/>
  <c r="A1534" i="2"/>
  <c r="K1533" i="2"/>
  <c r="J1533" i="2"/>
  <c r="A1533" i="2"/>
  <c r="I1532" i="2"/>
  <c r="H1532" i="2"/>
  <c r="A1532" i="2"/>
  <c r="G1531" i="2"/>
  <c r="F1531" i="2"/>
  <c r="A1531" i="2"/>
  <c r="E1530" i="2"/>
  <c r="D1530" i="2"/>
  <c r="A1530" i="2"/>
  <c r="L1529" i="2"/>
  <c r="K1529" i="2"/>
  <c r="A1529" i="2"/>
  <c r="J1528" i="2"/>
  <c r="I1528" i="2"/>
  <c r="A1528" i="2"/>
  <c r="H1527" i="2"/>
  <c r="G1527" i="2"/>
  <c r="A1527" i="2"/>
  <c r="F1526" i="2"/>
  <c r="E1526" i="2"/>
  <c r="A1526" i="2"/>
  <c r="D1525" i="2"/>
  <c r="L1525" i="2"/>
  <c r="A1525" i="2"/>
  <c r="K1524" i="2"/>
  <c r="J1524" i="2"/>
  <c r="A1524" i="2"/>
  <c r="I1523" i="2"/>
  <c r="H1523" i="2"/>
  <c r="A1523" i="2"/>
  <c r="G1522" i="2"/>
  <c r="F1522" i="2"/>
  <c r="A1522" i="2"/>
  <c r="E1521" i="2"/>
  <c r="D1521" i="2"/>
  <c r="A1521" i="2"/>
  <c r="L1520" i="2"/>
  <c r="K1520" i="2"/>
  <c r="A1520" i="2"/>
  <c r="J1519" i="2"/>
  <c r="I1519" i="2"/>
  <c r="A1519" i="2"/>
  <c r="H1518" i="2"/>
  <c r="G1518" i="2"/>
  <c r="A1518" i="2"/>
  <c r="F1517" i="2"/>
  <c r="E1517" i="2"/>
  <c r="A1517" i="2"/>
  <c r="D1516" i="2"/>
  <c r="L1516" i="2"/>
  <c r="A1516" i="2"/>
  <c r="K1515" i="2"/>
  <c r="J1515" i="2"/>
  <c r="A1515" i="2"/>
  <c r="I1514" i="2"/>
  <c r="H1514" i="2"/>
  <c r="A1514" i="2"/>
  <c r="G1513" i="2"/>
  <c r="F1513" i="2"/>
  <c r="A1513" i="2"/>
  <c r="E1512" i="2"/>
  <c r="D1512" i="2"/>
  <c r="A1512" i="2"/>
  <c r="L1511" i="2"/>
  <c r="K1511" i="2"/>
  <c r="A1511" i="2"/>
  <c r="J1510" i="2"/>
  <c r="I1510" i="2"/>
  <c r="A1510" i="2"/>
  <c r="H1509" i="2"/>
  <c r="G1509" i="2"/>
  <c r="A1509" i="2"/>
  <c r="F1508" i="2"/>
  <c r="E1508" i="2"/>
  <c r="A1508" i="2"/>
  <c r="D1507" i="2"/>
  <c r="L1507" i="2"/>
  <c r="A1507" i="2"/>
  <c r="K1506" i="2"/>
  <c r="J1506" i="2"/>
  <c r="A1506" i="2"/>
  <c r="I1505" i="2"/>
  <c r="H1505" i="2"/>
  <c r="A1505" i="2"/>
  <c r="G1504" i="2"/>
  <c r="F1504" i="2"/>
  <c r="A1504" i="2"/>
  <c r="E1503" i="2"/>
  <c r="D1503" i="2"/>
  <c r="A1503" i="2"/>
  <c r="L1502" i="2"/>
  <c r="K1502" i="2"/>
  <c r="A1502" i="2"/>
  <c r="J1501" i="2"/>
  <c r="I1501" i="2"/>
  <c r="A1501" i="2"/>
  <c r="H1500" i="2"/>
  <c r="G1500" i="2"/>
  <c r="A1500" i="2"/>
  <c r="F1499" i="2"/>
  <c r="E1499" i="2"/>
  <c r="A1499" i="2"/>
  <c r="D1498" i="2"/>
  <c r="L1498" i="2"/>
  <c r="A1498" i="2"/>
  <c r="K1497" i="2"/>
  <c r="J1497" i="2"/>
  <c r="A1497" i="2"/>
  <c r="I1496" i="2"/>
  <c r="H1496" i="2"/>
  <c r="A1496" i="2"/>
  <c r="G1495" i="2"/>
  <c r="F1495" i="2"/>
  <c r="A1495" i="2"/>
  <c r="E1494" i="2"/>
  <c r="D1494" i="2"/>
  <c r="A1494" i="2"/>
  <c r="L1493" i="2"/>
  <c r="K1493" i="2"/>
  <c r="A1493" i="2"/>
  <c r="J1492" i="2"/>
  <c r="I1492" i="2"/>
  <c r="A1492" i="2"/>
  <c r="H1491" i="2"/>
  <c r="G1491" i="2"/>
  <c r="A1491" i="2"/>
  <c r="F1490" i="2"/>
  <c r="E1490" i="2"/>
  <c r="A1490" i="2"/>
  <c r="D1489" i="2"/>
  <c r="L1489" i="2"/>
  <c r="A1489" i="2"/>
  <c r="K1488" i="2"/>
  <c r="J1488" i="2"/>
  <c r="A1488" i="2"/>
  <c r="I1487" i="2"/>
  <c r="H1487" i="2"/>
  <c r="A1487" i="2"/>
  <c r="G1486" i="2"/>
  <c r="F1486" i="2"/>
  <c r="A1486" i="2"/>
  <c r="E1485" i="2"/>
  <c r="D1485" i="2"/>
  <c r="A1485" i="2"/>
  <c r="L1484" i="2"/>
  <c r="K1484" i="2"/>
  <c r="A1484" i="2"/>
  <c r="J1483" i="2"/>
  <c r="I1483" i="2"/>
  <c r="A1483" i="2"/>
  <c r="H1482" i="2"/>
  <c r="G1482" i="2"/>
  <c r="A1482" i="2"/>
  <c r="F1481" i="2"/>
  <c r="E1481" i="2"/>
  <c r="A1481" i="2"/>
  <c r="D1480" i="2"/>
  <c r="L1480" i="2"/>
  <c r="A1480" i="2"/>
  <c r="K1479" i="2"/>
  <c r="J1479" i="2"/>
  <c r="A1479" i="2"/>
  <c r="I1478" i="2"/>
  <c r="H1478" i="2"/>
  <c r="A1478" i="2"/>
  <c r="G1477" i="2"/>
  <c r="F1477" i="2"/>
  <c r="A1477" i="2"/>
  <c r="E1476" i="2"/>
  <c r="D1476" i="2"/>
  <c r="A1476" i="2"/>
  <c r="L1475" i="2"/>
  <c r="K1475" i="2"/>
  <c r="A1475" i="2"/>
  <c r="J1474" i="2"/>
  <c r="I1474" i="2"/>
  <c r="A1474" i="2"/>
  <c r="H1473" i="2"/>
  <c r="G1473" i="2"/>
  <c r="A1473" i="2"/>
  <c r="F1472" i="2"/>
  <c r="E1472" i="2"/>
  <c r="A1472" i="2"/>
  <c r="D1471" i="2"/>
  <c r="L1471" i="2"/>
  <c r="A1471" i="2"/>
  <c r="K1470" i="2"/>
  <c r="J1470" i="2"/>
  <c r="A1470" i="2"/>
  <c r="I1469" i="2"/>
  <c r="H1469" i="2"/>
  <c r="A1469" i="2"/>
  <c r="G1468" i="2"/>
  <c r="F1468" i="2"/>
  <c r="A1468" i="2"/>
  <c r="E1467" i="2"/>
  <c r="D1467" i="2"/>
  <c r="A1467" i="2"/>
  <c r="L1466" i="2"/>
  <c r="K1466" i="2"/>
  <c r="A1466" i="2"/>
  <c r="J1465" i="2"/>
  <c r="I1465" i="2"/>
  <c r="A1465" i="2"/>
  <c r="H1464" i="2"/>
  <c r="G1464" i="2"/>
  <c r="A1464" i="2"/>
  <c r="F1463" i="2"/>
  <c r="E1463" i="2"/>
  <c r="A1463" i="2"/>
  <c r="D1462" i="2"/>
  <c r="L1462" i="2"/>
  <c r="A1462" i="2"/>
  <c r="K1461" i="2"/>
  <c r="J1461" i="2"/>
  <c r="A1461" i="2"/>
  <c r="I1460" i="2"/>
  <c r="H1460" i="2"/>
  <c r="A1460" i="2"/>
  <c r="G1459" i="2"/>
  <c r="F1459" i="2"/>
  <c r="A1459" i="2"/>
  <c r="E1458" i="2"/>
  <c r="D1458" i="2"/>
  <c r="A1458" i="2"/>
  <c r="L1457" i="2"/>
  <c r="K1457" i="2"/>
  <c r="A1457" i="2"/>
  <c r="J1456" i="2"/>
  <c r="I1456" i="2"/>
  <c r="A1456" i="2"/>
  <c r="H1455" i="2"/>
  <c r="G1455" i="2"/>
  <c r="A1455" i="2"/>
  <c r="F1454" i="2"/>
  <c r="E1454" i="2"/>
  <c r="A1454" i="2"/>
  <c r="D1453" i="2"/>
  <c r="L1453" i="2"/>
  <c r="A1453" i="2"/>
  <c r="K1452" i="2"/>
  <c r="J1452" i="2"/>
  <c r="I1452" i="2"/>
  <c r="H1452" i="2"/>
  <c r="A1452" i="2"/>
  <c r="G1451" i="2"/>
  <c r="F1451" i="2"/>
  <c r="A1451" i="2"/>
  <c r="E1450" i="2"/>
  <c r="D1450" i="2"/>
  <c r="A1450" i="2"/>
  <c r="L1449" i="2"/>
  <c r="K1449" i="2"/>
  <c r="A1449" i="2"/>
  <c r="J1448" i="2"/>
  <c r="A1448" i="2"/>
  <c r="H1447" i="2"/>
  <c r="A1447" i="2"/>
  <c r="F1446" i="2"/>
  <c r="A1446" i="2"/>
  <c r="D1445" i="2"/>
  <c r="A1445" i="2"/>
  <c r="K1444" i="2"/>
  <c r="A1444" i="2"/>
  <c r="I1443" i="2"/>
  <c r="A1443" i="2"/>
  <c r="G1442" i="2"/>
  <c r="A1442" i="2"/>
  <c r="E1441" i="2"/>
  <c r="A1441" i="2"/>
  <c r="L1440" i="2"/>
  <c r="A1440" i="2"/>
  <c r="J1439" i="2"/>
  <c r="A1439" i="2"/>
  <c r="H1438" i="2"/>
  <c r="A1438" i="2"/>
  <c r="F1437" i="2"/>
  <c r="A1437" i="2"/>
  <c r="D1436" i="2"/>
  <c r="A1436" i="2"/>
  <c r="K1435" i="2"/>
  <c r="A1435" i="2"/>
  <c r="I1434" i="2"/>
  <c r="A1434" i="2"/>
  <c r="G1433" i="2"/>
  <c r="A1433" i="2"/>
  <c r="E1432" i="2"/>
  <c r="A1432" i="2"/>
  <c r="L1431" i="2"/>
  <c r="A1431" i="2"/>
  <c r="J1430" i="2"/>
  <c r="A1430" i="2"/>
  <c r="H1429" i="2"/>
  <c r="A1429" i="2"/>
  <c r="F1428" i="2"/>
  <c r="A1428" i="2"/>
  <c r="D1427" i="2"/>
  <c r="A1427" i="2"/>
  <c r="K1426" i="2"/>
  <c r="J1426" i="2"/>
  <c r="I1426" i="2"/>
  <c r="H1426" i="2"/>
  <c r="G1426" i="2"/>
  <c r="F1426" i="2"/>
  <c r="E1426" i="2"/>
  <c r="D1426" i="2"/>
  <c r="L1426" i="2"/>
  <c r="A1426" i="2"/>
  <c r="F1425" i="2"/>
  <c r="E1425" i="2"/>
  <c r="A1425" i="2"/>
  <c r="D1424" i="2"/>
  <c r="L1424" i="2"/>
  <c r="A1424" i="2"/>
  <c r="K1423" i="2"/>
  <c r="J1423" i="2"/>
  <c r="A1423" i="2"/>
  <c r="I1422" i="2"/>
  <c r="H1422" i="2"/>
  <c r="A1422" i="2"/>
  <c r="G1421" i="2"/>
  <c r="F1421" i="2"/>
  <c r="A1421" i="2"/>
  <c r="E1420" i="2"/>
  <c r="D1420" i="2"/>
  <c r="A1420" i="2"/>
  <c r="L1419" i="2"/>
  <c r="K1419" i="2"/>
  <c r="A1419" i="2"/>
  <c r="J1418" i="2"/>
  <c r="I1418" i="2"/>
  <c r="A1418" i="2"/>
  <c r="H1417" i="2"/>
  <c r="G1417" i="2"/>
  <c r="A1417" i="2"/>
  <c r="F1416" i="2"/>
  <c r="E1416" i="2"/>
  <c r="A1416" i="2"/>
  <c r="D1415" i="2"/>
  <c r="L1415" i="2"/>
  <c r="A1415" i="2"/>
  <c r="K1414" i="2"/>
  <c r="A1414" i="2"/>
  <c r="I1413" i="2"/>
  <c r="A1413" i="2"/>
  <c r="A1412" i="2"/>
  <c r="G1411" i="2"/>
  <c r="A1411" i="2"/>
  <c r="E1410" i="2"/>
  <c r="A1410" i="2"/>
  <c r="L1409" i="2"/>
  <c r="A1409" i="2"/>
  <c r="J1408" i="2"/>
  <c r="A1408" i="2"/>
  <c r="H1407" i="2"/>
  <c r="A1407" i="2"/>
  <c r="F1406" i="2"/>
  <c r="A1406" i="2"/>
  <c r="D1405" i="2"/>
  <c r="A1405" i="2"/>
  <c r="K1404" i="2"/>
  <c r="A1404" i="2"/>
  <c r="I1403" i="2"/>
  <c r="H1403" i="2"/>
  <c r="G1403" i="2"/>
  <c r="F1403" i="2"/>
  <c r="E1403" i="2"/>
  <c r="D1403" i="2"/>
  <c r="L1403" i="2"/>
  <c r="K1403" i="2"/>
  <c r="J1403" i="2"/>
  <c r="A1403" i="2"/>
  <c r="F1402" i="2"/>
  <c r="E1402" i="2"/>
  <c r="A1402" i="2"/>
  <c r="D1401" i="2"/>
  <c r="L1401" i="2"/>
  <c r="A1401" i="2"/>
  <c r="K1400" i="2"/>
  <c r="J1400" i="2"/>
  <c r="A1400" i="2"/>
  <c r="I1399" i="2"/>
  <c r="H1399" i="2"/>
  <c r="A1399" i="2"/>
  <c r="G1398" i="2"/>
  <c r="F1398" i="2"/>
  <c r="A1398" i="2"/>
  <c r="E1397" i="2"/>
  <c r="D1397" i="2"/>
  <c r="A1397" i="2"/>
  <c r="L1396" i="2"/>
  <c r="K1396" i="2"/>
  <c r="A1396" i="2"/>
  <c r="J1395" i="2"/>
  <c r="I1395" i="2"/>
  <c r="A1395" i="2"/>
  <c r="H1394" i="2"/>
  <c r="A1394" i="2"/>
  <c r="F1393" i="2"/>
  <c r="A1393" i="2"/>
  <c r="D1392" i="2"/>
  <c r="A1392" i="2"/>
  <c r="K1391" i="2"/>
  <c r="A1391" i="2"/>
  <c r="I1390" i="2"/>
  <c r="A1390" i="2"/>
  <c r="G1389" i="2"/>
  <c r="A1389" i="2"/>
  <c r="E1388" i="2"/>
  <c r="A1388" i="2"/>
  <c r="L1387" i="2"/>
  <c r="A1387" i="2"/>
  <c r="J1386" i="2"/>
  <c r="A1386" i="2"/>
  <c r="H1385" i="2"/>
  <c r="G1385" i="2"/>
  <c r="F1385" i="2"/>
  <c r="E1385" i="2"/>
  <c r="D1385" i="2"/>
  <c r="L1385" i="2"/>
  <c r="K1385" i="2"/>
  <c r="J1385" i="2"/>
  <c r="I1385" i="2"/>
  <c r="A1385" i="2"/>
  <c r="I1384" i="2"/>
  <c r="H1384" i="2"/>
  <c r="A1384" i="2"/>
  <c r="G1383" i="2"/>
  <c r="F1383" i="2"/>
  <c r="A1383" i="2"/>
  <c r="E1382" i="2"/>
  <c r="D1382" i="2"/>
  <c r="A1382" i="2"/>
  <c r="L1381" i="2"/>
  <c r="K1381" i="2"/>
  <c r="A1381" i="2"/>
  <c r="J1380" i="2"/>
  <c r="I1380" i="2"/>
  <c r="A1380" i="2"/>
  <c r="H1379" i="2"/>
  <c r="G1379" i="2"/>
  <c r="A1379" i="2"/>
  <c r="F1378" i="2"/>
  <c r="E1378" i="2"/>
  <c r="A1378" i="2"/>
  <c r="D1377" i="2"/>
  <c r="A1377" i="2"/>
  <c r="K1376" i="2"/>
  <c r="A1376" i="2"/>
  <c r="I1375" i="2"/>
  <c r="A1375" i="2"/>
  <c r="G1374" i="2"/>
  <c r="A1374" i="2"/>
  <c r="E1373" i="2"/>
  <c r="A1373" i="2"/>
  <c r="L1372" i="2"/>
  <c r="A1372" i="2"/>
  <c r="J1371" i="2"/>
  <c r="A1371" i="2"/>
  <c r="H1370" i="2"/>
  <c r="A1370" i="2"/>
  <c r="F1369" i="2"/>
  <c r="E1369" i="2"/>
  <c r="D1369" i="2"/>
  <c r="L1369" i="2"/>
  <c r="K1369" i="2"/>
  <c r="J1369" i="2"/>
  <c r="I1369" i="2"/>
  <c r="H1369" i="2"/>
  <c r="G1369" i="2"/>
  <c r="A1369" i="2"/>
  <c r="I1368" i="2"/>
  <c r="H1368" i="2"/>
  <c r="A1368" i="2"/>
  <c r="G1367" i="2"/>
  <c r="F1367" i="2"/>
  <c r="A1367" i="2"/>
  <c r="E1366" i="2"/>
  <c r="D1366" i="2"/>
  <c r="A1366" i="2"/>
  <c r="L1365" i="2"/>
  <c r="K1365" i="2"/>
  <c r="A1365" i="2"/>
  <c r="J1364" i="2"/>
  <c r="I1364" i="2"/>
  <c r="A1364" i="2"/>
  <c r="H1363" i="2"/>
  <c r="G1363" i="2"/>
  <c r="A1363" i="2"/>
  <c r="F1362" i="2"/>
  <c r="A1362" i="2"/>
  <c r="D1361" i="2"/>
  <c r="A1361" i="2"/>
  <c r="K1360" i="2"/>
  <c r="A1360" i="2"/>
  <c r="I1359" i="2"/>
  <c r="A1359" i="2"/>
  <c r="G1358" i="2"/>
  <c r="A1358" i="2"/>
  <c r="E1357" i="2"/>
  <c r="A1357" i="2"/>
  <c r="L1356" i="2"/>
  <c r="A1356" i="2"/>
  <c r="J1355" i="2"/>
  <c r="I1355" i="2"/>
  <c r="H1355" i="2"/>
  <c r="G1355" i="2"/>
  <c r="F1355" i="2"/>
  <c r="E1355" i="2"/>
  <c r="D1355" i="2"/>
  <c r="L1355" i="2"/>
  <c r="K1355" i="2"/>
  <c r="A1355" i="2"/>
  <c r="F1354" i="2"/>
  <c r="E1354" i="2"/>
  <c r="A1354" i="2"/>
  <c r="D1353" i="2"/>
  <c r="L1353" i="2"/>
  <c r="A1353" i="2"/>
  <c r="K1352" i="2"/>
  <c r="J1352" i="2"/>
  <c r="A1352" i="2"/>
  <c r="I1351" i="2"/>
  <c r="H1351" i="2"/>
  <c r="A1351" i="2"/>
  <c r="G1350" i="2"/>
  <c r="F1350" i="2"/>
  <c r="A1350" i="2"/>
  <c r="E1349" i="2"/>
  <c r="D1349" i="2"/>
  <c r="A1349" i="2"/>
  <c r="L1348" i="2"/>
  <c r="A1348" i="2"/>
  <c r="J1347" i="2"/>
  <c r="A1347" i="2"/>
  <c r="H1346" i="2"/>
  <c r="A1346" i="2"/>
  <c r="F1345" i="2"/>
  <c r="A1345" i="2"/>
  <c r="D1344" i="2"/>
  <c r="A1344" i="2"/>
  <c r="K1343" i="2"/>
  <c r="A1343" i="2"/>
  <c r="I1342" i="2"/>
  <c r="H1342" i="2"/>
  <c r="G1342" i="2"/>
  <c r="F1342" i="2"/>
  <c r="E1342" i="2"/>
  <c r="D1342" i="2"/>
  <c r="L1342" i="2"/>
  <c r="K1342" i="2"/>
  <c r="J1342" i="2"/>
  <c r="A1342" i="2"/>
  <c r="E1341" i="2"/>
  <c r="D1341" i="2"/>
  <c r="A1341" i="2"/>
  <c r="L1340" i="2"/>
  <c r="K1340" i="2"/>
  <c r="A1340" i="2"/>
  <c r="J1339" i="2"/>
  <c r="I1339" i="2"/>
  <c r="A1339" i="2"/>
  <c r="H1338" i="2"/>
  <c r="G1338" i="2"/>
  <c r="A1338" i="2"/>
  <c r="F1337" i="2"/>
  <c r="E1337" i="2"/>
  <c r="A1337" i="2"/>
  <c r="D1336" i="2"/>
  <c r="A1336" i="2"/>
  <c r="K1335" i="2"/>
  <c r="A1335" i="2"/>
  <c r="I1334" i="2"/>
  <c r="A1334" i="2"/>
  <c r="G1333" i="2"/>
  <c r="A1333" i="2"/>
  <c r="E1332" i="2"/>
  <c r="A1332" i="2"/>
  <c r="L1331" i="2"/>
  <c r="A1331" i="2"/>
  <c r="J1330" i="2"/>
  <c r="A1330" i="2"/>
  <c r="H1329" i="2"/>
  <c r="G1329" i="2"/>
  <c r="F1329" i="2"/>
  <c r="E1329" i="2"/>
  <c r="D1329" i="2"/>
  <c r="L1329" i="2"/>
  <c r="K1329" i="2"/>
  <c r="J1329" i="2"/>
  <c r="I1329" i="2"/>
  <c r="A1329" i="2"/>
  <c r="F1328" i="2"/>
  <c r="E1328" i="2"/>
  <c r="A1328" i="2"/>
  <c r="D1327" i="2"/>
  <c r="L1327" i="2"/>
  <c r="A1327" i="2"/>
  <c r="K1326" i="2"/>
  <c r="J1326" i="2"/>
  <c r="A1326" i="2"/>
  <c r="I1325" i="2"/>
  <c r="H1325" i="2"/>
  <c r="G1325" i="2"/>
  <c r="F1325" i="2"/>
  <c r="A1325" i="2"/>
  <c r="E1324" i="2"/>
  <c r="A1324" i="2"/>
  <c r="L1323" i="2"/>
  <c r="A1323" i="2"/>
  <c r="J1322" i="2"/>
  <c r="A1322" i="2"/>
  <c r="H1321" i="2"/>
  <c r="A1321" i="2"/>
  <c r="F1320" i="2"/>
  <c r="A1320" i="2"/>
  <c r="D1319" i="2"/>
  <c r="A1319" i="2"/>
  <c r="K1318" i="2"/>
  <c r="J1318" i="2"/>
  <c r="I1318" i="2"/>
  <c r="H1318" i="2"/>
  <c r="G1318" i="2"/>
  <c r="F1318" i="2"/>
  <c r="E1318" i="2"/>
  <c r="D1318" i="2"/>
  <c r="L1318" i="2"/>
  <c r="A1318" i="2"/>
  <c r="I1317" i="2"/>
  <c r="H1317" i="2"/>
  <c r="A1317" i="2"/>
  <c r="G1316" i="2"/>
  <c r="F1316" i="2"/>
  <c r="A1316" i="2"/>
  <c r="E1315" i="2"/>
  <c r="D1315" i="2"/>
  <c r="A1315" i="2"/>
  <c r="L1314" i="2"/>
  <c r="K1314" i="2"/>
  <c r="A1314" i="2"/>
  <c r="J1313" i="2"/>
  <c r="A1313" i="2"/>
  <c r="H1312" i="2"/>
  <c r="A1312" i="2"/>
  <c r="F1311" i="2"/>
  <c r="A1311" i="2"/>
  <c r="D1310" i="2"/>
  <c r="A1310" i="2"/>
  <c r="K1309" i="2"/>
  <c r="A1309" i="2"/>
  <c r="I1308" i="2"/>
  <c r="H1308" i="2"/>
  <c r="G1308" i="2"/>
  <c r="F1308" i="2"/>
  <c r="E1308" i="2"/>
  <c r="D1308" i="2"/>
  <c r="L1308" i="2"/>
  <c r="K1308" i="2"/>
  <c r="J1308" i="2"/>
  <c r="A1308" i="2"/>
  <c r="G1307" i="2"/>
  <c r="F1307" i="2"/>
  <c r="A1307" i="2"/>
  <c r="E1306" i="2"/>
  <c r="D1306" i="2"/>
  <c r="A1306" i="2"/>
  <c r="L1305" i="2"/>
  <c r="K1305" i="2"/>
  <c r="A1305" i="2"/>
  <c r="J1304" i="2"/>
  <c r="I1304" i="2"/>
  <c r="A1304" i="2"/>
  <c r="H1303" i="2"/>
  <c r="A1303" i="2"/>
  <c r="F1302" i="2"/>
  <c r="A1302" i="2"/>
  <c r="D1301" i="2"/>
  <c r="A1301" i="2"/>
  <c r="K1300" i="2"/>
  <c r="A1300" i="2"/>
  <c r="I1299" i="2"/>
  <c r="A1299" i="2"/>
  <c r="G1298" i="2"/>
  <c r="F1298" i="2"/>
  <c r="E1298" i="2"/>
  <c r="D1298" i="2"/>
  <c r="L1298" i="2"/>
  <c r="K1298" i="2"/>
  <c r="J1298" i="2"/>
  <c r="I1298" i="2"/>
  <c r="H1298" i="2"/>
  <c r="A1298" i="2"/>
  <c r="G1297" i="2"/>
  <c r="F1297" i="2"/>
  <c r="A1297" i="2"/>
  <c r="E1296" i="2"/>
  <c r="D1296" i="2"/>
  <c r="A1296" i="2"/>
  <c r="L1295" i="2"/>
  <c r="K1295" i="2"/>
  <c r="A1295" i="2"/>
  <c r="J1294" i="2"/>
  <c r="I1294" i="2"/>
  <c r="A1294" i="2"/>
  <c r="H1293" i="2"/>
  <c r="A1293" i="2"/>
  <c r="F1292" i="2"/>
  <c r="A1292" i="2"/>
  <c r="D1291" i="2"/>
  <c r="A1291" i="2"/>
  <c r="K1290" i="2"/>
  <c r="A1290" i="2"/>
  <c r="I1289" i="2"/>
  <c r="H1289" i="2"/>
  <c r="G1289" i="2"/>
  <c r="F1289" i="2"/>
  <c r="E1289" i="2"/>
  <c r="D1289" i="2"/>
  <c r="L1289" i="2"/>
  <c r="K1289" i="2"/>
  <c r="J1289" i="2"/>
  <c r="A1289" i="2"/>
  <c r="G1288" i="2"/>
  <c r="F1288" i="2"/>
  <c r="A1288" i="2"/>
  <c r="E1287" i="2"/>
  <c r="D1287" i="2"/>
  <c r="A1287" i="2"/>
  <c r="L1286" i="2"/>
  <c r="K1286" i="2"/>
  <c r="A1286" i="2"/>
  <c r="J1285" i="2"/>
  <c r="A1285" i="2"/>
  <c r="H1284" i="2"/>
  <c r="A1284" i="2"/>
  <c r="F1283" i="2"/>
  <c r="A1283" i="2"/>
  <c r="D1282" i="2"/>
  <c r="A1282" i="2"/>
  <c r="K1281" i="2"/>
  <c r="A1281" i="2"/>
  <c r="I1280" i="2"/>
  <c r="H1280" i="2"/>
  <c r="G1280" i="2"/>
  <c r="F1280" i="2"/>
  <c r="E1280" i="2"/>
  <c r="D1280" i="2"/>
  <c r="L1280" i="2"/>
  <c r="K1280" i="2"/>
  <c r="J1280" i="2"/>
  <c r="A1280" i="2"/>
  <c r="I1279" i="2"/>
  <c r="H1279" i="2"/>
  <c r="A1279" i="2"/>
  <c r="G1278" i="2"/>
  <c r="F1278" i="2"/>
  <c r="A1278" i="2"/>
  <c r="E1277" i="2"/>
  <c r="D1277" i="2"/>
  <c r="A1277" i="2"/>
  <c r="L1276" i="2"/>
  <c r="A1276" i="2"/>
  <c r="J1275" i="2"/>
  <c r="A1275" i="2"/>
  <c r="H1274" i="2"/>
  <c r="A1274" i="2"/>
  <c r="F1273" i="2"/>
  <c r="A1273" i="2"/>
  <c r="D1272" i="2"/>
  <c r="A1272" i="2"/>
  <c r="K1271" i="2"/>
  <c r="J1271" i="2"/>
  <c r="I1271" i="2"/>
  <c r="H1271" i="2"/>
  <c r="G1271" i="2"/>
  <c r="F1271" i="2"/>
  <c r="E1271" i="2"/>
  <c r="D1271" i="2"/>
  <c r="L1271" i="2"/>
  <c r="A1271" i="2"/>
  <c r="K1270" i="2"/>
  <c r="J1270" i="2"/>
  <c r="A1270" i="2"/>
  <c r="I1269" i="2"/>
  <c r="H1269" i="2"/>
  <c r="A1269" i="2"/>
  <c r="G1268" i="2"/>
  <c r="F1268" i="2"/>
  <c r="A1268" i="2"/>
  <c r="E1267" i="2"/>
  <c r="A1267" i="2"/>
  <c r="L1266" i="2"/>
  <c r="A1266" i="2"/>
  <c r="J1265" i="2"/>
  <c r="A1265" i="2"/>
  <c r="H1264" i="2"/>
  <c r="A1264" i="2"/>
  <c r="F1263" i="2"/>
  <c r="E1263" i="2"/>
  <c r="D1263" i="2"/>
  <c r="L1263" i="2"/>
  <c r="K1263" i="2"/>
  <c r="J1263" i="2"/>
  <c r="I1263" i="2"/>
  <c r="H1263" i="2"/>
  <c r="G1263" i="2"/>
  <c r="A1263" i="2"/>
  <c r="F1262" i="2"/>
  <c r="E1262" i="2"/>
  <c r="A1262" i="2"/>
  <c r="D1261" i="2"/>
  <c r="L1261" i="2"/>
  <c r="A1261" i="2"/>
  <c r="K1260" i="2"/>
  <c r="J1260" i="2"/>
  <c r="A1260" i="2"/>
  <c r="I1259" i="2"/>
  <c r="A1259" i="2"/>
  <c r="G1258" i="2"/>
  <c r="A1258" i="2"/>
  <c r="E1257" i="2"/>
  <c r="A1257" i="2"/>
  <c r="L1256" i="2"/>
  <c r="A1256" i="2"/>
  <c r="J1255" i="2"/>
  <c r="I1255" i="2"/>
  <c r="H1255" i="2"/>
  <c r="G1255" i="2"/>
  <c r="F1255" i="2"/>
  <c r="E1255" i="2"/>
  <c r="D1255" i="2"/>
  <c r="L1255" i="2"/>
  <c r="K1255" i="2"/>
  <c r="A1255" i="2"/>
  <c r="J1254" i="2"/>
  <c r="I1254" i="2"/>
  <c r="A1254" i="2"/>
  <c r="H1253" i="2"/>
  <c r="G1253" i="2"/>
  <c r="A1253" i="2"/>
  <c r="F1252" i="2"/>
  <c r="A1252" i="2"/>
  <c r="D1251" i="2"/>
  <c r="A1251" i="2"/>
  <c r="K1250" i="2"/>
  <c r="A1250" i="2"/>
  <c r="I1249" i="2"/>
  <c r="A1249" i="2"/>
  <c r="G1248" i="2"/>
  <c r="F1248" i="2"/>
  <c r="E1248" i="2"/>
  <c r="D1248" i="2"/>
  <c r="L1248" i="2"/>
  <c r="K1248" i="2"/>
  <c r="J1248" i="2"/>
  <c r="I1248" i="2"/>
  <c r="H1248" i="2"/>
  <c r="A1248" i="2"/>
  <c r="G1247" i="2"/>
  <c r="F1247" i="2"/>
  <c r="A1247" i="2"/>
  <c r="E1246" i="2"/>
  <c r="D1246" i="2"/>
  <c r="A1246" i="2"/>
  <c r="L1245" i="2"/>
  <c r="A1245" i="2"/>
  <c r="J1244" i="2"/>
  <c r="A1244" i="2"/>
  <c r="H1243" i="2"/>
  <c r="A1243" i="2"/>
  <c r="F1242" i="2"/>
  <c r="A1242" i="2"/>
  <c r="D1241" i="2"/>
  <c r="L1241" i="2"/>
  <c r="K1241" i="2"/>
  <c r="J1241" i="2"/>
  <c r="I1241" i="2"/>
  <c r="H1241" i="2"/>
  <c r="G1241" i="2"/>
  <c r="F1241" i="2"/>
  <c r="E1241" i="2"/>
  <c r="A1241" i="2"/>
  <c r="D1240" i="2"/>
  <c r="L1240" i="2"/>
  <c r="A1240" i="2"/>
  <c r="K1239" i="2"/>
  <c r="J1239" i="2"/>
  <c r="A1239" i="2"/>
  <c r="I1238" i="2"/>
  <c r="A1238" i="2"/>
  <c r="G1237" i="2"/>
  <c r="A1237" i="2"/>
  <c r="E1236" i="2"/>
  <c r="A1236" i="2"/>
  <c r="L1235" i="2"/>
  <c r="A1235" i="2"/>
  <c r="J1234" i="2"/>
  <c r="I1234" i="2"/>
  <c r="H1234" i="2"/>
  <c r="G1234" i="2"/>
  <c r="F1234" i="2"/>
  <c r="E1234" i="2"/>
  <c r="D1234" i="2"/>
  <c r="L1234" i="2"/>
  <c r="K1234" i="2"/>
  <c r="A1234" i="2"/>
  <c r="J1233" i="2"/>
  <c r="I1233" i="2"/>
  <c r="A1233" i="2"/>
  <c r="H1232" i="2"/>
  <c r="G1232" i="2"/>
  <c r="A1232" i="2"/>
  <c r="F1231" i="2"/>
  <c r="A1231" i="2"/>
  <c r="D1230" i="2"/>
  <c r="A1230" i="2"/>
  <c r="K1229" i="2"/>
  <c r="A1229" i="2"/>
  <c r="I1228" i="2"/>
  <c r="A1228" i="2"/>
  <c r="G1227" i="2"/>
  <c r="F1227" i="2"/>
  <c r="E1227" i="2"/>
  <c r="D1227" i="2"/>
  <c r="L1227" i="2"/>
  <c r="K1227" i="2"/>
  <c r="J1227" i="2"/>
  <c r="A1227" i="2"/>
  <c r="I1226" i="2"/>
  <c r="H1226" i="2"/>
  <c r="A1226" i="2"/>
  <c r="G1225" i="2"/>
  <c r="F1225" i="2"/>
  <c r="A1225" i="2"/>
  <c r="E1224" i="2"/>
  <c r="A1224" i="2"/>
  <c r="L1223" i="2"/>
  <c r="A1223" i="2"/>
  <c r="J1222" i="2"/>
  <c r="A1222" i="2"/>
  <c r="H1221" i="2"/>
  <c r="A1221" i="2"/>
  <c r="F1220" i="2"/>
  <c r="E1220" i="2"/>
  <c r="D1220" i="2"/>
  <c r="L1220" i="2"/>
  <c r="K1220" i="2"/>
  <c r="J1220" i="2"/>
  <c r="I1220" i="2"/>
  <c r="A1220" i="2"/>
  <c r="H1219" i="2"/>
  <c r="G1219" i="2"/>
  <c r="A1219" i="2"/>
  <c r="F1218" i="2"/>
  <c r="E1218" i="2"/>
  <c r="A1218" i="2"/>
  <c r="D1217" i="2"/>
  <c r="L1217" i="2"/>
  <c r="A1217" i="2"/>
  <c r="K1216" i="2"/>
  <c r="A1216" i="2"/>
  <c r="I1215" i="2"/>
  <c r="A1215" i="2"/>
  <c r="G1214" i="2"/>
  <c r="A1214" i="2"/>
  <c r="E1213" i="2"/>
  <c r="D1213" i="2"/>
  <c r="L1213" i="2"/>
  <c r="K1213" i="2"/>
  <c r="J1213" i="2"/>
  <c r="I1213" i="2"/>
  <c r="H1213" i="2"/>
  <c r="G1213" i="2"/>
  <c r="F1213" i="2"/>
  <c r="A1213" i="2"/>
  <c r="E1212" i="2"/>
  <c r="D1212" i="2"/>
  <c r="A1212" i="2"/>
  <c r="L1211" i="2"/>
  <c r="K1211" i="2"/>
  <c r="A1211" i="2"/>
  <c r="J1210" i="2"/>
  <c r="A1210" i="2"/>
  <c r="H1209" i="2"/>
  <c r="A1209" i="2"/>
  <c r="F1208" i="2"/>
  <c r="A1208" i="2"/>
  <c r="D1207" i="2"/>
  <c r="L1207" i="2"/>
  <c r="K1207" i="2"/>
  <c r="J1207" i="2"/>
  <c r="I1207" i="2"/>
  <c r="H1207" i="2"/>
  <c r="G1207" i="2"/>
  <c r="A1207" i="2"/>
  <c r="F1206" i="2"/>
  <c r="E1206" i="2"/>
  <c r="D1206" i="2"/>
  <c r="L1206" i="2"/>
  <c r="A1206" i="2"/>
  <c r="K1205" i="2"/>
  <c r="J1205" i="2"/>
  <c r="A1205" i="2"/>
  <c r="I1204" i="2"/>
  <c r="A1204" i="2"/>
  <c r="G1203" i="2"/>
  <c r="A1203" i="2"/>
  <c r="E1202" i="2"/>
  <c r="A1202" i="2"/>
  <c r="L1201" i="2"/>
  <c r="K1201" i="2"/>
  <c r="J1201" i="2"/>
  <c r="I1201" i="2"/>
  <c r="H1201" i="2"/>
  <c r="G1201" i="2"/>
  <c r="F1201" i="2"/>
  <c r="A1201" i="2"/>
  <c r="E1200" i="2"/>
  <c r="D1200" i="2"/>
  <c r="A1200" i="2"/>
  <c r="L1199" i="2"/>
  <c r="K1199" i="2"/>
  <c r="A1199" i="2"/>
  <c r="J1198" i="2"/>
  <c r="A1198" i="2"/>
  <c r="H1197" i="2"/>
  <c r="A1197" i="2"/>
  <c r="F1196" i="2"/>
  <c r="A1196" i="2"/>
  <c r="D1195" i="2"/>
  <c r="L1195" i="2"/>
  <c r="K1195" i="2"/>
  <c r="J1195" i="2"/>
  <c r="I1195" i="2"/>
  <c r="H1195" i="2"/>
  <c r="G1195" i="2"/>
  <c r="A1195" i="2"/>
  <c r="F1194" i="2"/>
  <c r="E1194" i="2"/>
  <c r="A1194" i="2"/>
  <c r="D1193" i="2"/>
  <c r="L1193" i="2"/>
  <c r="A1193" i="2"/>
  <c r="K1192" i="2"/>
  <c r="A1192" i="2"/>
  <c r="I1191" i="2"/>
  <c r="A1191" i="2"/>
  <c r="G1190" i="2"/>
  <c r="A1190" i="2"/>
  <c r="E1189" i="2"/>
  <c r="D1189" i="2"/>
  <c r="L1189" i="2"/>
  <c r="K1189" i="2"/>
  <c r="J1189" i="2"/>
  <c r="I1189" i="2"/>
  <c r="H1189" i="2"/>
  <c r="A1189" i="2"/>
  <c r="G1188" i="2"/>
  <c r="F1188" i="2"/>
  <c r="A1188" i="2"/>
  <c r="E1187" i="2"/>
  <c r="D1187" i="2"/>
  <c r="A1187" i="2"/>
  <c r="L1186" i="2"/>
  <c r="A1186" i="2"/>
  <c r="J1185" i="2"/>
  <c r="A1185" i="2"/>
  <c r="H1184" i="2"/>
  <c r="A1184" i="2"/>
  <c r="F1183" i="2"/>
  <c r="E1183" i="2"/>
  <c r="D1183" i="2"/>
  <c r="L1183" i="2"/>
  <c r="K1183" i="2"/>
  <c r="J1183" i="2"/>
  <c r="I1183" i="2"/>
  <c r="A1183" i="2"/>
  <c r="H1182" i="2"/>
  <c r="G1182" i="2"/>
  <c r="A1182" i="2"/>
  <c r="F1181" i="2"/>
  <c r="E1181" i="2"/>
  <c r="A1181" i="2"/>
  <c r="D1180" i="2"/>
  <c r="A1180" i="2"/>
  <c r="K1179" i="2"/>
  <c r="A1179" i="2"/>
  <c r="I1178" i="2"/>
  <c r="A1178" i="2"/>
  <c r="G1177" i="2"/>
  <c r="F1177" i="2"/>
  <c r="E1177" i="2"/>
  <c r="D1177" i="2"/>
  <c r="L1177" i="2"/>
  <c r="K1177" i="2"/>
  <c r="J1177" i="2"/>
  <c r="A1177" i="2"/>
  <c r="I1176" i="2"/>
  <c r="H1176" i="2"/>
  <c r="A1176" i="2"/>
  <c r="G1175" i="2"/>
  <c r="F1175" i="2"/>
  <c r="A1175" i="2"/>
  <c r="E1174" i="2"/>
  <c r="A1174" i="2"/>
  <c r="L1173" i="2"/>
  <c r="A1173" i="2"/>
  <c r="J1172" i="2"/>
  <c r="I1172" i="2"/>
  <c r="H1172" i="2"/>
  <c r="G1172" i="2"/>
  <c r="F1172" i="2"/>
  <c r="E1172" i="2"/>
  <c r="D1172" i="2"/>
  <c r="A1172" i="2"/>
  <c r="L1171" i="2"/>
  <c r="K1171" i="2"/>
  <c r="A1171" i="2"/>
  <c r="J1170" i="2"/>
  <c r="I1170" i="2"/>
  <c r="A1170" i="2"/>
  <c r="H1169" i="2"/>
  <c r="A1169" i="2"/>
  <c r="F1168" i="2"/>
  <c r="A1168" i="2"/>
  <c r="D1167" i="2"/>
  <c r="L1167" i="2"/>
  <c r="K1167" i="2"/>
  <c r="J1167" i="2"/>
  <c r="I1167" i="2"/>
  <c r="H1167" i="2"/>
  <c r="G1167" i="2"/>
  <c r="A1167" i="2"/>
  <c r="F1166" i="2"/>
  <c r="E1166" i="2"/>
  <c r="A1166" i="2"/>
  <c r="D1165" i="2"/>
  <c r="L1165" i="2"/>
  <c r="A1165" i="2"/>
  <c r="K1164" i="2"/>
  <c r="A1164" i="2"/>
  <c r="I1163" i="2"/>
  <c r="A1163" i="2"/>
  <c r="G1162" i="2"/>
  <c r="F1162" i="2"/>
  <c r="E1162" i="2"/>
  <c r="D1162" i="2"/>
  <c r="L1162" i="2"/>
  <c r="K1162" i="2"/>
  <c r="J1162" i="2"/>
  <c r="A1162" i="2"/>
  <c r="I1161" i="2"/>
  <c r="H1161" i="2"/>
  <c r="A1161" i="2"/>
  <c r="G1160" i="2"/>
  <c r="F1160" i="2"/>
  <c r="A1160" i="2"/>
  <c r="E1159" i="2"/>
  <c r="A1159" i="2"/>
  <c r="L1158" i="2"/>
  <c r="A1158" i="2"/>
  <c r="J1157" i="2"/>
  <c r="I1157" i="2"/>
  <c r="H1157" i="2"/>
  <c r="G1157" i="2"/>
  <c r="F1157" i="2"/>
  <c r="E1157" i="2"/>
  <c r="D1157" i="2"/>
  <c r="A1157" i="2"/>
  <c r="L1156" i="2"/>
  <c r="K1156" i="2"/>
  <c r="A1156" i="2"/>
  <c r="J1155" i="2"/>
  <c r="A1155" i="2"/>
  <c r="H1154" i="2"/>
  <c r="A1154" i="2"/>
  <c r="F1153" i="2"/>
  <c r="A1153" i="2"/>
  <c r="D1152" i="2"/>
  <c r="L1152" i="2"/>
  <c r="K1152" i="2"/>
  <c r="J1152" i="2"/>
  <c r="I1152" i="2"/>
  <c r="A1152" i="2"/>
  <c r="H1151" i="2"/>
  <c r="G1151" i="2"/>
  <c r="A1151" i="2"/>
  <c r="F1150" i="2"/>
  <c r="A1150" i="2"/>
  <c r="D1149" i="2"/>
  <c r="A1149" i="2"/>
  <c r="K1148" i="2"/>
  <c r="A1148" i="2"/>
  <c r="I1147" i="2"/>
  <c r="H1147" i="2"/>
  <c r="G1147" i="2"/>
  <c r="F1147" i="2"/>
  <c r="E1147" i="2"/>
  <c r="A1147" i="2"/>
  <c r="D1146" i="2"/>
  <c r="L1146" i="2"/>
  <c r="A1146" i="2"/>
  <c r="K1145" i="2"/>
  <c r="A1145" i="2"/>
  <c r="I1144" i="2"/>
  <c r="A1144" i="2"/>
  <c r="G1143" i="2"/>
  <c r="A1143" i="2"/>
  <c r="E1142" i="2"/>
  <c r="D1142" i="2"/>
  <c r="L1142" i="2"/>
  <c r="K1142" i="2"/>
  <c r="J1142" i="2"/>
  <c r="A1142" i="2"/>
  <c r="I1141" i="2"/>
  <c r="H1141" i="2"/>
  <c r="A1141" i="2"/>
  <c r="G1140" i="2"/>
  <c r="F1140" i="2"/>
  <c r="A1140" i="2"/>
  <c r="E1139" i="2"/>
  <c r="A1139" i="2"/>
  <c r="L1138" i="2"/>
  <c r="A1138" i="2"/>
  <c r="J1137" i="2"/>
  <c r="I1137" i="2"/>
  <c r="H1137" i="2"/>
  <c r="G1137" i="2"/>
  <c r="F1137" i="2"/>
  <c r="E1137" i="2"/>
  <c r="D1137" i="2"/>
  <c r="A1137" i="2"/>
  <c r="L1136" i="2"/>
  <c r="K1136" i="2"/>
  <c r="A1136" i="2"/>
  <c r="J1135" i="2"/>
  <c r="A1135" i="2"/>
  <c r="H1134" i="2"/>
  <c r="A1134" i="2"/>
  <c r="F1133" i="2"/>
  <c r="E1133" i="2"/>
  <c r="D1133" i="2"/>
  <c r="L1133" i="2"/>
  <c r="K1133" i="2"/>
  <c r="J1133" i="2"/>
  <c r="I1133" i="2"/>
  <c r="A1133" i="2"/>
  <c r="H1132" i="2"/>
  <c r="G1132" i="2"/>
  <c r="A1132" i="2"/>
  <c r="F1131" i="2"/>
  <c r="A1131" i="2"/>
  <c r="D1130" i="2"/>
  <c r="A1130" i="2"/>
  <c r="K1129" i="2"/>
  <c r="J1129" i="2"/>
  <c r="I1129" i="2"/>
  <c r="H1129" i="2"/>
  <c r="G1129" i="2"/>
  <c r="F1129" i="2"/>
  <c r="E1129" i="2"/>
  <c r="A1129" i="2"/>
  <c r="D1128" i="2"/>
  <c r="L1128" i="2"/>
  <c r="A1128" i="2"/>
  <c r="K1127" i="2"/>
  <c r="A1127" i="2"/>
  <c r="I1126" i="2"/>
  <c r="A1126" i="2"/>
  <c r="G1125" i="2"/>
  <c r="F1125" i="2"/>
  <c r="E1125" i="2"/>
  <c r="D1125" i="2"/>
  <c r="L1125" i="2"/>
  <c r="A1125" i="2"/>
  <c r="K1124" i="2"/>
  <c r="J1124" i="2"/>
  <c r="A1124" i="2"/>
  <c r="I1123" i="2"/>
  <c r="A1123" i="2"/>
  <c r="G1122" i="2"/>
  <c r="A1122" i="2"/>
  <c r="E1121" i="2"/>
  <c r="A1121" i="2"/>
  <c r="L1120" i="2"/>
  <c r="K1120" i="2"/>
  <c r="J1120" i="2"/>
  <c r="I1120" i="2"/>
  <c r="H1120" i="2"/>
  <c r="A1120" i="2"/>
  <c r="G1119" i="2"/>
  <c r="F1119" i="2"/>
  <c r="A1119" i="2"/>
  <c r="E1118" i="2"/>
  <c r="A1118" i="2"/>
  <c r="L1117" i="2"/>
  <c r="A1117" i="2"/>
  <c r="J1116" i="2"/>
  <c r="A1116" i="2"/>
  <c r="H1115" i="2"/>
  <c r="G1115" i="2"/>
  <c r="F1115" i="2"/>
  <c r="E1115" i="2"/>
  <c r="D1115" i="2"/>
  <c r="A1115" i="2"/>
  <c r="L1114" i="2"/>
  <c r="K1114" i="2"/>
  <c r="A1114" i="2"/>
  <c r="J1113" i="2"/>
  <c r="A1113" i="2"/>
  <c r="H1112" i="2"/>
  <c r="A1112" i="2"/>
  <c r="F1111" i="2"/>
  <c r="E1111" i="2"/>
  <c r="D1111" i="2"/>
  <c r="L1111" i="2"/>
  <c r="K1111" i="2"/>
  <c r="A1111" i="2"/>
  <c r="J1110" i="2"/>
  <c r="I1110" i="2"/>
  <c r="A1110" i="2"/>
  <c r="H1109" i="2"/>
  <c r="A1109" i="2"/>
  <c r="F1108" i="2"/>
  <c r="A1108" i="2"/>
  <c r="D1107" i="2"/>
  <c r="A1107" i="2"/>
  <c r="K1106" i="2"/>
  <c r="J1106" i="2"/>
  <c r="I1106" i="2"/>
  <c r="H1106" i="2"/>
  <c r="G1106" i="2"/>
  <c r="A1106" i="2"/>
  <c r="F1105" i="2"/>
  <c r="E1105" i="2"/>
  <c r="A1105" i="2"/>
  <c r="D1104" i="2"/>
  <c r="A1104" i="2"/>
  <c r="K1103" i="2"/>
  <c r="A1103" i="2"/>
  <c r="I1102" i="2"/>
  <c r="H1102" i="2"/>
  <c r="G1102" i="2"/>
  <c r="F1102" i="2"/>
  <c r="E1102" i="2"/>
  <c r="A1102" i="2"/>
  <c r="D1101" i="2"/>
  <c r="L1101" i="2"/>
  <c r="A1101" i="2"/>
  <c r="K1100" i="2"/>
  <c r="A1100" i="2"/>
  <c r="I1099" i="2"/>
  <c r="A1099" i="2"/>
  <c r="G1098" i="2"/>
  <c r="F1098" i="2"/>
  <c r="E1098" i="2"/>
  <c r="D1098" i="2"/>
  <c r="L1098" i="2"/>
  <c r="A1098" i="2"/>
  <c r="K1097" i="2"/>
  <c r="J1097" i="2"/>
  <c r="A1097" i="2"/>
  <c r="I1096" i="2"/>
  <c r="A1096" i="2"/>
  <c r="G1095" i="2"/>
  <c r="A1095" i="2"/>
  <c r="E1094" i="2"/>
  <c r="A1094" i="2"/>
  <c r="L1093" i="2"/>
  <c r="K1093" i="2"/>
  <c r="J1093" i="2"/>
  <c r="I1093" i="2"/>
  <c r="H1093" i="2"/>
  <c r="A1093" i="2"/>
  <c r="G1092" i="2"/>
  <c r="A1092" i="2"/>
  <c r="E1091" i="2"/>
  <c r="A1091" i="2"/>
  <c r="L1090" i="2"/>
  <c r="A1090" i="2"/>
  <c r="J1089" i="2"/>
  <c r="I1089" i="2"/>
  <c r="H1089" i="2"/>
  <c r="G1089" i="2"/>
  <c r="F1089" i="2"/>
  <c r="A1089" i="2"/>
  <c r="E1088" i="2"/>
  <c r="D1088" i="2"/>
  <c r="A1088" i="2"/>
  <c r="L1087" i="2"/>
  <c r="K1087" i="2"/>
  <c r="J1087" i="2"/>
  <c r="A1087" i="2"/>
  <c r="H1086" i="2"/>
  <c r="G1086" i="2"/>
  <c r="F1086" i="2"/>
  <c r="E1086" i="2"/>
  <c r="D1086" i="2"/>
  <c r="A1086" i="2"/>
  <c r="L1085" i="2"/>
  <c r="K1085" i="2"/>
  <c r="A1085" i="2"/>
  <c r="J1084" i="2"/>
  <c r="A1084" i="2"/>
  <c r="H1083" i="2"/>
  <c r="A1083" i="2"/>
  <c r="F1082" i="2"/>
  <c r="E1082" i="2"/>
  <c r="D1082" i="2"/>
  <c r="L1082" i="2"/>
  <c r="K1082" i="2"/>
  <c r="A1082" i="2"/>
  <c r="J1081" i="2"/>
  <c r="I1081" i="2"/>
  <c r="A1081" i="2"/>
  <c r="H1080" i="2"/>
  <c r="A1080" i="2"/>
  <c r="F1079" i="2"/>
  <c r="A1079" i="2"/>
  <c r="D1078" i="2"/>
  <c r="L1078" i="2"/>
  <c r="K1078" i="2"/>
  <c r="J1078" i="2"/>
  <c r="I1078" i="2"/>
  <c r="A1078" i="2"/>
  <c r="H1077" i="2"/>
  <c r="A1077" i="2"/>
  <c r="F1076" i="2"/>
  <c r="A1076" i="2"/>
  <c r="D1075" i="2"/>
  <c r="L1075" i="2"/>
  <c r="K1075" i="2"/>
  <c r="J1075" i="2"/>
  <c r="I1075" i="2"/>
  <c r="A1075" i="2"/>
  <c r="H1074" i="2"/>
  <c r="G1074" i="2"/>
  <c r="A1074" i="2"/>
  <c r="F1073" i="2"/>
  <c r="A1073" i="2"/>
  <c r="D1072" i="2"/>
  <c r="A1072" i="2"/>
  <c r="K1071" i="2"/>
  <c r="J1071" i="2"/>
  <c r="I1071" i="2"/>
  <c r="H1071" i="2"/>
  <c r="G1071" i="2"/>
  <c r="A1071" i="2"/>
  <c r="F1070" i="2"/>
  <c r="E1070" i="2"/>
  <c r="A1070" i="2"/>
  <c r="D1069" i="2"/>
  <c r="A1069" i="2"/>
  <c r="K1068" i="2"/>
  <c r="A1068" i="2"/>
  <c r="I1067" i="2"/>
  <c r="H1067" i="2"/>
  <c r="G1067" i="2"/>
  <c r="A1067" i="2"/>
  <c r="F1066" i="2"/>
  <c r="E1066" i="2"/>
  <c r="A1066" i="2"/>
  <c r="D1065" i="2"/>
  <c r="A1065" i="2"/>
  <c r="K1064" i="2"/>
  <c r="A1064" i="2"/>
  <c r="I1063" i="2"/>
  <c r="H1063" i="2"/>
  <c r="G1063" i="2"/>
  <c r="F1063" i="2"/>
  <c r="E1063" i="2"/>
  <c r="A1063" i="2"/>
  <c r="D1062" i="2"/>
  <c r="A1062" i="2"/>
  <c r="K1061" i="2"/>
  <c r="A1061" i="2"/>
  <c r="I1060" i="2"/>
  <c r="A1060" i="2"/>
  <c r="G1059" i="2"/>
  <c r="F1059" i="2"/>
  <c r="E1059" i="2"/>
  <c r="A1059" i="2"/>
  <c r="D1058" i="2"/>
  <c r="L1058" i="2"/>
  <c r="A1058" i="2"/>
  <c r="K1057" i="2"/>
  <c r="A1057" i="2"/>
  <c r="I1056" i="2"/>
  <c r="A1056" i="2"/>
  <c r="G1055" i="2"/>
  <c r="F1055" i="2"/>
  <c r="E1055" i="2"/>
  <c r="D1055" i="2"/>
  <c r="L1055" i="2"/>
  <c r="A1055" i="2"/>
  <c r="K1054" i="2"/>
  <c r="A1054" i="2"/>
  <c r="I1053" i="2"/>
  <c r="A1053" i="2"/>
  <c r="G1052" i="2"/>
  <c r="F1052" i="2"/>
  <c r="E1052" i="2"/>
  <c r="D1052" i="2"/>
  <c r="L1052" i="2"/>
  <c r="A1052" i="2"/>
  <c r="K1051" i="2"/>
  <c r="A1051" i="2"/>
  <c r="I1050" i="2"/>
  <c r="A1050" i="2"/>
  <c r="G1049" i="2"/>
  <c r="F1049" i="2"/>
  <c r="E1049" i="2"/>
  <c r="D1049" i="2"/>
  <c r="L1049" i="2"/>
  <c r="A1049" i="2"/>
  <c r="K1048" i="2"/>
  <c r="J1048" i="2"/>
  <c r="A1048" i="2"/>
  <c r="I1047" i="2"/>
  <c r="A1047" i="2"/>
  <c r="G1046" i="2"/>
  <c r="A1046" i="2"/>
  <c r="E1045" i="2"/>
  <c r="D1045" i="2"/>
  <c r="L1045" i="2"/>
  <c r="A1045" i="2"/>
  <c r="K1044" i="2"/>
  <c r="J1044" i="2"/>
  <c r="A1044" i="2"/>
  <c r="I1043" i="2"/>
  <c r="A1043" i="2"/>
  <c r="G1042" i="2"/>
  <c r="A1042" i="2"/>
  <c r="E1041" i="2"/>
  <c r="D1041" i="2"/>
  <c r="L1041" i="2"/>
  <c r="A1041" i="2"/>
  <c r="K1040" i="2"/>
  <c r="J1040" i="2"/>
  <c r="A1040" i="2"/>
  <c r="I1039" i="2"/>
  <c r="A1039" i="2"/>
  <c r="G1038" i="2"/>
  <c r="A1038" i="2"/>
  <c r="E1037" i="2"/>
  <c r="D1037" i="2"/>
  <c r="L1037" i="2"/>
  <c r="A1037" i="2"/>
  <c r="K1036" i="2"/>
  <c r="J1036" i="2"/>
  <c r="A1036" i="2"/>
  <c r="I1035" i="2"/>
  <c r="A1035" i="2"/>
  <c r="G1034" i="2"/>
  <c r="A1034" i="2"/>
  <c r="E1033" i="2"/>
  <c r="D1033" i="2"/>
  <c r="L1033" i="2"/>
  <c r="A1033" i="2"/>
  <c r="K1032" i="2"/>
  <c r="J1032" i="2"/>
  <c r="A1032" i="2"/>
  <c r="I1031" i="2"/>
  <c r="A1031" i="2"/>
  <c r="G1030" i="2"/>
  <c r="A1030" i="2"/>
  <c r="E1029" i="2"/>
  <c r="D1029" i="2"/>
  <c r="L1029" i="2"/>
  <c r="A1029" i="2"/>
  <c r="K1028" i="2"/>
  <c r="J1028" i="2"/>
  <c r="A1028" i="2"/>
  <c r="I1027" i="2"/>
  <c r="A1027" i="2"/>
  <c r="G1026" i="2"/>
  <c r="A1026" i="2"/>
  <c r="E1025" i="2"/>
  <c r="D1025" i="2"/>
  <c r="L1025" i="2"/>
  <c r="A1025" i="2"/>
  <c r="K1024" i="2"/>
  <c r="J1024" i="2"/>
  <c r="A1024" i="2"/>
  <c r="I1023" i="2"/>
  <c r="A1023" i="2"/>
  <c r="G1022" i="2"/>
  <c r="A1022" i="2"/>
  <c r="E1021" i="2"/>
  <c r="D1021" i="2"/>
  <c r="L1021" i="2"/>
  <c r="A1021" i="2"/>
  <c r="K1020" i="2"/>
  <c r="J1020" i="2"/>
  <c r="A1020" i="2"/>
  <c r="I1019" i="2"/>
  <c r="A1019" i="2"/>
  <c r="G1018" i="2"/>
  <c r="A1018" i="2"/>
  <c r="F1017" i="2"/>
  <c r="E1017" i="2"/>
  <c r="D1017" i="2"/>
  <c r="A1017" i="2"/>
  <c r="L1016" i="2"/>
  <c r="K1016" i="2"/>
  <c r="A1016" i="2"/>
  <c r="J1015" i="2"/>
  <c r="A1015" i="2"/>
  <c r="H1014" i="2"/>
  <c r="G1014" i="2"/>
  <c r="F1014" i="2"/>
  <c r="E1014" i="2"/>
  <c r="D1014" i="2"/>
  <c r="A1014" i="2"/>
  <c r="L1013" i="2"/>
  <c r="K1013" i="2"/>
  <c r="A1013" i="2"/>
  <c r="J1012" i="2"/>
  <c r="A1012" i="2"/>
  <c r="H1011" i="2"/>
  <c r="G1011" i="2"/>
  <c r="F1011" i="2"/>
  <c r="E1011" i="2"/>
  <c r="D1011" i="2"/>
  <c r="A1011" i="2"/>
  <c r="L1010" i="2"/>
  <c r="A1010" i="2"/>
  <c r="J1009" i="2"/>
  <c r="A1009" i="2"/>
  <c r="H1008" i="2"/>
  <c r="G1008" i="2"/>
  <c r="F1008" i="2"/>
  <c r="A1008" i="2"/>
  <c r="E1007" i="2"/>
  <c r="D1007" i="2"/>
  <c r="A1007" i="2"/>
  <c r="L1006" i="2"/>
  <c r="A1006" i="2"/>
  <c r="J1005" i="2"/>
  <c r="A1005" i="2"/>
  <c r="H1004" i="2"/>
  <c r="G1004" i="2"/>
  <c r="F1004" i="2"/>
  <c r="A1004" i="2"/>
  <c r="E1003" i="2"/>
  <c r="D1003" i="2"/>
  <c r="A1003" i="2"/>
  <c r="L1002" i="2"/>
  <c r="A1002" i="2"/>
  <c r="J1001" i="2"/>
  <c r="I1001" i="2"/>
  <c r="H1001" i="2"/>
  <c r="G1001" i="2"/>
  <c r="F1001" i="2"/>
  <c r="A1001" i="2"/>
  <c r="E1000" i="2"/>
  <c r="A1000" i="2"/>
  <c r="L999" i="2"/>
  <c r="A999" i="2"/>
  <c r="J998" i="2"/>
  <c r="I998" i="2"/>
  <c r="H998" i="2"/>
  <c r="G998" i="2"/>
  <c r="F998" i="2"/>
  <c r="A998" i="2"/>
  <c r="E997" i="2"/>
  <c r="A997" i="2"/>
  <c r="L996" i="2"/>
  <c r="A996" i="2"/>
  <c r="J995" i="2"/>
  <c r="I995" i="2"/>
  <c r="H995" i="2"/>
  <c r="A995" i="2"/>
  <c r="G994" i="2"/>
  <c r="F994" i="2"/>
  <c r="A994" i="2"/>
  <c r="E993" i="2"/>
  <c r="A993" i="2"/>
  <c r="L992" i="2"/>
  <c r="K992" i="2"/>
  <c r="J992" i="2"/>
  <c r="I992" i="2"/>
  <c r="H992" i="2"/>
  <c r="A992" i="2"/>
  <c r="G991" i="2"/>
  <c r="A991" i="2"/>
  <c r="E990" i="2"/>
  <c r="A990" i="2"/>
  <c r="L989" i="2"/>
  <c r="K989" i="2"/>
  <c r="J989" i="2"/>
  <c r="A989" i="2"/>
  <c r="I988" i="2"/>
  <c r="H988" i="2"/>
  <c r="A988" i="2"/>
  <c r="G987" i="2"/>
  <c r="A987" i="2"/>
  <c r="E986" i="2"/>
  <c r="D986" i="2"/>
  <c r="L986" i="2"/>
  <c r="K986" i="2"/>
  <c r="J986" i="2"/>
  <c r="A986" i="2"/>
  <c r="I985" i="2"/>
  <c r="A985" i="2"/>
  <c r="G984" i="2"/>
  <c r="A984" i="2"/>
  <c r="E983" i="2"/>
  <c r="D983" i="2"/>
  <c r="L983" i="2"/>
  <c r="A983" i="2"/>
  <c r="K982" i="2"/>
  <c r="J982" i="2"/>
  <c r="A982" i="2"/>
  <c r="I981" i="2"/>
  <c r="A981" i="2"/>
  <c r="G980" i="2"/>
  <c r="F980" i="2"/>
  <c r="E980" i="2"/>
  <c r="D980" i="2"/>
  <c r="L980" i="2"/>
  <c r="A980" i="2"/>
  <c r="K979" i="2"/>
  <c r="A979" i="2"/>
  <c r="I978" i="2"/>
  <c r="A978" i="2"/>
  <c r="G977" i="2"/>
  <c r="F977" i="2"/>
  <c r="E977" i="2"/>
  <c r="A977" i="2"/>
  <c r="D976" i="2"/>
  <c r="L976" i="2"/>
  <c r="A976" i="2"/>
  <c r="K975" i="2"/>
  <c r="A975" i="2"/>
  <c r="I974" i="2"/>
  <c r="H974" i="2"/>
  <c r="G974" i="2"/>
  <c r="F974" i="2"/>
  <c r="E974" i="2"/>
  <c r="A974" i="2"/>
  <c r="D973" i="2"/>
  <c r="A973" i="2"/>
  <c r="K972" i="2"/>
  <c r="J972" i="2"/>
  <c r="I972" i="2"/>
  <c r="H972" i="2"/>
  <c r="G972" i="2"/>
  <c r="A972" i="2"/>
  <c r="F971" i="2"/>
  <c r="A971" i="2"/>
  <c r="D970" i="2"/>
  <c r="A970" i="2"/>
  <c r="K969" i="2"/>
  <c r="J969" i="2"/>
  <c r="I969" i="2"/>
  <c r="A969" i="2"/>
  <c r="H968" i="2"/>
  <c r="A968" i="2"/>
  <c r="F967" i="2"/>
  <c r="A967" i="2"/>
  <c r="D966" i="2"/>
  <c r="L966" i="2"/>
  <c r="K966" i="2"/>
  <c r="A966" i="2"/>
  <c r="J965" i="2"/>
  <c r="I965" i="2"/>
  <c r="A965" i="2"/>
  <c r="H964" i="2"/>
  <c r="A964" i="2"/>
  <c r="F963" i="2"/>
  <c r="E963" i="2"/>
  <c r="D963" i="2"/>
  <c r="L963" i="2"/>
  <c r="K963" i="2"/>
  <c r="A963" i="2"/>
  <c r="J962" i="2"/>
  <c r="A962" i="2"/>
  <c r="H961" i="2"/>
  <c r="A961" i="2"/>
  <c r="F960" i="2"/>
  <c r="E960" i="2"/>
  <c r="D960" i="2"/>
  <c r="A960" i="2"/>
  <c r="L959" i="2"/>
  <c r="A959" i="2"/>
  <c r="J958" i="2"/>
  <c r="A958" i="2"/>
  <c r="H957" i="2"/>
  <c r="G957" i="2"/>
  <c r="F957" i="2"/>
  <c r="A957" i="2"/>
  <c r="E956" i="2"/>
  <c r="D956" i="2"/>
  <c r="A956" i="2"/>
  <c r="L955" i="2"/>
  <c r="A955" i="2"/>
  <c r="J954" i="2"/>
  <c r="I954" i="2"/>
  <c r="H954" i="2"/>
  <c r="A954" i="2"/>
  <c r="G953" i="2"/>
  <c r="F953" i="2"/>
  <c r="A953" i="2"/>
  <c r="E952" i="2"/>
  <c r="A952" i="2"/>
  <c r="L951" i="2"/>
  <c r="K951" i="2"/>
  <c r="J951" i="2"/>
  <c r="I951" i="2"/>
  <c r="H951" i="2"/>
  <c r="A951" i="2"/>
  <c r="G950" i="2"/>
  <c r="A950" i="2"/>
  <c r="E949" i="2"/>
  <c r="D949" i="2"/>
  <c r="A949" i="2"/>
  <c r="L948" i="2"/>
  <c r="K948" i="2"/>
  <c r="J948" i="2"/>
  <c r="A948" i="2"/>
  <c r="I947" i="2"/>
  <c r="A947" i="2"/>
  <c r="G946" i="2"/>
  <c r="F946" i="2"/>
  <c r="E946" i="2"/>
  <c r="D946" i="2"/>
  <c r="L946" i="2"/>
  <c r="A946" i="2"/>
  <c r="K945" i="2"/>
  <c r="A945" i="2"/>
  <c r="I944" i="2"/>
  <c r="H944" i="2"/>
  <c r="G944" i="2"/>
  <c r="F944" i="2"/>
  <c r="E944" i="2"/>
  <c r="A944" i="2"/>
  <c r="D943" i="2"/>
  <c r="A943" i="2"/>
  <c r="K942" i="2"/>
  <c r="J942" i="2"/>
  <c r="I942" i="2"/>
  <c r="H942" i="2"/>
  <c r="G942" i="2"/>
  <c r="A942" i="2"/>
  <c r="F941" i="2"/>
  <c r="A941" i="2"/>
  <c r="D940" i="2"/>
  <c r="L940" i="2"/>
  <c r="K940" i="2"/>
  <c r="J940" i="2"/>
  <c r="I940" i="2"/>
  <c r="A940" i="2"/>
  <c r="H939" i="2"/>
  <c r="A939" i="2"/>
  <c r="F938" i="2"/>
  <c r="A938" i="2"/>
  <c r="D937" i="2"/>
  <c r="L937" i="2"/>
  <c r="K937" i="2"/>
  <c r="A937" i="2"/>
  <c r="J936" i="2"/>
  <c r="A936" i="2"/>
  <c r="H935" i="2"/>
  <c r="A935" i="2"/>
  <c r="G934" i="2"/>
  <c r="F934" i="2"/>
  <c r="E934" i="2"/>
  <c r="A934" i="2"/>
  <c r="D933" i="2"/>
  <c r="A933" i="2"/>
  <c r="K932" i="2"/>
  <c r="A932" i="2"/>
  <c r="I931" i="2"/>
  <c r="H931" i="2"/>
  <c r="G931" i="2"/>
  <c r="A931" i="2"/>
  <c r="F930" i="2"/>
  <c r="A930" i="2"/>
  <c r="D929" i="2"/>
  <c r="L929" i="2"/>
  <c r="K929" i="2"/>
  <c r="J929" i="2"/>
  <c r="I929" i="2"/>
  <c r="A929" i="2"/>
  <c r="H928" i="2"/>
  <c r="A928" i="2"/>
  <c r="F927" i="2"/>
  <c r="E927" i="2"/>
  <c r="D927" i="2"/>
  <c r="L927" i="2"/>
  <c r="K927" i="2"/>
  <c r="A927" i="2"/>
  <c r="J926" i="2"/>
  <c r="A926" i="2"/>
  <c r="H925" i="2"/>
  <c r="G925" i="2"/>
  <c r="F925" i="2"/>
  <c r="A925" i="2"/>
  <c r="E924" i="2"/>
  <c r="A924" i="2"/>
  <c r="L923" i="2"/>
  <c r="A923" i="2"/>
  <c r="J922" i="2"/>
  <c r="I922" i="2"/>
  <c r="H922" i="2"/>
  <c r="A922" i="2"/>
  <c r="G921" i="2"/>
  <c r="A921" i="2"/>
  <c r="E920" i="2"/>
  <c r="D920" i="2"/>
  <c r="L920" i="2"/>
  <c r="K920" i="2"/>
  <c r="J920" i="2"/>
  <c r="A920" i="2"/>
  <c r="I919" i="2"/>
  <c r="A919" i="2"/>
  <c r="G918" i="2"/>
  <c r="F918" i="2"/>
  <c r="E918" i="2"/>
  <c r="A918" i="2"/>
  <c r="D917" i="2"/>
  <c r="L917" i="2"/>
  <c r="A917" i="2"/>
  <c r="K916" i="2"/>
  <c r="A916" i="2"/>
  <c r="I915" i="2"/>
  <c r="H915" i="2"/>
  <c r="G915" i="2"/>
  <c r="A915" i="2"/>
  <c r="F914" i="2"/>
  <c r="A914" i="2"/>
  <c r="D913" i="2"/>
  <c r="L913" i="2"/>
  <c r="K913" i="2"/>
  <c r="J913" i="2"/>
  <c r="I913" i="2"/>
  <c r="A913" i="2"/>
  <c r="H912" i="2"/>
  <c r="A912" i="2"/>
  <c r="F911" i="2"/>
  <c r="E911" i="2"/>
  <c r="D911" i="2"/>
  <c r="A911" i="2"/>
  <c r="L910" i="2"/>
  <c r="A910" i="2"/>
  <c r="J909" i="2"/>
  <c r="A909" i="2"/>
  <c r="H908" i="2"/>
  <c r="G908" i="2"/>
  <c r="F908" i="2"/>
  <c r="A908" i="2"/>
  <c r="E907" i="2"/>
  <c r="A907" i="2"/>
  <c r="L906" i="2"/>
  <c r="K906" i="2"/>
  <c r="J906" i="2"/>
  <c r="I906" i="2"/>
  <c r="H906" i="2"/>
  <c r="A906" i="2"/>
  <c r="G905" i="2"/>
  <c r="A905" i="2"/>
  <c r="E904" i="2"/>
  <c r="D904" i="2"/>
  <c r="L904" i="2"/>
  <c r="A904" i="2"/>
  <c r="K903" i="2"/>
  <c r="A903" i="2"/>
  <c r="I902" i="2"/>
  <c r="H902" i="2"/>
  <c r="G902" i="2"/>
  <c r="F902" i="2"/>
  <c r="E902" i="2"/>
  <c r="A902" i="2"/>
  <c r="D901" i="2"/>
  <c r="A901" i="2"/>
  <c r="K900" i="2"/>
  <c r="J900" i="2"/>
  <c r="I900" i="2"/>
  <c r="A900" i="2"/>
  <c r="H899" i="2"/>
  <c r="A899" i="2"/>
  <c r="F898" i="2"/>
  <c r="E898" i="2"/>
  <c r="D898" i="2"/>
  <c r="L898" i="2"/>
  <c r="K898" i="2"/>
  <c r="A898" i="2"/>
  <c r="J897" i="2"/>
  <c r="A897" i="2"/>
  <c r="H896" i="2"/>
  <c r="G896" i="2"/>
  <c r="F896" i="2"/>
  <c r="A896" i="2"/>
  <c r="E895" i="2"/>
  <c r="A895" i="2"/>
  <c r="L894" i="2"/>
  <c r="K894" i="2"/>
  <c r="J894" i="2"/>
  <c r="I894" i="2"/>
  <c r="H894" i="2"/>
  <c r="A894" i="2"/>
  <c r="G893" i="2"/>
  <c r="A893" i="2"/>
  <c r="E892" i="2"/>
  <c r="D892" i="2"/>
  <c r="L892" i="2"/>
  <c r="A892" i="2"/>
  <c r="K891" i="2"/>
  <c r="A891" i="2"/>
  <c r="I890" i="2"/>
  <c r="H890" i="2"/>
  <c r="G890" i="2"/>
  <c r="F890" i="2"/>
  <c r="E890" i="2"/>
  <c r="A890" i="2"/>
  <c r="D889" i="2"/>
  <c r="A889" i="2"/>
  <c r="K888" i="2"/>
  <c r="J888" i="2"/>
  <c r="I888" i="2"/>
  <c r="A888" i="2"/>
  <c r="H887" i="2"/>
  <c r="A887" i="2"/>
  <c r="F886" i="2"/>
  <c r="E886" i="2"/>
  <c r="D886" i="2"/>
  <c r="A886" i="2"/>
  <c r="L885" i="2"/>
  <c r="A885" i="2"/>
  <c r="J884" i="2"/>
  <c r="A884" i="2"/>
  <c r="H883" i="2"/>
  <c r="G883" i="2"/>
  <c r="F883" i="2"/>
  <c r="A883" i="2"/>
  <c r="E882" i="2"/>
  <c r="A882" i="2"/>
  <c r="L881" i="2"/>
  <c r="K881" i="2"/>
  <c r="J881" i="2"/>
  <c r="A881" i="2"/>
  <c r="I880" i="2"/>
  <c r="A880" i="2"/>
  <c r="G879" i="2"/>
  <c r="F879" i="2"/>
  <c r="E879" i="2"/>
  <c r="A879" i="2"/>
  <c r="D878" i="2"/>
  <c r="A878" i="2"/>
  <c r="K877" i="2"/>
  <c r="J877" i="2"/>
  <c r="I877" i="2"/>
  <c r="H877" i="2"/>
  <c r="G877" i="2"/>
  <c r="A877" i="2"/>
  <c r="F876" i="2"/>
  <c r="A876" i="2"/>
  <c r="D875" i="2"/>
  <c r="L875" i="2"/>
  <c r="K875" i="2"/>
  <c r="A875" i="2"/>
  <c r="J874" i="2"/>
  <c r="A874" i="2"/>
  <c r="H873" i="2"/>
  <c r="G873" i="2"/>
  <c r="F873" i="2"/>
  <c r="A873" i="2"/>
  <c r="E872" i="2"/>
  <c r="A872" i="2"/>
  <c r="L871" i="2"/>
  <c r="K871" i="2"/>
  <c r="J871" i="2"/>
  <c r="A871" i="2"/>
  <c r="I870" i="2"/>
  <c r="A870" i="2"/>
  <c r="G869" i="2"/>
  <c r="F869" i="2"/>
  <c r="E869" i="2"/>
  <c r="A869" i="2"/>
  <c r="D868" i="2"/>
  <c r="L868" i="2"/>
  <c r="A868" i="2"/>
  <c r="K867" i="2"/>
  <c r="A867" i="2"/>
  <c r="I866" i="2"/>
  <c r="H866" i="2"/>
  <c r="G866" i="2"/>
  <c r="A866" i="2"/>
  <c r="F865" i="2"/>
  <c r="A865" i="2"/>
  <c r="D864" i="2"/>
  <c r="L864" i="2"/>
  <c r="K864" i="2"/>
  <c r="A864" i="2"/>
  <c r="J863" i="2"/>
  <c r="A863" i="2"/>
  <c r="H862" i="2"/>
  <c r="G862" i="2"/>
  <c r="F862" i="2"/>
  <c r="A862" i="2"/>
  <c r="E861" i="2"/>
  <c r="A861" i="2"/>
  <c r="L860" i="2"/>
  <c r="K860" i="2"/>
  <c r="J860" i="2"/>
  <c r="A860" i="2"/>
  <c r="I859" i="2"/>
  <c r="A859" i="2"/>
  <c r="G858" i="2"/>
  <c r="F858" i="2"/>
  <c r="E858" i="2"/>
  <c r="A858" i="2"/>
  <c r="D857" i="2"/>
  <c r="A857" i="2"/>
  <c r="K856" i="2"/>
  <c r="J856" i="2"/>
  <c r="I856" i="2"/>
  <c r="H856" i="2"/>
  <c r="G856" i="2"/>
  <c r="A856" i="2"/>
  <c r="F855" i="2"/>
  <c r="A855" i="2"/>
  <c r="D854" i="2"/>
  <c r="L854" i="2"/>
  <c r="K854" i="2"/>
  <c r="A854" i="2"/>
  <c r="J853" i="2"/>
  <c r="A853" i="2"/>
  <c r="H852" i="2"/>
  <c r="G852" i="2"/>
  <c r="F852" i="2"/>
  <c r="A852" i="2"/>
  <c r="E851" i="2"/>
  <c r="A851" i="2"/>
  <c r="L850" i="2"/>
  <c r="K850" i="2"/>
  <c r="J850" i="2"/>
  <c r="I850" i="2"/>
  <c r="A850" i="2"/>
  <c r="G849" i="2"/>
  <c r="F849" i="2"/>
  <c r="E849" i="2"/>
  <c r="A849" i="2"/>
  <c r="D848" i="2"/>
  <c r="A848" i="2"/>
  <c r="K847" i="2"/>
  <c r="J847" i="2"/>
  <c r="I847" i="2"/>
  <c r="A847" i="2"/>
  <c r="H846" i="2"/>
  <c r="A846" i="2"/>
  <c r="F845" i="2"/>
  <c r="E845" i="2"/>
  <c r="D845" i="2"/>
  <c r="A845" i="2"/>
  <c r="L844" i="2"/>
  <c r="A844" i="2"/>
  <c r="J843" i="2"/>
  <c r="I843" i="2"/>
  <c r="H843" i="2"/>
  <c r="A843" i="2"/>
  <c r="G842" i="2"/>
  <c r="A842" i="2"/>
  <c r="E841" i="2"/>
  <c r="D841" i="2"/>
  <c r="L841" i="2"/>
  <c r="A841" i="2"/>
  <c r="K840" i="2"/>
  <c r="A840" i="2"/>
  <c r="I839" i="2"/>
  <c r="H839" i="2"/>
  <c r="G839" i="2"/>
  <c r="A839" i="2"/>
  <c r="F838" i="2"/>
  <c r="A838" i="2"/>
  <c r="D837" i="2"/>
  <c r="L837" i="2"/>
  <c r="K837" i="2"/>
  <c r="A837" i="2"/>
  <c r="J836" i="2"/>
  <c r="A836" i="2"/>
  <c r="H835" i="2"/>
  <c r="G835" i="2"/>
  <c r="F835" i="2"/>
  <c r="A835" i="2"/>
  <c r="E834" i="2"/>
  <c r="A834" i="2"/>
  <c r="L833" i="2"/>
  <c r="K833" i="2"/>
  <c r="J833" i="2"/>
  <c r="A833" i="2"/>
  <c r="I832" i="2"/>
  <c r="A832" i="2"/>
  <c r="G831" i="2"/>
  <c r="F831" i="2"/>
  <c r="E831" i="2"/>
  <c r="A831" i="2"/>
  <c r="D830" i="2"/>
  <c r="A830" i="2"/>
  <c r="K829" i="2"/>
  <c r="J829" i="2"/>
  <c r="I829" i="2"/>
  <c r="A829" i="2"/>
  <c r="H828" i="2"/>
  <c r="A828" i="2"/>
  <c r="F827" i="2"/>
  <c r="E827" i="2"/>
  <c r="D827" i="2"/>
  <c r="A827" i="2"/>
  <c r="L826" i="2"/>
  <c r="A826" i="2"/>
  <c r="J825" i="2"/>
  <c r="I825" i="2"/>
  <c r="H825" i="2"/>
  <c r="A825" i="2"/>
  <c r="G824" i="2"/>
  <c r="A824" i="2"/>
  <c r="E823" i="2"/>
  <c r="D823" i="2"/>
  <c r="L823" i="2"/>
  <c r="A823" i="2"/>
  <c r="K822" i="2"/>
  <c r="A822" i="2"/>
  <c r="I821" i="2"/>
  <c r="H821" i="2"/>
  <c r="G821" i="2"/>
  <c r="A821" i="2"/>
  <c r="F820" i="2"/>
  <c r="A820" i="2"/>
  <c r="D819" i="2"/>
  <c r="L819" i="2"/>
  <c r="A819" i="2"/>
  <c r="J818" i="2"/>
  <c r="I818" i="2"/>
  <c r="H818" i="2"/>
  <c r="A818" i="2"/>
  <c r="G817" i="2"/>
  <c r="A817" i="2"/>
  <c r="E816" i="2"/>
  <c r="D816" i="2"/>
  <c r="L816" i="2"/>
  <c r="A816" i="2"/>
  <c r="K815" i="2"/>
  <c r="A815" i="2"/>
  <c r="I814" i="2"/>
  <c r="H814" i="2"/>
  <c r="G814" i="2"/>
  <c r="A814" i="2"/>
  <c r="F813" i="2"/>
  <c r="A813" i="2"/>
  <c r="D812" i="2"/>
  <c r="L812" i="2"/>
  <c r="K812" i="2"/>
  <c r="A812" i="2"/>
  <c r="J811" i="2"/>
  <c r="A811" i="2"/>
  <c r="H810" i="2"/>
  <c r="G810" i="2"/>
  <c r="F810" i="2"/>
  <c r="A810" i="2"/>
  <c r="E809" i="2"/>
  <c r="A809" i="2"/>
  <c r="L808" i="2"/>
  <c r="K808" i="2"/>
  <c r="A808" i="2"/>
  <c r="I807" i="2"/>
  <c r="H807" i="2"/>
  <c r="G807" i="2"/>
  <c r="A807" i="2"/>
  <c r="F806" i="2"/>
  <c r="A806" i="2"/>
  <c r="D805" i="2"/>
  <c r="L805" i="2"/>
  <c r="K805" i="2"/>
  <c r="A805" i="2"/>
  <c r="J804" i="2"/>
  <c r="A804" i="2"/>
  <c r="H803" i="2"/>
  <c r="G803" i="2"/>
  <c r="F803" i="2"/>
  <c r="A803" i="2"/>
  <c r="E802" i="2"/>
  <c r="A802" i="2"/>
  <c r="L801" i="2"/>
  <c r="K801" i="2"/>
  <c r="A801" i="2"/>
  <c r="I800" i="2"/>
  <c r="H800" i="2"/>
  <c r="G800" i="2"/>
  <c r="A800" i="2"/>
  <c r="F799" i="2"/>
  <c r="A799" i="2"/>
  <c r="D798" i="2"/>
  <c r="L798" i="2"/>
  <c r="K798" i="2"/>
  <c r="A798" i="2"/>
  <c r="J797" i="2"/>
  <c r="A797" i="2"/>
  <c r="H796" i="2"/>
  <c r="G796" i="2"/>
  <c r="F796" i="2"/>
  <c r="A796" i="2"/>
  <c r="E795" i="2"/>
  <c r="A795" i="2"/>
  <c r="L794" i="2"/>
  <c r="K794" i="2"/>
  <c r="A794" i="2"/>
  <c r="I793" i="2"/>
  <c r="H793" i="2"/>
  <c r="G793" i="2"/>
  <c r="A793" i="2"/>
  <c r="F792" i="2"/>
  <c r="A792" i="2"/>
  <c r="D791" i="2"/>
  <c r="L791" i="2"/>
  <c r="K791" i="2"/>
  <c r="A791" i="2"/>
  <c r="J790" i="2"/>
  <c r="A790" i="2"/>
  <c r="H789" i="2"/>
  <c r="G789" i="2"/>
  <c r="F789" i="2"/>
  <c r="A789" i="2"/>
  <c r="E788" i="2"/>
  <c r="D788" i="2"/>
  <c r="L788" i="2"/>
  <c r="A788" i="2"/>
  <c r="K787" i="2"/>
  <c r="A787" i="2"/>
  <c r="I786" i="2"/>
  <c r="H786" i="2"/>
  <c r="G786" i="2"/>
  <c r="A786" i="2"/>
  <c r="F785" i="2"/>
  <c r="A785" i="2"/>
  <c r="D784" i="2"/>
  <c r="L784" i="2"/>
  <c r="K784" i="2"/>
  <c r="A784" i="2"/>
  <c r="J783" i="2"/>
  <c r="A783" i="2"/>
  <c r="I782" i="2"/>
  <c r="A782" i="2"/>
  <c r="H781" i="2"/>
  <c r="A781" i="2"/>
  <c r="F780" i="2"/>
  <c r="E780" i="2"/>
  <c r="D780" i="2"/>
  <c r="A780" i="2"/>
  <c r="L779" i="2"/>
  <c r="A779" i="2"/>
  <c r="J778" i="2"/>
  <c r="I778" i="2"/>
  <c r="H778" i="2"/>
  <c r="A778" i="2"/>
  <c r="G777" i="2"/>
  <c r="F777" i="2"/>
  <c r="E777" i="2"/>
  <c r="A777" i="2"/>
  <c r="D776" i="2"/>
  <c r="A776" i="2"/>
  <c r="K775" i="2"/>
  <c r="J775" i="2"/>
  <c r="I775" i="2"/>
  <c r="A775" i="2"/>
  <c r="H774" i="2"/>
  <c r="A774" i="2"/>
  <c r="F773" i="2"/>
  <c r="E773" i="2"/>
  <c r="A773" i="2"/>
  <c r="L772" i="2"/>
  <c r="K772" i="2"/>
  <c r="J772" i="2"/>
  <c r="A772" i="2"/>
  <c r="I771" i="2"/>
  <c r="A771" i="2"/>
  <c r="G770" i="2"/>
  <c r="F770" i="2"/>
  <c r="E770" i="2"/>
  <c r="A770" i="2"/>
  <c r="D769" i="2"/>
  <c r="L769" i="2"/>
  <c r="K769" i="2"/>
  <c r="A769" i="2"/>
  <c r="J768" i="2"/>
  <c r="A768" i="2"/>
  <c r="H767" i="2"/>
  <c r="G767" i="2"/>
  <c r="F767" i="2"/>
  <c r="A767" i="2"/>
  <c r="E766" i="2"/>
  <c r="A766" i="2"/>
  <c r="L765" i="2"/>
  <c r="A765" i="2"/>
  <c r="K764" i="2"/>
  <c r="A764" i="2"/>
  <c r="I763" i="2"/>
  <c r="H763" i="2"/>
  <c r="G763" i="2"/>
  <c r="A763" i="2"/>
  <c r="F762" i="2"/>
  <c r="A762" i="2"/>
  <c r="D761" i="2"/>
  <c r="L761" i="2"/>
  <c r="A761" i="2"/>
  <c r="J760" i="2"/>
  <c r="I760" i="2"/>
  <c r="H760" i="2"/>
  <c r="A760" i="2"/>
  <c r="G759" i="2"/>
  <c r="A759" i="2"/>
  <c r="E758" i="2"/>
  <c r="D758" i="2"/>
  <c r="A758" i="2"/>
  <c r="K757" i="2"/>
  <c r="J757" i="2"/>
  <c r="I757" i="2"/>
  <c r="A757" i="2"/>
  <c r="H756" i="2"/>
  <c r="A756" i="2"/>
  <c r="F755" i="2"/>
  <c r="E755" i="2"/>
  <c r="A755" i="2"/>
  <c r="L754" i="2"/>
  <c r="K754" i="2"/>
  <c r="J754" i="2"/>
  <c r="A754" i="2"/>
  <c r="I753" i="2"/>
  <c r="A753" i="2"/>
  <c r="G752" i="2"/>
  <c r="F752" i="2"/>
  <c r="A752" i="2"/>
  <c r="D751" i="2"/>
  <c r="L751" i="2"/>
  <c r="K751" i="2"/>
  <c r="A751" i="2"/>
  <c r="J750" i="2"/>
  <c r="A750" i="2"/>
  <c r="H749" i="2"/>
  <c r="G749" i="2"/>
  <c r="A749" i="2"/>
  <c r="E748" i="2"/>
  <c r="D748" i="2"/>
  <c r="L748" i="2"/>
  <c r="A748" i="2"/>
  <c r="K747" i="2"/>
  <c r="A747" i="2"/>
  <c r="I746" i="2"/>
  <c r="A746" i="2"/>
  <c r="H745" i="2"/>
  <c r="A745" i="2"/>
  <c r="F744" i="2"/>
  <c r="E744" i="2"/>
  <c r="D744" i="2"/>
  <c r="A744" i="2"/>
  <c r="L743" i="2"/>
  <c r="A743" i="2"/>
  <c r="J742" i="2"/>
  <c r="A742" i="2"/>
  <c r="I741" i="2"/>
  <c r="A741" i="2"/>
  <c r="G740" i="2"/>
  <c r="F740" i="2"/>
  <c r="E740" i="2"/>
  <c r="A740" i="2"/>
  <c r="D739" i="2"/>
  <c r="L739" i="2"/>
  <c r="K739" i="2"/>
  <c r="A739" i="2"/>
  <c r="J738" i="2"/>
  <c r="A738" i="2"/>
  <c r="H737" i="2"/>
  <c r="G737" i="2"/>
  <c r="F737" i="2"/>
  <c r="A737" i="2"/>
  <c r="E736" i="2"/>
  <c r="D736" i="2"/>
  <c r="L736" i="2"/>
  <c r="A736" i="2"/>
  <c r="K735" i="2"/>
  <c r="A735" i="2"/>
  <c r="I734" i="2"/>
  <c r="H734" i="2"/>
  <c r="A734" i="2"/>
  <c r="F733" i="2"/>
  <c r="E733" i="2"/>
  <c r="D733" i="2"/>
  <c r="A733" i="2"/>
  <c r="L732" i="2"/>
  <c r="A732" i="2"/>
  <c r="J731" i="2"/>
  <c r="A731" i="2"/>
  <c r="I730" i="2"/>
  <c r="A730" i="2"/>
  <c r="G729" i="2"/>
  <c r="F729" i="2"/>
  <c r="E729" i="2"/>
  <c r="A729" i="2"/>
  <c r="D728" i="2"/>
  <c r="L728" i="2"/>
  <c r="K728" i="2"/>
  <c r="A728" i="2"/>
  <c r="J727" i="2"/>
  <c r="A727" i="2"/>
  <c r="H726" i="2"/>
  <c r="G726" i="2"/>
  <c r="A726" i="2"/>
  <c r="E725" i="2"/>
  <c r="D725" i="2"/>
  <c r="L725" i="2"/>
  <c r="A725" i="2"/>
  <c r="K724" i="2"/>
  <c r="A724" i="2"/>
  <c r="I723" i="2"/>
  <c r="A723" i="2"/>
  <c r="H722" i="2"/>
  <c r="A722" i="2"/>
  <c r="F721" i="2"/>
  <c r="E721" i="2"/>
  <c r="D721" i="2"/>
  <c r="A721" i="2"/>
  <c r="L720" i="2"/>
  <c r="K720" i="2"/>
  <c r="J720" i="2"/>
  <c r="A720" i="2"/>
  <c r="I719" i="2"/>
  <c r="A719" i="2"/>
  <c r="A718" i="2"/>
  <c r="G717" i="2"/>
  <c r="F717" i="2"/>
  <c r="A717" i="2"/>
  <c r="D716" i="2"/>
  <c r="L716" i="2"/>
  <c r="K716" i="2"/>
  <c r="A716" i="2"/>
  <c r="J715" i="2"/>
  <c r="I715" i="2"/>
  <c r="H715" i="2"/>
  <c r="A715" i="2"/>
  <c r="G714" i="2"/>
  <c r="A714" i="2"/>
  <c r="E713" i="2"/>
  <c r="D713" i="2"/>
  <c r="A713" i="2"/>
  <c r="K712" i="2"/>
  <c r="J712" i="2"/>
  <c r="I712" i="2"/>
  <c r="A712" i="2"/>
  <c r="H711" i="2"/>
  <c r="G711" i="2"/>
  <c r="F711" i="2"/>
  <c r="A711" i="2"/>
  <c r="E710" i="2"/>
  <c r="A710" i="2"/>
  <c r="L709" i="2"/>
  <c r="A709" i="2"/>
  <c r="K708" i="2"/>
  <c r="A708" i="2"/>
  <c r="I707" i="2"/>
  <c r="H707" i="2"/>
  <c r="G707" i="2"/>
  <c r="A707" i="2"/>
  <c r="F706" i="2"/>
  <c r="E706" i="2"/>
  <c r="D706" i="2"/>
  <c r="A706" i="2"/>
  <c r="L705" i="2"/>
  <c r="A705" i="2"/>
  <c r="J704" i="2"/>
  <c r="A704" i="2"/>
  <c r="I703" i="2"/>
  <c r="A703" i="2"/>
  <c r="G702" i="2"/>
  <c r="F702" i="2"/>
  <c r="A702" i="2"/>
  <c r="D701" i="2"/>
  <c r="L701" i="2"/>
  <c r="K701" i="2"/>
  <c r="A701" i="2"/>
  <c r="J700" i="2"/>
  <c r="A700" i="2"/>
  <c r="H699" i="2"/>
  <c r="A699" i="2"/>
  <c r="G698" i="2"/>
  <c r="A698" i="2"/>
  <c r="E697" i="2"/>
  <c r="D697" i="2"/>
  <c r="A697" i="2"/>
  <c r="K696" i="2"/>
  <c r="J696" i="2"/>
  <c r="I696" i="2"/>
  <c r="A696" i="2"/>
  <c r="H695" i="2"/>
  <c r="G695" i="2"/>
  <c r="F695" i="2"/>
  <c r="A695" i="2"/>
  <c r="E694" i="2"/>
  <c r="A694" i="2"/>
  <c r="L693" i="2"/>
  <c r="A693" i="2"/>
  <c r="K692" i="2"/>
  <c r="A692" i="2"/>
  <c r="I691" i="2"/>
  <c r="H691" i="2"/>
  <c r="A691" i="2"/>
  <c r="F690" i="2"/>
  <c r="E690" i="2"/>
  <c r="D690" i="2"/>
  <c r="A690" i="2"/>
  <c r="L689" i="2"/>
  <c r="K689" i="2"/>
  <c r="J689" i="2"/>
  <c r="A689" i="2"/>
  <c r="I688" i="2"/>
  <c r="A688" i="2"/>
  <c r="H687" i="2"/>
  <c r="A687" i="2"/>
  <c r="G686" i="2"/>
  <c r="A686" i="2"/>
  <c r="E685" i="2"/>
  <c r="A685" i="2"/>
  <c r="D684" i="2"/>
  <c r="A684" i="2"/>
  <c r="K683" i="2"/>
  <c r="J683" i="2"/>
  <c r="A683" i="2"/>
  <c r="H682" i="2"/>
  <c r="G682" i="2"/>
  <c r="F682" i="2"/>
  <c r="A682" i="2"/>
  <c r="E681" i="2"/>
  <c r="D681" i="2"/>
  <c r="L681" i="2"/>
  <c r="A681" i="2"/>
  <c r="K680" i="2"/>
  <c r="A680" i="2"/>
  <c r="I679" i="2"/>
  <c r="A679" i="2"/>
  <c r="H678" i="2"/>
  <c r="A678" i="2"/>
  <c r="F677" i="2"/>
  <c r="E677" i="2"/>
  <c r="A677" i="2"/>
  <c r="L676" i="2"/>
  <c r="K676" i="2"/>
  <c r="A676" i="2"/>
  <c r="I675" i="2"/>
  <c r="H675" i="2"/>
  <c r="G675" i="2"/>
  <c r="A675" i="2"/>
  <c r="F674" i="2"/>
  <c r="E674" i="2"/>
  <c r="D674" i="2"/>
  <c r="A674" i="2"/>
  <c r="L673" i="2"/>
  <c r="A673" i="2"/>
  <c r="J672" i="2"/>
  <c r="A672" i="2"/>
  <c r="I671" i="2"/>
  <c r="A671" i="2"/>
  <c r="G670" i="2"/>
  <c r="A670" i="2"/>
  <c r="F669" i="2"/>
  <c r="A669" i="2"/>
  <c r="D668" i="2"/>
  <c r="L668" i="2"/>
  <c r="A668" i="2"/>
  <c r="J667" i="2"/>
  <c r="I667" i="2"/>
  <c r="A667" i="2"/>
  <c r="G666" i="2"/>
  <c r="F666" i="2"/>
  <c r="E666" i="2"/>
  <c r="A666" i="2"/>
  <c r="D665" i="2"/>
  <c r="L665" i="2"/>
  <c r="K665" i="2"/>
  <c r="A665" i="2"/>
  <c r="J664" i="2"/>
  <c r="I664" i="2"/>
  <c r="H664" i="2"/>
  <c r="A664" i="2"/>
  <c r="G663" i="2"/>
  <c r="A663" i="2"/>
  <c r="E662" i="2"/>
  <c r="A662" i="2"/>
  <c r="D661" i="2"/>
  <c r="A661" i="2"/>
  <c r="K660" i="2"/>
  <c r="A660" i="2"/>
  <c r="J659" i="2"/>
  <c r="A659" i="2"/>
  <c r="H658" i="2"/>
  <c r="G658" i="2"/>
  <c r="A658" i="2"/>
  <c r="E657" i="2"/>
  <c r="D657" i="2"/>
  <c r="A657" i="2"/>
  <c r="K656" i="2"/>
  <c r="J656" i="2"/>
  <c r="I656" i="2"/>
  <c r="A656" i="2"/>
  <c r="H655" i="2"/>
  <c r="G655" i="2"/>
  <c r="F655" i="2"/>
  <c r="A655" i="2"/>
  <c r="E654" i="2"/>
  <c r="D654" i="2"/>
  <c r="L654" i="2"/>
  <c r="A654" i="2"/>
  <c r="K653" i="2"/>
  <c r="A653" i="2"/>
  <c r="I652" i="2"/>
  <c r="A652" i="2"/>
  <c r="H651" i="2"/>
  <c r="A651" i="2"/>
  <c r="F650" i="2"/>
  <c r="A650" i="2"/>
  <c r="E649" i="2"/>
  <c r="A649" i="2"/>
  <c r="L648" i="2"/>
  <c r="A648" i="2"/>
  <c r="K647" i="2"/>
  <c r="A647" i="2"/>
  <c r="I646" i="2"/>
  <c r="H646" i="2"/>
  <c r="A646" i="2"/>
  <c r="F645" i="2"/>
  <c r="E645" i="2"/>
  <c r="A645" i="2"/>
  <c r="L644" i="2"/>
  <c r="K644" i="2"/>
  <c r="A644" i="2"/>
  <c r="I643" i="2"/>
  <c r="H643" i="2"/>
  <c r="A643" i="2"/>
  <c r="F642" i="2"/>
  <c r="E642" i="2"/>
  <c r="D642" i="2"/>
  <c r="A642" i="2"/>
  <c r="L641" i="2"/>
  <c r="K641" i="2"/>
  <c r="J641" i="2"/>
  <c r="A641" i="2"/>
  <c r="I640" i="2"/>
  <c r="H640" i="2"/>
  <c r="G640" i="2"/>
  <c r="A640" i="2"/>
  <c r="F639" i="2"/>
  <c r="E639" i="2"/>
  <c r="D639" i="2"/>
  <c r="A639" i="2"/>
  <c r="L638" i="2"/>
  <c r="A638" i="2"/>
  <c r="K637" i="2"/>
  <c r="A637" i="2"/>
  <c r="J636" i="2"/>
  <c r="A636" i="2"/>
  <c r="H635" i="2"/>
  <c r="A635" i="2"/>
  <c r="G634" i="2"/>
  <c r="A634" i="2"/>
  <c r="E633" i="2"/>
  <c r="A633" i="2"/>
  <c r="D632" i="2"/>
  <c r="A632" i="2"/>
  <c r="K631" i="2"/>
  <c r="A631" i="2"/>
  <c r="J630" i="2"/>
  <c r="A630" i="2"/>
  <c r="H629" i="2"/>
  <c r="A629" i="2"/>
  <c r="G628" i="2"/>
  <c r="A628" i="2"/>
  <c r="E627" i="2"/>
  <c r="A627" i="2"/>
  <c r="D626" i="2"/>
  <c r="A626" i="2"/>
  <c r="K625" i="2"/>
  <c r="A625" i="2"/>
  <c r="J624" i="2"/>
  <c r="A624" i="2"/>
  <c r="H623" i="2"/>
  <c r="A623" i="2"/>
  <c r="G622" i="2"/>
  <c r="A622" i="2"/>
  <c r="E621" i="2"/>
  <c r="A621" i="2"/>
  <c r="D620" i="2"/>
  <c r="A620" i="2"/>
  <c r="K619" i="2"/>
  <c r="A619" i="2"/>
  <c r="J618" i="2"/>
  <c r="A618" i="2"/>
  <c r="H617" i="2"/>
  <c r="A617" i="2"/>
  <c r="G616" i="2"/>
  <c r="A616" i="2"/>
  <c r="E615" i="2"/>
  <c r="A615" i="2"/>
  <c r="D614" i="2"/>
  <c r="A614" i="2"/>
  <c r="K613" i="2"/>
  <c r="A613" i="2"/>
  <c r="J612" i="2"/>
  <c r="A612" i="2"/>
  <c r="H611" i="2"/>
  <c r="G611" i="2"/>
  <c r="A611" i="2"/>
  <c r="E610" i="2"/>
  <c r="A610" i="2"/>
  <c r="D609" i="2"/>
  <c r="A609" i="2"/>
  <c r="K608" i="2"/>
  <c r="A608" i="2"/>
  <c r="J607" i="2"/>
  <c r="A607" i="2"/>
  <c r="H606" i="2"/>
  <c r="A606" i="2"/>
  <c r="G605" i="2"/>
  <c r="A605" i="2"/>
  <c r="E604" i="2"/>
  <c r="A604" i="2"/>
  <c r="D603" i="2"/>
  <c r="A603" i="2"/>
  <c r="K602" i="2"/>
  <c r="A602" i="2"/>
  <c r="J601" i="2"/>
  <c r="I601" i="2"/>
  <c r="H601" i="2"/>
  <c r="A601" i="2"/>
  <c r="G600" i="2"/>
  <c r="A600" i="2"/>
  <c r="E599" i="2"/>
  <c r="A599" i="2"/>
  <c r="D598" i="2"/>
  <c r="A598" i="2"/>
  <c r="K597" i="2"/>
  <c r="A597" i="2"/>
  <c r="J596" i="2"/>
  <c r="A596" i="2"/>
  <c r="H595" i="2"/>
  <c r="A595" i="2"/>
  <c r="G594" i="2"/>
  <c r="A594" i="2"/>
  <c r="E593" i="2"/>
  <c r="A593" i="2"/>
  <c r="D592" i="2"/>
  <c r="A592" i="2"/>
  <c r="K591" i="2"/>
  <c r="A591" i="2"/>
  <c r="J590" i="2"/>
  <c r="A590" i="2"/>
  <c r="H589" i="2"/>
  <c r="A589" i="2"/>
  <c r="G588" i="2"/>
  <c r="A588" i="2"/>
  <c r="E587" i="2"/>
  <c r="A587" i="2"/>
  <c r="D586" i="2"/>
  <c r="A586" i="2"/>
  <c r="K585" i="2"/>
  <c r="A585" i="2"/>
  <c r="J584" i="2"/>
  <c r="I584" i="2"/>
  <c r="H584" i="2"/>
  <c r="A584" i="2"/>
  <c r="G583" i="2"/>
  <c r="F583" i="2"/>
  <c r="E583" i="2"/>
  <c r="A583" i="2"/>
  <c r="D582" i="2"/>
  <c r="L582" i="2"/>
  <c r="K582" i="2"/>
  <c r="A582" i="2"/>
  <c r="J581" i="2"/>
  <c r="I581" i="2"/>
  <c r="H581" i="2"/>
  <c r="A581" i="2"/>
  <c r="G580" i="2"/>
  <c r="F580" i="2"/>
  <c r="E580" i="2"/>
  <c r="A580" i="2"/>
  <c r="D579" i="2"/>
  <c r="L579" i="2"/>
  <c r="A579" i="2"/>
  <c r="J578" i="2"/>
  <c r="I578" i="2"/>
  <c r="A578" i="2"/>
  <c r="G577" i="2"/>
  <c r="F577" i="2"/>
  <c r="A577" i="2"/>
  <c r="D576" i="2"/>
  <c r="L576" i="2"/>
  <c r="A576" i="2"/>
  <c r="J575" i="2"/>
  <c r="I575" i="2"/>
  <c r="A575" i="2"/>
  <c r="G574" i="2"/>
  <c r="A574" i="2"/>
  <c r="F573" i="2"/>
  <c r="A573" i="2"/>
  <c r="D572" i="2"/>
  <c r="A572" i="2"/>
  <c r="L571" i="2"/>
  <c r="A571" i="2"/>
  <c r="J570" i="2"/>
  <c r="A570" i="2"/>
  <c r="I569" i="2"/>
  <c r="A569" i="2"/>
  <c r="H568" i="2"/>
  <c r="A568" i="2"/>
  <c r="G567" i="2"/>
  <c r="F567" i="2"/>
  <c r="E567" i="2"/>
  <c r="A567" i="2"/>
  <c r="D566" i="2"/>
  <c r="L566" i="2"/>
  <c r="K566" i="2"/>
  <c r="A566" i="2"/>
  <c r="J565" i="2"/>
  <c r="I565" i="2"/>
  <c r="H565" i="2"/>
  <c r="A565" i="2"/>
  <c r="G564" i="2"/>
  <c r="F564" i="2"/>
  <c r="A564" i="2"/>
  <c r="D563" i="2"/>
  <c r="L563" i="2"/>
  <c r="A563" i="2"/>
  <c r="J562" i="2"/>
  <c r="I562" i="2"/>
  <c r="A562" i="2"/>
  <c r="G561" i="2"/>
  <c r="A561" i="2"/>
  <c r="F560" i="2"/>
  <c r="A560" i="2"/>
  <c r="D559" i="2"/>
  <c r="A559" i="2"/>
  <c r="L558" i="2"/>
  <c r="A558" i="2"/>
  <c r="J557" i="2"/>
  <c r="A557" i="2"/>
  <c r="I556" i="2"/>
  <c r="H556" i="2"/>
  <c r="G556" i="2"/>
  <c r="A556" i="2"/>
  <c r="F555" i="2"/>
  <c r="E555" i="2"/>
  <c r="D555" i="2"/>
  <c r="A555" i="2"/>
  <c r="L554" i="2"/>
  <c r="K554" i="2"/>
  <c r="A554" i="2"/>
  <c r="I553" i="2"/>
  <c r="H553" i="2"/>
  <c r="A553" i="2"/>
  <c r="F552" i="2"/>
  <c r="E552" i="2"/>
  <c r="A552" i="2"/>
  <c r="L551" i="2"/>
  <c r="A551" i="2"/>
  <c r="K550" i="2"/>
  <c r="A550" i="2"/>
  <c r="I549" i="2"/>
  <c r="A549" i="2"/>
  <c r="H548" i="2"/>
  <c r="G548" i="2"/>
  <c r="F548" i="2"/>
  <c r="A548" i="2"/>
  <c r="E547" i="2"/>
  <c r="D547" i="2"/>
  <c r="A547" i="2"/>
  <c r="K546" i="2"/>
  <c r="J546" i="2"/>
  <c r="A546" i="2"/>
  <c r="H545" i="2"/>
  <c r="G545" i="2"/>
  <c r="A545" i="2"/>
  <c r="E544" i="2"/>
  <c r="A544" i="2"/>
  <c r="D543" i="2"/>
  <c r="A543" i="2"/>
  <c r="K542" i="2"/>
  <c r="A542" i="2"/>
  <c r="J541" i="2"/>
  <c r="I541" i="2"/>
  <c r="H541" i="2"/>
  <c r="A541" i="2"/>
  <c r="G540" i="2"/>
  <c r="F540" i="2"/>
  <c r="A540" i="2"/>
  <c r="D539" i="2"/>
  <c r="L539" i="2"/>
  <c r="A539" i="2"/>
  <c r="J538" i="2"/>
  <c r="A538" i="2"/>
  <c r="I537" i="2"/>
  <c r="A537" i="2"/>
  <c r="G536" i="2"/>
  <c r="A536" i="2"/>
  <c r="F535" i="2"/>
  <c r="E535" i="2"/>
  <c r="D535" i="2"/>
  <c r="A535" i="2"/>
  <c r="L534" i="2"/>
  <c r="K534" i="2"/>
  <c r="A534" i="2"/>
  <c r="I533" i="2"/>
  <c r="H533" i="2"/>
  <c r="A533" i="2"/>
  <c r="F532" i="2"/>
  <c r="E532" i="2"/>
  <c r="A532" i="2"/>
  <c r="L531" i="2"/>
  <c r="A531" i="2"/>
  <c r="K530" i="2"/>
  <c r="A530" i="2"/>
  <c r="I529" i="2"/>
  <c r="A529" i="2"/>
  <c r="H528" i="2"/>
  <c r="G528" i="2"/>
  <c r="F528" i="2"/>
  <c r="A528" i="2"/>
  <c r="E527" i="2"/>
  <c r="D527" i="2"/>
  <c r="A527" i="2"/>
  <c r="K526" i="2"/>
  <c r="J526" i="2"/>
  <c r="A526" i="2"/>
  <c r="H525" i="2"/>
  <c r="A525" i="2"/>
  <c r="G524" i="2"/>
  <c r="F524" i="2"/>
  <c r="E524" i="2"/>
  <c r="A524" i="2"/>
  <c r="D523" i="2"/>
  <c r="L523" i="2"/>
  <c r="A523" i="2"/>
  <c r="J522" i="2"/>
  <c r="I522" i="2"/>
  <c r="A522" i="2"/>
  <c r="G521" i="2"/>
  <c r="A521" i="2"/>
  <c r="F520" i="2"/>
  <c r="A520" i="2"/>
  <c r="D519" i="2"/>
  <c r="A519" i="2"/>
  <c r="L518" i="2"/>
  <c r="K518" i="2"/>
  <c r="J518" i="2"/>
  <c r="A518" i="2"/>
  <c r="I517" i="2"/>
  <c r="H517" i="2"/>
  <c r="A517" i="2"/>
  <c r="F516" i="2"/>
  <c r="E516" i="2"/>
  <c r="A516" i="2"/>
  <c r="L515" i="2"/>
  <c r="A515" i="2"/>
  <c r="K514" i="2"/>
  <c r="J514" i="2"/>
  <c r="I514" i="2"/>
  <c r="A514" i="2"/>
  <c r="H513" i="2"/>
  <c r="G513" i="2"/>
  <c r="A513" i="2"/>
  <c r="E512" i="2"/>
  <c r="D512" i="2"/>
  <c r="A512" i="2"/>
  <c r="K511" i="2"/>
  <c r="A511" i="2"/>
  <c r="J510" i="2"/>
  <c r="I510" i="2"/>
  <c r="H510" i="2"/>
  <c r="A510" i="2"/>
  <c r="G509" i="2"/>
  <c r="F509" i="2"/>
  <c r="A509" i="2"/>
  <c r="D508" i="2"/>
  <c r="L508" i="2"/>
  <c r="A508" i="2"/>
  <c r="J507" i="2"/>
  <c r="A507" i="2"/>
  <c r="I506" i="2"/>
  <c r="H506" i="2"/>
  <c r="G506" i="2"/>
  <c r="A506" i="2"/>
  <c r="F505" i="2"/>
  <c r="E505" i="2"/>
  <c r="A505" i="2"/>
  <c r="L504" i="2"/>
  <c r="K504" i="2"/>
  <c r="A504" i="2"/>
  <c r="I503" i="2"/>
  <c r="A503" i="2"/>
  <c r="H502" i="2"/>
  <c r="G502" i="2"/>
  <c r="F502" i="2"/>
  <c r="A502" i="2"/>
  <c r="E501" i="2"/>
  <c r="D501" i="2"/>
  <c r="A501" i="2"/>
  <c r="K500" i="2"/>
  <c r="A500" i="2"/>
  <c r="J499" i="2"/>
  <c r="A499" i="2"/>
  <c r="H498" i="2"/>
  <c r="A498" i="2"/>
  <c r="G497" i="2"/>
  <c r="F497" i="2"/>
  <c r="A497" i="2"/>
  <c r="D496" i="2"/>
  <c r="L496" i="2"/>
  <c r="A496" i="2"/>
  <c r="J495" i="2"/>
  <c r="A495" i="2"/>
  <c r="I494" i="2"/>
  <c r="H494" i="2"/>
  <c r="G494" i="2"/>
  <c r="A494" i="2"/>
  <c r="F493" i="2"/>
  <c r="E493" i="2"/>
  <c r="A493" i="2"/>
  <c r="L492" i="2"/>
  <c r="A492" i="2"/>
  <c r="K491" i="2"/>
  <c r="A491" i="2"/>
  <c r="I490" i="2"/>
  <c r="A490" i="2"/>
  <c r="H489" i="2"/>
  <c r="G489" i="2"/>
  <c r="A489" i="2"/>
  <c r="E488" i="2"/>
  <c r="D488" i="2"/>
  <c r="A488" i="2"/>
  <c r="K487" i="2"/>
  <c r="A487" i="2"/>
  <c r="J486" i="2"/>
  <c r="I486" i="2"/>
  <c r="A486" i="2"/>
  <c r="G485" i="2"/>
  <c r="F485" i="2"/>
  <c r="A485" i="2"/>
  <c r="D484" i="2"/>
  <c r="A484" i="2"/>
  <c r="L483" i="2"/>
  <c r="A483" i="2"/>
  <c r="K482" i="2"/>
  <c r="J482" i="2"/>
  <c r="I482" i="2"/>
  <c r="A482" i="2"/>
  <c r="G481" i="2"/>
  <c r="F481" i="2"/>
  <c r="A481" i="2"/>
  <c r="D480" i="2"/>
  <c r="A480" i="2"/>
  <c r="L479" i="2"/>
  <c r="K479" i="2"/>
  <c r="A479" i="2"/>
  <c r="I478" i="2"/>
  <c r="H478" i="2"/>
  <c r="A478" i="2"/>
  <c r="F477" i="2"/>
  <c r="A477" i="2"/>
  <c r="E476" i="2"/>
  <c r="A476" i="2"/>
  <c r="L475" i="2"/>
  <c r="A475" i="2"/>
  <c r="K474" i="2"/>
  <c r="J474" i="2"/>
  <c r="A474" i="2"/>
  <c r="H473" i="2"/>
  <c r="G473" i="2"/>
  <c r="A473" i="2"/>
  <c r="E472" i="2"/>
  <c r="A472" i="2"/>
  <c r="D471" i="2"/>
  <c r="A471" i="2"/>
  <c r="K470" i="2"/>
  <c r="A470" i="2"/>
  <c r="J469" i="2"/>
  <c r="A469" i="2"/>
  <c r="I468" i="2"/>
  <c r="A468" i="2"/>
  <c r="H467" i="2"/>
  <c r="G467" i="2"/>
  <c r="F467" i="2"/>
  <c r="A467" i="2"/>
  <c r="E466" i="2"/>
  <c r="D466" i="2"/>
  <c r="A466" i="2"/>
  <c r="K465" i="2"/>
  <c r="J465" i="2"/>
  <c r="A465" i="2"/>
  <c r="H464" i="2"/>
  <c r="G464" i="2"/>
  <c r="A464" i="2"/>
  <c r="E463" i="2"/>
  <c r="D463" i="2"/>
  <c r="A463" i="2"/>
  <c r="K462" i="2"/>
  <c r="J462" i="2"/>
  <c r="A462" i="2"/>
  <c r="H461" i="2"/>
  <c r="G461" i="2"/>
  <c r="A461" i="2"/>
  <c r="E460" i="2"/>
  <c r="A460" i="2"/>
  <c r="D459" i="2"/>
  <c r="A459" i="2"/>
  <c r="K458" i="2"/>
  <c r="A458" i="2"/>
  <c r="J457" i="2"/>
  <c r="A457" i="2"/>
  <c r="H456" i="2"/>
  <c r="G456" i="2"/>
  <c r="A456" i="2"/>
  <c r="E455" i="2"/>
  <c r="D455" i="2"/>
  <c r="A455" i="2"/>
  <c r="K454" i="2"/>
  <c r="J454" i="2"/>
  <c r="A454" i="2"/>
  <c r="H453" i="2"/>
  <c r="G453" i="2"/>
  <c r="A453" i="2"/>
  <c r="E452" i="2"/>
  <c r="D452" i="2"/>
  <c r="L452" i="2"/>
  <c r="A452" i="2"/>
  <c r="K451" i="2"/>
  <c r="J451" i="2"/>
  <c r="I451" i="2"/>
  <c r="A451" i="2"/>
  <c r="H450" i="2"/>
  <c r="A450" i="2"/>
  <c r="F449" i="2"/>
  <c r="A449" i="2"/>
  <c r="E448" i="2"/>
  <c r="A448" i="2"/>
  <c r="L447" i="2"/>
  <c r="K447" i="2"/>
  <c r="A447" i="2"/>
  <c r="I446" i="2"/>
  <c r="H446" i="2"/>
  <c r="G446" i="2"/>
  <c r="A446" i="2"/>
  <c r="F445" i="2"/>
  <c r="E445" i="2"/>
  <c r="D445" i="2"/>
  <c r="A445" i="2"/>
  <c r="L444" i="2"/>
  <c r="A444" i="2"/>
  <c r="J443" i="2"/>
  <c r="I443" i="2"/>
  <c r="A443" i="2"/>
  <c r="G442" i="2"/>
  <c r="F442" i="2"/>
  <c r="E442" i="2"/>
  <c r="A442" i="2"/>
  <c r="D441" i="2"/>
  <c r="A441" i="2"/>
  <c r="K440" i="2"/>
  <c r="J440" i="2"/>
  <c r="A440" i="2"/>
  <c r="H439" i="2"/>
  <c r="G439" i="2"/>
  <c r="F439" i="2"/>
  <c r="A439" i="2"/>
  <c r="E438" i="2"/>
  <c r="A438" i="2"/>
  <c r="L437" i="2"/>
  <c r="K437" i="2"/>
  <c r="J437" i="2"/>
  <c r="A437" i="2"/>
  <c r="I436" i="2"/>
  <c r="A436" i="2"/>
  <c r="G435" i="2"/>
  <c r="F435" i="2"/>
  <c r="A435" i="2"/>
  <c r="D434" i="2"/>
  <c r="L434" i="2"/>
  <c r="K434" i="2"/>
  <c r="A434" i="2"/>
  <c r="J433" i="2"/>
  <c r="A433" i="2"/>
  <c r="H432" i="2"/>
  <c r="G432" i="2"/>
  <c r="F432" i="2"/>
  <c r="A432" i="2"/>
  <c r="E431" i="2"/>
  <c r="A431" i="2"/>
  <c r="L430" i="2"/>
  <c r="K430" i="2"/>
  <c r="J430" i="2"/>
  <c r="A430" i="2"/>
  <c r="I429" i="2"/>
  <c r="A429" i="2"/>
  <c r="G428" i="2"/>
  <c r="F428" i="2"/>
  <c r="E428" i="2"/>
  <c r="A428" i="2"/>
  <c r="D427" i="2"/>
  <c r="A427" i="2"/>
  <c r="K426" i="2"/>
  <c r="J426" i="2"/>
  <c r="I426" i="2"/>
  <c r="A426" i="2"/>
  <c r="H425" i="2"/>
  <c r="A425" i="2"/>
  <c r="F424" i="2"/>
  <c r="E424" i="2"/>
  <c r="D424" i="2"/>
  <c r="L424" i="2"/>
  <c r="K424" i="2"/>
  <c r="A424" i="2"/>
  <c r="J423" i="2"/>
  <c r="A423" i="2"/>
  <c r="H422" i="2"/>
  <c r="G422" i="2"/>
  <c r="F422" i="2"/>
  <c r="A422" i="2"/>
  <c r="E421" i="2"/>
  <c r="A421" i="2"/>
  <c r="L420" i="2"/>
  <c r="K420" i="2"/>
  <c r="J420" i="2"/>
  <c r="I420" i="2"/>
  <c r="H420" i="2"/>
  <c r="A420" i="2"/>
  <c r="G419" i="2"/>
  <c r="A419" i="2"/>
  <c r="E418" i="2"/>
  <c r="D418" i="2"/>
  <c r="L418" i="2"/>
  <c r="K418" i="2"/>
  <c r="J418" i="2"/>
  <c r="A418" i="2"/>
  <c r="I417" i="2"/>
  <c r="A417" i="2"/>
  <c r="G416" i="2"/>
  <c r="F416" i="2"/>
  <c r="E416" i="2"/>
  <c r="D416" i="2"/>
  <c r="L416" i="2"/>
  <c r="A416" i="2"/>
  <c r="K415" i="2"/>
  <c r="A415" i="2"/>
  <c r="I414" i="2"/>
  <c r="H414" i="2"/>
  <c r="G414" i="2"/>
  <c r="F414" i="2"/>
  <c r="E414" i="2"/>
  <c r="A414" i="2"/>
  <c r="D413" i="2"/>
  <c r="A413" i="2"/>
  <c r="K412" i="2"/>
  <c r="A412" i="2"/>
  <c r="I411" i="2"/>
  <c r="H411" i="2"/>
  <c r="G411" i="2"/>
  <c r="F411" i="2"/>
  <c r="E411" i="2"/>
  <c r="A411" i="2"/>
  <c r="D410" i="2"/>
  <c r="L410" i="2"/>
  <c r="A410" i="2"/>
  <c r="K409" i="2"/>
  <c r="A409" i="2"/>
  <c r="I408" i="2"/>
  <c r="H408" i="2"/>
  <c r="G408" i="2"/>
  <c r="F408" i="2"/>
  <c r="E408" i="2"/>
  <c r="A408" i="2"/>
  <c r="D407" i="2"/>
  <c r="L407" i="2"/>
  <c r="A407" i="2"/>
  <c r="K406" i="2"/>
  <c r="A406" i="2"/>
  <c r="I405" i="2"/>
  <c r="A405" i="2"/>
  <c r="G404" i="2"/>
  <c r="A404" i="2"/>
  <c r="E403" i="2"/>
  <c r="D403" i="2"/>
  <c r="L403" i="2"/>
  <c r="K403" i="2"/>
  <c r="J403" i="2"/>
  <c r="A403" i="2"/>
  <c r="I402" i="2"/>
  <c r="H402" i="2"/>
  <c r="A402" i="2"/>
  <c r="G401" i="2"/>
  <c r="A401" i="2"/>
  <c r="E400" i="2"/>
  <c r="A400" i="2"/>
  <c r="L399" i="2"/>
  <c r="A399" i="2"/>
  <c r="J398" i="2"/>
  <c r="I398" i="2"/>
  <c r="H398" i="2"/>
  <c r="G398" i="2"/>
  <c r="F398" i="2"/>
  <c r="E398" i="2"/>
  <c r="D398" i="2"/>
  <c r="L398" i="2"/>
  <c r="K398" i="2"/>
  <c r="A398" i="2"/>
  <c r="J397" i="2"/>
  <c r="I397" i="2"/>
  <c r="A397" i="2"/>
  <c r="H396" i="2"/>
  <c r="G396" i="2"/>
  <c r="A396" i="2"/>
  <c r="F395" i="2"/>
  <c r="A395" i="2"/>
  <c r="D394" i="2"/>
  <c r="A394" i="2"/>
  <c r="K393" i="2"/>
  <c r="A393" i="2"/>
  <c r="I392" i="2"/>
  <c r="A392" i="2"/>
  <c r="G391" i="2"/>
  <c r="A391" i="2"/>
  <c r="E390" i="2"/>
  <c r="A390" i="2"/>
  <c r="L389" i="2"/>
  <c r="K389" i="2"/>
  <c r="J389" i="2"/>
  <c r="I389" i="2"/>
  <c r="H389" i="2"/>
  <c r="G389" i="2"/>
  <c r="F389" i="2"/>
  <c r="E389" i="2"/>
  <c r="D389" i="2"/>
  <c r="A389" i="2"/>
  <c r="E388" i="2"/>
  <c r="A388" i="2"/>
  <c r="L387" i="2"/>
  <c r="A387" i="2"/>
  <c r="J386" i="2"/>
  <c r="A386" i="2"/>
  <c r="H385" i="2"/>
  <c r="A385" i="2"/>
  <c r="F384" i="2"/>
  <c r="A384" i="2"/>
  <c r="D383" i="2"/>
  <c r="L383" i="2"/>
  <c r="A383" i="2"/>
  <c r="K382" i="2"/>
  <c r="J382" i="2"/>
  <c r="A382" i="2"/>
  <c r="I381" i="2"/>
  <c r="H381" i="2"/>
  <c r="A381" i="2"/>
  <c r="G380" i="2"/>
  <c r="F380" i="2"/>
  <c r="E380" i="2"/>
  <c r="D380" i="2"/>
  <c r="L380" i="2"/>
  <c r="K380" i="2"/>
  <c r="J380" i="2"/>
  <c r="I380" i="2"/>
  <c r="A380" i="2"/>
  <c r="G379" i="2"/>
  <c r="A379" i="2"/>
  <c r="E378" i="2"/>
  <c r="D378" i="2"/>
  <c r="A378" i="2"/>
  <c r="L377" i="2"/>
  <c r="K377" i="2"/>
  <c r="A377" i="2"/>
  <c r="J376" i="2"/>
  <c r="I376" i="2"/>
  <c r="H376" i="2"/>
  <c r="G376" i="2"/>
  <c r="F376" i="2"/>
  <c r="E376" i="2"/>
  <c r="A376" i="2"/>
  <c r="L375" i="2"/>
  <c r="A375" i="2"/>
  <c r="J374" i="2"/>
  <c r="I374" i="2"/>
  <c r="A374" i="2"/>
  <c r="H373" i="2"/>
  <c r="G373" i="2"/>
  <c r="A373" i="2"/>
  <c r="F372" i="2"/>
  <c r="E372" i="2"/>
  <c r="D372" i="2"/>
  <c r="L372" i="2"/>
  <c r="A372" i="2"/>
  <c r="J371" i="2"/>
  <c r="A371" i="2"/>
  <c r="H370" i="2"/>
  <c r="G370" i="2"/>
  <c r="A370" i="2"/>
  <c r="F369" i="2"/>
  <c r="E369" i="2"/>
  <c r="D369" i="2"/>
  <c r="L369" i="2"/>
  <c r="A369" i="2"/>
  <c r="J368" i="2"/>
  <c r="I368" i="2"/>
  <c r="A368" i="2"/>
  <c r="H367" i="2"/>
  <c r="G367" i="2"/>
  <c r="A367" i="2"/>
  <c r="F366" i="2"/>
  <c r="E366" i="2"/>
  <c r="D366" i="2"/>
  <c r="L366" i="2"/>
  <c r="A366" i="2"/>
  <c r="J365" i="2"/>
  <c r="I365" i="2"/>
  <c r="A365" i="2"/>
  <c r="H364" i="2"/>
  <c r="G364" i="2"/>
  <c r="F364" i="2"/>
  <c r="E364" i="2"/>
  <c r="A364" i="2"/>
  <c r="L363" i="2"/>
  <c r="K363" i="2"/>
  <c r="A363" i="2"/>
  <c r="J362" i="2"/>
  <c r="I362" i="2"/>
  <c r="H362" i="2"/>
  <c r="G362" i="2"/>
  <c r="A362" i="2"/>
  <c r="E361" i="2"/>
  <c r="D361" i="2"/>
  <c r="A361" i="2"/>
  <c r="L360" i="2"/>
  <c r="K360" i="2"/>
  <c r="J360" i="2"/>
  <c r="I360" i="2"/>
  <c r="H360" i="2"/>
  <c r="A360" i="2"/>
  <c r="G359" i="2"/>
  <c r="F359" i="2"/>
  <c r="E359" i="2"/>
  <c r="D359" i="2"/>
  <c r="A359" i="2"/>
  <c r="K358" i="2"/>
  <c r="J358" i="2"/>
  <c r="A358" i="2"/>
  <c r="I357" i="2"/>
  <c r="H357" i="2"/>
  <c r="A357" i="2"/>
  <c r="F356" i="2"/>
  <c r="E356" i="2"/>
  <c r="A356" i="2"/>
  <c r="D355" i="2"/>
  <c r="L355" i="2"/>
  <c r="K355" i="2"/>
  <c r="J355" i="2"/>
  <c r="I355" i="2"/>
  <c r="A355" i="2"/>
  <c r="H354" i="2"/>
  <c r="G354" i="2"/>
  <c r="F354" i="2"/>
  <c r="E354" i="2"/>
  <c r="D354" i="2"/>
  <c r="A354" i="2"/>
  <c r="L353" i="2"/>
  <c r="K353" i="2"/>
  <c r="J353" i="2"/>
  <c r="I353" i="2"/>
  <c r="H353" i="2"/>
  <c r="A353" i="2"/>
  <c r="G352" i="2"/>
  <c r="F352" i="2"/>
  <c r="E352" i="2"/>
  <c r="D352" i="2"/>
  <c r="L352" i="2"/>
  <c r="A352" i="2"/>
  <c r="K351" i="2"/>
  <c r="J351" i="2"/>
  <c r="A351" i="2"/>
  <c r="H350" i="2"/>
  <c r="G350" i="2"/>
  <c r="A350" i="2"/>
  <c r="F349" i="2"/>
  <c r="E349" i="2"/>
  <c r="A349" i="2"/>
  <c r="L348" i="2"/>
  <c r="K348" i="2"/>
  <c r="J348" i="2"/>
  <c r="I348" i="2"/>
  <c r="A348" i="2"/>
  <c r="G347" i="2"/>
  <c r="F347" i="2"/>
  <c r="E347" i="2"/>
  <c r="D347" i="2"/>
  <c r="L347" i="2"/>
  <c r="A347" i="2"/>
  <c r="K346" i="2"/>
  <c r="J346" i="2"/>
  <c r="A346" i="2"/>
  <c r="H345" i="2"/>
  <c r="G345" i="2"/>
  <c r="F345" i="2"/>
  <c r="E345" i="2"/>
  <c r="D345" i="2"/>
  <c r="A345" i="2"/>
  <c r="L344" i="2"/>
  <c r="K344" i="2"/>
  <c r="A344" i="2"/>
  <c r="I343" i="2"/>
  <c r="H343" i="2"/>
  <c r="G343" i="2"/>
  <c r="F343" i="2"/>
  <c r="E343" i="2"/>
  <c r="A343" i="2"/>
  <c r="D342" i="2"/>
  <c r="L342" i="2"/>
  <c r="A342" i="2"/>
  <c r="J341" i="2"/>
  <c r="I341" i="2"/>
  <c r="H341" i="2"/>
  <c r="G341" i="2"/>
  <c r="F341" i="2"/>
  <c r="E341" i="2"/>
  <c r="D341" i="2"/>
  <c r="L341" i="2"/>
  <c r="A341" i="2"/>
  <c r="K340" i="2"/>
  <c r="J340" i="2"/>
  <c r="A340" i="2"/>
  <c r="H339" i="2"/>
  <c r="G339" i="2"/>
  <c r="A339" i="2"/>
  <c r="E338" i="2"/>
  <c r="D338" i="2"/>
  <c r="L338" i="2"/>
  <c r="K338" i="2"/>
  <c r="J338" i="2"/>
  <c r="I338" i="2"/>
  <c r="H338" i="2"/>
  <c r="G338" i="2"/>
  <c r="A338" i="2"/>
  <c r="F337" i="2"/>
  <c r="E337" i="2"/>
  <c r="D337" i="2"/>
  <c r="A337" i="2"/>
  <c r="L336" i="2"/>
  <c r="K336" i="2"/>
  <c r="A336" i="2"/>
  <c r="I335" i="2"/>
  <c r="H335" i="2"/>
  <c r="A335" i="2"/>
  <c r="F334" i="2"/>
  <c r="E334" i="2"/>
  <c r="D334" i="2"/>
  <c r="L334" i="2"/>
  <c r="K334" i="2"/>
  <c r="J334" i="2"/>
  <c r="I334" i="2"/>
  <c r="H334" i="2"/>
  <c r="A334" i="2"/>
  <c r="F333" i="2"/>
  <c r="E333" i="2"/>
  <c r="A333" i="2"/>
  <c r="L332" i="2"/>
  <c r="K332" i="2"/>
  <c r="A332" i="2"/>
  <c r="I331" i="2"/>
  <c r="H331" i="2"/>
  <c r="A331" i="2"/>
  <c r="F330" i="2"/>
  <c r="E330" i="2"/>
  <c r="A330" i="2"/>
  <c r="L329" i="2"/>
  <c r="K329" i="2"/>
  <c r="A329" i="2"/>
  <c r="I328" i="2"/>
  <c r="H328" i="2"/>
  <c r="A328" i="2"/>
  <c r="F327" i="2"/>
  <c r="E327" i="2"/>
  <c r="A327" i="2"/>
  <c r="L326" i="2"/>
  <c r="K326" i="2"/>
  <c r="A326" i="2"/>
  <c r="I325" i="2"/>
  <c r="H325" i="2"/>
  <c r="G325" i="2"/>
  <c r="A325" i="2"/>
  <c r="F324" i="2"/>
  <c r="E324" i="2"/>
  <c r="D324" i="2"/>
  <c r="A324" i="2"/>
  <c r="L323" i="2"/>
  <c r="K323" i="2"/>
  <c r="J323" i="2"/>
  <c r="I323" i="2"/>
  <c r="H323" i="2"/>
  <c r="G323" i="2"/>
  <c r="F323" i="2"/>
  <c r="E323" i="2"/>
  <c r="D323" i="2"/>
  <c r="A323" i="2"/>
  <c r="K322" i="2"/>
  <c r="J322" i="2"/>
  <c r="A322" i="2"/>
  <c r="H321" i="2"/>
  <c r="G321" i="2"/>
  <c r="F321" i="2"/>
  <c r="A321" i="2"/>
  <c r="E320" i="2"/>
  <c r="D320" i="2"/>
  <c r="L320" i="2"/>
  <c r="K320" i="2"/>
  <c r="J320" i="2"/>
  <c r="I320" i="2"/>
  <c r="A320" i="2"/>
  <c r="G319" i="2"/>
  <c r="F319" i="2"/>
  <c r="E319" i="2"/>
  <c r="A319" i="2"/>
  <c r="D318" i="2"/>
  <c r="L318" i="2"/>
  <c r="K318" i="2"/>
  <c r="J318" i="2"/>
  <c r="I318" i="2"/>
  <c r="H318" i="2"/>
  <c r="A318" i="2"/>
  <c r="F317" i="2"/>
  <c r="E317" i="2"/>
  <c r="D317" i="2"/>
  <c r="A317" i="2"/>
  <c r="L316" i="2"/>
  <c r="K316" i="2"/>
  <c r="J316" i="2"/>
  <c r="I316" i="2"/>
  <c r="H316" i="2"/>
  <c r="G316" i="2"/>
  <c r="A316" i="2"/>
  <c r="E315" i="2"/>
  <c r="D315" i="2"/>
  <c r="L315" i="2"/>
  <c r="K315" i="2"/>
  <c r="J315" i="2"/>
  <c r="I315" i="2"/>
  <c r="A315" i="2"/>
  <c r="G314" i="2"/>
  <c r="F314" i="2"/>
  <c r="E314" i="2"/>
  <c r="D314" i="2"/>
  <c r="L314" i="2"/>
  <c r="K314" i="2"/>
  <c r="A314" i="2"/>
  <c r="I313" i="2"/>
  <c r="H313" i="2"/>
  <c r="G313" i="2"/>
  <c r="F313" i="2"/>
  <c r="E313" i="2"/>
  <c r="D313" i="2"/>
  <c r="L313" i="2"/>
  <c r="A313" i="2"/>
  <c r="K312" i="2"/>
  <c r="J312" i="2"/>
  <c r="I312" i="2"/>
  <c r="A312" i="2"/>
  <c r="G311" i="2"/>
  <c r="F311" i="2"/>
  <c r="E311" i="2"/>
  <c r="A311" i="2"/>
  <c r="D310" i="2"/>
  <c r="L310" i="2"/>
  <c r="K310" i="2"/>
  <c r="A310" i="2"/>
  <c r="I309" i="2"/>
  <c r="H309" i="2"/>
  <c r="G309" i="2"/>
  <c r="A309" i="2"/>
  <c r="E308" i="2"/>
  <c r="D308" i="2"/>
  <c r="L308" i="2"/>
  <c r="K308" i="2"/>
  <c r="J308" i="2"/>
  <c r="I308" i="2"/>
  <c r="H308" i="2"/>
  <c r="A308" i="2"/>
  <c r="G307" i="2"/>
  <c r="F307" i="2"/>
  <c r="E307" i="2"/>
  <c r="A307" i="2"/>
  <c r="L306" i="2"/>
  <c r="K306" i="2"/>
  <c r="J306" i="2"/>
  <c r="A306" i="2"/>
  <c r="H305" i="2"/>
  <c r="G305" i="2"/>
  <c r="F305" i="2"/>
  <c r="E305" i="2"/>
  <c r="D305" i="2"/>
  <c r="L305" i="2"/>
  <c r="K305" i="2"/>
  <c r="J305" i="2"/>
  <c r="I305" i="2"/>
  <c r="A305" i="2"/>
  <c r="K304" i="2"/>
  <c r="J304" i="2"/>
  <c r="I304" i="2"/>
  <c r="H304" i="2"/>
  <c r="A304" i="2"/>
  <c r="G303" i="2"/>
  <c r="F303" i="2"/>
  <c r="E303" i="2"/>
  <c r="D303" i="2"/>
  <c r="A303" i="2"/>
  <c r="L302" i="2"/>
  <c r="K302" i="2"/>
  <c r="J302" i="2"/>
  <c r="I302" i="2"/>
  <c r="H302" i="2"/>
  <c r="G302" i="2"/>
  <c r="F302" i="2"/>
  <c r="E302" i="2"/>
  <c r="D302" i="2"/>
  <c r="A302" i="2"/>
  <c r="E301" i="2"/>
  <c r="D301" i="2"/>
  <c r="L301" i="2"/>
  <c r="A301" i="2"/>
  <c r="J300" i="2"/>
  <c r="I300" i="2"/>
  <c r="H300" i="2"/>
  <c r="G300" i="2"/>
  <c r="A300" i="2"/>
  <c r="F299" i="2"/>
  <c r="E299" i="2"/>
  <c r="D299" i="2"/>
  <c r="L299" i="2"/>
  <c r="K299" i="2"/>
  <c r="J299" i="2"/>
  <c r="I299" i="2"/>
  <c r="H299" i="2"/>
  <c r="A299" i="2"/>
  <c r="F298" i="2"/>
  <c r="E298" i="2"/>
  <c r="D298" i="2"/>
  <c r="A298" i="2"/>
  <c r="K297" i="2"/>
  <c r="J297" i="2"/>
  <c r="I297" i="2"/>
  <c r="H297" i="2"/>
  <c r="G297" i="2"/>
  <c r="F297" i="2"/>
  <c r="E297" i="2"/>
  <c r="D297" i="2"/>
  <c r="A297" i="2"/>
  <c r="K296" i="2"/>
  <c r="J296" i="2"/>
  <c r="I296" i="2"/>
  <c r="H296" i="2"/>
  <c r="A296" i="2"/>
  <c r="G295" i="2"/>
  <c r="F295" i="2"/>
  <c r="E295" i="2"/>
  <c r="D295" i="2"/>
  <c r="A295" i="2"/>
  <c r="K294" i="2"/>
  <c r="J294" i="2"/>
  <c r="I294" i="2"/>
  <c r="H294" i="2"/>
  <c r="G294" i="2"/>
  <c r="F294" i="2"/>
  <c r="E294" i="2"/>
  <c r="D294" i="2"/>
  <c r="A294" i="2"/>
  <c r="K293" i="2"/>
  <c r="J293" i="2"/>
  <c r="I293" i="2"/>
  <c r="H293" i="2"/>
  <c r="G293" i="2"/>
  <c r="F293" i="2"/>
  <c r="E293" i="2"/>
  <c r="D293" i="2"/>
  <c r="L293" i="2"/>
  <c r="A293" i="2"/>
  <c r="K292" i="2"/>
  <c r="J292" i="2"/>
  <c r="I292" i="2"/>
  <c r="H292" i="2"/>
  <c r="G292" i="2"/>
  <c r="A292" i="2"/>
  <c r="F291" i="2"/>
  <c r="E291" i="2"/>
  <c r="D291" i="2"/>
  <c r="L291" i="2"/>
  <c r="A291" i="2"/>
  <c r="J290" i="2"/>
  <c r="I290" i="2"/>
  <c r="H290" i="2"/>
  <c r="G290" i="2"/>
  <c r="A290" i="2"/>
  <c r="E289" i="2"/>
  <c r="D289" i="2"/>
  <c r="L289" i="2"/>
  <c r="K289" i="2"/>
  <c r="J289" i="2"/>
  <c r="I289" i="2"/>
  <c r="H289" i="2"/>
  <c r="G289" i="2"/>
  <c r="F289" i="2"/>
  <c r="A289" i="2"/>
  <c r="G288" i="2"/>
  <c r="F288" i="2"/>
  <c r="E288" i="2"/>
  <c r="D288" i="2"/>
  <c r="A288" i="2"/>
  <c r="K287" i="2"/>
  <c r="J287" i="2"/>
  <c r="I287" i="2"/>
  <c r="H287" i="2"/>
  <c r="G287" i="2"/>
  <c r="A287" i="2"/>
  <c r="F286" i="2"/>
  <c r="E286" i="2"/>
  <c r="D286" i="2"/>
  <c r="L286" i="2"/>
  <c r="K286" i="2"/>
  <c r="J286" i="2"/>
  <c r="I286" i="2"/>
  <c r="H286" i="2"/>
  <c r="G286" i="2"/>
  <c r="A286" i="2"/>
  <c r="D285" i="2"/>
  <c r="L285" i="2"/>
  <c r="K285" i="2"/>
  <c r="J285" i="2"/>
  <c r="I285" i="2"/>
  <c r="A285" i="2"/>
  <c r="H284" i="2"/>
  <c r="G284" i="2"/>
  <c r="F284" i="2"/>
  <c r="E284" i="2"/>
  <c r="D284" i="2"/>
  <c r="L284" i="2"/>
  <c r="K284" i="2"/>
  <c r="J284" i="2"/>
  <c r="I284" i="2"/>
  <c r="A284" i="2"/>
  <c r="F283" i="2"/>
  <c r="E283" i="2"/>
  <c r="D283" i="2"/>
  <c r="L283" i="2"/>
  <c r="K283" i="2"/>
  <c r="A283" i="2"/>
  <c r="I282" i="2"/>
  <c r="H282" i="2"/>
  <c r="G282" i="2"/>
  <c r="F282" i="2"/>
  <c r="E282" i="2"/>
  <c r="D282" i="2"/>
  <c r="L282" i="2"/>
  <c r="K282" i="2"/>
  <c r="J282" i="2"/>
  <c r="A282" i="2"/>
  <c r="G281" i="2"/>
  <c r="F281" i="2"/>
  <c r="E281" i="2"/>
  <c r="D281" i="2"/>
  <c r="L281" i="2"/>
  <c r="A281" i="2"/>
  <c r="J280" i="2"/>
  <c r="I280" i="2"/>
  <c r="H280" i="2"/>
  <c r="G280" i="2"/>
  <c r="F280" i="2"/>
  <c r="A280" i="2"/>
  <c r="D279" i="2"/>
  <c r="L279" i="2"/>
  <c r="K279" i="2"/>
  <c r="J279" i="2"/>
  <c r="I279" i="2"/>
  <c r="A279" i="2"/>
  <c r="G278" i="2"/>
  <c r="F278" i="2"/>
  <c r="E278" i="2"/>
  <c r="D278" i="2"/>
  <c r="L278" i="2"/>
  <c r="A278" i="2"/>
  <c r="J277" i="2"/>
  <c r="I277" i="2"/>
  <c r="H277" i="2"/>
  <c r="G277" i="2"/>
  <c r="F277" i="2"/>
  <c r="E277" i="2"/>
  <c r="A277" i="2"/>
  <c r="D276" i="2"/>
  <c r="L276" i="2"/>
  <c r="K276" i="2"/>
  <c r="J276" i="2"/>
  <c r="I276" i="2"/>
  <c r="H276" i="2"/>
  <c r="A276" i="2"/>
  <c r="G275" i="2"/>
  <c r="F275" i="2"/>
  <c r="E275" i="2"/>
  <c r="D275" i="2"/>
  <c r="L275" i="2"/>
  <c r="K275" i="2"/>
  <c r="J275" i="2"/>
  <c r="I275" i="2"/>
  <c r="H275" i="2"/>
  <c r="A275" i="2"/>
  <c r="L274" i="2"/>
  <c r="K274" i="2"/>
  <c r="J274" i="2"/>
  <c r="I274" i="2"/>
  <c r="H274" i="2"/>
  <c r="G274" i="2"/>
  <c r="F274" i="2"/>
  <c r="E274" i="2"/>
  <c r="D274" i="2"/>
  <c r="A274" i="2"/>
  <c r="H273" i="2"/>
  <c r="G273" i="2"/>
  <c r="F273" i="2"/>
  <c r="E273" i="2"/>
  <c r="D273" i="2"/>
  <c r="L273" i="2"/>
  <c r="K273" i="2"/>
  <c r="J273" i="2"/>
  <c r="I273" i="2"/>
  <c r="A273" i="2"/>
  <c r="D272" i="2"/>
  <c r="L272" i="2"/>
  <c r="K272" i="2"/>
  <c r="J272" i="2"/>
  <c r="I272" i="2"/>
  <c r="H272" i="2"/>
  <c r="G272" i="2"/>
  <c r="A272" i="2"/>
  <c r="F271" i="2"/>
  <c r="E271" i="2"/>
  <c r="D271" i="2"/>
  <c r="L271" i="2"/>
  <c r="K271" i="2"/>
  <c r="J271" i="2"/>
  <c r="I271" i="2"/>
  <c r="A271" i="2"/>
  <c r="H270" i="2"/>
  <c r="G270" i="2"/>
  <c r="F270" i="2"/>
  <c r="E270" i="2"/>
  <c r="D270" i="2"/>
  <c r="L270" i="2"/>
  <c r="K270" i="2"/>
  <c r="A270" i="2"/>
  <c r="J269" i="2"/>
  <c r="I269" i="2"/>
  <c r="H269" i="2"/>
  <c r="G269" i="2"/>
  <c r="F269" i="2"/>
  <c r="E269" i="2"/>
  <c r="D269" i="2"/>
  <c r="A269" i="2"/>
  <c r="L268" i="2"/>
  <c r="K268" i="2"/>
  <c r="J268" i="2"/>
  <c r="I268" i="2"/>
  <c r="H268" i="2"/>
  <c r="G268" i="2"/>
  <c r="F268" i="2"/>
  <c r="E268" i="2"/>
  <c r="D268" i="2"/>
  <c r="A268" i="2"/>
  <c r="F267" i="2"/>
  <c r="E267" i="2"/>
  <c r="D267" i="2"/>
  <c r="L267" i="2"/>
  <c r="K267" i="2"/>
  <c r="J267" i="2"/>
  <c r="I267" i="2"/>
  <c r="A267" i="2"/>
  <c r="H266" i="2"/>
  <c r="G266" i="2"/>
  <c r="F266" i="2"/>
  <c r="E266" i="2"/>
  <c r="D266" i="2"/>
  <c r="L266" i="2"/>
  <c r="K266" i="2"/>
  <c r="A266" i="2"/>
  <c r="I265" i="2"/>
  <c r="H265" i="2"/>
  <c r="G265" i="2"/>
  <c r="F265" i="2"/>
  <c r="E265" i="2"/>
  <c r="D265" i="2"/>
  <c r="L265" i="2"/>
  <c r="A265" i="2"/>
  <c r="K264" i="2"/>
  <c r="J264" i="2"/>
  <c r="I264" i="2"/>
  <c r="H264" i="2"/>
  <c r="G264" i="2"/>
  <c r="F264" i="2"/>
  <c r="E264" i="2"/>
  <c r="D264" i="2"/>
  <c r="L264" i="2"/>
  <c r="A264" i="2"/>
  <c r="F263" i="2"/>
  <c r="E263" i="2"/>
  <c r="D263" i="2"/>
  <c r="L263" i="2"/>
  <c r="K263" i="2"/>
  <c r="J263" i="2"/>
  <c r="I263" i="2"/>
  <c r="H263" i="2"/>
  <c r="A263" i="2"/>
  <c r="G262" i="2"/>
  <c r="F262" i="2"/>
  <c r="E262" i="2"/>
  <c r="D262" i="2"/>
  <c r="L262" i="2"/>
  <c r="K262" i="2"/>
  <c r="J262" i="2"/>
  <c r="I262" i="2"/>
  <c r="A262" i="2"/>
  <c r="G261" i="2"/>
  <c r="F261" i="2"/>
  <c r="E261" i="2"/>
  <c r="D261" i="2"/>
  <c r="L261" i="2"/>
  <c r="K261" i="2"/>
  <c r="J261" i="2"/>
  <c r="I261" i="2"/>
  <c r="H261" i="2"/>
  <c r="A261" i="2"/>
  <c r="G260" i="2"/>
  <c r="F260" i="2"/>
  <c r="E260" i="2"/>
  <c r="D260" i="2"/>
  <c r="L260" i="2"/>
  <c r="K260" i="2"/>
  <c r="J260" i="2"/>
  <c r="I260" i="2"/>
  <c r="H260" i="2"/>
  <c r="A260" i="2"/>
  <c r="G259" i="2"/>
  <c r="F259" i="2"/>
  <c r="E259" i="2"/>
  <c r="D259" i="2"/>
  <c r="L259" i="2"/>
  <c r="K259" i="2"/>
  <c r="J259" i="2"/>
  <c r="I259" i="2"/>
  <c r="H259" i="2"/>
  <c r="A259" i="2"/>
  <c r="F258" i="2"/>
  <c r="E258" i="2"/>
  <c r="D258" i="2"/>
  <c r="L258" i="2"/>
  <c r="K258" i="2"/>
  <c r="J258" i="2"/>
  <c r="I258" i="2"/>
  <c r="H258" i="2"/>
  <c r="G258" i="2"/>
  <c r="A258" i="2"/>
  <c r="L257" i="2"/>
  <c r="K257" i="2"/>
  <c r="J257" i="2"/>
  <c r="I257" i="2"/>
  <c r="H257" i="2"/>
  <c r="G257" i="2"/>
  <c r="F257" i="2"/>
  <c r="E257" i="2"/>
  <c r="D257" i="2"/>
  <c r="A257" i="2"/>
  <c r="I256" i="2"/>
  <c r="H256" i="2"/>
  <c r="G256" i="2"/>
  <c r="F256" i="2"/>
  <c r="E256" i="2"/>
  <c r="D256" i="2"/>
  <c r="L256" i="2"/>
  <c r="K256" i="2"/>
  <c r="J256" i="2"/>
  <c r="A256" i="2"/>
  <c r="E255" i="2"/>
  <c r="D255" i="2"/>
  <c r="L255" i="2"/>
  <c r="K255" i="2"/>
  <c r="J255" i="2"/>
  <c r="I255" i="2"/>
  <c r="H255" i="2"/>
  <c r="G255" i="2"/>
  <c r="F255" i="2"/>
  <c r="A255" i="2"/>
  <c r="L254" i="2"/>
  <c r="K254" i="2"/>
  <c r="J254" i="2"/>
  <c r="I254" i="2"/>
  <c r="H254" i="2"/>
  <c r="G254" i="2"/>
  <c r="F254" i="2"/>
  <c r="E254" i="2"/>
  <c r="D254" i="2"/>
  <c r="A254" i="2"/>
  <c r="I253" i="2"/>
  <c r="H253" i="2"/>
  <c r="G253" i="2"/>
  <c r="F253" i="2"/>
  <c r="E253" i="2"/>
  <c r="D253" i="2"/>
  <c r="L253" i="2"/>
  <c r="K253" i="2"/>
  <c r="J253" i="2"/>
  <c r="A253" i="2"/>
  <c r="F252" i="2"/>
  <c r="E252" i="2"/>
  <c r="D252" i="2"/>
  <c r="L252" i="2"/>
  <c r="K252" i="2"/>
  <c r="J252" i="2"/>
  <c r="I252" i="2"/>
  <c r="H252" i="2"/>
  <c r="G252" i="2"/>
  <c r="A252" i="2"/>
  <c r="L251" i="2"/>
  <c r="K251" i="2"/>
  <c r="J251" i="2"/>
  <c r="I251" i="2"/>
  <c r="H251" i="2"/>
  <c r="G251" i="2"/>
  <c r="F251" i="2"/>
  <c r="E251" i="2"/>
  <c r="D251" i="2"/>
  <c r="A251" i="2"/>
  <c r="J250" i="2"/>
  <c r="I250" i="2"/>
  <c r="H250" i="2"/>
  <c r="G250" i="2"/>
  <c r="F250" i="2"/>
  <c r="E250" i="2"/>
  <c r="D250" i="2"/>
  <c r="L250" i="2"/>
  <c r="K250" i="2"/>
  <c r="A250" i="2"/>
  <c r="F249" i="2"/>
  <c r="E249" i="2"/>
  <c r="D249" i="2"/>
  <c r="L249" i="2"/>
  <c r="K249" i="2"/>
  <c r="J249" i="2"/>
  <c r="I249" i="2"/>
  <c r="H249" i="2"/>
  <c r="G249" i="2"/>
  <c r="A249" i="2"/>
  <c r="J248" i="2"/>
  <c r="I248" i="2"/>
  <c r="H248" i="2"/>
  <c r="G248" i="2"/>
  <c r="F248" i="2"/>
  <c r="E248" i="2"/>
  <c r="D248" i="2"/>
  <c r="L248" i="2"/>
  <c r="K248" i="2"/>
  <c r="A248" i="2"/>
  <c r="H247" i="2"/>
  <c r="G247" i="2"/>
  <c r="F247" i="2"/>
  <c r="E247" i="2"/>
  <c r="D247" i="2"/>
  <c r="L247" i="2"/>
  <c r="K247" i="2"/>
  <c r="J247" i="2"/>
  <c r="I247" i="2"/>
  <c r="A247" i="2"/>
  <c r="K246" i="2"/>
  <c r="J246" i="2"/>
  <c r="I246" i="2"/>
  <c r="H246" i="2"/>
  <c r="G246" i="2"/>
  <c r="F246" i="2"/>
  <c r="E246" i="2"/>
  <c r="D246" i="2"/>
  <c r="L246" i="2"/>
  <c r="A246" i="2"/>
  <c r="F245" i="2"/>
  <c r="E245" i="2"/>
  <c r="D245" i="2"/>
  <c r="L245" i="2"/>
  <c r="K245" i="2"/>
  <c r="J245" i="2"/>
  <c r="I245" i="2"/>
  <c r="H245" i="2"/>
  <c r="G245" i="2"/>
  <c r="A245" i="2"/>
  <c r="D244" i="2"/>
  <c r="L244" i="2"/>
  <c r="K244" i="2"/>
  <c r="J244" i="2"/>
  <c r="A244" i="2"/>
  <c r="I243" i="2"/>
  <c r="H243" i="2"/>
  <c r="G243" i="2"/>
  <c r="F243" i="2"/>
  <c r="E243" i="2"/>
  <c r="D243" i="2"/>
  <c r="L243" i="2"/>
  <c r="K243" i="2"/>
  <c r="J243" i="2"/>
  <c r="A243" i="2"/>
  <c r="G242" i="2"/>
  <c r="F242" i="2"/>
  <c r="E242" i="2"/>
  <c r="D242" i="2"/>
  <c r="L242" i="2"/>
  <c r="K242" i="2"/>
  <c r="J242" i="2"/>
  <c r="I242" i="2"/>
  <c r="H242" i="2"/>
  <c r="A242" i="2"/>
  <c r="K241" i="2"/>
  <c r="J241" i="2"/>
  <c r="I241" i="2"/>
  <c r="H241" i="2"/>
  <c r="G241" i="2"/>
  <c r="F241" i="2"/>
  <c r="E241" i="2"/>
  <c r="D241" i="2"/>
  <c r="L241" i="2"/>
  <c r="A241" i="2"/>
  <c r="I240" i="2"/>
  <c r="H240" i="2"/>
  <c r="G240" i="2"/>
  <c r="F240" i="2"/>
  <c r="E240" i="2"/>
  <c r="D240" i="2"/>
  <c r="L240" i="2"/>
  <c r="K240" i="2"/>
  <c r="J240" i="2"/>
  <c r="A240" i="2"/>
  <c r="L239" i="2"/>
  <c r="K239" i="2"/>
  <c r="J239" i="2"/>
  <c r="I239" i="2"/>
  <c r="H239" i="2"/>
  <c r="G239" i="2"/>
  <c r="F239" i="2"/>
  <c r="E239" i="2"/>
  <c r="D239" i="2"/>
  <c r="A239" i="2"/>
  <c r="J238" i="2"/>
  <c r="I238" i="2"/>
  <c r="H238" i="2"/>
  <c r="G238" i="2"/>
  <c r="F238" i="2"/>
  <c r="E238" i="2"/>
  <c r="D238" i="2"/>
  <c r="L238" i="2"/>
  <c r="K238" i="2"/>
  <c r="A238" i="2"/>
  <c r="D237" i="2"/>
  <c r="L237" i="2"/>
  <c r="K237" i="2"/>
  <c r="J237" i="2"/>
  <c r="I237" i="2"/>
  <c r="H237" i="2"/>
  <c r="G237" i="2"/>
  <c r="F237" i="2"/>
  <c r="E237" i="2"/>
  <c r="A237" i="2"/>
  <c r="G236" i="2"/>
  <c r="F236" i="2"/>
  <c r="E236" i="2"/>
  <c r="D236" i="2"/>
  <c r="L236" i="2"/>
  <c r="K236" i="2"/>
  <c r="J236" i="2"/>
  <c r="I236" i="2"/>
  <c r="H236" i="2"/>
  <c r="A236" i="2"/>
  <c r="E235" i="2"/>
  <c r="D235" i="2"/>
  <c r="L235" i="2"/>
  <c r="K235" i="2"/>
  <c r="J235" i="2"/>
  <c r="I235" i="2"/>
  <c r="H235" i="2"/>
  <c r="G235" i="2"/>
  <c r="F235" i="2"/>
  <c r="A235" i="2"/>
  <c r="H234" i="2"/>
  <c r="G234" i="2"/>
  <c r="F234" i="2"/>
  <c r="E234" i="2"/>
  <c r="D234" i="2"/>
  <c r="L234" i="2"/>
  <c r="K234" i="2"/>
  <c r="J234" i="2"/>
  <c r="I234" i="2"/>
  <c r="A234" i="2"/>
  <c r="I233" i="2"/>
  <c r="H233" i="2"/>
  <c r="G233" i="2"/>
  <c r="F233" i="2"/>
  <c r="E233" i="2"/>
  <c r="D233" i="2"/>
  <c r="L233" i="2"/>
  <c r="K233" i="2"/>
  <c r="J233" i="2"/>
  <c r="A233" i="2"/>
  <c r="L232" i="2"/>
  <c r="K232" i="2"/>
  <c r="J232" i="2"/>
  <c r="I232" i="2"/>
  <c r="H232" i="2"/>
  <c r="G232" i="2"/>
  <c r="F232" i="2"/>
  <c r="E232" i="2"/>
  <c r="D232" i="2"/>
  <c r="A232" i="2"/>
  <c r="J231" i="2"/>
  <c r="I231" i="2"/>
  <c r="H231" i="2"/>
  <c r="G231" i="2"/>
  <c r="F231" i="2"/>
  <c r="E231" i="2"/>
  <c r="D231" i="2"/>
  <c r="L231" i="2"/>
  <c r="K231" i="2"/>
  <c r="A231" i="2"/>
  <c r="D230" i="2"/>
  <c r="L230" i="2"/>
  <c r="K230" i="2"/>
  <c r="J230" i="2"/>
  <c r="I230" i="2"/>
  <c r="H230" i="2"/>
  <c r="G230" i="2"/>
  <c r="F230" i="2"/>
  <c r="E230" i="2"/>
  <c r="A230" i="2"/>
  <c r="H229" i="2"/>
  <c r="G229" i="2"/>
  <c r="F229" i="2"/>
  <c r="E229" i="2"/>
  <c r="D229" i="2"/>
  <c r="L229" i="2"/>
  <c r="K229" i="2"/>
  <c r="J229" i="2"/>
  <c r="I229" i="2"/>
  <c r="A229" i="2"/>
  <c r="F228" i="2"/>
  <c r="E228" i="2"/>
  <c r="D228" i="2"/>
  <c r="L228" i="2"/>
  <c r="K228" i="2"/>
  <c r="J228" i="2"/>
  <c r="I228" i="2"/>
  <c r="H228" i="2"/>
  <c r="G228" i="2"/>
  <c r="A228" i="2"/>
  <c r="I227" i="2"/>
  <c r="H227" i="2"/>
  <c r="G227" i="2"/>
  <c r="F227" i="2"/>
  <c r="E227" i="2"/>
  <c r="D227" i="2"/>
  <c r="L227" i="2"/>
  <c r="K227" i="2"/>
  <c r="J227" i="2"/>
  <c r="A227" i="2"/>
  <c r="G226" i="2"/>
  <c r="F226" i="2"/>
  <c r="E226" i="2"/>
  <c r="D226" i="2"/>
  <c r="L226" i="2"/>
  <c r="K226" i="2"/>
  <c r="J226" i="2"/>
  <c r="I226" i="2"/>
  <c r="H226" i="2"/>
  <c r="A226" i="2"/>
  <c r="J225" i="2"/>
  <c r="I225" i="2"/>
  <c r="H225" i="2"/>
  <c r="G225" i="2"/>
  <c r="F225" i="2"/>
  <c r="E225" i="2"/>
  <c r="D225" i="2"/>
  <c r="L225" i="2"/>
  <c r="K225" i="2"/>
  <c r="A225" i="2"/>
  <c r="D224" i="2"/>
  <c r="L224" i="2"/>
  <c r="K224" i="2"/>
  <c r="J224" i="2"/>
  <c r="I224" i="2"/>
  <c r="H224" i="2"/>
  <c r="G224" i="2"/>
  <c r="F224" i="2"/>
  <c r="E224" i="2"/>
  <c r="A224" i="2"/>
  <c r="K223" i="2"/>
  <c r="J223" i="2"/>
  <c r="I223" i="2"/>
  <c r="H223" i="2"/>
  <c r="G223" i="2"/>
  <c r="F223" i="2"/>
  <c r="E223" i="2"/>
  <c r="D223" i="2"/>
  <c r="L223" i="2"/>
  <c r="A223" i="2"/>
  <c r="E222" i="2"/>
  <c r="D222" i="2"/>
  <c r="L222" i="2"/>
  <c r="K222" i="2"/>
  <c r="J222" i="2"/>
  <c r="I222" i="2"/>
  <c r="H222" i="2"/>
  <c r="G222" i="2"/>
  <c r="F222" i="2"/>
  <c r="A222" i="2"/>
  <c r="F221" i="2"/>
  <c r="E221" i="2"/>
  <c r="D221" i="2"/>
  <c r="L221" i="2"/>
  <c r="K221" i="2"/>
  <c r="J221" i="2"/>
  <c r="I221" i="2"/>
  <c r="H221" i="2"/>
  <c r="G221" i="2"/>
  <c r="A221" i="2"/>
  <c r="I220" i="2"/>
  <c r="H220" i="2"/>
  <c r="G220" i="2"/>
  <c r="F220" i="2"/>
  <c r="E220" i="2"/>
  <c r="D220" i="2"/>
  <c r="L220" i="2"/>
  <c r="K220" i="2"/>
  <c r="J220" i="2"/>
  <c r="A220" i="2"/>
  <c r="G219" i="2"/>
  <c r="F219" i="2"/>
  <c r="E219" i="2"/>
  <c r="D219" i="2"/>
  <c r="L219" i="2"/>
  <c r="K219" i="2"/>
  <c r="J219" i="2"/>
  <c r="I219" i="2"/>
  <c r="H219" i="2"/>
  <c r="A219" i="2"/>
  <c r="J218" i="2"/>
  <c r="I218" i="2"/>
  <c r="H218" i="2"/>
  <c r="G218" i="2"/>
  <c r="F218" i="2"/>
  <c r="E218" i="2"/>
  <c r="D218" i="2"/>
  <c r="L218" i="2"/>
  <c r="K218" i="2"/>
  <c r="A218" i="2"/>
  <c r="E217" i="2"/>
  <c r="D217" i="2"/>
  <c r="L217" i="2"/>
  <c r="K217" i="2"/>
  <c r="J217" i="2"/>
  <c r="I217" i="2"/>
  <c r="H217" i="2"/>
  <c r="G217" i="2"/>
  <c r="F217" i="2"/>
  <c r="A217" i="2"/>
  <c r="L216" i="2"/>
  <c r="K216" i="2"/>
  <c r="J216" i="2"/>
  <c r="I216" i="2"/>
  <c r="H216" i="2"/>
  <c r="G216" i="2"/>
  <c r="F216" i="2"/>
  <c r="E216" i="2"/>
  <c r="D216" i="2"/>
  <c r="A216" i="2"/>
  <c r="F215" i="2"/>
  <c r="E215" i="2"/>
  <c r="D215" i="2"/>
  <c r="L215" i="2"/>
  <c r="K215" i="2"/>
  <c r="J215" i="2"/>
  <c r="I215" i="2"/>
  <c r="H215" i="2"/>
  <c r="G215" i="2"/>
  <c r="A215" i="2"/>
  <c r="D214" i="2"/>
  <c r="L214" i="2"/>
  <c r="K214" i="2"/>
  <c r="J214" i="2"/>
  <c r="I214" i="2"/>
  <c r="H214" i="2"/>
  <c r="G214" i="2"/>
  <c r="F214" i="2"/>
  <c r="E214" i="2"/>
  <c r="A214" i="2"/>
  <c r="G213" i="2"/>
  <c r="F213" i="2"/>
  <c r="E213" i="2"/>
  <c r="D213" i="2"/>
  <c r="L213" i="2"/>
  <c r="K213" i="2"/>
  <c r="J213" i="2"/>
  <c r="I213" i="2"/>
  <c r="H213" i="2"/>
  <c r="A213" i="2"/>
  <c r="J212" i="2"/>
  <c r="I212" i="2"/>
  <c r="H212" i="2"/>
  <c r="G212" i="2"/>
  <c r="F212" i="2"/>
  <c r="E212" i="2"/>
  <c r="D212" i="2"/>
  <c r="L212" i="2"/>
  <c r="K212" i="2"/>
  <c r="A212" i="2"/>
  <c r="H211" i="2"/>
  <c r="G211" i="2"/>
  <c r="F211" i="2"/>
  <c r="E211" i="2"/>
  <c r="D211" i="2"/>
  <c r="L211" i="2"/>
  <c r="K211" i="2"/>
  <c r="J211" i="2"/>
  <c r="I211" i="2"/>
  <c r="A211" i="2"/>
  <c r="K210" i="2"/>
  <c r="J210" i="2"/>
  <c r="I210" i="2"/>
  <c r="H210" i="2"/>
  <c r="G210" i="2"/>
  <c r="F210" i="2"/>
  <c r="E210" i="2"/>
  <c r="D210" i="2"/>
  <c r="L210" i="2"/>
  <c r="A210" i="2"/>
  <c r="L209" i="2"/>
  <c r="K209" i="2"/>
  <c r="J209" i="2"/>
  <c r="I209" i="2"/>
  <c r="H209" i="2"/>
  <c r="G209" i="2"/>
  <c r="F209" i="2"/>
  <c r="E209" i="2"/>
  <c r="D209" i="2"/>
  <c r="A209" i="2"/>
  <c r="F208" i="2"/>
  <c r="E208" i="2"/>
  <c r="D208" i="2"/>
  <c r="L208" i="2"/>
  <c r="K208" i="2"/>
  <c r="J208" i="2"/>
  <c r="I208" i="2"/>
  <c r="H208" i="2"/>
  <c r="G208" i="2"/>
  <c r="A208" i="2"/>
  <c r="D207" i="2"/>
  <c r="L207" i="2"/>
  <c r="K207" i="2"/>
  <c r="J207" i="2"/>
  <c r="I207" i="2"/>
  <c r="H207" i="2"/>
  <c r="G207" i="2"/>
  <c r="F207" i="2"/>
  <c r="E207" i="2"/>
  <c r="A207" i="2"/>
  <c r="G206" i="2"/>
  <c r="F206" i="2"/>
  <c r="E206" i="2"/>
  <c r="D206" i="2"/>
  <c r="L206" i="2"/>
  <c r="K206" i="2"/>
  <c r="J206" i="2"/>
  <c r="I206" i="2"/>
  <c r="H206" i="2"/>
  <c r="A206" i="2"/>
  <c r="H205" i="2"/>
  <c r="G205" i="2"/>
  <c r="F205" i="2"/>
  <c r="E205" i="2"/>
  <c r="D205" i="2"/>
  <c r="L205" i="2"/>
  <c r="K205" i="2"/>
  <c r="J205" i="2"/>
  <c r="I205" i="2"/>
  <c r="A205" i="2"/>
  <c r="K204" i="2"/>
  <c r="J204" i="2"/>
  <c r="I204" i="2"/>
  <c r="H204" i="2"/>
  <c r="G204" i="2"/>
  <c r="F204" i="2"/>
  <c r="E204" i="2"/>
  <c r="D204" i="2"/>
  <c r="L204" i="2"/>
  <c r="A204" i="2"/>
  <c r="I203" i="2"/>
  <c r="H203" i="2"/>
  <c r="G203" i="2"/>
  <c r="F203" i="2"/>
  <c r="E203" i="2"/>
  <c r="D203" i="2"/>
  <c r="L203" i="2"/>
  <c r="K203" i="2"/>
  <c r="J203" i="2"/>
  <c r="A203" i="2"/>
  <c r="L202" i="2"/>
  <c r="K202" i="2"/>
  <c r="J202" i="2"/>
  <c r="I202" i="2"/>
  <c r="H202" i="2"/>
  <c r="G202" i="2"/>
  <c r="F202" i="2"/>
  <c r="E202" i="2"/>
  <c r="D202" i="2"/>
  <c r="A202" i="2"/>
  <c r="F201" i="2"/>
  <c r="E201" i="2"/>
  <c r="D201" i="2"/>
  <c r="L201" i="2"/>
  <c r="K201" i="2"/>
  <c r="J201" i="2"/>
  <c r="I201" i="2"/>
  <c r="H201" i="2"/>
  <c r="G201" i="2"/>
  <c r="A201" i="2"/>
  <c r="D200" i="2"/>
  <c r="L200" i="2"/>
  <c r="K200" i="2"/>
  <c r="J200" i="2"/>
  <c r="I200" i="2"/>
  <c r="H200" i="2"/>
  <c r="G200" i="2"/>
  <c r="F200" i="2"/>
  <c r="E200" i="2"/>
  <c r="A200" i="2"/>
  <c r="G199" i="2"/>
  <c r="F199" i="2"/>
  <c r="E199" i="2"/>
  <c r="D199" i="2"/>
  <c r="L199" i="2"/>
  <c r="K199" i="2"/>
  <c r="J199" i="2"/>
  <c r="I199" i="2"/>
  <c r="H199" i="2"/>
  <c r="A199" i="2"/>
  <c r="E198" i="2"/>
  <c r="D198" i="2"/>
  <c r="L198" i="2"/>
  <c r="K198" i="2"/>
  <c r="J198" i="2"/>
  <c r="I198" i="2"/>
  <c r="H198" i="2"/>
  <c r="G198" i="2"/>
  <c r="F198" i="2"/>
  <c r="A198" i="2"/>
  <c r="H197" i="2"/>
  <c r="G197" i="2"/>
  <c r="F197" i="2"/>
  <c r="E197" i="2"/>
  <c r="D197" i="2"/>
  <c r="L197" i="2"/>
  <c r="K197" i="2"/>
  <c r="J197" i="2"/>
  <c r="I197" i="2"/>
  <c r="A197" i="2"/>
  <c r="K196" i="2"/>
  <c r="J196" i="2"/>
  <c r="I196" i="2"/>
  <c r="H196" i="2"/>
  <c r="G196" i="2"/>
  <c r="F196" i="2"/>
  <c r="E196" i="2"/>
  <c r="D196" i="2"/>
  <c r="L196" i="2"/>
  <c r="A196" i="2"/>
  <c r="I195" i="2"/>
  <c r="H195" i="2"/>
  <c r="G195" i="2"/>
  <c r="F195" i="2"/>
  <c r="E195" i="2"/>
  <c r="D195" i="2"/>
  <c r="L195" i="2"/>
  <c r="K195" i="2"/>
  <c r="J195" i="2"/>
  <c r="A195" i="2"/>
  <c r="L194" i="2"/>
  <c r="K194" i="2"/>
  <c r="J194" i="2"/>
  <c r="I194" i="2"/>
  <c r="H194" i="2"/>
  <c r="G194" i="2"/>
  <c r="F194" i="2"/>
  <c r="E194" i="2"/>
  <c r="D194" i="2"/>
  <c r="A194" i="2"/>
  <c r="J193" i="2"/>
  <c r="I193" i="2"/>
  <c r="H193" i="2"/>
  <c r="G193" i="2"/>
  <c r="F193" i="2"/>
  <c r="E193" i="2"/>
  <c r="D193" i="2"/>
  <c r="L193" i="2"/>
  <c r="K193" i="2"/>
  <c r="A193" i="2"/>
  <c r="D192" i="2"/>
  <c r="L192" i="2"/>
  <c r="K192" i="2"/>
  <c r="J192" i="2"/>
  <c r="I192" i="2"/>
  <c r="H192" i="2"/>
  <c r="G192" i="2"/>
  <c r="F192" i="2"/>
  <c r="E192" i="2"/>
  <c r="A192" i="2"/>
  <c r="G191" i="2"/>
  <c r="F191" i="2"/>
  <c r="E191" i="2"/>
  <c r="D191" i="2"/>
  <c r="L191" i="2"/>
  <c r="K191" i="2"/>
  <c r="J191" i="2"/>
  <c r="I191" i="2"/>
  <c r="H191" i="2"/>
  <c r="A191" i="2"/>
  <c r="E190" i="2"/>
  <c r="D190" i="2"/>
  <c r="L190" i="2"/>
  <c r="K190" i="2"/>
  <c r="J190" i="2"/>
  <c r="I190" i="2"/>
  <c r="H190" i="2"/>
  <c r="G190" i="2"/>
  <c r="F190" i="2"/>
  <c r="A190" i="2"/>
  <c r="H189" i="2"/>
  <c r="G189" i="2"/>
  <c r="F189" i="2"/>
  <c r="E189" i="2"/>
  <c r="D189" i="2"/>
  <c r="L189" i="2"/>
  <c r="K189" i="2"/>
  <c r="J189" i="2"/>
  <c r="I189" i="2"/>
  <c r="A189" i="2"/>
  <c r="K188" i="2"/>
  <c r="J188" i="2"/>
  <c r="I188" i="2"/>
  <c r="H188" i="2"/>
  <c r="G188" i="2"/>
  <c r="F188" i="2"/>
  <c r="E188" i="2"/>
  <c r="D188" i="2"/>
  <c r="L188" i="2"/>
  <c r="A188" i="2"/>
  <c r="I187" i="2"/>
  <c r="H187" i="2"/>
  <c r="G187" i="2"/>
  <c r="F187" i="2"/>
  <c r="E187" i="2"/>
  <c r="D187" i="2"/>
  <c r="L187" i="2"/>
  <c r="K187" i="2"/>
  <c r="J187" i="2"/>
  <c r="A187" i="2"/>
  <c r="L186" i="2"/>
  <c r="K186" i="2"/>
  <c r="J186" i="2"/>
  <c r="I186" i="2"/>
  <c r="H186" i="2"/>
  <c r="G186" i="2"/>
  <c r="F186" i="2"/>
  <c r="E186" i="2"/>
  <c r="D186" i="2"/>
  <c r="A186" i="2"/>
  <c r="J185" i="2"/>
  <c r="I185" i="2"/>
  <c r="H185" i="2"/>
  <c r="G185" i="2"/>
  <c r="F185" i="2"/>
  <c r="E185" i="2"/>
  <c r="D185" i="2"/>
  <c r="L185" i="2"/>
  <c r="K185" i="2"/>
  <c r="A185" i="2"/>
  <c r="D184" i="2"/>
  <c r="L184" i="2"/>
  <c r="K184" i="2"/>
  <c r="J184" i="2"/>
  <c r="I184" i="2"/>
  <c r="H184" i="2"/>
  <c r="G184" i="2"/>
  <c r="F184" i="2"/>
  <c r="E184" i="2"/>
  <c r="A184" i="2"/>
  <c r="G183" i="2"/>
  <c r="F183" i="2"/>
  <c r="E183" i="2"/>
  <c r="D183" i="2"/>
  <c r="L183" i="2"/>
  <c r="K183" i="2"/>
  <c r="J183" i="2"/>
  <c r="I183" i="2"/>
  <c r="H183" i="2"/>
  <c r="A183" i="2"/>
  <c r="E182" i="2"/>
  <c r="D182" i="2"/>
  <c r="L182" i="2"/>
  <c r="K182" i="2"/>
  <c r="J182" i="2"/>
  <c r="I182" i="2"/>
  <c r="H182" i="2"/>
  <c r="G182" i="2"/>
  <c r="F182" i="2"/>
  <c r="A182" i="2"/>
  <c r="H181" i="2"/>
  <c r="G181" i="2"/>
  <c r="F181" i="2"/>
  <c r="E181" i="2"/>
  <c r="D181" i="2"/>
  <c r="L181" i="2"/>
  <c r="K181" i="2"/>
  <c r="J181" i="2"/>
  <c r="I181" i="2"/>
  <c r="A181" i="2"/>
  <c r="I180" i="2"/>
  <c r="H180" i="2"/>
  <c r="G180" i="2"/>
  <c r="F180" i="2"/>
  <c r="E180" i="2"/>
  <c r="D180" i="2"/>
  <c r="L180" i="2"/>
  <c r="K180" i="2"/>
  <c r="J180" i="2"/>
  <c r="A180" i="2"/>
  <c r="L179" i="2"/>
  <c r="K179" i="2"/>
  <c r="J179" i="2"/>
  <c r="I179" i="2"/>
  <c r="H179" i="2"/>
  <c r="G179" i="2"/>
  <c r="F179" i="2"/>
  <c r="E179" i="2"/>
  <c r="D179" i="2"/>
  <c r="A179" i="2"/>
  <c r="J178" i="2"/>
  <c r="I178" i="2"/>
  <c r="H178" i="2"/>
  <c r="G178" i="2"/>
  <c r="F178" i="2"/>
  <c r="E178" i="2"/>
  <c r="D178" i="2"/>
  <c r="L178" i="2"/>
  <c r="K178" i="2"/>
  <c r="A178" i="2"/>
  <c r="D177" i="2"/>
  <c r="L177" i="2"/>
  <c r="K177" i="2"/>
  <c r="J177" i="2"/>
  <c r="I177" i="2"/>
  <c r="H177" i="2"/>
  <c r="G177" i="2"/>
  <c r="F177" i="2"/>
  <c r="E177" i="2"/>
  <c r="A177" i="2"/>
  <c r="G176" i="2"/>
  <c r="F176" i="2"/>
  <c r="E176" i="2"/>
  <c r="D176" i="2"/>
  <c r="L176" i="2"/>
  <c r="K176" i="2"/>
  <c r="J176" i="2"/>
  <c r="I176" i="2"/>
  <c r="H176" i="2"/>
  <c r="A176" i="2"/>
  <c r="E175" i="2"/>
  <c r="D175" i="2"/>
  <c r="L175" i="2"/>
  <c r="K175" i="2"/>
  <c r="J175" i="2"/>
  <c r="I175" i="2"/>
  <c r="H175" i="2"/>
  <c r="G175" i="2"/>
  <c r="F175" i="2"/>
  <c r="A175" i="2"/>
  <c r="H174" i="2"/>
  <c r="G174" i="2"/>
  <c r="F174" i="2"/>
  <c r="E174" i="2"/>
  <c r="D174" i="2"/>
  <c r="L174" i="2"/>
  <c r="K174" i="2"/>
  <c r="J174" i="2"/>
  <c r="I174" i="2"/>
  <c r="A174" i="2"/>
  <c r="F173" i="2"/>
  <c r="E173" i="2"/>
  <c r="D173" i="2"/>
  <c r="L173" i="2"/>
  <c r="K173" i="2"/>
  <c r="J173" i="2"/>
  <c r="I173" i="2"/>
  <c r="H173" i="2"/>
  <c r="G173" i="2"/>
  <c r="A173" i="2"/>
  <c r="I172" i="2"/>
  <c r="H172" i="2"/>
  <c r="G172" i="2"/>
  <c r="F172" i="2"/>
  <c r="E172" i="2"/>
  <c r="D172" i="2"/>
  <c r="L172" i="2"/>
  <c r="K172" i="2"/>
  <c r="J172" i="2"/>
  <c r="A172" i="2"/>
  <c r="L171" i="2"/>
  <c r="K171" i="2"/>
  <c r="J171" i="2"/>
  <c r="I171" i="2"/>
  <c r="H171" i="2"/>
  <c r="G171" i="2"/>
  <c r="F171" i="2"/>
  <c r="E171" i="2"/>
  <c r="D171" i="2"/>
  <c r="A171" i="2"/>
  <c r="J170" i="2"/>
  <c r="I170" i="2"/>
  <c r="H170" i="2"/>
  <c r="G170" i="2"/>
  <c r="F170" i="2"/>
  <c r="E170" i="2"/>
  <c r="D170" i="2"/>
  <c r="L170" i="2"/>
  <c r="K170" i="2"/>
  <c r="A170" i="2"/>
  <c r="D169" i="2"/>
  <c r="L169" i="2"/>
  <c r="K169" i="2"/>
  <c r="J169" i="2"/>
  <c r="I169" i="2"/>
  <c r="H169" i="2"/>
  <c r="G169" i="2"/>
  <c r="F169" i="2"/>
  <c r="E169" i="2"/>
  <c r="A169" i="2"/>
  <c r="E168" i="2"/>
  <c r="D168" i="2"/>
  <c r="L168" i="2"/>
  <c r="K168" i="2"/>
  <c r="J168" i="2"/>
  <c r="I168" i="2"/>
  <c r="H168" i="2"/>
  <c r="G168" i="2"/>
  <c r="F168" i="2"/>
  <c r="A168" i="2"/>
  <c r="H167" i="2"/>
  <c r="G167" i="2"/>
  <c r="F167" i="2"/>
  <c r="E167" i="2"/>
  <c r="D167" i="2"/>
  <c r="L167" i="2"/>
  <c r="K167" i="2"/>
  <c r="J167" i="2"/>
  <c r="I167" i="2"/>
  <c r="A167" i="2"/>
  <c r="F166" i="2"/>
  <c r="E166" i="2"/>
  <c r="D166" i="2"/>
  <c r="L166" i="2"/>
  <c r="K166" i="2"/>
  <c r="J166" i="2"/>
  <c r="I166" i="2"/>
  <c r="H166" i="2"/>
  <c r="G166" i="2"/>
  <c r="A166" i="2"/>
  <c r="I165" i="2"/>
  <c r="H165" i="2"/>
  <c r="G165" i="2"/>
  <c r="F165" i="2"/>
  <c r="E165" i="2"/>
  <c r="D165" i="2"/>
  <c r="L165" i="2"/>
  <c r="K165" i="2"/>
  <c r="J165" i="2"/>
  <c r="A165" i="2"/>
  <c r="J164" i="2"/>
  <c r="I164" i="2"/>
  <c r="H164" i="2"/>
  <c r="G164" i="2"/>
  <c r="F164" i="2"/>
  <c r="E164" i="2"/>
  <c r="D164" i="2"/>
  <c r="L164" i="2"/>
  <c r="K164" i="2"/>
  <c r="A164" i="2"/>
  <c r="D163" i="2"/>
  <c r="L163" i="2"/>
  <c r="K163" i="2"/>
  <c r="J163" i="2"/>
  <c r="I163" i="2"/>
  <c r="H163" i="2"/>
  <c r="G163" i="2"/>
  <c r="F163" i="2"/>
  <c r="E163" i="2"/>
  <c r="A163" i="2"/>
  <c r="K162" i="2"/>
  <c r="J162" i="2"/>
  <c r="I162" i="2"/>
  <c r="H162" i="2"/>
  <c r="G162" i="2"/>
  <c r="F162" i="2"/>
  <c r="E162" i="2"/>
  <c r="D162" i="2"/>
  <c r="L162" i="2"/>
  <c r="A162" i="2"/>
  <c r="E161" i="2"/>
  <c r="D161" i="2"/>
  <c r="L161" i="2"/>
  <c r="K161" i="2"/>
  <c r="J161" i="2"/>
  <c r="I161" i="2"/>
  <c r="H161" i="2"/>
  <c r="G161" i="2"/>
  <c r="F161" i="2"/>
  <c r="A161" i="2"/>
  <c r="H160" i="2"/>
  <c r="G160" i="2"/>
  <c r="F160" i="2"/>
  <c r="E160" i="2"/>
  <c r="D160" i="2"/>
  <c r="L160" i="2"/>
  <c r="K160" i="2"/>
  <c r="J160" i="2"/>
  <c r="I160" i="2"/>
  <c r="A160" i="2"/>
  <c r="F159" i="2"/>
  <c r="E159" i="2"/>
  <c r="D159" i="2"/>
  <c r="L159" i="2"/>
  <c r="K159" i="2"/>
  <c r="J159" i="2"/>
  <c r="I159" i="2"/>
  <c r="H159" i="2"/>
  <c r="G159" i="2"/>
  <c r="A159" i="2"/>
  <c r="I158" i="2"/>
  <c r="H158" i="2"/>
  <c r="G158" i="2"/>
  <c r="F158" i="2"/>
  <c r="E158" i="2"/>
  <c r="D158" i="2"/>
  <c r="L158" i="2"/>
  <c r="K158" i="2"/>
  <c r="J158" i="2"/>
  <c r="A158" i="2"/>
  <c r="J157" i="2"/>
  <c r="I157" i="2"/>
  <c r="H157" i="2"/>
  <c r="G157" i="2"/>
  <c r="F157" i="2"/>
  <c r="E157" i="2"/>
  <c r="D157" i="2"/>
  <c r="L157" i="2"/>
  <c r="K157" i="2"/>
  <c r="A157" i="2"/>
  <c r="D156" i="2"/>
  <c r="L156" i="2"/>
  <c r="K156" i="2"/>
  <c r="J156" i="2"/>
  <c r="I156" i="2"/>
  <c r="H156" i="2"/>
  <c r="G156" i="2"/>
  <c r="F156" i="2"/>
  <c r="E156" i="2"/>
  <c r="A156" i="2"/>
  <c r="K155" i="2"/>
  <c r="J155" i="2"/>
  <c r="I155" i="2"/>
  <c r="H155" i="2"/>
  <c r="G155" i="2"/>
  <c r="F155" i="2"/>
  <c r="E155" i="2"/>
  <c r="D155" i="2"/>
  <c r="L155" i="2"/>
  <c r="A155" i="2"/>
  <c r="E154" i="2"/>
  <c r="D154" i="2"/>
  <c r="L154" i="2"/>
  <c r="K154" i="2"/>
  <c r="J154" i="2"/>
  <c r="I154" i="2"/>
  <c r="H154" i="2"/>
  <c r="G154" i="2"/>
  <c r="F154" i="2"/>
  <c r="A154" i="2"/>
  <c r="H153" i="2"/>
  <c r="G153" i="2"/>
  <c r="F153" i="2"/>
  <c r="E153" i="2"/>
  <c r="D153" i="2"/>
  <c r="L153" i="2"/>
  <c r="K153" i="2"/>
  <c r="J153" i="2"/>
  <c r="I153" i="2"/>
  <c r="A153" i="2"/>
  <c r="F152" i="2"/>
  <c r="E152" i="2"/>
  <c r="D152" i="2"/>
  <c r="L152" i="2"/>
  <c r="K152" i="2"/>
  <c r="J152" i="2"/>
  <c r="I152" i="2"/>
  <c r="H152" i="2"/>
  <c r="G152" i="2"/>
  <c r="A152" i="2"/>
  <c r="I151" i="2"/>
  <c r="H151" i="2"/>
  <c r="G151" i="2"/>
  <c r="F151" i="2"/>
  <c r="E151" i="2"/>
  <c r="D151" i="2"/>
  <c r="L151" i="2"/>
  <c r="K151" i="2"/>
  <c r="J151" i="2"/>
  <c r="A151" i="2"/>
  <c r="G150" i="2"/>
  <c r="F150" i="2"/>
  <c r="E150" i="2"/>
  <c r="D150" i="2"/>
  <c r="L150" i="2"/>
  <c r="K150" i="2"/>
  <c r="J150" i="2"/>
  <c r="I150" i="2"/>
  <c r="H150" i="2"/>
  <c r="A150" i="2"/>
  <c r="J149" i="2"/>
  <c r="I149" i="2"/>
  <c r="H149" i="2"/>
  <c r="G149" i="2"/>
  <c r="F149" i="2"/>
  <c r="E149" i="2"/>
  <c r="D149" i="2"/>
  <c r="L149" i="2"/>
  <c r="K149" i="2"/>
  <c r="A149" i="2"/>
  <c r="E148" i="2"/>
  <c r="D148" i="2"/>
  <c r="L148" i="2"/>
  <c r="K148" i="2"/>
  <c r="J148" i="2"/>
  <c r="I148" i="2"/>
  <c r="H148" i="2"/>
  <c r="G148" i="2"/>
  <c r="F148" i="2"/>
  <c r="A148" i="2"/>
  <c r="L147" i="2"/>
  <c r="K147" i="2"/>
  <c r="J147" i="2"/>
  <c r="I147" i="2"/>
  <c r="H147" i="2"/>
  <c r="G147" i="2"/>
  <c r="F147" i="2"/>
  <c r="E147" i="2"/>
  <c r="D147" i="2"/>
  <c r="A147" i="2"/>
  <c r="F146" i="2"/>
  <c r="E146" i="2"/>
  <c r="D146" i="2"/>
  <c r="L146" i="2"/>
  <c r="K146" i="2"/>
  <c r="J146" i="2"/>
  <c r="I146" i="2"/>
  <c r="H146" i="2"/>
  <c r="G146" i="2"/>
  <c r="A146" i="2"/>
  <c r="D145" i="2"/>
  <c r="L145" i="2"/>
  <c r="K145" i="2"/>
  <c r="J145" i="2"/>
  <c r="I145" i="2"/>
  <c r="H145" i="2"/>
  <c r="G145" i="2"/>
  <c r="F145" i="2"/>
  <c r="E145" i="2"/>
  <c r="A145" i="2"/>
  <c r="G144" i="2"/>
  <c r="F144" i="2"/>
  <c r="E144" i="2"/>
  <c r="D144" i="2"/>
  <c r="L144" i="2"/>
  <c r="K144" i="2"/>
  <c r="J144" i="2"/>
  <c r="I144" i="2"/>
  <c r="H144" i="2"/>
  <c r="A144" i="2"/>
  <c r="J143" i="2"/>
  <c r="I143" i="2"/>
  <c r="H143" i="2"/>
  <c r="G143" i="2"/>
  <c r="F143" i="2"/>
  <c r="E143" i="2"/>
  <c r="D143" i="2"/>
  <c r="L143" i="2"/>
  <c r="K143" i="2"/>
  <c r="A143" i="2"/>
  <c r="H142" i="2"/>
  <c r="G142" i="2"/>
  <c r="F142" i="2"/>
  <c r="E142" i="2"/>
  <c r="D142" i="2"/>
  <c r="L142" i="2"/>
  <c r="K142" i="2"/>
  <c r="J142" i="2"/>
  <c r="I142" i="2"/>
  <c r="A142" i="2"/>
  <c r="K141" i="2"/>
  <c r="J141" i="2"/>
  <c r="I141" i="2"/>
  <c r="H141" i="2"/>
  <c r="G141" i="2"/>
  <c r="F141" i="2"/>
  <c r="E141" i="2"/>
  <c r="D141" i="2"/>
  <c r="L141" i="2"/>
  <c r="A141" i="2"/>
  <c r="I140" i="2"/>
  <c r="H140" i="2"/>
  <c r="G140" i="2"/>
  <c r="F140" i="2"/>
  <c r="E140" i="2"/>
  <c r="D140" i="2"/>
  <c r="L140" i="2"/>
  <c r="K140" i="2"/>
  <c r="J140" i="2"/>
  <c r="A140" i="2"/>
  <c r="L139" i="2"/>
  <c r="K139" i="2"/>
  <c r="J139" i="2"/>
  <c r="I139" i="2"/>
  <c r="H139" i="2"/>
  <c r="G139" i="2"/>
  <c r="F139" i="2"/>
  <c r="E139" i="2"/>
  <c r="D139" i="2"/>
  <c r="A139" i="2"/>
  <c r="F138" i="2"/>
  <c r="E138" i="2"/>
  <c r="D138" i="2"/>
  <c r="L138" i="2"/>
  <c r="K138" i="2"/>
  <c r="J138" i="2"/>
  <c r="I138" i="2"/>
  <c r="H138" i="2"/>
  <c r="G138" i="2"/>
  <c r="A138" i="2"/>
  <c r="D137" i="2"/>
  <c r="L137" i="2"/>
  <c r="K137" i="2"/>
  <c r="J137" i="2"/>
  <c r="I137" i="2"/>
  <c r="H137" i="2"/>
  <c r="G137" i="2"/>
  <c r="F137" i="2"/>
  <c r="E137" i="2"/>
  <c r="A137" i="2"/>
  <c r="G136" i="2"/>
  <c r="F136" i="2"/>
  <c r="E136" i="2"/>
  <c r="D136" i="2"/>
  <c r="L136" i="2"/>
  <c r="K136" i="2"/>
  <c r="J136" i="2"/>
  <c r="I136" i="2"/>
  <c r="H136" i="2"/>
  <c r="A136" i="2"/>
  <c r="K135" i="2"/>
  <c r="J135" i="2"/>
  <c r="I135" i="2"/>
  <c r="H135" i="2"/>
  <c r="G135" i="2"/>
  <c r="F135" i="2"/>
  <c r="E135" i="2"/>
  <c r="D135" i="2"/>
  <c r="L135" i="2"/>
  <c r="A135" i="2"/>
  <c r="I134" i="2"/>
  <c r="H134" i="2"/>
  <c r="G134" i="2"/>
  <c r="F134" i="2"/>
  <c r="E134" i="2"/>
  <c r="D134" i="2"/>
  <c r="L134" i="2"/>
  <c r="K134" i="2"/>
  <c r="J134" i="2"/>
  <c r="A134" i="2"/>
  <c r="L133" i="2"/>
  <c r="K133" i="2"/>
  <c r="J133" i="2"/>
  <c r="I133" i="2"/>
  <c r="H133" i="2"/>
  <c r="G133" i="2"/>
  <c r="F133" i="2"/>
  <c r="E133" i="2"/>
  <c r="D133" i="2"/>
  <c r="A133" i="2"/>
  <c r="F132" i="2"/>
  <c r="E132" i="2"/>
  <c r="D132" i="2"/>
  <c r="L132" i="2"/>
  <c r="K132" i="2"/>
  <c r="J132" i="2"/>
  <c r="I132" i="2"/>
  <c r="H132" i="2"/>
  <c r="G132" i="2"/>
  <c r="A132" i="2"/>
  <c r="D131" i="2"/>
  <c r="L131" i="2"/>
  <c r="K131" i="2"/>
  <c r="J131" i="2"/>
  <c r="I131" i="2"/>
  <c r="H131" i="2"/>
  <c r="G131" i="2"/>
  <c r="F131" i="2"/>
  <c r="E131" i="2"/>
  <c r="A131" i="2"/>
  <c r="G130" i="2"/>
  <c r="F130" i="2"/>
  <c r="E130" i="2"/>
  <c r="D130" i="2"/>
  <c r="L130" i="2"/>
  <c r="K130" i="2"/>
  <c r="J130" i="2"/>
  <c r="I130" i="2"/>
  <c r="H130" i="2"/>
  <c r="A130" i="2"/>
  <c r="E129" i="2"/>
  <c r="D129" i="2"/>
  <c r="L129" i="2"/>
  <c r="K129" i="2"/>
  <c r="J129" i="2"/>
  <c r="I129" i="2"/>
  <c r="H129" i="2"/>
  <c r="G129" i="2"/>
  <c r="F129" i="2"/>
  <c r="A129" i="2"/>
  <c r="H128" i="2"/>
  <c r="G128" i="2"/>
  <c r="F128" i="2"/>
  <c r="E128" i="2"/>
  <c r="D128" i="2"/>
  <c r="L128" i="2"/>
  <c r="K128" i="2"/>
  <c r="J128" i="2"/>
  <c r="I128" i="2"/>
  <c r="A128" i="2"/>
  <c r="K127" i="2"/>
  <c r="J127" i="2"/>
  <c r="I127" i="2"/>
  <c r="H127" i="2"/>
  <c r="G127" i="2"/>
  <c r="F127" i="2"/>
  <c r="E127" i="2"/>
  <c r="D127" i="2"/>
  <c r="L127" i="2"/>
  <c r="A127" i="2"/>
  <c r="I126" i="2"/>
  <c r="H126" i="2"/>
  <c r="G126" i="2"/>
  <c r="F126" i="2"/>
  <c r="E126" i="2"/>
  <c r="D126" i="2"/>
  <c r="L126" i="2"/>
  <c r="K126" i="2"/>
  <c r="J126" i="2"/>
  <c r="A126" i="2"/>
  <c r="L125" i="2"/>
  <c r="K125" i="2"/>
  <c r="J125" i="2"/>
  <c r="I125" i="2"/>
  <c r="H125" i="2"/>
  <c r="G125" i="2"/>
  <c r="F125" i="2"/>
  <c r="E125" i="2"/>
  <c r="D125" i="2"/>
  <c r="A125" i="2"/>
  <c r="D124" i="2"/>
  <c r="L124" i="2"/>
  <c r="K124" i="2"/>
  <c r="J124" i="2"/>
  <c r="I124" i="2"/>
  <c r="H124" i="2"/>
  <c r="G124" i="2"/>
  <c r="F124" i="2"/>
  <c r="E124" i="2"/>
  <c r="A124" i="2"/>
  <c r="G123" i="2"/>
  <c r="F123" i="2"/>
  <c r="E123" i="2"/>
  <c r="D123" i="2"/>
  <c r="L123" i="2"/>
  <c r="K123" i="2"/>
  <c r="J123" i="2"/>
  <c r="I123" i="2"/>
  <c r="H123" i="2"/>
  <c r="A123" i="2"/>
  <c r="E122" i="2"/>
  <c r="D122" i="2"/>
  <c r="L122" i="2"/>
  <c r="K122" i="2"/>
  <c r="J122" i="2"/>
  <c r="I122" i="2"/>
  <c r="H122" i="2"/>
  <c r="G122" i="2"/>
  <c r="F122" i="2"/>
  <c r="A122" i="2"/>
  <c r="H121" i="2"/>
  <c r="G121" i="2"/>
  <c r="F121" i="2"/>
  <c r="E121" i="2"/>
  <c r="D121" i="2"/>
  <c r="L121" i="2"/>
  <c r="K121" i="2"/>
  <c r="J121" i="2"/>
  <c r="I121" i="2"/>
  <c r="A121" i="2"/>
  <c r="K120" i="2"/>
  <c r="J120" i="2"/>
  <c r="I120" i="2"/>
  <c r="H120" i="2"/>
  <c r="G120" i="2"/>
  <c r="F120" i="2"/>
  <c r="E120" i="2"/>
  <c r="D120" i="2"/>
  <c r="L120" i="2"/>
  <c r="A120" i="2"/>
  <c r="I119" i="2"/>
  <c r="H119" i="2"/>
  <c r="G119" i="2"/>
  <c r="F119" i="2"/>
  <c r="E119" i="2"/>
  <c r="D119" i="2"/>
  <c r="L119" i="2"/>
  <c r="K119" i="2"/>
  <c r="J119" i="2"/>
  <c r="A119" i="2"/>
  <c r="L118" i="2"/>
  <c r="K118" i="2"/>
  <c r="J118" i="2"/>
  <c r="I118" i="2"/>
  <c r="H118" i="2"/>
  <c r="G118" i="2"/>
  <c r="F118" i="2"/>
  <c r="E118" i="2"/>
  <c r="D118" i="2"/>
  <c r="A118" i="2"/>
  <c r="J117" i="2"/>
  <c r="I117" i="2"/>
  <c r="H117" i="2"/>
  <c r="G117" i="2"/>
  <c r="F117" i="2"/>
  <c r="E117" i="2"/>
  <c r="D117" i="2"/>
  <c r="L117" i="2"/>
  <c r="K117" i="2"/>
  <c r="A117" i="2"/>
  <c r="D116" i="2"/>
  <c r="L116" i="2"/>
  <c r="K116" i="2"/>
  <c r="J116" i="2"/>
  <c r="I116" i="2"/>
  <c r="H116" i="2"/>
  <c r="G116" i="2"/>
  <c r="F116" i="2"/>
  <c r="E116" i="2"/>
  <c r="A116" i="2"/>
  <c r="G115" i="2"/>
  <c r="F115" i="2"/>
  <c r="E115" i="2"/>
  <c r="D115" i="2"/>
  <c r="L115" i="2"/>
  <c r="K115" i="2"/>
  <c r="J115" i="2"/>
  <c r="I115" i="2"/>
  <c r="H115" i="2"/>
  <c r="A115" i="2"/>
  <c r="E114" i="2"/>
  <c r="D114" i="2"/>
  <c r="L114" i="2"/>
  <c r="K114" i="2"/>
  <c r="J114" i="2"/>
  <c r="I114" i="2"/>
  <c r="H114" i="2"/>
  <c r="G114" i="2"/>
  <c r="F114" i="2"/>
  <c r="A114" i="2"/>
  <c r="H113" i="2"/>
  <c r="G113" i="2"/>
  <c r="F113" i="2"/>
  <c r="E113" i="2"/>
  <c r="D113" i="2"/>
  <c r="L113" i="2"/>
  <c r="K113" i="2"/>
  <c r="J113" i="2"/>
  <c r="I113" i="2"/>
  <c r="A113" i="2"/>
  <c r="I112" i="2"/>
  <c r="H112" i="2"/>
  <c r="G112" i="2"/>
  <c r="F112" i="2"/>
  <c r="E112" i="2"/>
  <c r="D112" i="2"/>
  <c r="L112" i="2"/>
  <c r="K112" i="2"/>
  <c r="J112" i="2"/>
  <c r="A112" i="2"/>
  <c r="L111" i="2"/>
  <c r="K111" i="2"/>
  <c r="J111" i="2"/>
  <c r="I111" i="2"/>
  <c r="H111" i="2"/>
  <c r="G111" i="2"/>
  <c r="F111" i="2"/>
  <c r="E111" i="2"/>
  <c r="D111" i="2"/>
  <c r="A111" i="2"/>
  <c r="J110" i="2"/>
  <c r="I110" i="2"/>
  <c r="H110" i="2"/>
  <c r="G110" i="2"/>
  <c r="F110" i="2"/>
  <c r="E110" i="2"/>
  <c r="D110" i="2"/>
  <c r="L110" i="2"/>
  <c r="K110" i="2"/>
  <c r="A110" i="2"/>
  <c r="D109" i="2"/>
  <c r="L109" i="2"/>
  <c r="K109" i="2"/>
  <c r="J109" i="2"/>
  <c r="I109" i="2"/>
  <c r="H109" i="2"/>
  <c r="G109" i="2"/>
  <c r="F109" i="2"/>
  <c r="E109" i="2"/>
  <c r="A109" i="2"/>
  <c r="H108" i="2"/>
  <c r="G108" i="2"/>
  <c r="F108" i="2"/>
  <c r="E108" i="2"/>
  <c r="D108" i="2"/>
  <c r="L108" i="2"/>
  <c r="K108" i="2"/>
  <c r="J108" i="2"/>
  <c r="I108" i="2"/>
  <c r="A108" i="2"/>
  <c r="F107" i="2"/>
  <c r="E107" i="2"/>
  <c r="D107" i="2"/>
  <c r="L107" i="2"/>
  <c r="K107" i="2"/>
  <c r="J107" i="2"/>
  <c r="I107" i="2"/>
  <c r="H107" i="2"/>
  <c r="G107" i="2"/>
  <c r="A107" i="2"/>
  <c r="I106" i="2"/>
  <c r="H106" i="2"/>
  <c r="G106" i="2"/>
  <c r="F106" i="2"/>
  <c r="E106" i="2"/>
  <c r="D106" i="2"/>
  <c r="L106" i="2"/>
  <c r="K106" i="2"/>
  <c r="J106" i="2"/>
  <c r="A106" i="2"/>
  <c r="G105" i="2"/>
  <c r="F105" i="2"/>
  <c r="E105" i="2"/>
  <c r="D105" i="2"/>
  <c r="L105" i="2"/>
  <c r="K105" i="2"/>
  <c r="J105" i="2"/>
  <c r="I105" i="2"/>
  <c r="H105" i="2"/>
  <c r="A105" i="2"/>
  <c r="J104" i="2"/>
  <c r="I104" i="2"/>
  <c r="H104" i="2"/>
  <c r="G104" i="2"/>
  <c r="F104" i="2"/>
  <c r="E104" i="2"/>
  <c r="D104" i="2"/>
  <c r="L104" i="2"/>
  <c r="K104" i="2"/>
  <c r="A104" i="2"/>
  <c r="D103" i="2"/>
  <c r="L103" i="2"/>
  <c r="K103" i="2"/>
  <c r="J103" i="2"/>
  <c r="I103" i="2"/>
  <c r="H103" i="2"/>
  <c r="G103" i="2"/>
  <c r="F103" i="2"/>
  <c r="E103" i="2"/>
  <c r="A103" i="2"/>
  <c r="K102" i="2"/>
  <c r="J102" i="2"/>
  <c r="I102" i="2"/>
  <c r="H102" i="2"/>
  <c r="G102" i="2"/>
  <c r="F102" i="2"/>
  <c r="E102" i="2"/>
  <c r="D102" i="2"/>
  <c r="L102" i="2"/>
  <c r="A102" i="2"/>
  <c r="E101" i="2"/>
  <c r="D101" i="2"/>
  <c r="L101" i="2"/>
  <c r="K101" i="2"/>
  <c r="J101" i="2"/>
  <c r="I101" i="2"/>
  <c r="H101" i="2"/>
  <c r="G101" i="2"/>
  <c r="F101" i="2"/>
  <c r="A101" i="2"/>
  <c r="F100" i="2"/>
  <c r="E100" i="2"/>
  <c r="D100" i="2"/>
  <c r="L100" i="2"/>
  <c r="K100" i="2"/>
  <c r="J100" i="2"/>
  <c r="I100" i="2"/>
  <c r="H100" i="2"/>
  <c r="G100" i="2"/>
  <c r="A100" i="2"/>
  <c r="I99" i="2"/>
  <c r="H99" i="2"/>
  <c r="G99" i="2"/>
  <c r="F99" i="2"/>
  <c r="E99" i="2"/>
  <c r="D99" i="2"/>
  <c r="L99" i="2"/>
  <c r="K99" i="2"/>
  <c r="J99" i="2"/>
  <c r="A99" i="2"/>
  <c r="G98" i="2"/>
  <c r="F98" i="2"/>
  <c r="E98" i="2"/>
  <c r="D98" i="2"/>
  <c r="L98" i="2"/>
  <c r="K98" i="2"/>
  <c r="J98" i="2"/>
  <c r="I98" i="2"/>
  <c r="H98" i="2"/>
  <c r="A98" i="2"/>
  <c r="J97" i="2"/>
  <c r="I97" i="2"/>
  <c r="H97" i="2"/>
  <c r="G97" i="2"/>
  <c r="F97" i="2"/>
  <c r="E97" i="2"/>
  <c r="D97" i="2"/>
  <c r="L97" i="2"/>
  <c r="K97" i="2"/>
  <c r="A97" i="2"/>
  <c r="E96" i="2"/>
  <c r="D96" i="2"/>
  <c r="L96" i="2"/>
  <c r="K96" i="2"/>
  <c r="J96" i="2"/>
  <c r="I96" i="2"/>
  <c r="H96" i="2"/>
  <c r="G96" i="2"/>
  <c r="F96" i="2"/>
  <c r="A96" i="2"/>
  <c r="L95" i="2"/>
  <c r="K95" i="2"/>
  <c r="J95" i="2"/>
  <c r="I95" i="2"/>
  <c r="H95" i="2"/>
  <c r="G95" i="2"/>
  <c r="F95" i="2"/>
  <c r="E95" i="2"/>
  <c r="D95" i="2"/>
  <c r="A95" i="2"/>
  <c r="F94" i="2"/>
  <c r="E94" i="2"/>
  <c r="D94" i="2"/>
  <c r="L94" i="2"/>
  <c r="K94" i="2"/>
  <c r="J94" i="2"/>
  <c r="I94" i="2"/>
  <c r="H94" i="2"/>
  <c r="G94" i="2"/>
  <c r="A94" i="2"/>
  <c r="D93" i="2"/>
  <c r="L93" i="2"/>
  <c r="K93" i="2"/>
  <c r="J93" i="2"/>
  <c r="I93" i="2"/>
  <c r="H93" i="2"/>
  <c r="G93" i="2"/>
  <c r="F93" i="2"/>
  <c r="E93" i="2"/>
  <c r="A93" i="2"/>
  <c r="G92" i="2"/>
  <c r="F92" i="2"/>
  <c r="E92" i="2"/>
  <c r="D92" i="2"/>
  <c r="L92" i="2"/>
  <c r="K92" i="2"/>
  <c r="J92" i="2"/>
  <c r="I92" i="2"/>
  <c r="H92" i="2"/>
  <c r="A92" i="2"/>
  <c r="J91" i="2"/>
  <c r="I91" i="2"/>
  <c r="H91" i="2"/>
  <c r="G91" i="2"/>
  <c r="F91" i="2"/>
  <c r="E91" i="2"/>
  <c r="D91" i="2"/>
  <c r="L91" i="2"/>
  <c r="K91" i="2"/>
  <c r="A91" i="2"/>
  <c r="H90" i="2"/>
  <c r="G90" i="2"/>
  <c r="F90" i="2"/>
  <c r="E90" i="2"/>
  <c r="D90" i="2"/>
  <c r="L90" i="2"/>
  <c r="K90" i="2"/>
  <c r="J90" i="2"/>
  <c r="I90" i="2"/>
  <c r="A90" i="2"/>
  <c r="K89" i="2"/>
  <c r="J89" i="2"/>
  <c r="I89" i="2"/>
  <c r="H89" i="2"/>
  <c r="G89" i="2"/>
  <c r="F89" i="2"/>
  <c r="E89" i="2"/>
  <c r="D89" i="2"/>
  <c r="L89" i="2"/>
  <c r="A89" i="2"/>
  <c r="L88" i="2"/>
  <c r="K88" i="2"/>
  <c r="J88" i="2"/>
  <c r="I88" i="2"/>
  <c r="H88" i="2"/>
  <c r="G88" i="2"/>
  <c r="F88" i="2"/>
  <c r="E88" i="2"/>
  <c r="D88" i="2"/>
  <c r="A88" i="2"/>
  <c r="F87" i="2"/>
  <c r="E87" i="2"/>
  <c r="D87" i="2"/>
  <c r="L87" i="2"/>
  <c r="K87" i="2"/>
  <c r="J87" i="2"/>
  <c r="I87" i="2"/>
  <c r="H87" i="2"/>
  <c r="G87" i="2"/>
  <c r="A87" i="2"/>
  <c r="D86" i="2"/>
  <c r="L86" i="2"/>
  <c r="K86" i="2"/>
  <c r="J86" i="2"/>
  <c r="I86" i="2"/>
  <c r="H86" i="2"/>
  <c r="G86" i="2"/>
  <c r="F86" i="2"/>
  <c r="E86" i="2"/>
  <c r="A86" i="2"/>
  <c r="G85" i="2"/>
  <c r="F85" i="2"/>
  <c r="E85" i="2"/>
  <c r="D85" i="2"/>
  <c r="L85" i="2"/>
  <c r="K85" i="2"/>
  <c r="J85" i="2"/>
  <c r="I85" i="2"/>
  <c r="H85" i="2"/>
  <c r="A85" i="2"/>
  <c r="J84" i="2"/>
  <c r="I84" i="2"/>
  <c r="H84" i="2"/>
  <c r="G84" i="2"/>
  <c r="F84" i="2"/>
  <c r="E84" i="2"/>
  <c r="D84" i="2"/>
  <c r="L84" i="2"/>
  <c r="K84" i="2"/>
  <c r="A84" i="2"/>
  <c r="D83" i="2"/>
  <c r="L83" i="2"/>
  <c r="K83" i="2"/>
  <c r="J83" i="2"/>
  <c r="I83" i="2"/>
  <c r="H83" i="2"/>
  <c r="G83" i="2"/>
  <c r="F83" i="2"/>
  <c r="E83" i="2"/>
  <c r="A83" i="2"/>
  <c r="E82" i="2"/>
  <c r="D82" i="2"/>
  <c r="L82" i="2"/>
  <c r="K82" i="2"/>
  <c r="J82" i="2"/>
  <c r="I82" i="2"/>
  <c r="H82" i="2"/>
  <c r="G82" i="2"/>
  <c r="F82" i="2"/>
  <c r="A82" i="2"/>
  <c r="H81" i="2"/>
  <c r="G81" i="2"/>
  <c r="F81" i="2"/>
  <c r="E81" i="2"/>
  <c r="D81" i="2"/>
  <c r="L81" i="2"/>
  <c r="K81" i="2"/>
  <c r="J81" i="2"/>
  <c r="I81" i="2"/>
  <c r="A81" i="2"/>
  <c r="K80" i="2"/>
  <c r="J80" i="2"/>
  <c r="I80" i="2"/>
  <c r="H80" i="2"/>
  <c r="G80" i="2"/>
  <c r="F80" i="2"/>
  <c r="E80" i="2"/>
  <c r="D80" i="2"/>
  <c r="L80" i="2"/>
  <c r="A80" i="2"/>
  <c r="L79" i="2"/>
  <c r="K79" i="2"/>
  <c r="J79" i="2"/>
  <c r="I79" i="2"/>
  <c r="H79" i="2"/>
  <c r="G79" i="2"/>
  <c r="F79" i="2"/>
  <c r="E79" i="2"/>
  <c r="D79" i="2"/>
  <c r="A79" i="2"/>
  <c r="F78" i="2"/>
  <c r="E78" i="2"/>
  <c r="D78" i="2"/>
  <c r="L78" i="2"/>
  <c r="K78" i="2"/>
  <c r="J78" i="2"/>
  <c r="I78" i="2"/>
  <c r="H78" i="2"/>
  <c r="G78" i="2"/>
  <c r="A78" i="2"/>
  <c r="I77" i="2"/>
  <c r="H77" i="2"/>
  <c r="G77" i="2"/>
  <c r="F77" i="2"/>
  <c r="E77" i="2"/>
  <c r="D77" i="2"/>
  <c r="L77" i="2"/>
  <c r="K77" i="2"/>
  <c r="J77" i="2"/>
  <c r="A77" i="2"/>
  <c r="J76" i="2"/>
  <c r="I76" i="2"/>
  <c r="H76" i="2"/>
  <c r="G76" i="2"/>
  <c r="F76" i="2"/>
  <c r="E76" i="2"/>
  <c r="D76" i="2"/>
  <c r="L76" i="2"/>
  <c r="K76" i="2"/>
  <c r="A76" i="2"/>
  <c r="D75" i="2"/>
  <c r="L75" i="2"/>
  <c r="K75" i="2"/>
  <c r="J75" i="2"/>
  <c r="I75" i="2"/>
  <c r="H75" i="2"/>
  <c r="G75" i="2"/>
  <c r="F75" i="2"/>
  <c r="E75" i="2"/>
  <c r="A75" i="2"/>
  <c r="G74" i="2"/>
  <c r="F74" i="2"/>
  <c r="E74" i="2"/>
  <c r="D74" i="2"/>
  <c r="L74" i="2"/>
  <c r="K74" i="2"/>
  <c r="J74" i="2"/>
  <c r="I74" i="2"/>
  <c r="H74" i="2"/>
  <c r="A74" i="2"/>
  <c r="H73" i="2"/>
  <c r="G73" i="2"/>
  <c r="F73" i="2"/>
  <c r="E73" i="2"/>
  <c r="D73" i="2"/>
  <c r="L73" i="2"/>
  <c r="K73" i="2"/>
  <c r="J73" i="2"/>
  <c r="I73" i="2"/>
  <c r="A73" i="2"/>
  <c r="K72" i="2"/>
  <c r="J72" i="2"/>
  <c r="I72" i="2"/>
  <c r="H72" i="2"/>
  <c r="G72" i="2"/>
  <c r="F72" i="2"/>
  <c r="E72" i="2"/>
  <c r="D72" i="2"/>
  <c r="L72" i="2"/>
  <c r="A72" i="2"/>
  <c r="E71" i="2"/>
  <c r="D71" i="2"/>
  <c r="L71" i="2"/>
  <c r="K71" i="2"/>
  <c r="J71" i="2"/>
  <c r="I71" i="2"/>
  <c r="H71" i="2"/>
  <c r="G71" i="2"/>
  <c r="F71" i="2"/>
  <c r="A71" i="2"/>
  <c r="F70" i="2"/>
  <c r="E70" i="2"/>
  <c r="D70" i="2"/>
  <c r="L70" i="2"/>
  <c r="K70" i="2"/>
  <c r="J70" i="2"/>
  <c r="I70" i="2"/>
  <c r="H70" i="2"/>
  <c r="G70" i="2"/>
  <c r="A70" i="2"/>
  <c r="I69" i="2"/>
  <c r="H69" i="2"/>
  <c r="G69" i="2"/>
  <c r="F69" i="2"/>
  <c r="E69" i="2"/>
  <c r="D69" i="2"/>
  <c r="L69" i="2"/>
  <c r="K69" i="2"/>
  <c r="J69" i="2"/>
  <c r="A69" i="2"/>
  <c r="L68" i="2"/>
  <c r="K68" i="2"/>
  <c r="J68" i="2"/>
  <c r="I68" i="2"/>
  <c r="H68" i="2"/>
  <c r="G68" i="2"/>
  <c r="F68" i="2"/>
  <c r="E68" i="2"/>
  <c r="D68" i="2"/>
  <c r="A68" i="2"/>
  <c r="F67" i="2"/>
  <c r="E67" i="2"/>
  <c r="D67" i="2"/>
  <c r="L67" i="2"/>
  <c r="K67" i="2"/>
  <c r="J67" i="2"/>
  <c r="I67" i="2"/>
  <c r="H67" i="2"/>
  <c r="G67" i="2"/>
  <c r="A67" i="2"/>
  <c r="D66" i="2"/>
  <c r="L66" i="2"/>
  <c r="K66" i="2"/>
  <c r="J66" i="2"/>
  <c r="I66" i="2"/>
  <c r="H66" i="2"/>
  <c r="G66" i="2"/>
  <c r="F66" i="2"/>
  <c r="E66" i="2"/>
  <c r="A66" i="2"/>
  <c r="G65" i="2"/>
  <c r="F65" i="2"/>
  <c r="E65" i="2"/>
  <c r="D65" i="2"/>
  <c r="L65" i="2"/>
  <c r="K65" i="2"/>
  <c r="J65" i="2"/>
  <c r="I65" i="2"/>
  <c r="H65" i="2"/>
  <c r="A65" i="2"/>
  <c r="J64" i="2"/>
  <c r="I64" i="2"/>
  <c r="H64" i="2"/>
  <c r="G64" i="2"/>
  <c r="F64" i="2"/>
  <c r="E64" i="2"/>
  <c r="D64" i="2"/>
  <c r="L64" i="2"/>
  <c r="K64" i="2"/>
  <c r="A64" i="2"/>
  <c r="D63" i="2"/>
  <c r="L63" i="2"/>
  <c r="K63" i="2"/>
  <c r="J63" i="2"/>
  <c r="I63" i="2"/>
  <c r="H63" i="2"/>
  <c r="G63" i="2"/>
  <c r="F63" i="2"/>
  <c r="E63" i="2"/>
  <c r="A63" i="2"/>
  <c r="K62" i="2"/>
  <c r="J62" i="2"/>
  <c r="I62" i="2"/>
  <c r="H62" i="2"/>
  <c r="G62" i="2"/>
  <c r="F62" i="2"/>
  <c r="E62" i="2"/>
  <c r="D62" i="2"/>
  <c r="L62" i="2"/>
  <c r="A62" i="2"/>
  <c r="E61" i="2"/>
  <c r="D61" i="2"/>
  <c r="L61" i="2"/>
  <c r="K61" i="2"/>
  <c r="J61" i="2"/>
  <c r="I61" i="2"/>
  <c r="H61" i="2"/>
  <c r="G61" i="2"/>
  <c r="F61" i="2"/>
  <c r="A61" i="2"/>
  <c r="H60" i="2"/>
  <c r="G60" i="2"/>
  <c r="F60" i="2"/>
  <c r="E60" i="2"/>
  <c r="D60" i="2"/>
  <c r="L60" i="2"/>
  <c r="K60" i="2"/>
  <c r="J60" i="2"/>
  <c r="I60" i="2"/>
  <c r="A60" i="2"/>
  <c r="K59" i="2"/>
  <c r="J59" i="2"/>
  <c r="I59" i="2"/>
  <c r="H59" i="2"/>
  <c r="G59" i="2"/>
  <c r="F59" i="2"/>
  <c r="E59" i="2"/>
  <c r="D59" i="2"/>
  <c r="L59" i="2"/>
  <c r="A59" i="2"/>
  <c r="L58" i="2"/>
  <c r="K58" i="2"/>
  <c r="J58" i="2"/>
  <c r="I58" i="2"/>
  <c r="H58" i="2"/>
  <c r="G58" i="2"/>
  <c r="F58" i="2"/>
  <c r="E58" i="2"/>
  <c r="D58" i="2"/>
  <c r="A58" i="2"/>
  <c r="F57" i="2"/>
  <c r="E57" i="2"/>
  <c r="D57" i="2"/>
  <c r="L57" i="2"/>
  <c r="K57" i="2"/>
  <c r="J57" i="2"/>
  <c r="I57" i="2"/>
  <c r="H57" i="2"/>
  <c r="G57" i="2"/>
  <c r="A57" i="2"/>
  <c r="I56" i="2"/>
  <c r="H56" i="2"/>
  <c r="G56" i="2"/>
  <c r="F56" i="2"/>
  <c r="E56" i="2"/>
  <c r="D56" i="2"/>
  <c r="L56" i="2"/>
  <c r="K56" i="2"/>
  <c r="J56" i="2"/>
  <c r="A56" i="2"/>
  <c r="J55" i="2"/>
  <c r="I55" i="2"/>
  <c r="H55" i="2"/>
  <c r="G55" i="2"/>
  <c r="F55" i="2"/>
  <c r="E55" i="2"/>
  <c r="D55" i="2"/>
  <c r="L55" i="2"/>
  <c r="K55" i="2"/>
  <c r="A55" i="2"/>
  <c r="D54" i="2"/>
  <c r="L54" i="2"/>
  <c r="K54" i="2"/>
  <c r="J54" i="2"/>
  <c r="I54" i="2"/>
  <c r="H54" i="2"/>
  <c r="G54" i="2"/>
  <c r="F54" i="2"/>
  <c r="E54" i="2"/>
  <c r="A54" i="2"/>
  <c r="G53" i="2"/>
  <c r="F53" i="2"/>
  <c r="E53" i="2"/>
  <c r="D53" i="2"/>
  <c r="L53" i="2"/>
  <c r="K53" i="2"/>
  <c r="J53" i="2"/>
  <c r="I53" i="2"/>
  <c r="H53" i="2"/>
  <c r="A53" i="2"/>
  <c r="H52" i="2"/>
  <c r="G52" i="2"/>
  <c r="F52" i="2"/>
  <c r="E52" i="2"/>
  <c r="D52" i="2"/>
  <c r="L52" i="2"/>
  <c r="K52" i="2"/>
  <c r="J52" i="2"/>
  <c r="I52" i="2"/>
  <c r="A52" i="2"/>
  <c r="K51" i="2"/>
  <c r="J51" i="2"/>
  <c r="I51" i="2"/>
  <c r="H51" i="2"/>
  <c r="G51" i="2"/>
  <c r="F51" i="2"/>
  <c r="E51" i="2"/>
  <c r="D51" i="2"/>
  <c r="L51" i="2"/>
  <c r="A51" i="2"/>
  <c r="E50" i="2"/>
  <c r="D50" i="2"/>
  <c r="L50" i="2"/>
  <c r="K50" i="2"/>
  <c r="J50" i="2"/>
  <c r="I50" i="2"/>
  <c r="H50" i="2"/>
  <c r="G50" i="2"/>
  <c r="F50" i="2"/>
  <c r="A50" i="2"/>
  <c r="H49" i="2"/>
  <c r="G49" i="2"/>
  <c r="F49" i="2"/>
  <c r="E49" i="2"/>
  <c r="D49" i="2"/>
  <c r="L49" i="2"/>
  <c r="K49" i="2"/>
  <c r="J49" i="2"/>
  <c r="I49" i="2"/>
  <c r="A49" i="2"/>
  <c r="I48" i="2"/>
  <c r="H48" i="2"/>
  <c r="G48" i="2"/>
  <c r="F48" i="2"/>
  <c r="E48" i="2"/>
  <c r="D48" i="2"/>
  <c r="L48" i="2"/>
  <c r="K48" i="2"/>
  <c r="J48" i="2"/>
  <c r="A48" i="2"/>
  <c r="L47" i="2"/>
  <c r="K47" i="2"/>
  <c r="J47" i="2"/>
  <c r="I47" i="2"/>
  <c r="H47" i="2"/>
  <c r="G47" i="2"/>
  <c r="F47" i="2"/>
  <c r="E47" i="2"/>
  <c r="D47" i="2"/>
  <c r="A47" i="2"/>
  <c r="F46" i="2"/>
  <c r="E46" i="2"/>
  <c r="D46" i="2"/>
  <c r="L46" i="2"/>
  <c r="K46" i="2"/>
  <c r="J46" i="2"/>
  <c r="I46" i="2"/>
  <c r="H46" i="2"/>
  <c r="G46" i="2"/>
  <c r="A46" i="2"/>
  <c r="G45" i="2"/>
  <c r="F45" i="2"/>
  <c r="E45" i="2"/>
  <c r="D45" i="2"/>
  <c r="L45" i="2"/>
  <c r="K45" i="2"/>
  <c r="J45" i="2"/>
  <c r="I45" i="2"/>
  <c r="H45" i="2"/>
  <c r="A45" i="2"/>
  <c r="J44" i="2"/>
  <c r="I44" i="2"/>
  <c r="H44" i="2"/>
  <c r="G44" i="2"/>
  <c r="F44" i="2"/>
  <c r="E44" i="2"/>
  <c r="D44" i="2"/>
  <c r="L44" i="2"/>
  <c r="K44" i="2"/>
  <c r="A44" i="2"/>
  <c r="D43" i="2"/>
  <c r="L43" i="2"/>
  <c r="K43" i="2"/>
  <c r="J43" i="2"/>
  <c r="I43" i="2"/>
  <c r="H43" i="2"/>
  <c r="G43" i="2"/>
  <c r="F43" i="2"/>
  <c r="E43" i="2"/>
  <c r="A43" i="2"/>
  <c r="K42" i="2"/>
  <c r="J42" i="2"/>
  <c r="I42" i="2"/>
  <c r="H42" i="2"/>
  <c r="G42" i="2"/>
  <c r="F42" i="2"/>
  <c r="E42" i="2"/>
  <c r="D42" i="2"/>
  <c r="L42" i="2"/>
  <c r="A42" i="2"/>
  <c r="E41" i="2"/>
  <c r="D41" i="2"/>
  <c r="L41" i="2"/>
  <c r="K41" i="2"/>
  <c r="J41" i="2"/>
  <c r="I41" i="2"/>
  <c r="H41" i="2"/>
  <c r="G41" i="2"/>
  <c r="F41" i="2"/>
  <c r="A41" i="2"/>
  <c r="H40" i="2"/>
  <c r="G40" i="2"/>
  <c r="F40" i="2"/>
  <c r="E40" i="2"/>
  <c r="D40" i="2"/>
  <c r="L40" i="2"/>
  <c r="K40" i="2"/>
  <c r="J40" i="2"/>
  <c r="I40" i="2"/>
  <c r="A40" i="2"/>
  <c r="K39" i="2"/>
  <c r="J39" i="2"/>
  <c r="I39" i="2"/>
  <c r="H39" i="2"/>
  <c r="G39" i="2"/>
  <c r="F39" i="2"/>
  <c r="E39" i="2"/>
  <c r="D39" i="2"/>
  <c r="L39" i="2"/>
  <c r="A39" i="2"/>
  <c r="L38" i="2"/>
  <c r="K38" i="2"/>
  <c r="J38" i="2"/>
  <c r="I38" i="2"/>
  <c r="H38" i="2"/>
  <c r="G38" i="2"/>
  <c r="F38" i="2"/>
  <c r="E38" i="2"/>
  <c r="D38" i="2"/>
  <c r="A38" i="2"/>
  <c r="F37" i="2"/>
  <c r="E37" i="2"/>
  <c r="D37" i="2"/>
  <c r="L37" i="2"/>
  <c r="K37" i="2"/>
  <c r="J37" i="2"/>
  <c r="I37" i="2"/>
  <c r="H37" i="2"/>
  <c r="G37" i="2"/>
  <c r="A37" i="2"/>
  <c r="I36" i="2"/>
  <c r="H36" i="2"/>
  <c r="G36" i="2"/>
  <c r="F36" i="2"/>
  <c r="E36" i="2"/>
  <c r="D36" i="2"/>
  <c r="L36" i="2"/>
  <c r="K36" i="2"/>
  <c r="J36" i="2"/>
  <c r="A36" i="2"/>
  <c r="J35" i="2"/>
  <c r="I35" i="2"/>
  <c r="H35" i="2"/>
  <c r="G35" i="2"/>
  <c r="F35" i="2"/>
  <c r="E35" i="2"/>
  <c r="D35" i="2"/>
  <c r="L35" i="2"/>
  <c r="K35" i="2"/>
  <c r="A35" i="2"/>
  <c r="D34" i="2"/>
  <c r="L34" i="2"/>
  <c r="K34" i="2"/>
  <c r="J34" i="2"/>
  <c r="I34" i="2"/>
  <c r="H34" i="2"/>
  <c r="G34" i="2"/>
  <c r="F34" i="2"/>
  <c r="E34" i="2"/>
  <c r="A34" i="2"/>
  <c r="G33" i="2"/>
  <c r="F33" i="2"/>
  <c r="E33" i="2"/>
  <c r="D33" i="2"/>
  <c r="L33" i="2"/>
  <c r="K33" i="2"/>
  <c r="J33" i="2"/>
  <c r="I33" i="2"/>
  <c r="H33" i="2"/>
  <c r="A33" i="2"/>
  <c r="H32" i="2"/>
  <c r="G32" i="2"/>
  <c r="F32" i="2"/>
  <c r="E32" i="2"/>
  <c r="D32" i="2"/>
  <c r="L32" i="2"/>
  <c r="K32" i="2"/>
  <c r="J32" i="2"/>
  <c r="I32" i="2"/>
  <c r="A32" i="2"/>
  <c r="K31" i="2"/>
  <c r="J31" i="2"/>
  <c r="I31" i="2"/>
  <c r="H31" i="2"/>
  <c r="G31" i="2"/>
  <c r="F31" i="2"/>
  <c r="E31" i="2"/>
  <c r="D31" i="2"/>
  <c r="L31" i="2"/>
  <c r="A31" i="2"/>
  <c r="E30" i="2"/>
  <c r="D30" i="2"/>
  <c r="L30" i="2"/>
  <c r="K30" i="2"/>
  <c r="J30" i="2"/>
  <c r="I30" i="2"/>
  <c r="H30" i="2"/>
  <c r="G30" i="2"/>
  <c r="F30" i="2"/>
  <c r="A30" i="2"/>
  <c r="F29" i="2"/>
  <c r="E29" i="2"/>
  <c r="D29" i="2"/>
  <c r="L29" i="2"/>
  <c r="K29" i="2"/>
  <c r="J29" i="2"/>
  <c r="I29" i="2"/>
  <c r="H29" i="2"/>
  <c r="G29" i="2"/>
  <c r="A29" i="2"/>
  <c r="I28" i="2"/>
  <c r="H28" i="2"/>
  <c r="G28" i="2"/>
  <c r="F28" i="2"/>
  <c r="E28" i="2"/>
  <c r="D28" i="2"/>
  <c r="L28" i="2"/>
  <c r="K28" i="2"/>
  <c r="J28" i="2"/>
  <c r="A28" i="2"/>
  <c r="L27" i="2"/>
  <c r="K27" i="2"/>
  <c r="J27" i="2"/>
  <c r="I27" i="2"/>
  <c r="H27" i="2"/>
  <c r="G27" i="2"/>
  <c r="F27" i="2"/>
  <c r="E27" i="2"/>
  <c r="D27" i="2"/>
  <c r="A27" i="2"/>
  <c r="F26" i="2"/>
  <c r="E26" i="2"/>
  <c r="D26" i="2"/>
  <c r="L26" i="2"/>
  <c r="K26" i="2"/>
  <c r="J26" i="2"/>
  <c r="I26" i="2"/>
  <c r="H26" i="2"/>
  <c r="G26" i="2"/>
  <c r="A26" i="2"/>
  <c r="D25" i="2"/>
  <c r="L25" i="2"/>
  <c r="K25" i="2"/>
  <c r="J25" i="2"/>
  <c r="I25" i="2"/>
  <c r="H25" i="2"/>
  <c r="G25" i="2"/>
  <c r="F25" i="2"/>
  <c r="E25" i="2"/>
  <c r="A25" i="2"/>
  <c r="G24" i="2"/>
  <c r="F24" i="2"/>
  <c r="E24" i="2"/>
  <c r="D24" i="2"/>
  <c r="L24" i="2"/>
  <c r="K24" i="2"/>
  <c r="J24" i="2"/>
  <c r="I24" i="2"/>
  <c r="H24" i="2"/>
  <c r="A24" i="2"/>
  <c r="J23" i="2"/>
  <c r="I23" i="2"/>
  <c r="H23" i="2"/>
  <c r="G23" i="2"/>
  <c r="F23" i="2"/>
  <c r="E23" i="2"/>
  <c r="D23" i="2"/>
  <c r="L23" i="2"/>
  <c r="K23" i="2"/>
  <c r="A23" i="2"/>
  <c r="D22" i="2"/>
  <c r="L22" i="2"/>
  <c r="K22" i="2"/>
  <c r="J22" i="2"/>
  <c r="I22" i="2"/>
  <c r="H22" i="2"/>
  <c r="G22" i="2"/>
  <c r="F22" i="2"/>
  <c r="E22" i="2"/>
  <c r="A22" i="2"/>
  <c r="K21" i="2"/>
  <c r="J21" i="2"/>
  <c r="I21" i="2"/>
  <c r="H21" i="2"/>
  <c r="G21" i="2"/>
  <c r="F21" i="2"/>
  <c r="E21" i="2"/>
  <c r="D21" i="2"/>
  <c r="L21" i="2"/>
  <c r="A21" i="2"/>
  <c r="E20" i="2"/>
  <c r="D20" i="2"/>
  <c r="L20" i="2"/>
  <c r="K20" i="2"/>
  <c r="J20" i="2"/>
  <c r="I20" i="2"/>
  <c r="H20" i="2"/>
  <c r="G20" i="2"/>
  <c r="F20" i="2"/>
  <c r="A20" i="2"/>
  <c r="H19" i="2"/>
  <c r="G19" i="2"/>
  <c r="F19" i="2"/>
  <c r="E19" i="2"/>
  <c r="D19" i="2"/>
  <c r="L19" i="2"/>
  <c r="K19" i="2"/>
  <c r="J19" i="2"/>
  <c r="I19" i="2"/>
  <c r="A19" i="2"/>
  <c r="K18" i="2"/>
  <c r="J18" i="2"/>
  <c r="I18" i="2"/>
  <c r="H18" i="2"/>
  <c r="G18" i="2"/>
  <c r="F18" i="2"/>
  <c r="E18" i="2"/>
  <c r="D18" i="2"/>
  <c r="L18" i="2"/>
  <c r="A18" i="2"/>
  <c r="L17" i="2"/>
  <c r="K17" i="2"/>
  <c r="J17" i="2"/>
  <c r="I17" i="2"/>
  <c r="H17" i="2"/>
  <c r="G17" i="2"/>
  <c r="F17" i="2"/>
  <c r="E17" i="2"/>
  <c r="D17" i="2"/>
  <c r="A17" i="2"/>
  <c r="I16" i="2"/>
  <c r="H16" i="2"/>
  <c r="G16" i="2"/>
  <c r="F16" i="2"/>
  <c r="E16" i="2"/>
  <c r="D16" i="2"/>
  <c r="L16" i="2"/>
  <c r="K16" i="2"/>
  <c r="J16" i="2"/>
  <c r="A16" i="2"/>
  <c r="J15" i="2"/>
  <c r="I15" i="2"/>
  <c r="H15" i="2"/>
  <c r="G15" i="2"/>
  <c r="F15" i="2"/>
  <c r="E15" i="2"/>
  <c r="D15" i="2"/>
  <c r="L15" i="2"/>
  <c r="K15" i="2"/>
  <c r="A15" i="2"/>
  <c r="D14" i="2"/>
  <c r="L14" i="2"/>
  <c r="K14" i="2"/>
  <c r="J14" i="2"/>
  <c r="I14" i="2"/>
  <c r="H14" i="2"/>
  <c r="G14" i="2"/>
  <c r="F14" i="2"/>
  <c r="E14" i="2"/>
  <c r="A14" i="2"/>
  <c r="G13" i="2"/>
  <c r="F13" i="2"/>
  <c r="E13" i="2"/>
  <c r="D13" i="2"/>
  <c r="L13" i="2"/>
  <c r="K13" i="2"/>
  <c r="J13" i="2"/>
  <c r="I13" i="2"/>
  <c r="H13" i="2"/>
  <c r="A13" i="2"/>
  <c r="H12" i="2"/>
  <c r="G12" i="2"/>
  <c r="F12" i="2"/>
  <c r="E12" i="2"/>
  <c r="D12" i="2"/>
  <c r="L12" i="2"/>
  <c r="K12" i="2"/>
  <c r="J12" i="2"/>
  <c r="I12" i="2"/>
  <c r="A12" i="2"/>
  <c r="K11" i="2"/>
  <c r="J11" i="2"/>
  <c r="I11" i="2"/>
  <c r="H11" i="2"/>
  <c r="G11" i="2"/>
  <c r="F11" i="2"/>
  <c r="E11" i="2"/>
  <c r="D11" i="2"/>
  <c r="L11" i="2"/>
  <c r="A11" i="2"/>
  <c r="E10" i="2"/>
  <c r="D10" i="2"/>
  <c r="L10" i="2"/>
  <c r="K10" i="2"/>
  <c r="J10" i="2"/>
  <c r="I10" i="2"/>
  <c r="H10" i="2"/>
  <c r="G10" i="2"/>
  <c r="F10" i="2"/>
  <c r="A10" i="2"/>
  <c r="H9" i="2"/>
  <c r="G9" i="2"/>
  <c r="F9" i="2"/>
  <c r="E9" i="2"/>
  <c r="D9" i="2"/>
  <c r="L9" i="2"/>
  <c r="K9" i="2"/>
  <c r="J9" i="2"/>
  <c r="I9" i="2"/>
  <c r="A9" i="2"/>
  <c r="F8" i="2"/>
  <c r="E8" i="2"/>
  <c r="D8" i="2"/>
  <c r="L8" i="2"/>
  <c r="K8" i="2"/>
  <c r="J8" i="2"/>
  <c r="I8" i="2"/>
  <c r="H8" i="2"/>
  <c r="G8" i="2"/>
  <c r="A8" i="2"/>
  <c r="I7" i="2"/>
  <c r="H7" i="2"/>
  <c r="G7" i="2"/>
  <c r="F7" i="2"/>
  <c r="E7" i="2"/>
  <c r="D7" i="2"/>
  <c r="L7" i="2"/>
  <c r="K7" i="2"/>
  <c r="J7" i="2"/>
  <c r="A7" i="2"/>
  <c r="L6" i="2"/>
  <c r="K6" i="2"/>
  <c r="J6" i="2"/>
  <c r="I6" i="2"/>
  <c r="H6" i="2"/>
  <c r="G6" i="2"/>
  <c r="F6" i="2"/>
  <c r="E6" i="2"/>
  <c r="D6" i="2"/>
  <c r="A6" i="2"/>
  <c r="F5" i="2"/>
  <c r="E5" i="2"/>
  <c r="D5" i="2"/>
  <c r="L5" i="2"/>
  <c r="K5" i="2"/>
  <c r="J5" i="2"/>
  <c r="I5" i="2"/>
  <c r="H5" i="2"/>
  <c r="G5" i="2"/>
  <c r="A5" i="2"/>
  <c r="D4" i="2"/>
  <c r="L4" i="2"/>
  <c r="K4" i="2"/>
  <c r="J4" i="2"/>
  <c r="I4" i="2"/>
  <c r="H4" i="2"/>
  <c r="G4" i="2"/>
  <c r="F4" i="2"/>
  <c r="E4" i="2"/>
  <c r="A4" i="2"/>
  <c r="G3" i="2"/>
  <c r="F3" i="2"/>
  <c r="E3" i="2"/>
  <c r="D3" i="2"/>
  <c r="L3" i="2"/>
</calcChain>
</file>

<file path=xl/sharedStrings.xml><?xml version="1.0" encoding="utf-8"?>
<sst xmlns="http://schemas.openxmlformats.org/spreadsheetml/2006/main" count="4884" uniqueCount="18">
  <si>
    <t>fe</t>
  </si>
  <si>
    <t>fd</t>
  </si>
  <si>
    <t>fc</t>
  </si>
  <si>
    <t>t, сек</t>
  </si>
  <si>
    <t>Цикл</t>
  </si>
  <si>
    <t>Зуб</t>
  </si>
  <si>
    <t>Частота, об/мин</t>
  </si>
  <si>
    <t>g_Step2Us</t>
  </si>
  <si>
    <t>InjN[0]</t>
  </si>
  <si>
    <t>kP</t>
  </si>
  <si>
    <t>kI</t>
  </si>
  <si>
    <t>kD</t>
  </si>
  <si>
    <t>errP</t>
  </si>
  <si>
    <t>errI</t>
  </si>
  <si>
    <t>errD</t>
  </si>
  <si>
    <t>pTime</t>
  </si>
  <si>
    <t>iTime</t>
  </si>
  <si>
    <t>iTime1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</si>
</sst>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8C8"/>
        <bgColor indexed="64"/>
      </patternFill>
    </fill>
    <fill>
      <patternFill patternType="solid">
        <fgColor rgb="FFC8FFC8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33" borderId="0" xfId="0" applyFill="1"/>
    <xf numFmtId="0" fontId="0" fillId="34" borderId="0" xfId="0" applyFill="1"/>
  </cellXfs>
  <cellStyles count="42">
    <cellStyle name="20% - Акцент1" xfId="19" builtinId="30" customBuiltin="1"/>
    <cellStyle name="20% - Акцент2" xfId="23" builtinId="34" customBuiltin="1"/>
    <cellStyle name="20% - Акцент3" xfId="27" builtinId="38" customBuiltin="1"/>
    <cellStyle name="20% - Акцент4" xfId="31" builtinId="42" customBuiltin="1"/>
    <cellStyle name="20% - Акцент5" xfId="35" builtinId="46" customBuiltin="1"/>
    <cellStyle name="20% - Акцент6" xfId="39" builtinId="50" customBuiltin="1"/>
    <cellStyle name="40% - Акцент1" xfId="20" builtinId="31" customBuiltin="1"/>
    <cellStyle name="40% - Акцент2" xfId="24" builtinId="35" customBuiltin="1"/>
    <cellStyle name="40% - Акцент3" xfId="28" builtinId="39" customBuiltin="1"/>
    <cellStyle name="40% - Акцент4" xfId="32" builtinId="43" customBuiltin="1"/>
    <cellStyle name="40% - Акцент5" xfId="36" builtinId="47" customBuiltin="1"/>
    <cellStyle name="40% - Акцент6" xfId="40" builtinId="51" customBuiltin="1"/>
    <cellStyle name="60% - Акцент1" xfId="21" builtinId="32" customBuiltin="1"/>
    <cellStyle name="60% - Акцент2" xfId="25" builtinId="36" customBuiltin="1"/>
    <cellStyle name="60% - Акцент3" xfId="29" builtinId="40" customBuiltin="1"/>
    <cellStyle name="60% - Акцент4" xfId="33" builtinId="44" customBuiltin="1"/>
    <cellStyle name="60% - Акцент5" xfId="37" builtinId="48" customBuiltin="1"/>
    <cellStyle name="60% -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>
        <c:manualLayout>
          <c:layoutTarget val="inner"/>
          <c:xMode val="edge"/>
          <c:yMode val="edge"/>
          <c:x val="6.8881699865036256E-2"/>
          <c:y val="0.11380002448983938"/>
          <c:w val="0.76278934125482378"/>
          <c:h val="0.81844702475070941"/>
        </c:manualLayout>
      </c:layout>
      <c:scatterChart>
        <c:scatterStyle val="lineMarker"/>
        <c:varyColors val="0"/>
        <c:ser>
          <c:idx val="0"/>
          <c:order val="0"/>
          <c:tx>
            <c:strRef>
              <c:f>Лист1!$D$1</c:f>
              <c:strCache>
                <c:ptCount val="1"/>
                <c:pt idx="0">
                  <c:v>Частота, об/мин</c:v>
                </c:pt>
              </c:strCache>
            </c:strRef>
          </c:tx>
          <c:marker>
            <c:symbol val="none"/>
          </c:marker>
          <c:xVal>
            <c:numRef>
              <c:f>Лист1!$A$2:$A$4872</c:f>
              <c:numCache>
                <c:formatCode>General</c:formatCode>
                <c:ptCount val="4871"/>
                <c:pt idx="2">
                  <c:v>797.32716000000005</c:v>
                </c:pt>
                <c:pt idx="3">
                  <c:v>797.33683000000008</c:v>
                </c:pt>
                <c:pt idx="4">
                  <c:v>797.35619000000008</c:v>
                </c:pt>
                <c:pt idx="5">
                  <c:v>797.36587000000009</c:v>
                </c:pt>
                <c:pt idx="6">
                  <c:v>797.37554000000011</c:v>
                </c:pt>
                <c:pt idx="7">
                  <c:v>797.38522000000012</c:v>
                </c:pt>
                <c:pt idx="8">
                  <c:v>797.40457000000004</c:v>
                </c:pt>
                <c:pt idx="9">
                  <c:v>797.41425000000004</c:v>
                </c:pt>
                <c:pt idx="10">
                  <c:v>797.42393000000004</c:v>
                </c:pt>
                <c:pt idx="11">
                  <c:v>797.43361000000004</c:v>
                </c:pt>
                <c:pt idx="12">
                  <c:v>797.46265000000005</c:v>
                </c:pt>
                <c:pt idx="13">
                  <c:v>797.47233000000006</c:v>
                </c:pt>
                <c:pt idx="14">
                  <c:v>797.48201000000006</c:v>
                </c:pt>
                <c:pt idx="15">
                  <c:v>797.51103000000012</c:v>
                </c:pt>
                <c:pt idx="16">
                  <c:v>797.53039000000001</c:v>
                </c:pt>
                <c:pt idx="17">
                  <c:v>797.55942000000005</c:v>
                </c:pt>
                <c:pt idx="18">
                  <c:v>797.56910000000005</c:v>
                </c:pt>
                <c:pt idx="19">
                  <c:v>797.57878000000005</c:v>
                </c:pt>
                <c:pt idx="20">
                  <c:v>797.58846000000005</c:v>
                </c:pt>
                <c:pt idx="21">
                  <c:v>797.60781000000009</c:v>
                </c:pt>
                <c:pt idx="22">
                  <c:v>797.61749000000009</c:v>
                </c:pt>
                <c:pt idx="23">
                  <c:v>797.62717000000009</c:v>
                </c:pt>
                <c:pt idx="24">
                  <c:v>797.63686000000007</c:v>
                </c:pt>
                <c:pt idx="25">
                  <c:v>797.65622000000008</c:v>
                </c:pt>
                <c:pt idx="26">
                  <c:v>797.66590000000008</c:v>
                </c:pt>
                <c:pt idx="27">
                  <c:v>797.67559000000006</c:v>
                </c:pt>
                <c:pt idx="28">
                  <c:v>797.68527000000006</c:v>
                </c:pt>
                <c:pt idx="29">
                  <c:v>797.71431000000007</c:v>
                </c:pt>
                <c:pt idx="30">
                  <c:v>797.72399000000007</c:v>
                </c:pt>
                <c:pt idx="31">
                  <c:v>797.73367000000007</c:v>
                </c:pt>
                <c:pt idx="32">
                  <c:v>797.76271000000008</c:v>
                </c:pt>
                <c:pt idx="33">
                  <c:v>797.77239000000009</c:v>
                </c:pt>
                <c:pt idx="34">
                  <c:v>797.78207000000009</c:v>
                </c:pt>
                <c:pt idx="35">
                  <c:v>797.81112000000007</c:v>
                </c:pt>
                <c:pt idx="36">
                  <c:v>797.82081000000005</c:v>
                </c:pt>
                <c:pt idx="37">
                  <c:v>797.83049000000005</c:v>
                </c:pt>
                <c:pt idx="38">
                  <c:v>797.85953000000006</c:v>
                </c:pt>
                <c:pt idx="39">
                  <c:v>797.86921000000007</c:v>
                </c:pt>
                <c:pt idx="40">
                  <c:v>797.87889000000007</c:v>
                </c:pt>
                <c:pt idx="41">
                  <c:v>797.88857000000007</c:v>
                </c:pt>
                <c:pt idx="42">
                  <c:v>797.90793000000008</c:v>
                </c:pt>
                <c:pt idx="43">
                  <c:v>797.91762000000006</c:v>
                </c:pt>
                <c:pt idx="44">
                  <c:v>797.92731000000003</c:v>
                </c:pt>
                <c:pt idx="45">
                  <c:v>797.95636000000002</c:v>
                </c:pt>
                <c:pt idx="46">
                  <c:v>797.96604000000002</c:v>
                </c:pt>
                <c:pt idx="47">
                  <c:v>797.97572000000002</c:v>
                </c:pt>
                <c:pt idx="48">
                  <c:v>798.00475000000006</c:v>
                </c:pt>
                <c:pt idx="49">
                  <c:v>798.01443000000006</c:v>
                </c:pt>
                <c:pt idx="50">
                  <c:v>798.02411000000006</c:v>
                </c:pt>
                <c:pt idx="51">
                  <c:v>798.03379000000007</c:v>
                </c:pt>
                <c:pt idx="52">
                  <c:v>798.06285000000003</c:v>
                </c:pt>
                <c:pt idx="53">
                  <c:v>798.07252000000005</c:v>
                </c:pt>
                <c:pt idx="54">
                  <c:v>798.08220000000006</c:v>
                </c:pt>
                <c:pt idx="55">
                  <c:v>798.11123000000009</c:v>
                </c:pt>
                <c:pt idx="56">
                  <c:v>798.12092000000007</c:v>
                </c:pt>
                <c:pt idx="57">
                  <c:v>798.13060000000007</c:v>
                </c:pt>
                <c:pt idx="58">
                  <c:v>798.15965000000006</c:v>
                </c:pt>
                <c:pt idx="59">
                  <c:v>798.16933000000006</c:v>
                </c:pt>
                <c:pt idx="60">
                  <c:v>798.17901000000006</c:v>
                </c:pt>
                <c:pt idx="61">
                  <c:v>798.18869000000007</c:v>
                </c:pt>
                <c:pt idx="62">
                  <c:v>798.2080400000001</c:v>
                </c:pt>
                <c:pt idx="63">
                  <c:v>798.2177200000001</c:v>
                </c:pt>
                <c:pt idx="64">
                  <c:v>798.2274000000001</c:v>
                </c:pt>
                <c:pt idx="65">
                  <c:v>798.23708000000011</c:v>
                </c:pt>
                <c:pt idx="66">
                  <c:v>798.25643000000002</c:v>
                </c:pt>
                <c:pt idx="67">
                  <c:v>798.26611000000003</c:v>
                </c:pt>
                <c:pt idx="68">
                  <c:v>798.27578000000005</c:v>
                </c:pt>
                <c:pt idx="69">
                  <c:v>798.28546000000006</c:v>
                </c:pt>
                <c:pt idx="70">
                  <c:v>798.31450000000007</c:v>
                </c:pt>
                <c:pt idx="71">
                  <c:v>798.32418000000007</c:v>
                </c:pt>
                <c:pt idx="72">
                  <c:v>798.33386000000007</c:v>
                </c:pt>
                <c:pt idx="73">
                  <c:v>798.36288000000002</c:v>
                </c:pt>
                <c:pt idx="74">
                  <c:v>798.37257000000011</c:v>
                </c:pt>
                <c:pt idx="75">
                  <c:v>798.38225000000011</c:v>
                </c:pt>
                <c:pt idx="76">
                  <c:v>798.41129000000012</c:v>
                </c:pt>
                <c:pt idx="77">
                  <c:v>798.4209800000001</c:v>
                </c:pt>
                <c:pt idx="78">
                  <c:v>798.4306600000001</c:v>
                </c:pt>
                <c:pt idx="79">
                  <c:v>798.45970000000011</c:v>
                </c:pt>
                <c:pt idx="80">
                  <c:v>798.46938000000011</c:v>
                </c:pt>
                <c:pt idx="81">
                  <c:v>798.47905000000003</c:v>
                </c:pt>
                <c:pt idx="82">
                  <c:v>798.50808000000006</c:v>
                </c:pt>
                <c:pt idx="83">
                  <c:v>798.51776000000007</c:v>
                </c:pt>
                <c:pt idx="84">
                  <c:v>798.52744000000007</c:v>
                </c:pt>
                <c:pt idx="85">
                  <c:v>798.53712000000007</c:v>
                </c:pt>
                <c:pt idx="86">
                  <c:v>798.55648000000008</c:v>
                </c:pt>
                <c:pt idx="87">
                  <c:v>798.56616000000008</c:v>
                </c:pt>
                <c:pt idx="88">
                  <c:v>798.59521000000007</c:v>
                </c:pt>
                <c:pt idx="89">
                  <c:v>798.60488000000009</c:v>
                </c:pt>
                <c:pt idx="90">
                  <c:v>798.6242400000001</c:v>
                </c:pt>
                <c:pt idx="91">
                  <c:v>798.6339200000001</c:v>
                </c:pt>
                <c:pt idx="92">
                  <c:v>798.64360000000011</c:v>
                </c:pt>
                <c:pt idx="93">
                  <c:v>798.66296000000011</c:v>
                </c:pt>
                <c:pt idx="94">
                  <c:v>798.67264000000011</c:v>
                </c:pt>
                <c:pt idx="95">
                  <c:v>798.69198000000006</c:v>
                </c:pt>
                <c:pt idx="96">
                  <c:v>798.70166000000006</c:v>
                </c:pt>
                <c:pt idx="97">
                  <c:v>798.71134000000006</c:v>
                </c:pt>
                <c:pt idx="98">
                  <c:v>798.73071000000004</c:v>
                </c:pt>
                <c:pt idx="99">
                  <c:v>798.74039000000005</c:v>
                </c:pt>
                <c:pt idx="100">
                  <c:v>798.76942000000008</c:v>
                </c:pt>
                <c:pt idx="101">
                  <c:v>798.77910000000008</c:v>
                </c:pt>
                <c:pt idx="102">
                  <c:v>798.79846000000009</c:v>
                </c:pt>
                <c:pt idx="103">
                  <c:v>798.80814000000009</c:v>
                </c:pt>
                <c:pt idx="104">
                  <c:v>798.8178200000001</c:v>
                </c:pt>
                <c:pt idx="105">
                  <c:v>798.83717000000001</c:v>
                </c:pt>
                <c:pt idx="106">
                  <c:v>798.84685000000002</c:v>
                </c:pt>
                <c:pt idx="107">
                  <c:v>798.86622000000011</c:v>
                </c:pt>
                <c:pt idx="108">
                  <c:v>798.87590000000012</c:v>
                </c:pt>
                <c:pt idx="109">
                  <c:v>798.88558000000012</c:v>
                </c:pt>
                <c:pt idx="110">
                  <c:v>798.90494000000001</c:v>
                </c:pt>
                <c:pt idx="111">
                  <c:v>798.91461000000004</c:v>
                </c:pt>
                <c:pt idx="112">
                  <c:v>798.94364000000007</c:v>
                </c:pt>
                <c:pt idx="113">
                  <c:v>798.9533100000001</c:v>
                </c:pt>
                <c:pt idx="114">
                  <c:v>798.97267000000011</c:v>
                </c:pt>
                <c:pt idx="115">
                  <c:v>798.98235000000011</c:v>
                </c:pt>
                <c:pt idx="116">
                  <c:v>798.99203000000011</c:v>
                </c:pt>
                <c:pt idx="117">
                  <c:v>799.01139000000012</c:v>
                </c:pt>
                <c:pt idx="118">
                  <c:v>799.02107000000001</c:v>
                </c:pt>
                <c:pt idx="119">
                  <c:v>799.04043000000001</c:v>
                </c:pt>
                <c:pt idx="120">
                  <c:v>799.05010000000004</c:v>
                </c:pt>
                <c:pt idx="121">
                  <c:v>799.05978000000005</c:v>
                </c:pt>
                <c:pt idx="122">
                  <c:v>799.07913000000008</c:v>
                </c:pt>
                <c:pt idx="123">
                  <c:v>799.08881000000008</c:v>
                </c:pt>
                <c:pt idx="124">
                  <c:v>799.11783000000003</c:v>
                </c:pt>
                <c:pt idx="125">
                  <c:v>799.12751000000003</c:v>
                </c:pt>
                <c:pt idx="126">
                  <c:v>799.14687000000004</c:v>
                </c:pt>
                <c:pt idx="127">
                  <c:v>799.15655000000004</c:v>
                </c:pt>
                <c:pt idx="128">
                  <c:v>799.16623000000004</c:v>
                </c:pt>
                <c:pt idx="129">
                  <c:v>799.18558000000007</c:v>
                </c:pt>
                <c:pt idx="130">
                  <c:v>799.19526000000008</c:v>
                </c:pt>
                <c:pt idx="131">
                  <c:v>799.21461000000011</c:v>
                </c:pt>
                <c:pt idx="132">
                  <c:v>799.22429000000011</c:v>
                </c:pt>
                <c:pt idx="133">
                  <c:v>799.23397000000011</c:v>
                </c:pt>
                <c:pt idx="134">
                  <c:v>799.25334000000009</c:v>
                </c:pt>
                <c:pt idx="135">
                  <c:v>799.29205000000002</c:v>
                </c:pt>
                <c:pt idx="136">
                  <c:v>799.30173000000002</c:v>
                </c:pt>
                <c:pt idx="137">
                  <c:v>799.32109000000003</c:v>
                </c:pt>
                <c:pt idx="138">
                  <c:v>799.33076000000005</c:v>
                </c:pt>
                <c:pt idx="139">
                  <c:v>799.34043000000008</c:v>
                </c:pt>
                <c:pt idx="140">
                  <c:v>799.35980000000006</c:v>
                </c:pt>
                <c:pt idx="141">
                  <c:v>799.36948000000007</c:v>
                </c:pt>
                <c:pt idx="142">
                  <c:v>799.38884000000007</c:v>
                </c:pt>
                <c:pt idx="143">
                  <c:v>799.39852000000008</c:v>
                </c:pt>
                <c:pt idx="144">
                  <c:v>799.40820000000008</c:v>
                </c:pt>
                <c:pt idx="145">
                  <c:v>799.42756000000008</c:v>
                </c:pt>
                <c:pt idx="146">
                  <c:v>799.43724000000009</c:v>
                </c:pt>
                <c:pt idx="147">
                  <c:v>799.45659000000012</c:v>
                </c:pt>
                <c:pt idx="148">
                  <c:v>799.46626000000003</c:v>
                </c:pt>
                <c:pt idx="149">
                  <c:v>799.47594000000004</c:v>
                </c:pt>
                <c:pt idx="150">
                  <c:v>799.49530000000004</c:v>
                </c:pt>
                <c:pt idx="151">
                  <c:v>799.50499000000002</c:v>
                </c:pt>
                <c:pt idx="152">
                  <c:v>799.52435000000003</c:v>
                </c:pt>
                <c:pt idx="153">
                  <c:v>799.53403000000003</c:v>
                </c:pt>
                <c:pt idx="154">
                  <c:v>799.54371000000003</c:v>
                </c:pt>
                <c:pt idx="155">
                  <c:v>799.56307000000004</c:v>
                </c:pt>
                <c:pt idx="156">
                  <c:v>799.57275000000004</c:v>
                </c:pt>
                <c:pt idx="157">
                  <c:v>799.60179000000005</c:v>
                </c:pt>
                <c:pt idx="158">
                  <c:v>799.61147000000005</c:v>
                </c:pt>
                <c:pt idx="159">
                  <c:v>799.63083000000006</c:v>
                </c:pt>
                <c:pt idx="160">
                  <c:v>799.64050000000009</c:v>
                </c:pt>
                <c:pt idx="161">
                  <c:v>799.65018000000009</c:v>
                </c:pt>
                <c:pt idx="162">
                  <c:v>799.6695400000001</c:v>
                </c:pt>
                <c:pt idx="163">
                  <c:v>799.6792200000001</c:v>
                </c:pt>
                <c:pt idx="164">
                  <c:v>799.70826000000011</c:v>
                </c:pt>
                <c:pt idx="165">
                  <c:v>799.71794000000011</c:v>
                </c:pt>
                <c:pt idx="166">
                  <c:v>799.73729000000003</c:v>
                </c:pt>
                <c:pt idx="167">
                  <c:v>799.74696000000006</c:v>
                </c:pt>
                <c:pt idx="168">
                  <c:v>799.77599000000009</c:v>
                </c:pt>
                <c:pt idx="169">
                  <c:v>799.7856700000001</c:v>
                </c:pt>
                <c:pt idx="170">
                  <c:v>799.8050300000001</c:v>
                </c:pt>
                <c:pt idx="171">
                  <c:v>799.8147100000001</c:v>
                </c:pt>
                <c:pt idx="172">
                  <c:v>799.82439000000011</c:v>
                </c:pt>
                <c:pt idx="173">
                  <c:v>799.84374000000003</c:v>
                </c:pt>
                <c:pt idx="174">
                  <c:v>799.85342000000003</c:v>
                </c:pt>
                <c:pt idx="175">
                  <c:v>799.87279000000001</c:v>
                </c:pt>
                <c:pt idx="176">
                  <c:v>799.88247000000001</c:v>
                </c:pt>
                <c:pt idx="177">
                  <c:v>799.89215000000002</c:v>
                </c:pt>
                <c:pt idx="178">
                  <c:v>799.91150000000005</c:v>
                </c:pt>
                <c:pt idx="179">
                  <c:v>799.92119000000002</c:v>
                </c:pt>
                <c:pt idx="180">
                  <c:v>799.95023000000003</c:v>
                </c:pt>
                <c:pt idx="181">
                  <c:v>799.95991000000004</c:v>
                </c:pt>
                <c:pt idx="182">
                  <c:v>799.97926000000007</c:v>
                </c:pt>
                <c:pt idx="183">
                  <c:v>799.9889300000001</c:v>
                </c:pt>
                <c:pt idx="184">
                  <c:v>799.99860000000001</c:v>
                </c:pt>
                <c:pt idx="185">
                  <c:v>800.01796000000002</c:v>
                </c:pt>
                <c:pt idx="186">
                  <c:v>800.02763000000004</c:v>
                </c:pt>
                <c:pt idx="187">
                  <c:v>800.04700000000003</c:v>
                </c:pt>
                <c:pt idx="188">
                  <c:v>800.05668000000003</c:v>
                </c:pt>
                <c:pt idx="189">
                  <c:v>800.06636000000003</c:v>
                </c:pt>
                <c:pt idx="190">
                  <c:v>800.08571000000006</c:v>
                </c:pt>
                <c:pt idx="191">
                  <c:v>800.09539000000007</c:v>
                </c:pt>
                <c:pt idx="192">
                  <c:v>800.10507000000007</c:v>
                </c:pt>
                <c:pt idx="193">
                  <c:v>800.12443000000007</c:v>
                </c:pt>
                <c:pt idx="194">
                  <c:v>800.13411000000008</c:v>
                </c:pt>
                <c:pt idx="195">
                  <c:v>800.15346000000011</c:v>
                </c:pt>
                <c:pt idx="196">
                  <c:v>800.16314000000011</c:v>
                </c:pt>
                <c:pt idx="197">
                  <c:v>800.17283000000009</c:v>
                </c:pt>
                <c:pt idx="198">
                  <c:v>800.1921900000001</c:v>
                </c:pt>
                <c:pt idx="199">
                  <c:v>800.20186000000001</c:v>
                </c:pt>
                <c:pt idx="200">
                  <c:v>800.22123000000011</c:v>
                </c:pt>
                <c:pt idx="201">
                  <c:v>800.23091000000011</c:v>
                </c:pt>
                <c:pt idx="202">
                  <c:v>800.24058000000002</c:v>
                </c:pt>
                <c:pt idx="203">
                  <c:v>800.25994000000003</c:v>
                </c:pt>
                <c:pt idx="204">
                  <c:v>800.26962000000003</c:v>
                </c:pt>
                <c:pt idx="205">
                  <c:v>800.29867000000002</c:v>
                </c:pt>
                <c:pt idx="206">
                  <c:v>800.30835000000002</c:v>
                </c:pt>
                <c:pt idx="207">
                  <c:v>800.32771000000002</c:v>
                </c:pt>
                <c:pt idx="208">
                  <c:v>800.33739000000003</c:v>
                </c:pt>
                <c:pt idx="209">
                  <c:v>800.36642000000006</c:v>
                </c:pt>
                <c:pt idx="210">
                  <c:v>800.37611000000004</c:v>
                </c:pt>
                <c:pt idx="211">
                  <c:v>800.39546000000007</c:v>
                </c:pt>
                <c:pt idx="212">
                  <c:v>800.40514000000007</c:v>
                </c:pt>
                <c:pt idx="213">
                  <c:v>800.41482000000008</c:v>
                </c:pt>
                <c:pt idx="214">
                  <c:v>800.43419000000006</c:v>
                </c:pt>
                <c:pt idx="215">
                  <c:v>800.44387000000006</c:v>
                </c:pt>
                <c:pt idx="216">
                  <c:v>800.46324000000004</c:v>
                </c:pt>
                <c:pt idx="217">
                  <c:v>800.47291000000007</c:v>
                </c:pt>
                <c:pt idx="218">
                  <c:v>800.48259000000007</c:v>
                </c:pt>
                <c:pt idx="219">
                  <c:v>800.5019400000001</c:v>
                </c:pt>
                <c:pt idx="220">
                  <c:v>800.51162000000011</c:v>
                </c:pt>
                <c:pt idx="221">
                  <c:v>800.54067000000009</c:v>
                </c:pt>
                <c:pt idx="222">
                  <c:v>800.55035000000009</c:v>
                </c:pt>
                <c:pt idx="223">
                  <c:v>800.5697100000001</c:v>
                </c:pt>
                <c:pt idx="224">
                  <c:v>800.5793900000001</c:v>
                </c:pt>
                <c:pt idx="225">
                  <c:v>800.58907000000011</c:v>
                </c:pt>
                <c:pt idx="226">
                  <c:v>800.60843000000011</c:v>
                </c:pt>
                <c:pt idx="227">
                  <c:v>800.61811000000012</c:v>
                </c:pt>
                <c:pt idx="228">
                  <c:v>800.63746000000003</c:v>
                </c:pt>
                <c:pt idx="229">
                  <c:v>800.64714000000004</c:v>
                </c:pt>
                <c:pt idx="230">
                  <c:v>800.65681000000006</c:v>
                </c:pt>
                <c:pt idx="231">
                  <c:v>800.6761600000001</c:v>
                </c:pt>
                <c:pt idx="232">
                  <c:v>800.6858400000001</c:v>
                </c:pt>
                <c:pt idx="233">
                  <c:v>800.71487000000002</c:v>
                </c:pt>
                <c:pt idx="234">
                  <c:v>800.72454000000005</c:v>
                </c:pt>
                <c:pt idx="235">
                  <c:v>800.74390000000005</c:v>
                </c:pt>
                <c:pt idx="236">
                  <c:v>800.75358000000006</c:v>
                </c:pt>
                <c:pt idx="237">
                  <c:v>800.76325000000008</c:v>
                </c:pt>
                <c:pt idx="238">
                  <c:v>800.78261000000009</c:v>
                </c:pt>
                <c:pt idx="239">
                  <c:v>800.79228000000012</c:v>
                </c:pt>
                <c:pt idx="240">
                  <c:v>800.81164000000001</c:v>
                </c:pt>
                <c:pt idx="241">
                  <c:v>800.82132000000001</c:v>
                </c:pt>
                <c:pt idx="242">
                  <c:v>800.82830000000001</c:v>
                </c:pt>
                <c:pt idx="243">
                  <c:v>800.83100000000002</c:v>
                </c:pt>
                <c:pt idx="244">
                  <c:v>800.85035000000005</c:v>
                </c:pt>
                <c:pt idx="245">
                  <c:v>800.86003000000005</c:v>
                </c:pt>
                <c:pt idx="246">
                  <c:v>800.86971000000005</c:v>
                </c:pt>
                <c:pt idx="247">
                  <c:v>800.88881000000003</c:v>
                </c:pt>
                <c:pt idx="248">
                  <c:v>800.89799000000005</c:v>
                </c:pt>
                <c:pt idx="249">
                  <c:v>800.90692000000001</c:v>
                </c:pt>
                <c:pt idx="250">
                  <c:v>800.93234000000007</c:v>
                </c:pt>
                <c:pt idx="251">
                  <c:v>800.94040000000007</c:v>
                </c:pt>
                <c:pt idx="252">
                  <c:v>800.94826000000012</c:v>
                </c:pt>
                <c:pt idx="253">
                  <c:v>800.95592000000011</c:v>
                </c:pt>
                <c:pt idx="254">
                  <c:v>800.96342000000004</c:v>
                </c:pt>
                <c:pt idx="255">
                  <c:v>800.97791000000007</c:v>
                </c:pt>
                <c:pt idx="256">
                  <c:v>800.99176000000011</c:v>
                </c:pt>
                <c:pt idx="257">
                  <c:v>801.01148000000012</c:v>
                </c:pt>
                <c:pt idx="258">
                  <c:v>801.0177900000001</c:v>
                </c:pt>
                <c:pt idx="259">
                  <c:v>801.02398000000005</c:v>
                </c:pt>
                <c:pt idx="260">
                  <c:v>801.04757000000006</c:v>
                </c:pt>
                <c:pt idx="261">
                  <c:v>801.05320000000006</c:v>
                </c:pt>
                <c:pt idx="262">
                  <c:v>801.05873000000008</c:v>
                </c:pt>
                <c:pt idx="263">
                  <c:v>801.0799300000001</c:v>
                </c:pt>
                <c:pt idx="264">
                  <c:v>801.08501000000001</c:v>
                </c:pt>
                <c:pt idx="265">
                  <c:v>801.09001000000012</c:v>
                </c:pt>
                <c:pt idx="266">
                  <c:v>801.09493000000009</c:v>
                </c:pt>
                <c:pt idx="267">
                  <c:v>801.10456000000011</c:v>
                </c:pt>
                <c:pt idx="268">
                  <c:v>801.10926000000006</c:v>
                </c:pt>
                <c:pt idx="269">
                  <c:v>801.11389000000008</c:v>
                </c:pt>
                <c:pt idx="270">
                  <c:v>801.11846000000003</c:v>
                </c:pt>
                <c:pt idx="271">
                  <c:v>801.12296000000003</c:v>
                </c:pt>
                <c:pt idx="272">
                  <c:v>801.1317600000001</c:v>
                </c:pt>
                <c:pt idx="273">
                  <c:v>801.14032000000009</c:v>
                </c:pt>
                <c:pt idx="274">
                  <c:v>801.14865000000009</c:v>
                </c:pt>
                <c:pt idx="275">
                  <c:v>801.15272000000004</c:v>
                </c:pt>
                <c:pt idx="276">
                  <c:v>801.15674000000001</c:v>
                </c:pt>
                <c:pt idx="277">
                  <c:v>801.16071000000011</c:v>
                </c:pt>
                <c:pt idx="278">
                  <c:v>801.1646300000001</c:v>
                </c:pt>
                <c:pt idx="279">
                  <c:v>801.16850000000011</c:v>
                </c:pt>
                <c:pt idx="280">
                  <c:v>801.1723300000001</c:v>
                </c:pt>
                <c:pt idx="281">
                  <c:v>801.17984000000001</c:v>
                </c:pt>
                <c:pt idx="282">
                  <c:v>801.18353000000002</c:v>
                </c:pt>
                <c:pt idx="283">
                  <c:v>801.19078000000002</c:v>
                </c:pt>
                <c:pt idx="284">
                  <c:v>801.19434000000001</c:v>
                </c:pt>
                <c:pt idx="285">
                  <c:v>801.20134000000007</c:v>
                </c:pt>
                <c:pt idx="286">
                  <c:v>801.20478000000003</c:v>
                </c:pt>
                <c:pt idx="287">
                  <c:v>801.20819000000006</c:v>
                </c:pt>
                <c:pt idx="288">
                  <c:v>801.22466000000009</c:v>
                </c:pt>
                <c:pt idx="289">
                  <c:v>801.2278500000001</c:v>
                </c:pt>
                <c:pt idx="290">
                  <c:v>801.23101000000008</c:v>
                </c:pt>
                <c:pt idx="291">
                  <c:v>801.23413000000005</c:v>
                </c:pt>
                <c:pt idx="292">
                  <c:v>801.2402800000001</c:v>
                </c:pt>
                <c:pt idx="293">
                  <c:v>801.24631000000011</c:v>
                </c:pt>
                <c:pt idx="294">
                  <c:v>801.24929000000009</c:v>
                </c:pt>
                <c:pt idx="295">
                  <c:v>801.25224000000003</c:v>
                </c:pt>
                <c:pt idx="296">
                  <c:v>801.25805000000003</c:v>
                </c:pt>
                <c:pt idx="297">
                  <c:v>801.26092000000006</c:v>
                </c:pt>
                <c:pt idx="298">
                  <c:v>801.26657000000012</c:v>
                </c:pt>
                <c:pt idx="299">
                  <c:v>801.26936000000012</c:v>
                </c:pt>
                <c:pt idx="300">
                  <c:v>801.27212000000009</c:v>
                </c:pt>
                <c:pt idx="301">
                  <c:v>801.28291000000002</c:v>
                </c:pt>
                <c:pt idx="302">
                  <c:v>801.28555000000006</c:v>
                </c:pt>
                <c:pt idx="303">
                  <c:v>801.28817000000004</c:v>
                </c:pt>
                <c:pt idx="304">
                  <c:v>801.29842000000008</c:v>
                </c:pt>
                <c:pt idx="305">
                  <c:v>801.30093000000011</c:v>
                </c:pt>
                <c:pt idx="306">
                  <c:v>801.30343000000005</c:v>
                </c:pt>
                <c:pt idx="307">
                  <c:v>801.30836000000011</c:v>
                </c:pt>
                <c:pt idx="308">
                  <c:v>801.31079000000011</c:v>
                </c:pt>
                <c:pt idx="309">
                  <c:v>801.31320000000005</c:v>
                </c:pt>
                <c:pt idx="310">
                  <c:v>801.31560000000002</c:v>
                </c:pt>
                <c:pt idx="311">
                  <c:v>801.31798000000003</c:v>
                </c:pt>
                <c:pt idx="312">
                  <c:v>801.32269000000008</c:v>
                </c:pt>
                <c:pt idx="313">
                  <c:v>801.32733000000007</c:v>
                </c:pt>
                <c:pt idx="314">
                  <c:v>801.33189000000004</c:v>
                </c:pt>
                <c:pt idx="315">
                  <c:v>801.33639000000005</c:v>
                </c:pt>
                <c:pt idx="316">
                  <c:v>801.33862000000011</c:v>
                </c:pt>
                <c:pt idx="317">
                  <c:v>801.34304000000009</c:v>
                </c:pt>
                <c:pt idx="318">
                  <c:v>801.34523000000002</c:v>
                </c:pt>
                <c:pt idx="319">
                  <c:v>801.34956000000011</c:v>
                </c:pt>
                <c:pt idx="320">
                  <c:v>801.35170000000005</c:v>
                </c:pt>
                <c:pt idx="321">
                  <c:v>801.35382000000004</c:v>
                </c:pt>
                <c:pt idx="322">
                  <c:v>801.3601000000001</c:v>
                </c:pt>
                <c:pt idx="323">
                  <c:v>801.36216000000002</c:v>
                </c:pt>
                <c:pt idx="324">
                  <c:v>801.36421000000007</c:v>
                </c:pt>
                <c:pt idx="325">
                  <c:v>801.36625000000004</c:v>
                </c:pt>
                <c:pt idx="326">
                  <c:v>801.36827000000005</c:v>
                </c:pt>
                <c:pt idx="327">
                  <c:v>801.37029000000007</c:v>
                </c:pt>
                <c:pt idx="328">
                  <c:v>801.37229000000002</c:v>
                </c:pt>
                <c:pt idx="329">
                  <c:v>801.37428000000011</c:v>
                </c:pt>
                <c:pt idx="330">
                  <c:v>801.37626000000012</c:v>
                </c:pt>
                <c:pt idx="331">
                  <c:v>801.37823000000003</c:v>
                </c:pt>
                <c:pt idx="332">
                  <c:v>801.38018000000011</c:v>
                </c:pt>
                <c:pt idx="333">
                  <c:v>801.38597000000004</c:v>
                </c:pt>
                <c:pt idx="334">
                  <c:v>801.38788000000011</c:v>
                </c:pt>
                <c:pt idx="335">
                  <c:v>801.38978000000009</c:v>
                </c:pt>
                <c:pt idx="336">
                  <c:v>801.39167000000009</c:v>
                </c:pt>
                <c:pt idx="337">
                  <c:v>801.39728000000002</c:v>
                </c:pt>
                <c:pt idx="338">
                  <c:v>801.39913000000001</c:v>
                </c:pt>
                <c:pt idx="339">
                  <c:v>801.40097000000003</c:v>
                </c:pt>
                <c:pt idx="340">
                  <c:v>801.40644000000009</c:v>
                </c:pt>
                <c:pt idx="341">
                  <c:v>801.40824000000009</c:v>
                </c:pt>
                <c:pt idx="342">
                  <c:v>801.41181000000006</c:v>
                </c:pt>
                <c:pt idx="343">
                  <c:v>801.41359000000011</c:v>
                </c:pt>
                <c:pt idx="344">
                  <c:v>801.41713000000004</c:v>
                </c:pt>
                <c:pt idx="345">
                  <c:v>801.41888000000006</c:v>
                </c:pt>
                <c:pt idx="346">
                  <c:v>801.42235000000005</c:v>
                </c:pt>
                <c:pt idx="347">
                  <c:v>801.42579000000012</c:v>
                </c:pt>
                <c:pt idx="348">
                  <c:v>801.42750000000001</c:v>
                </c:pt>
                <c:pt idx="349">
                  <c:v>801.42920000000004</c:v>
                </c:pt>
                <c:pt idx="350">
                  <c:v>801.43089000000009</c:v>
                </c:pt>
                <c:pt idx="351">
                  <c:v>801.43425000000002</c:v>
                </c:pt>
                <c:pt idx="352">
                  <c:v>801.43758000000003</c:v>
                </c:pt>
                <c:pt idx="353">
                  <c:v>801.44088000000011</c:v>
                </c:pt>
                <c:pt idx="354">
                  <c:v>801.44415000000004</c:v>
                </c:pt>
                <c:pt idx="355">
                  <c:v>801.44577000000004</c:v>
                </c:pt>
                <c:pt idx="356">
                  <c:v>801.44739000000004</c:v>
                </c:pt>
                <c:pt idx="357">
                  <c:v>801.44900000000007</c:v>
                </c:pt>
                <c:pt idx="358">
                  <c:v>801.45220000000006</c:v>
                </c:pt>
                <c:pt idx="359">
                  <c:v>801.45537000000002</c:v>
                </c:pt>
                <c:pt idx="360">
                  <c:v>801.45695000000012</c:v>
                </c:pt>
                <c:pt idx="361">
                  <c:v>801.46008000000006</c:v>
                </c:pt>
                <c:pt idx="362">
                  <c:v>801.46163000000001</c:v>
                </c:pt>
                <c:pt idx="363">
                  <c:v>801.46473000000003</c:v>
                </c:pt>
                <c:pt idx="364">
                  <c:v>801.46627000000012</c:v>
                </c:pt>
                <c:pt idx="365">
                  <c:v>801.46933000000001</c:v>
                </c:pt>
                <c:pt idx="366">
                  <c:v>801.47085000000004</c:v>
                </c:pt>
                <c:pt idx="367">
                  <c:v>801.47236000000009</c:v>
                </c:pt>
                <c:pt idx="368">
                  <c:v>801.47537000000011</c:v>
                </c:pt>
                <c:pt idx="369">
                  <c:v>801.4768600000001</c:v>
                </c:pt>
                <c:pt idx="370">
                  <c:v>801.47835000000009</c:v>
                </c:pt>
                <c:pt idx="371">
                  <c:v>801.48130000000003</c:v>
                </c:pt>
                <c:pt idx="372">
                  <c:v>801.48277000000007</c:v>
                </c:pt>
                <c:pt idx="373">
                  <c:v>801.48424000000011</c:v>
                </c:pt>
                <c:pt idx="374">
                  <c:v>801.48570000000007</c:v>
                </c:pt>
                <c:pt idx="375">
                  <c:v>801.49005000000011</c:v>
                </c:pt>
                <c:pt idx="376">
                  <c:v>801.49149000000011</c:v>
                </c:pt>
                <c:pt idx="377">
                  <c:v>801.49292000000003</c:v>
                </c:pt>
                <c:pt idx="378">
                  <c:v>801.49434000000008</c:v>
                </c:pt>
                <c:pt idx="379">
                  <c:v>801.49999000000003</c:v>
                </c:pt>
                <c:pt idx="380">
                  <c:v>801.50139000000001</c:v>
                </c:pt>
                <c:pt idx="381">
                  <c:v>801.50278000000003</c:v>
                </c:pt>
                <c:pt idx="382">
                  <c:v>801.50416000000007</c:v>
                </c:pt>
                <c:pt idx="383">
                  <c:v>801.50555000000008</c:v>
                </c:pt>
                <c:pt idx="384">
                  <c:v>801.50693000000001</c:v>
                </c:pt>
                <c:pt idx="385">
                  <c:v>801.50830000000008</c:v>
                </c:pt>
                <c:pt idx="386">
                  <c:v>801.50967000000003</c:v>
                </c:pt>
                <c:pt idx="387">
                  <c:v>801.51103000000012</c:v>
                </c:pt>
                <c:pt idx="388">
                  <c:v>801.53369000000009</c:v>
                </c:pt>
                <c:pt idx="389">
                  <c:v>801.53499000000011</c:v>
                </c:pt>
                <c:pt idx="390">
                  <c:v>801.53628000000003</c:v>
                </c:pt>
                <c:pt idx="391">
                  <c:v>801.53757000000007</c:v>
                </c:pt>
                <c:pt idx="392">
                  <c:v>801.53886000000011</c:v>
                </c:pt>
                <c:pt idx="393">
                  <c:v>801.54015000000004</c:v>
                </c:pt>
                <c:pt idx="394">
                  <c:v>801.54144000000008</c:v>
                </c:pt>
                <c:pt idx="395">
                  <c:v>801.54272000000003</c:v>
                </c:pt>
                <c:pt idx="396">
                  <c:v>801.54399000000012</c:v>
                </c:pt>
                <c:pt idx="397">
                  <c:v>801.55031000000008</c:v>
                </c:pt>
                <c:pt idx="398">
                  <c:v>801.55156000000011</c:v>
                </c:pt>
                <c:pt idx="399">
                  <c:v>801.55281000000002</c:v>
                </c:pt>
                <c:pt idx="400">
                  <c:v>801.55406000000005</c:v>
                </c:pt>
                <c:pt idx="401">
                  <c:v>801.5553000000001</c:v>
                </c:pt>
                <c:pt idx="402">
                  <c:v>801.55902000000003</c:v>
                </c:pt>
                <c:pt idx="403">
                  <c:v>801.56025000000011</c:v>
                </c:pt>
                <c:pt idx="404">
                  <c:v>801.56148000000007</c:v>
                </c:pt>
                <c:pt idx="405">
                  <c:v>801.56271000000004</c:v>
                </c:pt>
                <c:pt idx="406">
                  <c:v>801.56394000000012</c:v>
                </c:pt>
                <c:pt idx="407">
                  <c:v>801.56759000000011</c:v>
                </c:pt>
                <c:pt idx="408">
                  <c:v>801.56880000000001</c:v>
                </c:pt>
                <c:pt idx="409">
                  <c:v>801.57</c:v>
                </c:pt>
                <c:pt idx="410">
                  <c:v>801.57360000000006</c:v>
                </c:pt>
                <c:pt idx="411">
                  <c:v>801.57479000000012</c:v>
                </c:pt>
                <c:pt idx="412">
                  <c:v>801.57598000000007</c:v>
                </c:pt>
                <c:pt idx="413">
                  <c:v>801.57955000000004</c:v>
                </c:pt>
                <c:pt idx="414">
                  <c:v>801.58073000000002</c:v>
                </c:pt>
                <c:pt idx="415">
                  <c:v>801.58426000000009</c:v>
                </c:pt>
                <c:pt idx="416">
                  <c:v>801.58543000000009</c:v>
                </c:pt>
                <c:pt idx="417">
                  <c:v>801.58893000000012</c:v>
                </c:pt>
                <c:pt idx="418">
                  <c:v>801.59009000000003</c:v>
                </c:pt>
                <c:pt idx="419">
                  <c:v>801.59355000000005</c:v>
                </c:pt>
                <c:pt idx="420">
                  <c:v>801.59469000000001</c:v>
                </c:pt>
                <c:pt idx="421">
                  <c:v>801.59697000000006</c:v>
                </c:pt>
                <c:pt idx="422">
                  <c:v>801.59811000000002</c:v>
                </c:pt>
                <c:pt idx="423">
                  <c:v>801.60151000000008</c:v>
                </c:pt>
                <c:pt idx="424">
                  <c:v>801.60264000000006</c:v>
                </c:pt>
                <c:pt idx="425">
                  <c:v>801.60488000000009</c:v>
                </c:pt>
                <c:pt idx="426">
                  <c:v>801.60600000000011</c:v>
                </c:pt>
                <c:pt idx="427">
                  <c:v>801.60823000000005</c:v>
                </c:pt>
                <c:pt idx="428">
                  <c:v>801.60934000000009</c:v>
                </c:pt>
                <c:pt idx="429">
                  <c:v>801.61157000000003</c:v>
                </c:pt>
                <c:pt idx="430">
                  <c:v>801.61268000000007</c:v>
                </c:pt>
                <c:pt idx="431">
                  <c:v>801.61488000000008</c:v>
                </c:pt>
                <c:pt idx="432">
                  <c:v>801.61597000000006</c:v>
                </c:pt>
                <c:pt idx="433">
                  <c:v>801.61815000000001</c:v>
                </c:pt>
                <c:pt idx="434">
                  <c:v>801.62033000000008</c:v>
                </c:pt>
                <c:pt idx="435">
                  <c:v>801.62141000000008</c:v>
                </c:pt>
                <c:pt idx="436">
                  <c:v>801.62357000000009</c:v>
                </c:pt>
                <c:pt idx="437">
                  <c:v>801.62465000000009</c:v>
                </c:pt>
                <c:pt idx="438">
                  <c:v>801.62679000000003</c:v>
                </c:pt>
                <c:pt idx="439">
                  <c:v>801.62892000000011</c:v>
                </c:pt>
                <c:pt idx="440">
                  <c:v>801.62999000000002</c:v>
                </c:pt>
                <c:pt idx="441">
                  <c:v>801.63211000000001</c:v>
                </c:pt>
                <c:pt idx="442">
                  <c:v>801.63423000000012</c:v>
                </c:pt>
                <c:pt idx="443">
                  <c:v>801.63528000000008</c:v>
                </c:pt>
                <c:pt idx="444">
                  <c:v>801.6373900000001</c:v>
                </c:pt>
                <c:pt idx="445">
                  <c:v>801.63948000000005</c:v>
                </c:pt>
                <c:pt idx="446">
                  <c:v>801.64156000000003</c:v>
                </c:pt>
                <c:pt idx="447">
                  <c:v>801.64260000000002</c:v>
                </c:pt>
                <c:pt idx="448">
                  <c:v>801.64364000000012</c:v>
                </c:pt>
                <c:pt idx="449">
                  <c:v>801.64468000000011</c:v>
                </c:pt>
                <c:pt idx="450">
                  <c:v>801.64675000000011</c:v>
                </c:pt>
                <c:pt idx="451">
                  <c:v>801.64881000000003</c:v>
                </c:pt>
                <c:pt idx="452">
                  <c:v>801.6508500000001</c:v>
                </c:pt>
                <c:pt idx="453">
                  <c:v>801.65289000000007</c:v>
                </c:pt>
                <c:pt idx="454">
                  <c:v>801.65493000000004</c:v>
                </c:pt>
                <c:pt idx="455">
                  <c:v>801.65695000000005</c:v>
                </c:pt>
                <c:pt idx="456">
                  <c:v>801.65796000000012</c:v>
                </c:pt>
                <c:pt idx="457">
                  <c:v>801.65896000000009</c:v>
                </c:pt>
                <c:pt idx="458">
                  <c:v>801.65996000000007</c:v>
                </c:pt>
                <c:pt idx="459">
                  <c:v>801.66096000000005</c:v>
                </c:pt>
                <c:pt idx="460">
                  <c:v>801.66296000000011</c:v>
                </c:pt>
                <c:pt idx="461">
                  <c:v>801.66494000000012</c:v>
                </c:pt>
                <c:pt idx="462">
                  <c:v>801.66692000000012</c:v>
                </c:pt>
                <c:pt idx="463">
                  <c:v>801.66889000000003</c:v>
                </c:pt>
                <c:pt idx="464">
                  <c:v>801.67085000000009</c:v>
                </c:pt>
                <c:pt idx="465">
                  <c:v>801.67281000000003</c:v>
                </c:pt>
                <c:pt idx="466">
                  <c:v>801.67477000000008</c:v>
                </c:pt>
                <c:pt idx="467">
                  <c:v>801.67574000000002</c:v>
                </c:pt>
                <c:pt idx="468">
                  <c:v>801.67671000000007</c:v>
                </c:pt>
                <c:pt idx="469">
                  <c:v>801.67768000000001</c:v>
                </c:pt>
                <c:pt idx="470">
                  <c:v>801.67864000000009</c:v>
                </c:pt>
                <c:pt idx="471">
                  <c:v>801.67960000000005</c:v>
                </c:pt>
                <c:pt idx="472">
                  <c:v>801.68153000000007</c:v>
                </c:pt>
                <c:pt idx="473">
                  <c:v>801.68345000000011</c:v>
                </c:pt>
                <c:pt idx="474">
                  <c:v>801.68441000000007</c:v>
                </c:pt>
                <c:pt idx="475">
                  <c:v>801.68537000000003</c:v>
                </c:pt>
                <c:pt idx="476">
                  <c:v>801.68633000000011</c:v>
                </c:pt>
                <c:pt idx="477">
                  <c:v>801.68823000000009</c:v>
                </c:pt>
                <c:pt idx="478">
                  <c:v>801.69012000000009</c:v>
                </c:pt>
                <c:pt idx="479">
                  <c:v>801.69106000000011</c:v>
                </c:pt>
                <c:pt idx="480">
                  <c:v>801.69295000000011</c:v>
                </c:pt>
                <c:pt idx="481">
                  <c:v>801.69578000000001</c:v>
                </c:pt>
                <c:pt idx="482">
                  <c:v>801.69673000000012</c:v>
                </c:pt>
                <c:pt idx="483">
                  <c:v>801.69767000000002</c:v>
                </c:pt>
                <c:pt idx="484">
                  <c:v>801.69955000000004</c:v>
                </c:pt>
                <c:pt idx="485">
                  <c:v>801.70143000000007</c:v>
                </c:pt>
                <c:pt idx="486">
                  <c:v>801.70237000000009</c:v>
                </c:pt>
                <c:pt idx="487">
                  <c:v>801.70425000000012</c:v>
                </c:pt>
                <c:pt idx="488">
                  <c:v>801.70613000000003</c:v>
                </c:pt>
                <c:pt idx="489">
                  <c:v>801.70707000000004</c:v>
                </c:pt>
                <c:pt idx="490">
                  <c:v>801.70801000000006</c:v>
                </c:pt>
                <c:pt idx="491">
                  <c:v>801.70896000000005</c:v>
                </c:pt>
                <c:pt idx="492">
                  <c:v>801.71086000000003</c:v>
                </c:pt>
                <c:pt idx="493">
                  <c:v>801.71276000000012</c:v>
                </c:pt>
                <c:pt idx="494">
                  <c:v>801.71370000000002</c:v>
                </c:pt>
                <c:pt idx="495">
                  <c:v>801.71560000000011</c:v>
                </c:pt>
                <c:pt idx="496">
                  <c:v>801.71749000000011</c:v>
                </c:pt>
                <c:pt idx="497">
                  <c:v>801.7184400000001</c:v>
                </c:pt>
                <c:pt idx="498">
                  <c:v>801.71939000000009</c:v>
                </c:pt>
                <c:pt idx="499">
                  <c:v>801.72034000000008</c:v>
                </c:pt>
                <c:pt idx="500">
                  <c:v>801.72224000000006</c:v>
                </c:pt>
                <c:pt idx="501">
                  <c:v>801.72414000000003</c:v>
                </c:pt>
                <c:pt idx="502">
                  <c:v>801.72509000000002</c:v>
                </c:pt>
                <c:pt idx="503">
                  <c:v>801.72699000000011</c:v>
                </c:pt>
                <c:pt idx="504">
                  <c:v>801.72889000000009</c:v>
                </c:pt>
                <c:pt idx="505">
                  <c:v>801.73080000000004</c:v>
                </c:pt>
                <c:pt idx="506">
                  <c:v>801.73176000000012</c:v>
                </c:pt>
                <c:pt idx="507">
                  <c:v>801.7336600000001</c:v>
                </c:pt>
                <c:pt idx="508">
                  <c:v>801.73556000000008</c:v>
                </c:pt>
                <c:pt idx="509">
                  <c:v>801.73746000000006</c:v>
                </c:pt>
                <c:pt idx="510">
                  <c:v>801.73842000000002</c:v>
                </c:pt>
                <c:pt idx="511">
                  <c:v>801.74034000000006</c:v>
                </c:pt>
                <c:pt idx="512">
                  <c:v>801.74225000000001</c:v>
                </c:pt>
                <c:pt idx="513">
                  <c:v>801.74417000000005</c:v>
                </c:pt>
                <c:pt idx="514">
                  <c:v>801.74513000000002</c:v>
                </c:pt>
                <c:pt idx="515">
                  <c:v>801.74705000000006</c:v>
                </c:pt>
                <c:pt idx="516">
                  <c:v>801.7489700000001</c:v>
                </c:pt>
                <c:pt idx="517">
                  <c:v>801.75089000000003</c:v>
                </c:pt>
                <c:pt idx="518">
                  <c:v>801.7518500000001</c:v>
                </c:pt>
                <c:pt idx="519">
                  <c:v>801.75281000000007</c:v>
                </c:pt>
                <c:pt idx="520">
                  <c:v>801.75378000000012</c:v>
                </c:pt>
                <c:pt idx="521">
                  <c:v>801.75570000000005</c:v>
                </c:pt>
                <c:pt idx="522">
                  <c:v>801.75763000000006</c:v>
                </c:pt>
                <c:pt idx="523">
                  <c:v>801.75956000000008</c:v>
                </c:pt>
                <c:pt idx="524">
                  <c:v>801.76052000000004</c:v>
                </c:pt>
                <c:pt idx="525">
                  <c:v>801.76246000000003</c:v>
                </c:pt>
                <c:pt idx="526">
                  <c:v>801.76439000000005</c:v>
                </c:pt>
                <c:pt idx="527">
                  <c:v>801.76631000000009</c:v>
                </c:pt>
                <c:pt idx="528">
                  <c:v>801.76728000000003</c:v>
                </c:pt>
                <c:pt idx="529">
                  <c:v>801.76825000000008</c:v>
                </c:pt>
                <c:pt idx="530">
                  <c:v>801.76922000000002</c:v>
                </c:pt>
                <c:pt idx="531">
                  <c:v>801.77114000000006</c:v>
                </c:pt>
                <c:pt idx="532">
                  <c:v>801.77307000000008</c:v>
                </c:pt>
                <c:pt idx="533">
                  <c:v>801.77500000000009</c:v>
                </c:pt>
                <c:pt idx="534">
                  <c:v>801.77694000000008</c:v>
                </c:pt>
                <c:pt idx="535">
                  <c:v>801.77790000000005</c:v>
                </c:pt>
                <c:pt idx="536">
                  <c:v>801.7788700000001</c:v>
                </c:pt>
                <c:pt idx="537">
                  <c:v>801.77984000000004</c:v>
                </c:pt>
                <c:pt idx="538">
                  <c:v>801.78178000000003</c:v>
                </c:pt>
                <c:pt idx="539">
                  <c:v>801.78372000000002</c:v>
                </c:pt>
                <c:pt idx="540">
                  <c:v>801.78566000000012</c:v>
                </c:pt>
                <c:pt idx="541">
                  <c:v>801.78663000000006</c:v>
                </c:pt>
                <c:pt idx="542">
                  <c:v>801.78760000000011</c:v>
                </c:pt>
                <c:pt idx="543">
                  <c:v>801.78857000000005</c:v>
                </c:pt>
                <c:pt idx="544">
                  <c:v>801.79051000000004</c:v>
                </c:pt>
                <c:pt idx="545">
                  <c:v>801.79247000000009</c:v>
                </c:pt>
                <c:pt idx="546">
                  <c:v>801.79443000000003</c:v>
                </c:pt>
                <c:pt idx="547">
                  <c:v>801.79639000000009</c:v>
                </c:pt>
                <c:pt idx="548">
                  <c:v>801.79737000000011</c:v>
                </c:pt>
                <c:pt idx="549">
                  <c:v>801.79835000000003</c:v>
                </c:pt>
                <c:pt idx="550">
                  <c:v>801.79932000000008</c:v>
                </c:pt>
                <c:pt idx="551">
                  <c:v>801.80126000000007</c:v>
                </c:pt>
                <c:pt idx="552">
                  <c:v>801.80322000000001</c:v>
                </c:pt>
                <c:pt idx="553">
                  <c:v>801.80518000000006</c:v>
                </c:pt>
                <c:pt idx="554">
                  <c:v>801.80714000000012</c:v>
                </c:pt>
                <c:pt idx="555">
                  <c:v>801.80910000000006</c:v>
                </c:pt>
                <c:pt idx="556">
                  <c:v>801.81008000000008</c:v>
                </c:pt>
                <c:pt idx="557">
                  <c:v>801.81106000000011</c:v>
                </c:pt>
                <c:pt idx="558">
                  <c:v>801.81204000000002</c:v>
                </c:pt>
                <c:pt idx="559">
                  <c:v>801.81302000000005</c:v>
                </c:pt>
                <c:pt idx="560">
                  <c:v>801.81400000000008</c:v>
                </c:pt>
                <c:pt idx="561">
                  <c:v>801.81596000000002</c:v>
                </c:pt>
                <c:pt idx="562">
                  <c:v>801.81793000000005</c:v>
                </c:pt>
                <c:pt idx="563">
                  <c:v>801.8198900000001</c:v>
                </c:pt>
                <c:pt idx="564">
                  <c:v>801.82185000000004</c:v>
                </c:pt>
                <c:pt idx="565">
                  <c:v>801.82383000000004</c:v>
                </c:pt>
                <c:pt idx="566">
                  <c:v>801.82581000000005</c:v>
                </c:pt>
                <c:pt idx="567">
                  <c:v>801.82680000000005</c:v>
                </c:pt>
                <c:pt idx="568">
                  <c:v>801.82778000000008</c:v>
                </c:pt>
                <c:pt idx="569">
                  <c:v>801.8287600000001</c:v>
                </c:pt>
                <c:pt idx="570">
                  <c:v>801.82974000000002</c:v>
                </c:pt>
                <c:pt idx="571">
                  <c:v>801.83072000000004</c:v>
                </c:pt>
                <c:pt idx="572">
                  <c:v>801.83171000000004</c:v>
                </c:pt>
                <c:pt idx="573">
                  <c:v>801.83270000000005</c:v>
                </c:pt>
                <c:pt idx="574">
                  <c:v>801.83467000000007</c:v>
                </c:pt>
                <c:pt idx="575">
                  <c:v>801.83665000000008</c:v>
                </c:pt>
                <c:pt idx="576">
                  <c:v>801.83863000000008</c:v>
                </c:pt>
                <c:pt idx="577">
                  <c:v>801.84061000000008</c:v>
                </c:pt>
                <c:pt idx="578">
                  <c:v>801.84259000000009</c:v>
                </c:pt>
                <c:pt idx="579">
                  <c:v>801.84457000000009</c:v>
                </c:pt>
                <c:pt idx="580">
                  <c:v>801.84655000000009</c:v>
                </c:pt>
                <c:pt idx="581">
                  <c:v>801.8485300000001</c:v>
                </c:pt>
                <c:pt idx="582">
                  <c:v>801.8505100000001</c:v>
                </c:pt>
                <c:pt idx="583">
                  <c:v>801.85250000000008</c:v>
                </c:pt>
                <c:pt idx="584">
                  <c:v>801.85349000000008</c:v>
                </c:pt>
                <c:pt idx="585">
                  <c:v>801.85448000000008</c:v>
                </c:pt>
                <c:pt idx="586">
                  <c:v>801.85547000000008</c:v>
                </c:pt>
                <c:pt idx="587">
                  <c:v>801.85646000000008</c:v>
                </c:pt>
                <c:pt idx="588">
                  <c:v>801.85745000000009</c:v>
                </c:pt>
                <c:pt idx="589">
                  <c:v>801.85844000000009</c:v>
                </c:pt>
                <c:pt idx="590">
                  <c:v>801.85944000000006</c:v>
                </c:pt>
                <c:pt idx="591">
                  <c:v>801.86044000000004</c:v>
                </c:pt>
                <c:pt idx="592">
                  <c:v>801.86144000000002</c:v>
                </c:pt>
                <c:pt idx="593">
                  <c:v>801.86244000000011</c:v>
                </c:pt>
                <c:pt idx="594">
                  <c:v>801.86343000000011</c:v>
                </c:pt>
                <c:pt idx="595">
                  <c:v>801.86443000000008</c:v>
                </c:pt>
                <c:pt idx="596">
                  <c:v>801.86543000000006</c:v>
                </c:pt>
                <c:pt idx="597">
                  <c:v>801.86642000000006</c:v>
                </c:pt>
                <c:pt idx="598">
                  <c:v>801.86742000000004</c:v>
                </c:pt>
                <c:pt idx="599">
                  <c:v>801.86842000000001</c:v>
                </c:pt>
                <c:pt idx="600">
                  <c:v>801.87042000000008</c:v>
                </c:pt>
                <c:pt idx="601">
                  <c:v>801.87142000000006</c:v>
                </c:pt>
                <c:pt idx="602">
                  <c:v>801.87242000000003</c:v>
                </c:pt>
                <c:pt idx="603">
                  <c:v>801.87342000000001</c:v>
                </c:pt>
                <c:pt idx="604">
                  <c:v>801.8744200000001</c:v>
                </c:pt>
                <c:pt idx="605">
                  <c:v>801.87542000000008</c:v>
                </c:pt>
                <c:pt idx="606">
                  <c:v>801.87642000000005</c:v>
                </c:pt>
                <c:pt idx="607">
                  <c:v>801.87742000000003</c:v>
                </c:pt>
                <c:pt idx="608">
                  <c:v>801.87842000000012</c:v>
                </c:pt>
                <c:pt idx="609">
                  <c:v>801.8794200000001</c:v>
                </c:pt>
                <c:pt idx="610">
                  <c:v>801.88142000000005</c:v>
                </c:pt>
                <c:pt idx="611">
                  <c:v>801.88242000000002</c:v>
                </c:pt>
                <c:pt idx="612">
                  <c:v>801.88342000000011</c:v>
                </c:pt>
                <c:pt idx="613">
                  <c:v>801.88442000000009</c:v>
                </c:pt>
                <c:pt idx="614">
                  <c:v>801.88542000000007</c:v>
                </c:pt>
                <c:pt idx="615">
                  <c:v>801.88642000000004</c:v>
                </c:pt>
                <c:pt idx="616">
                  <c:v>801.88742000000002</c:v>
                </c:pt>
                <c:pt idx="617">
                  <c:v>801.88843000000008</c:v>
                </c:pt>
                <c:pt idx="618">
                  <c:v>801.88943000000006</c:v>
                </c:pt>
                <c:pt idx="619">
                  <c:v>801.89043000000004</c:v>
                </c:pt>
                <c:pt idx="620">
                  <c:v>801.8914400000001</c:v>
                </c:pt>
                <c:pt idx="621">
                  <c:v>801.89245000000005</c:v>
                </c:pt>
                <c:pt idx="622">
                  <c:v>801.89346000000012</c:v>
                </c:pt>
                <c:pt idx="623">
                  <c:v>801.89447000000007</c:v>
                </c:pt>
                <c:pt idx="624">
                  <c:v>801.89547000000005</c:v>
                </c:pt>
                <c:pt idx="625">
                  <c:v>801.89648000000011</c:v>
                </c:pt>
                <c:pt idx="626">
                  <c:v>801.89749000000006</c:v>
                </c:pt>
                <c:pt idx="627">
                  <c:v>801.89850000000001</c:v>
                </c:pt>
                <c:pt idx="628">
                  <c:v>801.89951000000008</c:v>
                </c:pt>
                <c:pt idx="629">
                  <c:v>801.90052000000003</c:v>
                </c:pt>
                <c:pt idx="630">
                  <c:v>801.90153000000009</c:v>
                </c:pt>
                <c:pt idx="631">
                  <c:v>801.90254000000004</c:v>
                </c:pt>
                <c:pt idx="632">
                  <c:v>801.90355000000011</c:v>
                </c:pt>
                <c:pt idx="633">
                  <c:v>801.90456000000006</c:v>
                </c:pt>
                <c:pt idx="634">
                  <c:v>801.90557000000001</c:v>
                </c:pt>
                <c:pt idx="635">
                  <c:v>801.90658000000008</c:v>
                </c:pt>
                <c:pt idx="636">
                  <c:v>801.90759000000003</c:v>
                </c:pt>
                <c:pt idx="637">
                  <c:v>801.90860000000009</c:v>
                </c:pt>
                <c:pt idx="638">
                  <c:v>801.91062000000011</c:v>
                </c:pt>
                <c:pt idx="639">
                  <c:v>801.91264000000001</c:v>
                </c:pt>
                <c:pt idx="640">
                  <c:v>801.91466000000003</c:v>
                </c:pt>
                <c:pt idx="641">
                  <c:v>801.91668000000004</c:v>
                </c:pt>
                <c:pt idx="642">
                  <c:v>801.91870000000006</c:v>
                </c:pt>
                <c:pt idx="643">
                  <c:v>801.92072000000007</c:v>
                </c:pt>
                <c:pt idx="644">
                  <c:v>801.92276000000004</c:v>
                </c:pt>
                <c:pt idx="645">
                  <c:v>801.92480000000012</c:v>
                </c:pt>
                <c:pt idx="646">
                  <c:v>801.92581000000007</c:v>
                </c:pt>
                <c:pt idx="647">
                  <c:v>801.92683000000011</c:v>
                </c:pt>
                <c:pt idx="648">
                  <c:v>801.92785000000003</c:v>
                </c:pt>
                <c:pt idx="649">
                  <c:v>801.9288600000001</c:v>
                </c:pt>
                <c:pt idx="650">
                  <c:v>801.92988000000003</c:v>
                </c:pt>
                <c:pt idx="651">
                  <c:v>801.93090000000007</c:v>
                </c:pt>
                <c:pt idx="652">
                  <c:v>801.9319200000001</c:v>
                </c:pt>
                <c:pt idx="653">
                  <c:v>801.93397000000004</c:v>
                </c:pt>
                <c:pt idx="654">
                  <c:v>801.93601000000001</c:v>
                </c:pt>
                <c:pt idx="655">
                  <c:v>801.93805000000009</c:v>
                </c:pt>
                <c:pt idx="656">
                  <c:v>801.94010000000003</c:v>
                </c:pt>
                <c:pt idx="657">
                  <c:v>801.94214000000011</c:v>
                </c:pt>
                <c:pt idx="658">
                  <c:v>801.94316000000003</c:v>
                </c:pt>
                <c:pt idx="659">
                  <c:v>801.94419000000005</c:v>
                </c:pt>
                <c:pt idx="660">
                  <c:v>801.94522000000006</c:v>
                </c:pt>
                <c:pt idx="661">
                  <c:v>801.94625000000008</c:v>
                </c:pt>
                <c:pt idx="662">
                  <c:v>801.94728000000009</c:v>
                </c:pt>
                <c:pt idx="663">
                  <c:v>801.94933000000003</c:v>
                </c:pt>
                <c:pt idx="664">
                  <c:v>801.95139000000006</c:v>
                </c:pt>
                <c:pt idx="665">
                  <c:v>801.95345000000009</c:v>
                </c:pt>
                <c:pt idx="666">
                  <c:v>801.95549000000005</c:v>
                </c:pt>
                <c:pt idx="667">
                  <c:v>801.95755000000008</c:v>
                </c:pt>
                <c:pt idx="668">
                  <c:v>801.95857000000001</c:v>
                </c:pt>
                <c:pt idx="669">
                  <c:v>801.95960000000002</c:v>
                </c:pt>
                <c:pt idx="670">
                  <c:v>801.96063000000004</c:v>
                </c:pt>
                <c:pt idx="671">
                  <c:v>801.96165000000008</c:v>
                </c:pt>
                <c:pt idx="672">
                  <c:v>801.96268000000009</c:v>
                </c:pt>
                <c:pt idx="673">
                  <c:v>801.96474000000012</c:v>
                </c:pt>
                <c:pt idx="674">
                  <c:v>801.96681000000001</c:v>
                </c:pt>
                <c:pt idx="675">
                  <c:v>801.96887000000004</c:v>
                </c:pt>
                <c:pt idx="676">
                  <c:v>801.97093000000007</c:v>
                </c:pt>
                <c:pt idx="677">
                  <c:v>801.97197000000006</c:v>
                </c:pt>
                <c:pt idx="678">
                  <c:v>801.97300000000007</c:v>
                </c:pt>
                <c:pt idx="679">
                  <c:v>801.97403000000008</c:v>
                </c:pt>
                <c:pt idx="680">
                  <c:v>801.97610000000009</c:v>
                </c:pt>
                <c:pt idx="681">
                  <c:v>801.97817000000009</c:v>
                </c:pt>
                <c:pt idx="682">
                  <c:v>801.98025000000007</c:v>
                </c:pt>
                <c:pt idx="683">
                  <c:v>801.98129000000006</c:v>
                </c:pt>
                <c:pt idx="684">
                  <c:v>801.98233000000005</c:v>
                </c:pt>
                <c:pt idx="685">
                  <c:v>801.98336000000006</c:v>
                </c:pt>
                <c:pt idx="686">
                  <c:v>801.98439000000008</c:v>
                </c:pt>
                <c:pt idx="687">
                  <c:v>801.98542000000009</c:v>
                </c:pt>
                <c:pt idx="688">
                  <c:v>801.98749000000009</c:v>
                </c:pt>
                <c:pt idx="689">
                  <c:v>801.9895600000001</c:v>
                </c:pt>
                <c:pt idx="690">
                  <c:v>801.99164000000007</c:v>
                </c:pt>
                <c:pt idx="691">
                  <c:v>801.99267000000009</c:v>
                </c:pt>
                <c:pt idx="692">
                  <c:v>801.99371000000008</c:v>
                </c:pt>
                <c:pt idx="693">
                  <c:v>801.99475000000007</c:v>
                </c:pt>
                <c:pt idx="694">
                  <c:v>801.99683000000005</c:v>
                </c:pt>
                <c:pt idx="695">
                  <c:v>801.99891000000002</c:v>
                </c:pt>
                <c:pt idx="696">
                  <c:v>802.00099000000012</c:v>
                </c:pt>
                <c:pt idx="697">
                  <c:v>802.0020300000001</c:v>
                </c:pt>
                <c:pt idx="698">
                  <c:v>802.00307000000009</c:v>
                </c:pt>
                <c:pt idx="699">
                  <c:v>802.00411000000008</c:v>
                </c:pt>
                <c:pt idx="700">
                  <c:v>802.00620000000004</c:v>
                </c:pt>
                <c:pt idx="701">
                  <c:v>802.00830000000008</c:v>
                </c:pt>
                <c:pt idx="702">
                  <c:v>802.00935000000004</c:v>
                </c:pt>
                <c:pt idx="703">
                  <c:v>802.01040000000012</c:v>
                </c:pt>
                <c:pt idx="704">
                  <c:v>802.01144000000011</c:v>
                </c:pt>
                <c:pt idx="705">
                  <c:v>802.01353000000006</c:v>
                </c:pt>
                <c:pt idx="706">
                  <c:v>802.0156300000001</c:v>
                </c:pt>
                <c:pt idx="707">
                  <c:v>802.01668000000006</c:v>
                </c:pt>
                <c:pt idx="708">
                  <c:v>802.01772000000005</c:v>
                </c:pt>
                <c:pt idx="709">
                  <c:v>802.01876000000004</c:v>
                </c:pt>
                <c:pt idx="710">
                  <c:v>802.02086000000008</c:v>
                </c:pt>
                <c:pt idx="711">
                  <c:v>802.02295000000004</c:v>
                </c:pt>
                <c:pt idx="712">
                  <c:v>802.0250400000001</c:v>
                </c:pt>
                <c:pt idx="713">
                  <c:v>802.02609000000007</c:v>
                </c:pt>
                <c:pt idx="714">
                  <c:v>802.02819000000011</c:v>
                </c:pt>
                <c:pt idx="715">
                  <c:v>802.03029000000004</c:v>
                </c:pt>
                <c:pt idx="716">
                  <c:v>802.03239000000008</c:v>
                </c:pt>
                <c:pt idx="717">
                  <c:v>802.0328300000001</c:v>
                </c:pt>
                <c:pt idx="718">
                  <c:v>802.03344000000004</c:v>
                </c:pt>
                <c:pt idx="719">
                  <c:v>802.03555000000006</c:v>
                </c:pt>
                <c:pt idx="720">
                  <c:v>802.0376500000001</c:v>
                </c:pt>
                <c:pt idx="721">
                  <c:v>802.03870000000006</c:v>
                </c:pt>
                <c:pt idx="722">
                  <c:v>802.03975000000003</c:v>
                </c:pt>
                <c:pt idx="723">
                  <c:v>802.0408000000001</c:v>
                </c:pt>
                <c:pt idx="724">
                  <c:v>802.04290000000003</c:v>
                </c:pt>
                <c:pt idx="725">
                  <c:v>802.04502000000002</c:v>
                </c:pt>
                <c:pt idx="726">
                  <c:v>802.0460700000001</c:v>
                </c:pt>
                <c:pt idx="727">
                  <c:v>802.04818000000012</c:v>
                </c:pt>
                <c:pt idx="728">
                  <c:v>802.05030000000011</c:v>
                </c:pt>
                <c:pt idx="729">
                  <c:v>802.05136000000005</c:v>
                </c:pt>
                <c:pt idx="730">
                  <c:v>802.05241000000001</c:v>
                </c:pt>
                <c:pt idx="731">
                  <c:v>802.05347000000006</c:v>
                </c:pt>
                <c:pt idx="732">
                  <c:v>802.05559000000005</c:v>
                </c:pt>
                <c:pt idx="733">
                  <c:v>802.05771000000004</c:v>
                </c:pt>
                <c:pt idx="734">
                  <c:v>802.0587700000001</c:v>
                </c:pt>
                <c:pt idx="735">
                  <c:v>802.06089000000009</c:v>
                </c:pt>
                <c:pt idx="736">
                  <c:v>802.06301000000008</c:v>
                </c:pt>
                <c:pt idx="737">
                  <c:v>802.0640800000001</c:v>
                </c:pt>
                <c:pt idx="738">
                  <c:v>802.06620000000009</c:v>
                </c:pt>
                <c:pt idx="739">
                  <c:v>802.06833000000006</c:v>
                </c:pt>
                <c:pt idx="740">
                  <c:v>802.06939000000011</c:v>
                </c:pt>
                <c:pt idx="741">
                  <c:v>802.07045000000005</c:v>
                </c:pt>
                <c:pt idx="742">
                  <c:v>802.0715100000001</c:v>
                </c:pt>
                <c:pt idx="743">
                  <c:v>802.07363000000009</c:v>
                </c:pt>
                <c:pt idx="744">
                  <c:v>802.07469000000003</c:v>
                </c:pt>
                <c:pt idx="745">
                  <c:v>802.07575000000008</c:v>
                </c:pt>
                <c:pt idx="746">
                  <c:v>802.07682000000011</c:v>
                </c:pt>
                <c:pt idx="747">
                  <c:v>802.07895000000008</c:v>
                </c:pt>
                <c:pt idx="748">
                  <c:v>802.08108000000004</c:v>
                </c:pt>
                <c:pt idx="749">
                  <c:v>802.08215000000007</c:v>
                </c:pt>
                <c:pt idx="750">
                  <c:v>802.08428000000004</c:v>
                </c:pt>
                <c:pt idx="751">
                  <c:v>802.08642000000009</c:v>
                </c:pt>
                <c:pt idx="752">
                  <c:v>802.08749000000012</c:v>
                </c:pt>
                <c:pt idx="753">
                  <c:v>802.08963000000006</c:v>
                </c:pt>
                <c:pt idx="754">
                  <c:v>802.09177000000011</c:v>
                </c:pt>
                <c:pt idx="755">
                  <c:v>802.09284000000002</c:v>
                </c:pt>
                <c:pt idx="756">
                  <c:v>802.09498000000008</c:v>
                </c:pt>
                <c:pt idx="757">
                  <c:v>802.09712000000002</c:v>
                </c:pt>
                <c:pt idx="758">
                  <c:v>802.09819000000005</c:v>
                </c:pt>
                <c:pt idx="759">
                  <c:v>802.10034000000007</c:v>
                </c:pt>
                <c:pt idx="760">
                  <c:v>802.10248000000001</c:v>
                </c:pt>
                <c:pt idx="761">
                  <c:v>802.10356000000002</c:v>
                </c:pt>
                <c:pt idx="762">
                  <c:v>802.10572000000002</c:v>
                </c:pt>
                <c:pt idx="763">
                  <c:v>802.10680000000002</c:v>
                </c:pt>
                <c:pt idx="764">
                  <c:v>802.10788000000002</c:v>
                </c:pt>
                <c:pt idx="765">
                  <c:v>802.10896000000002</c:v>
                </c:pt>
                <c:pt idx="766">
                  <c:v>802.11112000000003</c:v>
                </c:pt>
                <c:pt idx="767">
                  <c:v>802.11219000000006</c:v>
                </c:pt>
                <c:pt idx="768">
                  <c:v>802.11434000000008</c:v>
                </c:pt>
                <c:pt idx="769">
                  <c:v>802.11650000000009</c:v>
                </c:pt>
                <c:pt idx="770">
                  <c:v>802.11758000000009</c:v>
                </c:pt>
                <c:pt idx="771">
                  <c:v>802.11974000000009</c:v>
                </c:pt>
                <c:pt idx="772">
                  <c:v>802.12189000000012</c:v>
                </c:pt>
                <c:pt idx="773">
                  <c:v>802.12297000000001</c:v>
                </c:pt>
                <c:pt idx="774">
                  <c:v>802.12513000000001</c:v>
                </c:pt>
                <c:pt idx="775">
                  <c:v>802.12621000000001</c:v>
                </c:pt>
                <c:pt idx="776">
                  <c:v>802.12838000000011</c:v>
                </c:pt>
                <c:pt idx="777">
                  <c:v>802.13055000000008</c:v>
                </c:pt>
                <c:pt idx="778">
                  <c:v>802.13163000000009</c:v>
                </c:pt>
                <c:pt idx="779">
                  <c:v>802.13379000000009</c:v>
                </c:pt>
                <c:pt idx="780">
                  <c:v>802.13487000000009</c:v>
                </c:pt>
                <c:pt idx="781">
                  <c:v>802.13595000000009</c:v>
                </c:pt>
                <c:pt idx="782">
                  <c:v>802.1370300000001</c:v>
                </c:pt>
                <c:pt idx="783">
                  <c:v>802.1391900000001</c:v>
                </c:pt>
                <c:pt idx="784">
                  <c:v>802.1402700000001</c:v>
                </c:pt>
                <c:pt idx="785">
                  <c:v>802.1424300000001</c:v>
                </c:pt>
                <c:pt idx="786">
                  <c:v>802.14351000000011</c:v>
                </c:pt>
                <c:pt idx="787">
                  <c:v>802.14569000000006</c:v>
                </c:pt>
                <c:pt idx="788">
                  <c:v>802.14787000000001</c:v>
                </c:pt>
                <c:pt idx="789">
                  <c:v>802.1489600000001</c:v>
                </c:pt>
                <c:pt idx="790">
                  <c:v>802.15114000000005</c:v>
                </c:pt>
                <c:pt idx="791">
                  <c:v>802.15223000000003</c:v>
                </c:pt>
                <c:pt idx="792">
                  <c:v>802.1544100000001</c:v>
                </c:pt>
                <c:pt idx="793">
                  <c:v>802.15659000000005</c:v>
                </c:pt>
                <c:pt idx="794">
                  <c:v>802.15768000000003</c:v>
                </c:pt>
                <c:pt idx="795">
                  <c:v>802.15986000000009</c:v>
                </c:pt>
                <c:pt idx="796">
                  <c:v>802.16095000000007</c:v>
                </c:pt>
                <c:pt idx="797">
                  <c:v>802.16313000000002</c:v>
                </c:pt>
                <c:pt idx="798">
                  <c:v>802.16422000000011</c:v>
                </c:pt>
                <c:pt idx="799">
                  <c:v>802.16641000000004</c:v>
                </c:pt>
                <c:pt idx="800">
                  <c:v>802.16859000000011</c:v>
                </c:pt>
                <c:pt idx="801">
                  <c:v>802.16968000000008</c:v>
                </c:pt>
                <c:pt idx="802">
                  <c:v>802.17186000000004</c:v>
                </c:pt>
                <c:pt idx="803">
                  <c:v>802.17295000000001</c:v>
                </c:pt>
                <c:pt idx="804">
                  <c:v>802.17513000000008</c:v>
                </c:pt>
                <c:pt idx="805">
                  <c:v>802.17622000000006</c:v>
                </c:pt>
                <c:pt idx="806">
                  <c:v>802.17840000000001</c:v>
                </c:pt>
                <c:pt idx="807">
                  <c:v>802.18060000000003</c:v>
                </c:pt>
                <c:pt idx="808">
                  <c:v>802.18170000000009</c:v>
                </c:pt>
                <c:pt idx="809">
                  <c:v>802.18389000000002</c:v>
                </c:pt>
                <c:pt idx="810">
                  <c:v>802.18499000000008</c:v>
                </c:pt>
                <c:pt idx="811">
                  <c:v>802.18718000000001</c:v>
                </c:pt>
                <c:pt idx="812">
                  <c:v>802.18828000000008</c:v>
                </c:pt>
                <c:pt idx="813">
                  <c:v>802.19048000000009</c:v>
                </c:pt>
                <c:pt idx="814">
                  <c:v>802.19158000000004</c:v>
                </c:pt>
                <c:pt idx="815">
                  <c:v>802.19378000000006</c:v>
                </c:pt>
                <c:pt idx="816">
                  <c:v>802.19488000000001</c:v>
                </c:pt>
                <c:pt idx="817">
                  <c:v>802.19708000000003</c:v>
                </c:pt>
                <c:pt idx="818">
                  <c:v>802.19929000000002</c:v>
                </c:pt>
                <c:pt idx="819">
                  <c:v>802.20039000000008</c:v>
                </c:pt>
                <c:pt idx="820">
                  <c:v>802.2025900000001</c:v>
                </c:pt>
                <c:pt idx="821">
                  <c:v>802.20370000000003</c:v>
                </c:pt>
                <c:pt idx="822">
                  <c:v>802.20592000000011</c:v>
                </c:pt>
                <c:pt idx="823">
                  <c:v>802.20703000000003</c:v>
                </c:pt>
                <c:pt idx="824">
                  <c:v>802.20925000000011</c:v>
                </c:pt>
                <c:pt idx="825">
                  <c:v>802.21036000000004</c:v>
                </c:pt>
                <c:pt idx="826">
                  <c:v>802.21256000000005</c:v>
                </c:pt>
                <c:pt idx="827">
                  <c:v>802.21366000000012</c:v>
                </c:pt>
                <c:pt idx="828">
                  <c:v>802.21588000000008</c:v>
                </c:pt>
                <c:pt idx="829">
                  <c:v>802.21698000000004</c:v>
                </c:pt>
                <c:pt idx="830">
                  <c:v>802.21920000000011</c:v>
                </c:pt>
                <c:pt idx="831">
                  <c:v>802.22030000000007</c:v>
                </c:pt>
                <c:pt idx="832">
                  <c:v>802.22252000000003</c:v>
                </c:pt>
                <c:pt idx="833">
                  <c:v>802.22363000000007</c:v>
                </c:pt>
                <c:pt idx="834">
                  <c:v>802.22585000000004</c:v>
                </c:pt>
                <c:pt idx="835">
                  <c:v>802.22696000000008</c:v>
                </c:pt>
                <c:pt idx="836">
                  <c:v>802.22918000000004</c:v>
                </c:pt>
                <c:pt idx="837">
                  <c:v>802.23030000000006</c:v>
                </c:pt>
                <c:pt idx="838">
                  <c:v>802.23252000000002</c:v>
                </c:pt>
                <c:pt idx="839">
                  <c:v>802.23363000000006</c:v>
                </c:pt>
                <c:pt idx="840">
                  <c:v>802.23586000000012</c:v>
                </c:pt>
                <c:pt idx="841">
                  <c:v>802.23697000000004</c:v>
                </c:pt>
                <c:pt idx="842">
                  <c:v>802.23919000000012</c:v>
                </c:pt>
                <c:pt idx="843">
                  <c:v>802.24030000000005</c:v>
                </c:pt>
                <c:pt idx="844">
                  <c:v>802.24252000000001</c:v>
                </c:pt>
                <c:pt idx="845">
                  <c:v>802.24363000000005</c:v>
                </c:pt>
                <c:pt idx="846">
                  <c:v>802.24587000000008</c:v>
                </c:pt>
                <c:pt idx="847">
                  <c:v>802.2469900000001</c:v>
                </c:pt>
                <c:pt idx="848">
                  <c:v>802.24922000000004</c:v>
                </c:pt>
                <c:pt idx="849">
                  <c:v>802.25258000000008</c:v>
                </c:pt>
                <c:pt idx="850">
                  <c:v>802.25370000000009</c:v>
                </c:pt>
                <c:pt idx="851">
                  <c:v>802.25594000000001</c:v>
                </c:pt>
                <c:pt idx="852">
                  <c:v>802.25706000000002</c:v>
                </c:pt>
                <c:pt idx="853">
                  <c:v>802.25929000000008</c:v>
                </c:pt>
                <c:pt idx="854">
                  <c:v>802.26041000000009</c:v>
                </c:pt>
                <c:pt idx="855">
                  <c:v>802.26378000000011</c:v>
                </c:pt>
                <c:pt idx="856">
                  <c:v>802.26490000000001</c:v>
                </c:pt>
                <c:pt idx="857">
                  <c:v>802.26714000000004</c:v>
                </c:pt>
                <c:pt idx="858">
                  <c:v>802.26827000000003</c:v>
                </c:pt>
                <c:pt idx="859">
                  <c:v>802.27053000000012</c:v>
                </c:pt>
                <c:pt idx="860">
                  <c:v>802.27166000000011</c:v>
                </c:pt>
                <c:pt idx="861">
                  <c:v>802.27390000000003</c:v>
                </c:pt>
                <c:pt idx="862">
                  <c:v>802.27502000000004</c:v>
                </c:pt>
                <c:pt idx="863">
                  <c:v>802.27728000000002</c:v>
                </c:pt>
                <c:pt idx="864">
                  <c:v>802.27841000000012</c:v>
                </c:pt>
                <c:pt idx="865">
                  <c:v>802.2806700000001</c:v>
                </c:pt>
                <c:pt idx="866">
                  <c:v>802.28179000000011</c:v>
                </c:pt>
                <c:pt idx="867">
                  <c:v>802.28291000000002</c:v>
                </c:pt>
                <c:pt idx="868">
                  <c:v>802.28516000000002</c:v>
                </c:pt>
                <c:pt idx="869">
                  <c:v>802.28628000000003</c:v>
                </c:pt>
                <c:pt idx="870">
                  <c:v>802.28853000000004</c:v>
                </c:pt>
                <c:pt idx="871">
                  <c:v>802.28966000000003</c:v>
                </c:pt>
                <c:pt idx="872">
                  <c:v>802.29192000000012</c:v>
                </c:pt>
                <c:pt idx="873">
                  <c:v>802.29305000000011</c:v>
                </c:pt>
                <c:pt idx="874">
                  <c:v>802.29530000000011</c:v>
                </c:pt>
                <c:pt idx="875">
                  <c:v>802.2964300000001</c:v>
                </c:pt>
                <c:pt idx="876">
                  <c:v>802.29983000000004</c:v>
                </c:pt>
                <c:pt idx="877">
                  <c:v>802.30096000000003</c:v>
                </c:pt>
                <c:pt idx="878">
                  <c:v>802.3032300000001</c:v>
                </c:pt>
                <c:pt idx="879">
                  <c:v>802.30437000000006</c:v>
                </c:pt>
                <c:pt idx="880">
                  <c:v>802.30664000000002</c:v>
                </c:pt>
                <c:pt idx="881">
                  <c:v>802.30777000000012</c:v>
                </c:pt>
                <c:pt idx="882">
                  <c:v>802.3100300000001</c:v>
                </c:pt>
                <c:pt idx="883">
                  <c:v>802.31117000000006</c:v>
                </c:pt>
                <c:pt idx="884">
                  <c:v>802.31231000000002</c:v>
                </c:pt>
                <c:pt idx="885">
                  <c:v>802.31459000000007</c:v>
                </c:pt>
                <c:pt idx="886">
                  <c:v>802.31573000000003</c:v>
                </c:pt>
                <c:pt idx="887">
                  <c:v>802.3180000000001</c:v>
                </c:pt>
                <c:pt idx="888">
                  <c:v>802.31914000000006</c:v>
                </c:pt>
                <c:pt idx="889">
                  <c:v>802.32255000000009</c:v>
                </c:pt>
                <c:pt idx="890">
                  <c:v>802.32368000000008</c:v>
                </c:pt>
                <c:pt idx="891">
                  <c:v>802.32596000000001</c:v>
                </c:pt>
                <c:pt idx="892">
                  <c:v>802.32710000000009</c:v>
                </c:pt>
                <c:pt idx="893">
                  <c:v>802.33052000000009</c:v>
                </c:pt>
                <c:pt idx="894">
                  <c:v>802.33167000000003</c:v>
                </c:pt>
                <c:pt idx="895">
                  <c:v>802.33395000000007</c:v>
                </c:pt>
                <c:pt idx="896">
                  <c:v>802.33509000000004</c:v>
                </c:pt>
                <c:pt idx="897">
                  <c:v>802.33852000000002</c:v>
                </c:pt>
                <c:pt idx="898">
                  <c:v>802.33966000000009</c:v>
                </c:pt>
                <c:pt idx="899">
                  <c:v>802.34194000000002</c:v>
                </c:pt>
                <c:pt idx="900">
                  <c:v>802.3430800000001</c:v>
                </c:pt>
                <c:pt idx="901">
                  <c:v>802.34650000000011</c:v>
                </c:pt>
                <c:pt idx="902">
                  <c:v>802.34765000000004</c:v>
                </c:pt>
                <c:pt idx="903">
                  <c:v>802.34995000000004</c:v>
                </c:pt>
                <c:pt idx="904">
                  <c:v>802.35109000000011</c:v>
                </c:pt>
                <c:pt idx="905">
                  <c:v>802.35453000000007</c:v>
                </c:pt>
                <c:pt idx="906">
                  <c:v>802.35567000000003</c:v>
                </c:pt>
                <c:pt idx="907">
                  <c:v>802.35797000000002</c:v>
                </c:pt>
                <c:pt idx="908">
                  <c:v>802.35912000000008</c:v>
                </c:pt>
                <c:pt idx="909">
                  <c:v>802.36027000000001</c:v>
                </c:pt>
                <c:pt idx="910">
                  <c:v>802.36257000000012</c:v>
                </c:pt>
                <c:pt idx="911">
                  <c:v>802.36372000000006</c:v>
                </c:pt>
                <c:pt idx="912">
                  <c:v>802.36719000000005</c:v>
                </c:pt>
                <c:pt idx="913">
                  <c:v>802.3683400000001</c:v>
                </c:pt>
                <c:pt idx="914">
                  <c:v>802.37065000000007</c:v>
                </c:pt>
                <c:pt idx="915">
                  <c:v>802.37180000000012</c:v>
                </c:pt>
                <c:pt idx="916">
                  <c:v>802.37295000000006</c:v>
                </c:pt>
                <c:pt idx="917">
                  <c:v>802.37525000000005</c:v>
                </c:pt>
                <c:pt idx="918">
                  <c:v>802.37641000000008</c:v>
                </c:pt>
                <c:pt idx="919">
                  <c:v>802.37988000000007</c:v>
                </c:pt>
                <c:pt idx="920">
                  <c:v>802.38103000000001</c:v>
                </c:pt>
                <c:pt idx="921">
                  <c:v>802.38333000000011</c:v>
                </c:pt>
                <c:pt idx="922">
                  <c:v>802.38449000000003</c:v>
                </c:pt>
                <c:pt idx="923">
                  <c:v>802.38565000000006</c:v>
                </c:pt>
                <c:pt idx="924">
                  <c:v>802.38797000000011</c:v>
                </c:pt>
                <c:pt idx="925">
                  <c:v>802.38913000000002</c:v>
                </c:pt>
                <c:pt idx="926">
                  <c:v>802.39260000000002</c:v>
                </c:pt>
                <c:pt idx="927">
                  <c:v>802.39376000000004</c:v>
                </c:pt>
                <c:pt idx="928">
                  <c:v>802.39724000000001</c:v>
                </c:pt>
                <c:pt idx="929">
                  <c:v>802.39840000000004</c:v>
                </c:pt>
                <c:pt idx="930">
                  <c:v>802.40072000000009</c:v>
                </c:pt>
                <c:pt idx="931">
                  <c:v>802.40188000000012</c:v>
                </c:pt>
                <c:pt idx="932">
                  <c:v>802.40304000000003</c:v>
                </c:pt>
                <c:pt idx="933">
                  <c:v>802.40536000000009</c:v>
                </c:pt>
                <c:pt idx="934">
                  <c:v>802.40652000000011</c:v>
                </c:pt>
                <c:pt idx="935">
                  <c:v>802.40769000000012</c:v>
                </c:pt>
                <c:pt idx="936">
                  <c:v>802.41003000000012</c:v>
                </c:pt>
                <c:pt idx="937">
                  <c:v>802.41120000000012</c:v>
                </c:pt>
                <c:pt idx="938">
                  <c:v>802.41237000000001</c:v>
                </c:pt>
                <c:pt idx="939">
                  <c:v>802.41588000000002</c:v>
                </c:pt>
                <c:pt idx="940">
                  <c:v>802.41705000000002</c:v>
                </c:pt>
                <c:pt idx="941">
                  <c:v>802.42055000000005</c:v>
                </c:pt>
                <c:pt idx="942">
                  <c:v>802.42172000000005</c:v>
                </c:pt>
                <c:pt idx="943">
                  <c:v>802.42522000000008</c:v>
                </c:pt>
                <c:pt idx="944">
                  <c:v>802.42639000000008</c:v>
                </c:pt>
                <c:pt idx="945">
                  <c:v>802.42989000000011</c:v>
                </c:pt>
                <c:pt idx="946">
                  <c:v>802.43106000000012</c:v>
                </c:pt>
                <c:pt idx="947">
                  <c:v>802.43306000000007</c:v>
                </c:pt>
                <c:pt idx="948">
                  <c:v>802.43457000000012</c:v>
                </c:pt>
                <c:pt idx="949">
                  <c:v>802.43574000000001</c:v>
                </c:pt>
                <c:pt idx="950">
                  <c:v>802.4392600000001</c:v>
                </c:pt>
                <c:pt idx="951">
                  <c:v>802.44043000000011</c:v>
                </c:pt>
                <c:pt idx="952">
                  <c:v>802.44160000000011</c:v>
                </c:pt>
                <c:pt idx="953">
                  <c:v>802.44394000000011</c:v>
                </c:pt>
                <c:pt idx="954">
                  <c:v>802.44512000000009</c:v>
                </c:pt>
                <c:pt idx="955">
                  <c:v>802.44630000000006</c:v>
                </c:pt>
                <c:pt idx="956">
                  <c:v>802.44866000000002</c:v>
                </c:pt>
                <c:pt idx="957">
                  <c:v>802.44984000000011</c:v>
                </c:pt>
                <c:pt idx="958">
                  <c:v>802.45102000000009</c:v>
                </c:pt>
                <c:pt idx="959">
                  <c:v>802.45336000000009</c:v>
                </c:pt>
                <c:pt idx="960">
                  <c:v>802.45453000000009</c:v>
                </c:pt>
                <c:pt idx="961">
                  <c:v>802.45571000000007</c:v>
                </c:pt>
                <c:pt idx="962">
                  <c:v>802.45925000000011</c:v>
                </c:pt>
                <c:pt idx="963">
                  <c:v>802.46043000000009</c:v>
                </c:pt>
                <c:pt idx="964">
                  <c:v>802.46161000000006</c:v>
                </c:pt>
                <c:pt idx="965">
                  <c:v>802.46397000000002</c:v>
                </c:pt>
                <c:pt idx="966">
                  <c:v>802.46515000000011</c:v>
                </c:pt>
                <c:pt idx="967">
                  <c:v>802.46632000000011</c:v>
                </c:pt>
                <c:pt idx="968">
                  <c:v>802.46868000000006</c:v>
                </c:pt>
                <c:pt idx="969">
                  <c:v>802.46986000000004</c:v>
                </c:pt>
                <c:pt idx="970">
                  <c:v>802.47104000000002</c:v>
                </c:pt>
                <c:pt idx="971">
                  <c:v>802.47459000000003</c:v>
                </c:pt>
                <c:pt idx="972">
                  <c:v>802.47577000000001</c:v>
                </c:pt>
                <c:pt idx="973">
                  <c:v>802.47932000000003</c:v>
                </c:pt>
                <c:pt idx="974">
                  <c:v>802.48050000000012</c:v>
                </c:pt>
                <c:pt idx="975">
                  <c:v>802.4816800000001</c:v>
                </c:pt>
                <c:pt idx="976">
                  <c:v>802.48405000000002</c:v>
                </c:pt>
                <c:pt idx="977">
                  <c:v>802.48523000000012</c:v>
                </c:pt>
                <c:pt idx="978">
                  <c:v>802.48641000000009</c:v>
                </c:pt>
                <c:pt idx="979">
                  <c:v>802.48995000000002</c:v>
                </c:pt>
                <c:pt idx="980">
                  <c:v>802.49113000000011</c:v>
                </c:pt>
                <c:pt idx="981">
                  <c:v>802.49232000000006</c:v>
                </c:pt>
                <c:pt idx="982">
                  <c:v>802.49470000000008</c:v>
                </c:pt>
                <c:pt idx="983">
                  <c:v>802.49589000000003</c:v>
                </c:pt>
                <c:pt idx="984">
                  <c:v>802.4970800000001</c:v>
                </c:pt>
                <c:pt idx="985">
                  <c:v>802.50063000000011</c:v>
                </c:pt>
                <c:pt idx="986">
                  <c:v>802.50181000000009</c:v>
                </c:pt>
                <c:pt idx="987">
                  <c:v>802.50300000000004</c:v>
                </c:pt>
                <c:pt idx="988">
                  <c:v>802.50538000000006</c:v>
                </c:pt>
                <c:pt idx="989">
                  <c:v>802.50657000000001</c:v>
                </c:pt>
                <c:pt idx="990">
                  <c:v>802.50776000000008</c:v>
                </c:pt>
                <c:pt idx="991">
                  <c:v>802.51133000000004</c:v>
                </c:pt>
                <c:pt idx="992">
                  <c:v>802.51252000000011</c:v>
                </c:pt>
                <c:pt idx="993">
                  <c:v>802.51371000000006</c:v>
                </c:pt>
                <c:pt idx="994">
                  <c:v>802.51609000000008</c:v>
                </c:pt>
                <c:pt idx="995">
                  <c:v>802.51728000000003</c:v>
                </c:pt>
                <c:pt idx="996">
                  <c:v>802.51847000000009</c:v>
                </c:pt>
                <c:pt idx="997">
                  <c:v>802.52204000000006</c:v>
                </c:pt>
                <c:pt idx="998">
                  <c:v>802.52323000000001</c:v>
                </c:pt>
                <c:pt idx="999">
                  <c:v>802.52442000000008</c:v>
                </c:pt>
                <c:pt idx="1000">
                  <c:v>802.52800000000002</c:v>
                </c:pt>
                <c:pt idx="1001">
                  <c:v>802.52919000000009</c:v>
                </c:pt>
                <c:pt idx="1002">
                  <c:v>802.53039000000001</c:v>
                </c:pt>
                <c:pt idx="1003">
                  <c:v>802.53277000000003</c:v>
                </c:pt>
                <c:pt idx="1004">
                  <c:v>802.53396000000009</c:v>
                </c:pt>
                <c:pt idx="1005">
                  <c:v>802.53516000000002</c:v>
                </c:pt>
                <c:pt idx="1006">
                  <c:v>802.53636000000006</c:v>
                </c:pt>
                <c:pt idx="1007">
                  <c:v>802.53876000000002</c:v>
                </c:pt>
                <c:pt idx="1008">
                  <c:v>802.53996000000006</c:v>
                </c:pt>
                <c:pt idx="1009">
                  <c:v>802.5411600000001</c:v>
                </c:pt>
                <c:pt idx="1010">
                  <c:v>802.54473000000007</c:v>
                </c:pt>
                <c:pt idx="1011">
                  <c:v>802.54593000000011</c:v>
                </c:pt>
                <c:pt idx="1012">
                  <c:v>802.54713000000004</c:v>
                </c:pt>
                <c:pt idx="1013">
                  <c:v>802.55073000000004</c:v>
                </c:pt>
                <c:pt idx="1014">
                  <c:v>802.55192000000011</c:v>
                </c:pt>
                <c:pt idx="1015">
                  <c:v>802.55311000000006</c:v>
                </c:pt>
                <c:pt idx="1016">
                  <c:v>802.55551000000003</c:v>
                </c:pt>
                <c:pt idx="1017">
                  <c:v>802.55670000000009</c:v>
                </c:pt>
                <c:pt idx="1018">
                  <c:v>802.55790000000002</c:v>
                </c:pt>
                <c:pt idx="1019">
                  <c:v>802.55910000000006</c:v>
                </c:pt>
                <c:pt idx="1020">
                  <c:v>802.56149000000005</c:v>
                </c:pt>
                <c:pt idx="1021">
                  <c:v>802.56269000000009</c:v>
                </c:pt>
                <c:pt idx="1022">
                  <c:v>802.56388000000004</c:v>
                </c:pt>
                <c:pt idx="1023">
                  <c:v>802.56508000000008</c:v>
                </c:pt>
                <c:pt idx="1024">
                  <c:v>802.56748000000005</c:v>
                </c:pt>
                <c:pt idx="1025">
                  <c:v>802.56868000000009</c:v>
                </c:pt>
                <c:pt idx="1026">
                  <c:v>802.56988000000001</c:v>
                </c:pt>
                <c:pt idx="1027">
                  <c:v>802.57108000000005</c:v>
                </c:pt>
                <c:pt idx="1028">
                  <c:v>802.57348000000002</c:v>
                </c:pt>
                <c:pt idx="1029">
                  <c:v>802.57469000000003</c:v>
                </c:pt>
                <c:pt idx="1030">
                  <c:v>802.57589000000007</c:v>
                </c:pt>
                <c:pt idx="1031">
                  <c:v>802.57709000000011</c:v>
                </c:pt>
                <c:pt idx="1032">
                  <c:v>802.57949000000008</c:v>
                </c:pt>
                <c:pt idx="1033">
                  <c:v>802.58069000000012</c:v>
                </c:pt>
                <c:pt idx="1034">
                  <c:v>802.58189000000004</c:v>
                </c:pt>
                <c:pt idx="1035">
                  <c:v>802.58309000000008</c:v>
                </c:pt>
                <c:pt idx="1036">
                  <c:v>802.58551000000011</c:v>
                </c:pt>
                <c:pt idx="1037">
                  <c:v>802.58671000000004</c:v>
                </c:pt>
                <c:pt idx="1038">
                  <c:v>802.58791000000008</c:v>
                </c:pt>
                <c:pt idx="1039">
                  <c:v>802.58911000000012</c:v>
                </c:pt>
                <c:pt idx="1040">
                  <c:v>802.59151000000008</c:v>
                </c:pt>
                <c:pt idx="1041">
                  <c:v>802.59271000000001</c:v>
                </c:pt>
                <c:pt idx="1042">
                  <c:v>802.59391000000005</c:v>
                </c:pt>
                <c:pt idx="1043">
                  <c:v>802.59511000000009</c:v>
                </c:pt>
                <c:pt idx="1044">
                  <c:v>802.59753000000012</c:v>
                </c:pt>
                <c:pt idx="1045">
                  <c:v>802.59874000000002</c:v>
                </c:pt>
                <c:pt idx="1046">
                  <c:v>802.59995000000004</c:v>
                </c:pt>
                <c:pt idx="1047">
                  <c:v>802.60116000000005</c:v>
                </c:pt>
                <c:pt idx="1048">
                  <c:v>802.60477000000003</c:v>
                </c:pt>
                <c:pt idx="1049">
                  <c:v>802.60598000000005</c:v>
                </c:pt>
                <c:pt idx="1050">
                  <c:v>802.60718000000008</c:v>
                </c:pt>
                <c:pt idx="1051">
                  <c:v>802.61080000000004</c:v>
                </c:pt>
                <c:pt idx="1052">
                  <c:v>802.61201000000005</c:v>
                </c:pt>
                <c:pt idx="1053">
                  <c:v>802.61321000000009</c:v>
                </c:pt>
                <c:pt idx="1054">
                  <c:v>802.61684000000002</c:v>
                </c:pt>
                <c:pt idx="1055">
                  <c:v>802.61805000000004</c:v>
                </c:pt>
                <c:pt idx="1056">
                  <c:v>802.61926000000005</c:v>
                </c:pt>
                <c:pt idx="1057">
                  <c:v>802.62046000000009</c:v>
                </c:pt>
                <c:pt idx="1058">
                  <c:v>802.62288000000001</c:v>
                </c:pt>
                <c:pt idx="1059">
                  <c:v>802.62409000000002</c:v>
                </c:pt>
                <c:pt idx="1060">
                  <c:v>802.62530000000004</c:v>
                </c:pt>
                <c:pt idx="1061">
                  <c:v>802.62652000000003</c:v>
                </c:pt>
                <c:pt idx="1062">
                  <c:v>802.63015000000007</c:v>
                </c:pt>
                <c:pt idx="1063">
                  <c:v>802.63137000000006</c:v>
                </c:pt>
                <c:pt idx="1064">
                  <c:v>802.63258000000008</c:v>
                </c:pt>
                <c:pt idx="1065">
                  <c:v>802.63379000000009</c:v>
                </c:pt>
                <c:pt idx="1066">
                  <c:v>802.63621000000012</c:v>
                </c:pt>
                <c:pt idx="1067">
                  <c:v>802.63742000000002</c:v>
                </c:pt>
                <c:pt idx="1068">
                  <c:v>802.63863000000003</c:v>
                </c:pt>
                <c:pt idx="1069">
                  <c:v>802.63985000000002</c:v>
                </c:pt>
                <c:pt idx="1070">
                  <c:v>802.64350000000002</c:v>
                </c:pt>
                <c:pt idx="1071">
                  <c:v>802.64472000000012</c:v>
                </c:pt>
                <c:pt idx="1072">
                  <c:v>802.64594000000011</c:v>
                </c:pt>
                <c:pt idx="1073">
                  <c:v>802.64715000000001</c:v>
                </c:pt>
                <c:pt idx="1074">
                  <c:v>802.65079000000003</c:v>
                </c:pt>
                <c:pt idx="1075">
                  <c:v>802.65201000000002</c:v>
                </c:pt>
                <c:pt idx="1076">
                  <c:v>802.65323000000012</c:v>
                </c:pt>
                <c:pt idx="1077">
                  <c:v>802.65688000000011</c:v>
                </c:pt>
                <c:pt idx="1078">
                  <c:v>802.65809000000002</c:v>
                </c:pt>
                <c:pt idx="1079">
                  <c:v>802.65931000000012</c:v>
                </c:pt>
                <c:pt idx="1080">
                  <c:v>802.66053000000011</c:v>
                </c:pt>
                <c:pt idx="1081">
                  <c:v>802.6641800000001</c:v>
                </c:pt>
                <c:pt idx="1082">
                  <c:v>802.66540000000009</c:v>
                </c:pt>
                <c:pt idx="1083">
                  <c:v>802.66662000000008</c:v>
                </c:pt>
                <c:pt idx="1084">
                  <c:v>802.66784000000007</c:v>
                </c:pt>
                <c:pt idx="1085">
                  <c:v>802.67150000000004</c:v>
                </c:pt>
                <c:pt idx="1086">
                  <c:v>802.6739500000001</c:v>
                </c:pt>
                <c:pt idx="1087">
                  <c:v>802.67517000000009</c:v>
                </c:pt>
                <c:pt idx="1088">
                  <c:v>802.67884000000004</c:v>
                </c:pt>
                <c:pt idx="1089">
                  <c:v>802.68006000000003</c:v>
                </c:pt>
                <c:pt idx="1090">
                  <c:v>802.68128000000002</c:v>
                </c:pt>
                <c:pt idx="1091">
                  <c:v>802.68250000000012</c:v>
                </c:pt>
                <c:pt idx="1092">
                  <c:v>802.68617000000006</c:v>
                </c:pt>
                <c:pt idx="1093">
                  <c:v>802.68739000000005</c:v>
                </c:pt>
                <c:pt idx="1094">
                  <c:v>802.68861000000004</c:v>
                </c:pt>
                <c:pt idx="1095">
                  <c:v>802.68983000000003</c:v>
                </c:pt>
                <c:pt idx="1096">
                  <c:v>802.69105000000002</c:v>
                </c:pt>
                <c:pt idx="1097">
                  <c:v>802.69472000000007</c:v>
                </c:pt>
                <c:pt idx="1098">
                  <c:v>802.69594000000006</c:v>
                </c:pt>
                <c:pt idx="1099">
                  <c:v>802.69716000000005</c:v>
                </c:pt>
                <c:pt idx="1100">
                  <c:v>802.69839000000002</c:v>
                </c:pt>
                <c:pt idx="1101">
                  <c:v>802.70208000000002</c:v>
                </c:pt>
                <c:pt idx="1102">
                  <c:v>802.70330000000001</c:v>
                </c:pt>
                <c:pt idx="1103">
                  <c:v>802.70452000000012</c:v>
                </c:pt>
                <c:pt idx="1104">
                  <c:v>802.70575000000008</c:v>
                </c:pt>
                <c:pt idx="1105">
                  <c:v>802.70943000000011</c:v>
                </c:pt>
                <c:pt idx="1106">
                  <c:v>802.71066000000008</c:v>
                </c:pt>
                <c:pt idx="1107">
                  <c:v>802.71188000000006</c:v>
                </c:pt>
                <c:pt idx="1108">
                  <c:v>802.71311000000003</c:v>
                </c:pt>
                <c:pt idx="1109">
                  <c:v>802.71434000000011</c:v>
                </c:pt>
                <c:pt idx="1110">
                  <c:v>802.71803000000011</c:v>
                </c:pt>
                <c:pt idx="1111">
                  <c:v>802.7192500000001</c:v>
                </c:pt>
                <c:pt idx="1112">
                  <c:v>802.72048000000007</c:v>
                </c:pt>
                <c:pt idx="1113">
                  <c:v>802.72171000000003</c:v>
                </c:pt>
                <c:pt idx="1114">
                  <c:v>802.72540000000004</c:v>
                </c:pt>
                <c:pt idx="1115">
                  <c:v>802.72663000000011</c:v>
                </c:pt>
                <c:pt idx="1116">
                  <c:v>802.72787000000005</c:v>
                </c:pt>
                <c:pt idx="1117">
                  <c:v>802.72910000000002</c:v>
                </c:pt>
                <c:pt idx="1118">
                  <c:v>802.73033000000009</c:v>
                </c:pt>
                <c:pt idx="1119">
                  <c:v>802.7340200000001</c:v>
                </c:pt>
                <c:pt idx="1120">
                  <c:v>802.73525000000006</c:v>
                </c:pt>
                <c:pt idx="1121">
                  <c:v>802.73648000000003</c:v>
                </c:pt>
                <c:pt idx="1122">
                  <c:v>802.73771000000011</c:v>
                </c:pt>
                <c:pt idx="1123">
                  <c:v>802.73894000000007</c:v>
                </c:pt>
                <c:pt idx="1124">
                  <c:v>802.74264000000005</c:v>
                </c:pt>
                <c:pt idx="1125">
                  <c:v>802.7438800000001</c:v>
                </c:pt>
                <c:pt idx="1126">
                  <c:v>802.74512000000004</c:v>
                </c:pt>
                <c:pt idx="1127">
                  <c:v>802.7463600000001</c:v>
                </c:pt>
                <c:pt idx="1128">
                  <c:v>802.75130000000001</c:v>
                </c:pt>
                <c:pt idx="1129">
                  <c:v>802.75254000000007</c:v>
                </c:pt>
                <c:pt idx="1130">
                  <c:v>802.75378000000012</c:v>
                </c:pt>
                <c:pt idx="1131">
                  <c:v>802.75502000000006</c:v>
                </c:pt>
                <c:pt idx="1132">
                  <c:v>802.75996000000009</c:v>
                </c:pt>
                <c:pt idx="1133">
                  <c:v>802.76120000000003</c:v>
                </c:pt>
                <c:pt idx="1134">
                  <c:v>802.76244000000008</c:v>
                </c:pt>
                <c:pt idx="1135">
                  <c:v>802.76368000000002</c:v>
                </c:pt>
                <c:pt idx="1136">
                  <c:v>802.76863000000003</c:v>
                </c:pt>
                <c:pt idx="1137">
                  <c:v>802.76987000000008</c:v>
                </c:pt>
                <c:pt idx="1138">
                  <c:v>802.77111000000002</c:v>
                </c:pt>
                <c:pt idx="1139">
                  <c:v>802.77235000000007</c:v>
                </c:pt>
                <c:pt idx="1140">
                  <c:v>802.77359000000001</c:v>
                </c:pt>
                <c:pt idx="1141">
                  <c:v>802.77731000000006</c:v>
                </c:pt>
                <c:pt idx="1142">
                  <c:v>802.77855000000011</c:v>
                </c:pt>
                <c:pt idx="1143">
                  <c:v>802.77979000000005</c:v>
                </c:pt>
                <c:pt idx="1144">
                  <c:v>802.7810300000001</c:v>
                </c:pt>
                <c:pt idx="1145">
                  <c:v>802.78227000000004</c:v>
                </c:pt>
                <c:pt idx="1146">
                  <c:v>802.78600000000006</c:v>
                </c:pt>
                <c:pt idx="1147">
                  <c:v>802.78724000000011</c:v>
                </c:pt>
                <c:pt idx="1148">
                  <c:v>802.78848000000005</c:v>
                </c:pt>
                <c:pt idx="1149">
                  <c:v>802.78973000000008</c:v>
                </c:pt>
                <c:pt idx="1150">
                  <c:v>802.7909800000001</c:v>
                </c:pt>
                <c:pt idx="1151">
                  <c:v>802.79473000000007</c:v>
                </c:pt>
                <c:pt idx="1152">
                  <c:v>802.7959800000001</c:v>
                </c:pt>
                <c:pt idx="1153">
                  <c:v>802.79722000000004</c:v>
                </c:pt>
                <c:pt idx="1154">
                  <c:v>802.79847000000007</c:v>
                </c:pt>
                <c:pt idx="1155">
                  <c:v>802.79972000000009</c:v>
                </c:pt>
                <c:pt idx="1156">
                  <c:v>802.80470000000003</c:v>
                </c:pt>
                <c:pt idx="1157">
                  <c:v>802.80594000000008</c:v>
                </c:pt>
                <c:pt idx="1158">
                  <c:v>802.80719000000011</c:v>
                </c:pt>
                <c:pt idx="1159">
                  <c:v>802.80844000000002</c:v>
                </c:pt>
                <c:pt idx="1160">
                  <c:v>802.80969000000005</c:v>
                </c:pt>
                <c:pt idx="1161">
                  <c:v>802.81467000000009</c:v>
                </c:pt>
                <c:pt idx="1162">
                  <c:v>802.81592000000012</c:v>
                </c:pt>
                <c:pt idx="1163">
                  <c:v>802.81717000000003</c:v>
                </c:pt>
                <c:pt idx="1164">
                  <c:v>802.81841000000009</c:v>
                </c:pt>
                <c:pt idx="1165">
                  <c:v>802.81966000000011</c:v>
                </c:pt>
                <c:pt idx="1166">
                  <c:v>802.82466000000011</c:v>
                </c:pt>
                <c:pt idx="1167">
                  <c:v>802.82591000000002</c:v>
                </c:pt>
                <c:pt idx="1168">
                  <c:v>802.82716000000005</c:v>
                </c:pt>
                <c:pt idx="1169">
                  <c:v>802.82841000000008</c:v>
                </c:pt>
                <c:pt idx="1170">
                  <c:v>802.8296600000001</c:v>
                </c:pt>
                <c:pt idx="1171">
                  <c:v>802.83467000000007</c:v>
                </c:pt>
                <c:pt idx="1172">
                  <c:v>802.8359200000001</c:v>
                </c:pt>
                <c:pt idx="1173">
                  <c:v>802.83717000000001</c:v>
                </c:pt>
                <c:pt idx="1174">
                  <c:v>802.83843000000002</c:v>
                </c:pt>
                <c:pt idx="1175">
                  <c:v>802.83968000000004</c:v>
                </c:pt>
                <c:pt idx="1176">
                  <c:v>802.84468000000004</c:v>
                </c:pt>
                <c:pt idx="1177">
                  <c:v>802.84593000000007</c:v>
                </c:pt>
                <c:pt idx="1178">
                  <c:v>802.84718000000009</c:v>
                </c:pt>
                <c:pt idx="1179">
                  <c:v>802.84843000000012</c:v>
                </c:pt>
                <c:pt idx="1180">
                  <c:v>802.84969000000001</c:v>
                </c:pt>
                <c:pt idx="1181">
                  <c:v>802.85095000000001</c:v>
                </c:pt>
                <c:pt idx="1182">
                  <c:v>802.85597000000007</c:v>
                </c:pt>
                <c:pt idx="1183">
                  <c:v>802.85723000000007</c:v>
                </c:pt>
                <c:pt idx="1184">
                  <c:v>802.85849000000007</c:v>
                </c:pt>
                <c:pt idx="1185">
                  <c:v>802.85975000000008</c:v>
                </c:pt>
                <c:pt idx="1186">
                  <c:v>802.86101000000008</c:v>
                </c:pt>
                <c:pt idx="1187">
                  <c:v>802.86226000000011</c:v>
                </c:pt>
                <c:pt idx="1188">
                  <c:v>802.86730000000011</c:v>
                </c:pt>
                <c:pt idx="1189">
                  <c:v>802.86856000000012</c:v>
                </c:pt>
                <c:pt idx="1190">
                  <c:v>802.86981000000003</c:v>
                </c:pt>
                <c:pt idx="1191">
                  <c:v>802.87107000000003</c:v>
                </c:pt>
                <c:pt idx="1192">
                  <c:v>802.87233000000003</c:v>
                </c:pt>
                <c:pt idx="1193">
                  <c:v>802.87359000000004</c:v>
                </c:pt>
                <c:pt idx="1194">
                  <c:v>802.87863000000004</c:v>
                </c:pt>
                <c:pt idx="1195">
                  <c:v>802.87989000000005</c:v>
                </c:pt>
                <c:pt idx="1196">
                  <c:v>802.88115000000005</c:v>
                </c:pt>
                <c:pt idx="1197">
                  <c:v>802.88241000000005</c:v>
                </c:pt>
                <c:pt idx="1198">
                  <c:v>802.88367000000005</c:v>
                </c:pt>
                <c:pt idx="1199">
                  <c:v>802.88493000000005</c:v>
                </c:pt>
                <c:pt idx="1200">
                  <c:v>802.88998000000004</c:v>
                </c:pt>
                <c:pt idx="1201">
                  <c:v>802.89125000000001</c:v>
                </c:pt>
                <c:pt idx="1202">
                  <c:v>802.89251000000002</c:v>
                </c:pt>
                <c:pt idx="1203">
                  <c:v>802.89377000000002</c:v>
                </c:pt>
                <c:pt idx="1204">
                  <c:v>802.89503000000002</c:v>
                </c:pt>
                <c:pt idx="1205">
                  <c:v>802.89757000000009</c:v>
                </c:pt>
                <c:pt idx="1206">
                  <c:v>802.90264000000002</c:v>
                </c:pt>
                <c:pt idx="1207">
                  <c:v>802.90390000000002</c:v>
                </c:pt>
                <c:pt idx="1208">
                  <c:v>802.90516000000002</c:v>
                </c:pt>
                <c:pt idx="1209">
                  <c:v>802.90642000000003</c:v>
                </c:pt>
                <c:pt idx="1210">
                  <c:v>802.90768000000003</c:v>
                </c:pt>
                <c:pt idx="1211">
                  <c:v>802.90894000000003</c:v>
                </c:pt>
                <c:pt idx="1212">
                  <c:v>802.9152600000001</c:v>
                </c:pt>
                <c:pt idx="1213">
                  <c:v>802.91653000000008</c:v>
                </c:pt>
                <c:pt idx="1214">
                  <c:v>802.91780000000006</c:v>
                </c:pt>
                <c:pt idx="1215">
                  <c:v>802.91907000000003</c:v>
                </c:pt>
                <c:pt idx="1216">
                  <c:v>802.92033000000004</c:v>
                </c:pt>
                <c:pt idx="1217">
                  <c:v>802.92159000000004</c:v>
                </c:pt>
                <c:pt idx="1218">
                  <c:v>802.92285000000004</c:v>
                </c:pt>
                <c:pt idx="1219">
                  <c:v>802.92793000000006</c:v>
                </c:pt>
                <c:pt idx="1220">
                  <c:v>802.92920000000004</c:v>
                </c:pt>
                <c:pt idx="1221">
                  <c:v>802.93047000000001</c:v>
                </c:pt>
                <c:pt idx="1222">
                  <c:v>802.9317400000001</c:v>
                </c:pt>
                <c:pt idx="1223">
                  <c:v>802.93301000000008</c:v>
                </c:pt>
                <c:pt idx="1224">
                  <c:v>802.93427000000008</c:v>
                </c:pt>
                <c:pt idx="1225">
                  <c:v>802.93554000000006</c:v>
                </c:pt>
                <c:pt idx="1226">
                  <c:v>802.94062000000008</c:v>
                </c:pt>
                <c:pt idx="1227">
                  <c:v>802.94189000000006</c:v>
                </c:pt>
                <c:pt idx="1228">
                  <c:v>802.94316000000003</c:v>
                </c:pt>
                <c:pt idx="1229">
                  <c:v>802.94442000000004</c:v>
                </c:pt>
                <c:pt idx="1230">
                  <c:v>802.94569000000001</c:v>
                </c:pt>
                <c:pt idx="1231">
                  <c:v>802.9469600000001</c:v>
                </c:pt>
                <c:pt idx="1232">
                  <c:v>802.94823000000008</c:v>
                </c:pt>
                <c:pt idx="1233">
                  <c:v>802.95459000000005</c:v>
                </c:pt>
                <c:pt idx="1234">
                  <c:v>802.95586000000003</c:v>
                </c:pt>
                <c:pt idx="1235">
                  <c:v>802.95713000000012</c:v>
                </c:pt>
                <c:pt idx="1236">
                  <c:v>802.9584000000001</c:v>
                </c:pt>
                <c:pt idx="1237">
                  <c:v>802.95968000000005</c:v>
                </c:pt>
                <c:pt idx="1238">
                  <c:v>802.96095000000003</c:v>
                </c:pt>
                <c:pt idx="1239">
                  <c:v>802.96222000000012</c:v>
                </c:pt>
                <c:pt idx="1240">
                  <c:v>802.96858000000009</c:v>
                </c:pt>
                <c:pt idx="1241">
                  <c:v>802.96985000000006</c:v>
                </c:pt>
                <c:pt idx="1242">
                  <c:v>802.97112000000004</c:v>
                </c:pt>
                <c:pt idx="1243">
                  <c:v>802.97239000000002</c:v>
                </c:pt>
                <c:pt idx="1244">
                  <c:v>802.97366000000011</c:v>
                </c:pt>
                <c:pt idx="1245">
                  <c:v>802.97493000000009</c:v>
                </c:pt>
                <c:pt idx="1246">
                  <c:v>802.97621000000004</c:v>
                </c:pt>
                <c:pt idx="1247">
                  <c:v>802.98260000000005</c:v>
                </c:pt>
                <c:pt idx="1248">
                  <c:v>802.98387000000002</c:v>
                </c:pt>
                <c:pt idx="1249">
                  <c:v>802.98514000000011</c:v>
                </c:pt>
                <c:pt idx="1250">
                  <c:v>802.98641000000009</c:v>
                </c:pt>
                <c:pt idx="1251">
                  <c:v>802.98768000000007</c:v>
                </c:pt>
                <c:pt idx="1252">
                  <c:v>802.98896000000002</c:v>
                </c:pt>
                <c:pt idx="1253">
                  <c:v>802.99024000000009</c:v>
                </c:pt>
                <c:pt idx="1254">
                  <c:v>802.99661000000003</c:v>
                </c:pt>
                <c:pt idx="1255">
                  <c:v>802.9978900000001</c:v>
                </c:pt>
                <c:pt idx="1256">
                  <c:v>802.99917000000005</c:v>
                </c:pt>
                <c:pt idx="1257">
                  <c:v>803.00045000000011</c:v>
                </c:pt>
                <c:pt idx="1258">
                  <c:v>803.00173000000007</c:v>
                </c:pt>
                <c:pt idx="1259">
                  <c:v>803.00301000000002</c:v>
                </c:pt>
                <c:pt idx="1260">
                  <c:v>803.00429000000008</c:v>
                </c:pt>
                <c:pt idx="1261">
                  <c:v>803.00557000000003</c:v>
                </c:pt>
                <c:pt idx="1262">
                  <c:v>803.01197000000002</c:v>
                </c:pt>
                <c:pt idx="1263">
                  <c:v>803.01325000000008</c:v>
                </c:pt>
                <c:pt idx="1264">
                  <c:v>803.01452000000006</c:v>
                </c:pt>
                <c:pt idx="1265">
                  <c:v>803.01580000000001</c:v>
                </c:pt>
                <c:pt idx="1266">
                  <c:v>803.01708000000008</c:v>
                </c:pt>
                <c:pt idx="1267">
                  <c:v>803.01836000000003</c:v>
                </c:pt>
                <c:pt idx="1268">
                  <c:v>803.01964000000009</c:v>
                </c:pt>
                <c:pt idx="1269">
                  <c:v>803.02092000000005</c:v>
                </c:pt>
                <c:pt idx="1270">
                  <c:v>803.02732000000003</c:v>
                </c:pt>
                <c:pt idx="1271">
                  <c:v>803.0286000000001</c:v>
                </c:pt>
                <c:pt idx="1272">
                  <c:v>803.02988000000005</c:v>
                </c:pt>
                <c:pt idx="1273">
                  <c:v>803.03116000000011</c:v>
                </c:pt>
                <c:pt idx="1274">
                  <c:v>803.03244000000007</c:v>
                </c:pt>
                <c:pt idx="1275">
                  <c:v>803.03372000000002</c:v>
                </c:pt>
                <c:pt idx="1276">
                  <c:v>803.03500000000008</c:v>
                </c:pt>
                <c:pt idx="1277">
                  <c:v>803.03628000000003</c:v>
                </c:pt>
                <c:pt idx="1278">
                  <c:v>803.0375600000001</c:v>
                </c:pt>
                <c:pt idx="1279">
                  <c:v>803.04397000000006</c:v>
                </c:pt>
                <c:pt idx="1280">
                  <c:v>803.04525000000001</c:v>
                </c:pt>
                <c:pt idx="1281">
                  <c:v>803.04653000000008</c:v>
                </c:pt>
                <c:pt idx="1282">
                  <c:v>803.04781000000003</c:v>
                </c:pt>
                <c:pt idx="1283">
                  <c:v>803.04910000000007</c:v>
                </c:pt>
                <c:pt idx="1284">
                  <c:v>803.05038000000002</c:v>
                </c:pt>
                <c:pt idx="1285">
                  <c:v>803.05166000000008</c:v>
                </c:pt>
                <c:pt idx="1286">
                  <c:v>803.05294000000004</c:v>
                </c:pt>
                <c:pt idx="1287">
                  <c:v>803.0542200000001</c:v>
                </c:pt>
                <c:pt idx="1288">
                  <c:v>803.0619200000001</c:v>
                </c:pt>
                <c:pt idx="1289">
                  <c:v>803.06321000000003</c:v>
                </c:pt>
                <c:pt idx="1290">
                  <c:v>803.06450000000007</c:v>
                </c:pt>
                <c:pt idx="1291">
                  <c:v>803.06579000000011</c:v>
                </c:pt>
                <c:pt idx="1292">
                  <c:v>803.06708000000003</c:v>
                </c:pt>
                <c:pt idx="1293">
                  <c:v>803.06837000000007</c:v>
                </c:pt>
                <c:pt idx="1294">
                  <c:v>803.06966000000011</c:v>
                </c:pt>
                <c:pt idx="1295">
                  <c:v>803.07094000000006</c:v>
                </c:pt>
                <c:pt idx="1296">
                  <c:v>803.07222000000002</c:v>
                </c:pt>
                <c:pt idx="1297">
                  <c:v>803.07866000000001</c:v>
                </c:pt>
                <c:pt idx="1298">
                  <c:v>803.07994000000008</c:v>
                </c:pt>
                <c:pt idx="1299">
                  <c:v>803.08122000000003</c:v>
                </c:pt>
                <c:pt idx="1300">
                  <c:v>803.0825000000001</c:v>
                </c:pt>
                <c:pt idx="1301">
                  <c:v>803.08379000000002</c:v>
                </c:pt>
                <c:pt idx="1302">
                  <c:v>803.08508000000006</c:v>
                </c:pt>
                <c:pt idx="1303">
                  <c:v>803.08636000000001</c:v>
                </c:pt>
                <c:pt idx="1304">
                  <c:v>803.08765000000005</c:v>
                </c:pt>
                <c:pt idx="1305">
                  <c:v>803.08894000000009</c:v>
                </c:pt>
                <c:pt idx="1306">
                  <c:v>803.09022000000004</c:v>
                </c:pt>
                <c:pt idx="1307">
                  <c:v>803.09795000000008</c:v>
                </c:pt>
                <c:pt idx="1308">
                  <c:v>803.09924000000001</c:v>
                </c:pt>
                <c:pt idx="1309">
                  <c:v>803.10053000000005</c:v>
                </c:pt>
                <c:pt idx="1310">
                  <c:v>803.10182000000009</c:v>
                </c:pt>
                <c:pt idx="1311">
                  <c:v>803.10311000000002</c:v>
                </c:pt>
                <c:pt idx="1312">
                  <c:v>803.10440000000006</c:v>
                </c:pt>
                <c:pt idx="1313">
                  <c:v>803.1056900000001</c:v>
                </c:pt>
                <c:pt idx="1314">
                  <c:v>803.10698000000002</c:v>
                </c:pt>
                <c:pt idx="1315">
                  <c:v>803.10827000000006</c:v>
                </c:pt>
                <c:pt idx="1316">
                  <c:v>803.1095600000001</c:v>
                </c:pt>
                <c:pt idx="1317">
                  <c:v>803.11732000000006</c:v>
                </c:pt>
                <c:pt idx="1318">
                  <c:v>803.1186100000001</c:v>
                </c:pt>
                <c:pt idx="1319">
                  <c:v>803.11990000000003</c:v>
                </c:pt>
                <c:pt idx="1320">
                  <c:v>803.12119000000007</c:v>
                </c:pt>
                <c:pt idx="1321">
                  <c:v>803.12248000000011</c:v>
                </c:pt>
                <c:pt idx="1322">
                  <c:v>803.12378000000001</c:v>
                </c:pt>
                <c:pt idx="1323">
                  <c:v>803.12507000000005</c:v>
                </c:pt>
                <c:pt idx="1324">
                  <c:v>803.12766000000011</c:v>
                </c:pt>
                <c:pt idx="1325">
                  <c:v>803.12896000000012</c:v>
                </c:pt>
                <c:pt idx="1326">
                  <c:v>803.13025000000005</c:v>
                </c:pt>
                <c:pt idx="1327">
                  <c:v>803.13154000000009</c:v>
                </c:pt>
                <c:pt idx="1328">
                  <c:v>803.13929000000007</c:v>
                </c:pt>
                <c:pt idx="1329">
                  <c:v>803.14059000000009</c:v>
                </c:pt>
                <c:pt idx="1330">
                  <c:v>803.1418900000001</c:v>
                </c:pt>
                <c:pt idx="1331">
                  <c:v>803.14319000000012</c:v>
                </c:pt>
                <c:pt idx="1332">
                  <c:v>803.14449000000002</c:v>
                </c:pt>
                <c:pt idx="1333">
                  <c:v>803.14579000000003</c:v>
                </c:pt>
                <c:pt idx="1334">
                  <c:v>803.14708000000007</c:v>
                </c:pt>
                <c:pt idx="1335">
                  <c:v>803.14838000000009</c:v>
                </c:pt>
                <c:pt idx="1336">
                  <c:v>803.1496800000001</c:v>
                </c:pt>
                <c:pt idx="1337">
                  <c:v>803.15098000000012</c:v>
                </c:pt>
                <c:pt idx="1338">
                  <c:v>803.15228000000002</c:v>
                </c:pt>
                <c:pt idx="1339">
                  <c:v>803.15357000000006</c:v>
                </c:pt>
                <c:pt idx="1340">
                  <c:v>803.1548600000001</c:v>
                </c:pt>
                <c:pt idx="1341">
                  <c:v>803.16395000000011</c:v>
                </c:pt>
                <c:pt idx="1342">
                  <c:v>803.16525000000001</c:v>
                </c:pt>
                <c:pt idx="1343">
                  <c:v>803.16655000000003</c:v>
                </c:pt>
                <c:pt idx="1344">
                  <c:v>803.16784000000007</c:v>
                </c:pt>
                <c:pt idx="1345">
                  <c:v>803.16914000000008</c:v>
                </c:pt>
                <c:pt idx="1346">
                  <c:v>803.1704400000001</c:v>
                </c:pt>
                <c:pt idx="1347">
                  <c:v>803.17173000000003</c:v>
                </c:pt>
                <c:pt idx="1348">
                  <c:v>803.17303000000004</c:v>
                </c:pt>
                <c:pt idx="1349">
                  <c:v>803.17433000000005</c:v>
                </c:pt>
                <c:pt idx="1350">
                  <c:v>803.17562000000009</c:v>
                </c:pt>
                <c:pt idx="1351">
                  <c:v>803.17692000000011</c:v>
                </c:pt>
                <c:pt idx="1352">
                  <c:v>803.17822000000001</c:v>
                </c:pt>
                <c:pt idx="1353">
                  <c:v>803.17951000000005</c:v>
                </c:pt>
                <c:pt idx="1354">
                  <c:v>803.18861000000004</c:v>
                </c:pt>
                <c:pt idx="1355">
                  <c:v>803.18991000000005</c:v>
                </c:pt>
                <c:pt idx="1356">
                  <c:v>803.19121000000007</c:v>
                </c:pt>
                <c:pt idx="1357">
                  <c:v>803.19251000000008</c:v>
                </c:pt>
                <c:pt idx="1358">
                  <c:v>803.1938100000001</c:v>
                </c:pt>
                <c:pt idx="1359">
                  <c:v>803.19511000000011</c:v>
                </c:pt>
                <c:pt idx="1360">
                  <c:v>803.19641000000001</c:v>
                </c:pt>
                <c:pt idx="1361">
                  <c:v>803.19771000000003</c:v>
                </c:pt>
                <c:pt idx="1362">
                  <c:v>803.19902000000002</c:v>
                </c:pt>
                <c:pt idx="1363">
                  <c:v>803.20032000000003</c:v>
                </c:pt>
                <c:pt idx="1364">
                  <c:v>803.20162000000005</c:v>
                </c:pt>
                <c:pt idx="1365">
                  <c:v>803.20292000000006</c:v>
                </c:pt>
                <c:pt idx="1366">
                  <c:v>803.20423000000005</c:v>
                </c:pt>
                <c:pt idx="1367">
                  <c:v>803.20553000000007</c:v>
                </c:pt>
                <c:pt idx="1368">
                  <c:v>803.21596000000011</c:v>
                </c:pt>
                <c:pt idx="1369">
                  <c:v>803.21726000000001</c:v>
                </c:pt>
                <c:pt idx="1370">
                  <c:v>803.21856000000002</c:v>
                </c:pt>
                <c:pt idx="1371">
                  <c:v>803.21986000000004</c:v>
                </c:pt>
                <c:pt idx="1372">
                  <c:v>803.22116000000005</c:v>
                </c:pt>
                <c:pt idx="1373">
                  <c:v>803.22246000000007</c:v>
                </c:pt>
                <c:pt idx="1374">
                  <c:v>803.22376000000008</c:v>
                </c:pt>
                <c:pt idx="1375">
                  <c:v>803.2250600000001</c:v>
                </c:pt>
                <c:pt idx="1376">
                  <c:v>803.22636000000011</c:v>
                </c:pt>
                <c:pt idx="1377">
                  <c:v>803.22766000000001</c:v>
                </c:pt>
                <c:pt idx="1378">
                  <c:v>803.22897000000012</c:v>
                </c:pt>
                <c:pt idx="1379">
                  <c:v>803.23027000000002</c:v>
                </c:pt>
                <c:pt idx="1380">
                  <c:v>803.23158000000012</c:v>
                </c:pt>
                <c:pt idx="1381">
                  <c:v>803.23288000000002</c:v>
                </c:pt>
                <c:pt idx="1382">
                  <c:v>803.23418000000004</c:v>
                </c:pt>
                <c:pt idx="1383">
                  <c:v>803.23548000000005</c:v>
                </c:pt>
                <c:pt idx="1384">
                  <c:v>803.24724000000003</c:v>
                </c:pt>
                <c:pt idx="1385">
                  <c:v>803.24855000000002</c:v>
                </c:pt>
                <c:pt idx="1386">
                  <c:v>803.24986000000001</c:v>
                </c:pt>
                <c:pt idx="1387">
                  <c:v>803.25117000000012</c:v>
                </c:pt>
                <c:pt idx="1388">
                  <c:v>803.25248000000011</c:v>
                </c:pt>
                <c:pt idx="1389">
                  <c:v>803.25379000000009</c:v>
                </c:pt>
                <c:pt idx="1390">
                  <c:v>803.25510000000008</c:v>
                </c:pt>
                <c:pt idx="1391">
                  <c:v>803.25641000000007</c:v>
                </c:pt>
                <c:pt idx="1392">
                  <c:v>803.25772000000006</c:v>
                </c:pt>
                <c:pt idx="1393">
                  <c:v>803.25903000000005</c:v>
                </c:pt>
                <c:pt idx="1394">
                  <c:v>803.26034000000004</c:v>
                </c:pt>
                <c:pt idx="1395">
                  <c:v>803.26164000000006</c:v>
                </c:pt>
                <c:pt idx="1396">
                  <c:v>803.26295000000005</c:v>
                </c:pt>
                <c:pt idx="1397">
                  <c:v>803.26426000000004</c:v>
                </c:pt>
                <c:pt idx="1398">
                  <c:v>803.26557000000003</c:v>
                </c:pt>
                <c:pt idx="1399">
                  <c:v>803.26688000000001</c:v>
                </c:pt>
                <c:pt idx="1400">
                  <c:v>803.26819000000012</c:v>
                </c:pt>
                <c:pt idx="1401">
                  <c:v>803.26950000000011</c:v>
                </c:pt>
                <c:pt idx="1402">
                  <c:v>803.28392000000008</c:v>
                </c:pt>
                <c:pt idx="1403">
                  <c:v>803.28523000000007</c:v>
                </c:pt>
                <c:pt idx="1404">
                  <c:v>803.28654000000006</c:v>
                </c:pt>
                <c:pt idx="1405">
                  <c:v>803.28786000000002</c:v>
                </c:pt>
                <c:pt idx="1406">
                  <c:v>803.28917000000001</c:v>
                </c:pt>
                <c:pt idx="1407">
                  <c:v>803.29048000000012</c:v>
                </c:pt>
                <c:pt idx="1408">
                  <c:v>803.29179000000011</c:v>
                </c:pt>
                <c:pt idx="1409">
                  <c:v>803.29310000000009</c:v>
                </c:pt>
                <c:pt idx="1410">
                  <c:v>803.29441000000008</c:v>
                </c:pt>
                <c:pt idx="1411">
                  <c:v>803.29469000000006</c:v>
                </c:pt>
                <c:pt idx="1412">
                  <c:v>803.29572000000007</c:v>
                </c:pt>
                <c:pt idx="1413">
                  <c:v>803.29704000000004</c:v>
                </c:pt>
                <c:pt idx="1414">
                  <c:v>803.29835000000003</c:v>
                </c:pt>
                <c:pt idx="1415">
                  <c:v>803.29966000000002</c:v>
                </c:pt>
                <c:pt idx="1416">
                  <c:v>803.30097000000012</c:v>
                </c:pt>
                <c:pt idx="1417">
                  <c:v>803.30228000000011</c:v>
                </c:pt>
                <c:pt idx="1418">
                  <c:v>803.3035900000001</c:v>
                </c:pt>
                <c:pt idx="1419">
                  <c:v>803.30490000000009</c:v>
                </c:pt>
                <c:pt idx="1420">
                  <c:v>803.30622000000005</c:v>
                </c:pt>
                <c:pt idx="1421">
                  <c:v>803.30753000000004</c:v>
                </c:pt>
                <c:pt idx="1422">
                  <c:v>803.30885000000012</c:v>
                </c:pt>
                <c:pt idx="1423">
                  <c:v>803.31017000000008</c:v>
                </c:pt>
                <c:pt idx="1424">
                  <c:v>803.31149000000005</c:v>
                </c:pt>
                <c:pt idx="1425">
                  <c:v>803.32729000000006</c:v>
                </c:pt>
                <c:pt idx="1426">
                  <c:v>803.32861000000003</c:v>
                </c:pt>
                <c:pt idx="1427">
                  <c:v>803.3299300000001</c:v>
                </c:pt>
                <c:pt idx="1428">
                  <c:v>803.33125000000007</c:v>
                </c:pt>
                <c:pt idx="1429">
                  <c:v>803.33256000000006</c:v>
                </c:pt>
                <c:pt idx="1430">
                  <c:v>803.33387000000005</c:v>
                </c:pt>
                <c:pt idx="1431">
                  <c:v>803.33512000000007</c:v>
                </c:pt>
                <c:pt idx="1432">
                  <c:v>803.33650000000011</c:v>
                </c:pt>
                <c:pt idx="1433">
                  <c:v>803.3378100000001</c:v>
                </c:pt>
                <c:pt idx="1434">
                  <c:v>803.33912000000009</c:v>
                </c:pt>
                <c:pt idx="1435">
                  <c:v>803.34044000000006</c:v>
                </c:pt>
                <c:pt idx="1436">
                  <c:v>803.34176000000002</c:v>
                </c:pt>
                <c:pt idx="1437">
                  <c:v>803.34307000000001</c:v>
                </c:pt>
                <c:pt idx="1438">
                  <c:v>803.34439000000009</c:v>
                </c:pt>
                <c:pt idx="1439">
                  <c:v>803.34571000000005</c:v>
                </c:pt>
                <c:pt idx="1440">
                  <c:v>803.34702000000004</c:v>
                </c:pt>
                <c:pt idx="1441">
                  <c:v>803.34834000000012</c:v>
                </c:pt>
                <c:pt idx="1442">
                  <c:v>803.34966000000009</c:v>
                </c:pt>
                <c:pt idx="1443">
                  <c:v>803.35097000000007</c:v>
                </c:pt>
                <c:pt idx="1444">
                  <c:v>803.35229000000004</c:v>
                </c:pt>
                <c:pt idx="1445">
                  <c:v>803.35361000000012</c:v>
                </c:pt>
                <c:pt idx="1446">
                  <c:v>803.35493000000008</c:v>
                </c:pt>
                <c:pt idx="1447">
                  <c:v>803.35625000000005</c:v>
                </c:pt>
                <c:pt idx="1448">
                  <c:v>803.35757000000001</c:v>
                </c:pt>
                <c:pt idx="1449">
                  <c:v>803.35889000000009</c:v>
                </c:pt>
                <c:pt idx="1450">
                  <c:v>803.36021000000005</c:v>
                </c:pt>
                <c:pt idx="1451">
                  <c:v>803.36285000000009</c:v>
                </c:pt>
                <c:pt idx="1452">
                  <c:v>803.36418000000003</c:v>
                </c:pt>
                <c:pt idx="1453">
                  <c:v>803.36550000000011</c:v>
                </c:pt>
                <c:pt idx="1454">
                  <c:v>803.36682000000008</c:v>
                </c:pt>
                <c:pt idx="1455">
                  <c:v>803.36814000000004</c:v>
                </c:pt>
                <c:pt idx="1456">
                  <c:v>803.36946000000012</c:v>
                </c:pt>
                <c:pt idx="1457">
                  <c:v>803.37078000000008</c:v>
                </c:pt>
                <c:pt idx="1458">
                  <c:v>803.37210000000005</c:v>
                </c:pt>
                <c:pt idx="1459">
                  <c:v>803.37342000000001</c:v>
                </c:pt>
                <c:pt idx="1460">
                  <c:v>803.37474000000009</c:v>
                </c:pt>
                <c:pt idx="1461">
                  <c:v>803.37606000000005</c:v>
                </c:pt>
                <c:pt idx="1462">
                  <c:v>803.37738000000002</c:v>
                </c:pt>
                <c:pt idx="1463">
                  <c:v>803.37870000000009</c:v>
                </c:pt>
                <c:pt idx="1464">
                  <c:v>803.38002000000006</c:v>
                </c:pt>
                <c:pt idx="1465">
                  <c:v>803.38135000000011</c:v>
                </c:pt>
                <c:pt idx="1466">
                  <c:v>803.38267000000008</c:v>
                </c:pt>
                <c:pt idx="1467">
                  <c:v>803.38399000000004</c:v>
                </c:pt>
                <c:pt idx="1468">
                  <c:v>803.38531000000012</c:v>
                </c:pt>
                <c:pt idx="1469">
                  <c:v>803.38664000000006</c:v>
                </c:pt>
                <c:pt idx="1470">
                  <c:v>803.38796000000002</c:v>
                </c:pt>
                <c:pt idx="1471">
                  <c:v>803.3892800000001</c:v>
                </c:pt>
                <c:pt idx="1472">
                  <c:v>803.39060000000006</c:v>
                </c:pt>
                <c:pt idx="1473">
                  <c:v>803.39193000000012</c:v>
                </c:pt>
                <c:pt idx="1474">
                  <c:v>803.39325000000008</c:v>
                </c:pt>
                <c:pt idx="1475">
                  <c:v>803.39457000000004</c:v>
                </c:pt>
                <c:pt idx="1476">
                  <c:v>803.39589000000012</c:v>
                </c:pt>
                <c:pt idx="1477">
                  <c:v>803.39721000000009</c:v>
                </c:pt>
                <c:pt idx="1478">
                  <c:v>803.39853000000005</c:v>
                </c:pt>
                <c:pt idx="1479">
                  <c:v>803.39985000000001</c:v>
                </c:pt>
                <c:pt idx="1480">
                  <c:v>803.40118000000007</c:v>
                </c:pt>
                <c:pt idx="1481">
                  <c:v>803.40251000000012</c:v>
                </c:pt>
                <c:pt idx="1482">
                  <c:v>803.40384000000006</c:v>
                </c:pt>
                <c:pt idx="1483">
                  <c:v>803.40517000000011</c:v>
                </c:pt>
                <c:pt idx="1484">
                  <c:v>803.40649000000008</c:v>
                </c:pt>
                <c:pt idx="1485">
                  <c:v>803.40781000000004</c:v>
                </c:pt>
                <c:pt idx="1486">
                  <c:v>803.40913000000012</c:v>
                </c:pt>
                <c:pt idx="1487">
                  <c:v>803.41045000000008</c:v>
                </c:pt>
                <c:pt idx="1488">
                  <c:v>803.41177000000005</c:v>
                </c:pt>
                <c:pt idx="1489">
                  <c:v>803.41309000000001</c:v>
                </c:pt>
                <c:pt idx="1490">
                  <c:v>803.41441000000009</c:v>
                </c:pt>
                <c:pt idx="1491">
                  <c:v>803.41573000000005</c:v>
                </c:pt>
                <c:pt idx="1492">
                  <c:v>803.41705000000002</c:v>
                </c:pt>
                <c:pt idx="1493">
                  <c:v>803.41838000000007</c:v>
                </c:pt>
                <c:pt idx="1494">
                  <c:v>803.41971000000001</c:v>
                </c:pt>
                <c:pt idx="1495">
                  <c:v>803.42103000000009</c:v>
                </c:pt>
                <c:pt idx="1496">
                  <c:v>803.42236000000003</c:v>
                </c:pt>
                <c:pt idx="1497">
                  <c:v>803.42369000000008</c:v>
                </c:pt>
                <c:pt idx="1498">
                  <c:v>803.42502000000002</c:v>
                </c:pt>
                <c:pt idx="1499">
                  <c:v>803.4263400000001</c:v>
                </c:pt>
                <c:pt idx="1500">
                  <c:v>803.42766000000006</c:v>
                </c:pt>
                <c:pt idx="1501">
                  <c:v>803.42899000000011</c:v>
                </c:pt>
                <c:pt idx="1502">
                  <c:v>803.43032000000005</c:v>
                </c:pt>
                <c:pt idx="1503">
                  <c:v>803.4316500000001</c:v>
                </c:pt>
                <c:pt idx="1504">
                  <c:v>803.43298000000004</c:v>
                </c:pt>
                <c:pt idx="1505">
                  <c:v>803.43430000000012</c:v>
                </c:pt>
                <c:pt idx="1506">
                  <c:v>803.43562000000009</c:v>
                </c:pt>
                <c:pt idx="1507">
                  <c:v>803.43694000000005</c:v>
                </c:pt>
                <c:pt idx="1508">
                  <c:v>803.4382700000001</c:v>
                </c:pt>
                <c:pt idx="1509">
                  <c:v>803.43960000000004</c:v>
                </c:pt>
                <c:pt idx="1510">
                  <c:v>803.44093000000009</c:v>
                </c:pt>
                <c:pt idx="1511">
                  <c:v>803.44225000000006</c:v>
                </c:pt>
                <c:pt idx="1512">
                  <c:v>803.44358000000011</c:v>
                </c:pt>
                <c:pt idx="1513">
                  <c:v>803.44490000000008</c:v>
                </c:pt>
                <c:pt idx="1514">
                  <c:v>803.44622000000004</c:v>
                </c:pt>
                <c:pt idx="1515">
                  <c:v>803.44754000000012</c:v>
                </c:pt>
                <c:pt idx="1516">
                  <c:v>803.44887000000006</c:v>
                </c:pt>
                <c:pt idx="1517">
                  <c:v>803.45020000000011</c:v>
                </c:pt>
                <c:pt idx="1518">
                  <c:v>803.45153000000005</c:v>
                </c:pt>
                <c:pt idx="1519">
                  <c:v>803.4528600000001</c:v>
                </c:pt>
                <c:pt idx="1520">
                  <c:v>803.45418000000006</c:v>
                </c:pt>
                <c:pt idx="1521">
                  <c:v>803.45551000000012</c:v>
                </c:pt>
                <c:pt idx="1522">
                  <c:v>803.45684000000006</c:v>
                </c:pt>
                <c:pt idx="1523">
                  <c:v>803.45816000000002</c:v>
                </c:pt>
                <c:pt idx="1524">
                  <c:v>803.45949000000007</c:v>
                </c:pt>
                <c:pt idx="1525">
                  <c:v>803.46082000000001</c:v>
                </c:pt>
                <c:pt idx="1526">
                  <c:v>803.46214000000009</c:v>
                </c:pt>
                <c:pt idx="1527">
                  <c:v>803.46347000000003</c:v>
                </c:pt>
                <c:pt idx="1528">
                  <c:v>803.46480000000008</c:v>
                </c:pt>
                <c:pt idx="1529">
                  <c:v>803.46612000000005</c:v>
                </c:pt>
                <c:pt idx="1530">
                  <c:v>803.4674500000001</c:v>
                </c:pt>
                <c:pt idx="1531">
                  <c:v>803.46878000000004</c:v>
                </c:pt>
                <c:pt idx="1532">
                  <c:v>803.47010000000012</c:v>
                </c:pt>
                <c:pt idx="1533">
                  <c:v>803.47143000000005</c:v>
                </c:pt>
                <c:pt idx="1534">
                  <c:v>803.47276000000011</c:v>
                </c:pt>
                <c:pt idx="1535">
                  <c:v>803.47408000000007</c:v>
                </c:pt>
                <c:pt idx="1536">
                  <c:v>803.47541000000001</c:v>
                </c:pt>
                <c:pt idx="1537">
                  <c:v>803.47674000000006</c:v>
                </c:pt>
                <c:pt idx="1538">
                  <c:v>803.47806000000003</c:v>
                </c:pt>
                <c:pt idx="1539">
                  <c:v>803.47939000000008</c:v>
                </c:pt>
                <c:pt idx="1540">
                  <c:v>803.48072000000002</c:v>
                </c:pt>
                <c:pt idx="1541">
                  <c:v>803.48205000000007</c:v>
                </c:pt>
                <c:pt idx="1542">
                  <c:v>803.48338000000001</c:v>
                </c:pt>
                <c:pt idx="1543">
                  <c:v>803.48471000000006</c:v>
                </c:pt>
                <c:pt idx="1544">
                  <c:v>803.48604000000012</c:v>
                </c:pt>
                <c:pt idx="1545">
                  <c:v>803.48737000000006</c:v>
                </c:pt>
                <c:pt idx="1546">
                  <c:v>803.48870000000011</c:v>
                </c:pt>
                <c:pt idx="1547">
                  <c:v>803.49003000000005</c:v>
                </c:pt>
                <c:pt idx="1548">
                  <c:v>803.4913600000001</c:v>
                </c:pt>
                <c:pt idx="1549">
                  <c:v>803.49269000000004</c:v>
                </c:pt>
                <c:pt idx="1550">
                  <c:v>803.49402000000009</c:v>
                </c:pt>
                <c:pt idx="1551">
                  <c:v>803.49535000000003</c:v>
                </c:pt>
                <c:pt idx="1552">
                  <c:v>803.49668000000008</c:v>
                </c:pt>
                <c:pt idx="1553">
                  <c:v>803.49801000000002</c:v>
                </c:pt>
                <c:pt idx="1554">
                  <c:v>803.49934000000007</c:v>
                </c:pt>
                <c:pt idx="1555">
                  <c:v>803.50067000000001</c:v>
                </c:pt>
                <c:pt idx="1556">
                  <c:v>803.50200000000007</c:v>
                </c:pt>
                <c:pt idx="1557">
                  <c:v>803.50333000000012</c:v>
                </c:pt>
                <c:pt idx="1558">
                  <c:v>803.50466000000006</c:v>
                </c:pt>
                <c:pt idx="1559">
                  <c:v>803.50599000000011</c:v>
                </c:pt>
                <c:pt idx="1560">
                  <c:v>803.50732000000005</c:v>
                </c:pt>
                <c:pt idx="1561">
                  <c:v>803.5086500000001</c:v>
                </c:pt>
                <c:pt idx="1562">
                  <c:v>803.50999000000002</c:v>
                </c:pt>
                <c:pt idx="1563">
                  <c:v>803.51132000000007</c:v>
                </c:pt>
                <c:pt idx="1564">
                  <c:v>803.51265000000012</c:v>
                </c:pt>
                <c:pt idx="1565">
                  <c:v>803.51399000000004</c:v>
                </c:pt>
                <c:pt idx="1566">
                  <c:v>803.51532000000009</c:v>
                </c:pt>
                <c:pt idx="1567">
                  <c:v>803.51665000000003</c:v>
                </c:pt>
                <c:pt idx="1568">
                  <c:v>803.51798000000008</c:v>
                </c:pt>
                <c:pt idx="1569">
                  <c:v>803.51932000000011</c:v>
                </c:pt>
                <c:pt idx="1570">
                  <c:v>803.52065000000005</c:v>
                </c:pt>
                <c:pt idx="1571">
                  <c:v>803.5219800000001</c:v>
                </c:pt>
                <c:pt idx="1572">
                  <c:v>803.52331000000004</c:v>
                </c:pt>
                <c:pt idx="1573">
                  <c:v>803.52465000000007</c:v>
                </c:pt>
                <c:pt idx="1574">
                  <c:v>803.52598000000012</c:v>
                </c:pt>
                <c:pt idx="1575">
                  <c:v>803.52731000000006</c:v>
                </c:pt>
                <c:pt idx="1576">
                  <c:v>803.52864000000011</c:v>
                </c:pt>
                <c:pt idx="1577">
                  <c:v>803.52997000000005</c:v>
                </c:pt>
                <c:pt idx="1578">
                  <c:v>803.5313000000001</c:v>
                </c:pt>
                <c:pt idx="1579">
                  <c:v>803.53263000000004</c:v>
                </c:pt>
                <c:pt idx="1580">
                  <c:v>803.53397000000007</c:v>
                </c:pt>
                <c:pt idx="1581">
                  <c:v>803.53531000000009</c:v>
                </c:pt>
                <c:pt idx="1582">
                  <c:v>803.53665000000012</c:v>
                </c:pt>
                <c:pt idx="1583">
                  <c:v>803.53799000000004</c:v>
                </c:pt>
                <c:pt idx="1584">
                  <c:v>803.53933000000006</c:v>
                </c:pt>
                <c:pt idx="1585">
                  <c:v>803.54067000000009</c:v>
                </c:pt>
                <c:pt idx="1586">
                  <c:v>803.54200000000003</c:v>
                </c:pt>
                <c:pt idx="1587">
                  <c:v>803.54333000000008</c:v>
                </c:pt>
                <c:pt idx="1588">
                  <c:v>803.54466000000002</c:v>
                </c:pt>
                <c:pt idx="1589">
                  <c:v>803.54599000000007</c:v>
                </c:pt>
                <c:pt idx="1590">
                  <c:v>803.54732000000001</c:v>
                </c:pt>
                <c:pt idx="1591">
                  <c:v>803.54865000000007</c:v>
                </c:pt>
                <c:pt idx="1592">
                  <c:v>803.54998000000012</c:v>
                </c:pt>
                <c:pt idx="1593">
                  <c:v>803.55131000000006</c:v>
                </c:pt>
                <c:pt idx="1594">
                  <c:v>803.55264000000011</c:v>
                </c:pt>
                <c:pt idx="1595">
                  <c:v>803.55398000000002</c:v>
                </c:pt>
                <c:pt idx="1596">
                  <c:v>803.55532000000005</c:v>
                </c:pt>
                <c:pt idx="1597">
                  <c:v>803.55666000000008</c:v>
                </c:pt>
                <c:pt idx="1598">
                  <c:v>803.55800000000011</c:v>
                </c:pt>
                <c:pt idx="1599">
                  <c:v>803.55934000000002</c:v>
                </c:pt>
                <c:pt idx="1600">
                  <c:v>803.56068000000005</c:v>
                </c:pt>
                <c:pt idx="1601">
                  <c:v>803.56202000000008</c:v>
                </c:pt>
                <c:pt idx="1602">
                  <c:v>803.5633600000001</c:v>
                </c:pt>
                <c:pt idx="1603">
                  <c:v>803.56469000000004</c:v>
                </c:pt>
                <c:pt idx="1604">
                  <c:v>803.56602000000009</c:v>
                </c:pt>
                <c:pt idx="1605">
                  <c:v>803.56735000000003</c:v>
                </c:pt>
                <c:pt idx="1606">
                  <c:v>803.56869000000006</c:v>
                </c:pt>
                <c:pt idx="1607">
                  <c:v>803.57003000000009</c:v>
                </c:pt>
                <c:pt idx="1608">
                  <c:v>803.57137000000012</c:v>
                </c:pt>
                <c:pt idx="1609">
                  <c:v>803.57271000000003</c:v>
                </c:pt>
                <c:pt idx="1610">
                  <c:v>803.57405000000006</c:v>
                </c:pt>
                <c:pt idx="1611">
                  <c:v>803.57538000000011</c:v>
                </c:pt>
                <c:pt idx="1612">
                  <c:v>803.57671000000005</c:v>
                </c:pt>
                <c:pt idx="1613">
                  <c:v>803.5780400000001</c:v>
                </c:pt>
                <c:pt idx="1614">
                  <c:v>803.57938000000001</c:v>
                </c:pt>
                <c:pt idx="1615">
                  <c:v>803.58072000000004</c:v>
                </c:pt>
                <c:pt idx="1616">
                  <c:v>803.58206000000007</c:v>
                </c:pt>
                <c:pt idx="1617">
                  <c:v>803.5834000000001</c:v>
                </c:pt>
                <c:pt idx="1618">
                  <c:v>803.58473000000004</c:v>
                </c:pt>
                <c:pt idx="1619">
                  <c:v>803.58606000000009</c:v>
                </c:pt>
                <c:pt idx="1620">
                  <c:v>803.58739000000003</c:v>
                </c:pt>
                <c:pt idx="1621">
                  <c:v>803.58873000000006</c:v>
                </c:pt>
                <c:pt idx="1622">
                  <c:v>803.59007000000008</c:v>
                </c:pt>
                <c:pt idx="1623">
                  <c:v>803.59140000000002</c:v>
                </c:pt>
                <c:pt idx="1624">
                  <c:v>803.59274000000005</c:v>
                </c:pt>
                <c:pt idx="1625">
                  <c:v>803.59408000000008</c:v>
                </c:pt>
                <c:pt idx="1626">
                  <c:v>803.59541000000002</c:v>
                </c:pt>
                <c:pt idx="1627">
                  <c:v>803.59675000000004</c:v>
                </c:pt>
                <c:pt idx="1628">
                  <c:v>803.59809000000007</c:v>
                </c:pt>
                <c:pt idx="1629">
                  <c:v>803.59942000000001</c:v>
                </c:pt>
                <c:pt idx="1630">
                  <c:v>803.60210000000006</c:v>
                </c:pt>
                <c:pt idx="1631">
                  <c:v>803.60344000000009</c:v>
                </c:pt>
                <c:pt idx="1632">
                  <c:v>803.60478000000012</c:v>
                </c:pt>
                <c:pt idx="1633">
                  <c:v>803.60612000000003</c:v>
                </c:pt>
                <c:pt idx="1634">
                  <c:v>803.60745000000009</c:v>
                </c:pt>
                <c:pt idx="1635">
                  <c:v>803.60879000000011</c:v>
                </c:pt>
                <c:pt idx="1636">
                  <c:v>803.61013000000003</c:v>
                </c:pt>
                <c:pt idx="1637">
                  <c:v>803.61146000000008</c:v>
                </c:pt>
                <c:pt idx="1638">
                  <c:v>803.61280000000011</c:v>
                </c:pt>
                <c:pt idx="1639">
                  <c:v>803.61414000000002</c:v>
                </c:pt>
                <c:pt idx="1640">
                  <c:v>803.61548000000005</c:v>
                </c:pt>
                <c:pt idx="1641">
                  <c:v>803.61682000000008</c:v>
                </c:pt>
                <c:pt idx="1642">
                  <c:v>803.6181600000001</c:v>
                </c:pt>
                <c:pt idx="1643">
                  <c:v>803.61950000000002</c:v>
                </c:pt>
                <c:pt idx="1644">
                  <c:v>803.62084000000004</c:v>
                </c:pt>
                <c:pt idx="1645">
                  <c:v>803.62218000000007</c:v>
                </c:pt>
                <c:pt idx="1646">
                  <c:v>803.6235200000001</c:v>
                </c:pt>
                <c:pt idx="1647">
                  <c:v>803.62486000000001</c:v>
                </c:pt>
                <c:pt idx="1648">
                  <c:v>803.62620000000004</c:v>
                </c:pt>
                <c:pt idx="1649">
                  <c:v>803.62754000000007</c:v>
                </c:pt>
                <c:pt idx="1650">
                  <c:v>803.62888000000009</c:v>
                </c:pt>
                <c:pt idx="1651">
                  <c:v>803.63022000000012</c:v>
                </c:pt>
                <c:pt idx="1652">
                  <c:v>803.63156000000004</c:v>
                </c:pt>
                <c:pt idx="1653">
                  <c:v>803.63289000000009</c:v>
                </c:pt>
                <c:pt idx="1654">
                  <c:v>803.63423000000012</c:v>
                </c:pt>
                <c:pt idx="1655">
                  <c:v>803.63557000000003</c:v>
                </c:pt>
                <c:pt idx="1656">
                  <c:v>803.63691000000006</c:v>
                </c:pt>
                <c:pt idx="1657">
                  <c:v>803.63825000000008</c:v>
                </c:pt>
                <c:pt idx="1658">
                  <c:v>803.63959000000011</c:v>
                </c:pt>
                <c:pt idx="1659">
                  <c:v>803.64093000000003</c:v>
                </c:pt>
                <c:pt idx="1660">
                  <c:v>803.64227000000005</c:v>
                </c:pt>
                <c:pt idx="1661">
                  <c:v>803.64361000000008</c:v>
                </c:pt>
                <c:pt idx="1662">
                  <c:v>803.64496000000008</c:v>
                </c:pt>
                <c:pt idx="1663">
                  <c:v>803.64630000000011</c:v>
                </c:pt>
                <c:pt idx="1664">
                  <c:v>803.64764000000002</c:v>
                </c:pt>
                <c:pt idx="1665">
                  <c:v>803.68659000000002</c:v>
                </c:pt>
                <c:pt idx="1666">
                  <c:v>803.68793000000005</c:v>
                </c:pt>
                <c:pt idx="1667">
                  <c:v>803.68927000000008</c:v>
                </c:pt>
                <c:pt idx="1668">
                  <c:v>803.69061000000011</c:v>
                </c:pt>
                <c:pt idx="1669">
                  <c:v>803.69195000000002</c:v>
                </c:pt>
                <c:pt idx="1670">
                  <c:v>803.69329000000005</c:v>
                </c:pt>
                <c:pt idx="1671">
                  <c:v>803.69463000000007</c:v>
                </c:pt>
                <c:pt idx="1672">
                  <c:v>803.6959700000001</c:v>
                </c:pt>
                <c:pt idx="1673">
                  <c:v>803.69731000000002</c:v>
                </c:pt>
                <c:pt idx="1674">
                  <c:v>803.69865000000004</c:v>
                </c:pt>
                <c:pt idx="1675">
                  <c:v>803.7</c:v>
                </c:pt>
                <c:pt idx="1676">
                  <c:v>803.70135000000005</c:v>
                </c:pt>
                <c:pt idx="1677">
                  <c:v>803.70269000000008</c:v>
                </c:pt>
                <c:pt idx="1678">
                  <c:v>803.7040300000001</c:v>
                </c:pt>
                <c:pt idx="1679">
                  <c:v>803.70537000000002</c:v>
                </c:pt>
                <c:pt idx="1680">
                  <c:v>803.70672000000002</c:v>
                </c:pt>
                <c:pt idx="1681">
                  <c:v>803.70807000000002</c:v>
                </c:pt>
                <c:pt idx="1682">
                  <c:v>803.70942000000002</c:v>
                </c:pt>
                <c:pt idx="1683">
                  <c:v>803.71077000000002</c:v>
                </c:pt>
                <c:pt idx="1684">
                  <c:v>803.71211000000005</c:v>
                </c:pt>
                <c:pt idx="1685">
                  <c:v>803.71345000000008</c:v>
                </c:pt>
                <c:pt idx="1686">
                  <c:v>803.71479000000011</c:v>
                </c:pt>
                <c:pt idx="1687">
                  <c:v>803.71614000000011</c:v>
                </c:pt>
                <c:pt idx="1688">
                  <c:v>803.71749000000011</c:v>
                </c:pt>
                <c:pt idx="1689">
                  <c:v>803.71884000000011</c:v>
                </c:pt>
                <c:pt idx="1690">
                  <c:v>803.72019000000012</c:v>
                </c:pt>
                <c:pt idx="1691">
                  <c:v>803.72154000000012</c:v>
                </c:pt>
                <c:pt idx="1692">
                  <c:v>803.72288000000003</c:v>
                </c:pt>
                <c:pt idx="1693">
                  <c:v>803.72422000000006</c:v>
                </c:pt>
                <c:pt idx="1694">
                  <c:v>803.74847000000011</c:v>
                </c:pt>
                <c:pt idx="1695">
                  <c:v>803.74982000000011</c:v>
                </c:pt>
                <c:pt idx="1696">
                  <c:v>803.75116000000003</c:v>
                </c:pt>
                <c:pt idx="1697">
                  <c:v>803.75251000000003</c:v>
                </c:pt>
                <c:pt idx="1698">
                  <c:v>803.75386000000003</c:v>
                </c:pt>
                <c:pt idx="1699">
                  <c:v>803.75520000000006</c:v>
                </c:pt>
                <c:pt idx="1700">
                  <c:v>803.75655000000006</c:v>
                </c:pt>
                <c:pt idx="1701">
                  <c:v>803.75790000000006</c:v>
                </c:pt>
                <c:pt idx="1702">
                  <c:v>803.75925000000007</c:v>
                </c:pt>
                <c:pt idx="1703">
                  <c:v>803.76060000000007</c:v>
                </c:pt>
                <c:pt idx="1704">
                  <c:v>803.76195000000007</c:v>
                </c:pt>
                <c:pt idx="1705">
                  <c:v>803.76330000000007</c:v>
                </c:pt>
                <c:pt idx="1706">
                  <c:v>803.76465000000007</c:v>
                </c:pt>
                <c:pt idx="1707">
                  <c:v>803.76600000000008</c:v>
                </c:pt>
                <c:pt idx="1708">
                  <c:v>803.76735000000008</c:v>
                </c:pt>
                <c:pt idx="1709">
                  <c:v>803.76870000000008</c:v>
                </c:pt>
                <c:pt idx="1710">
                  <c:v>803.77005000000008</c:v>
                </c:pt>
                <c:pt idx="1711">
                  <c:v>803.77140000000009</c:v>
                </c:pt>
                <c:pt idx="1712">
                  <c:v>803.77275000000009</c:v>
                </c:pt>
                <c:pt idx="1713">
                  <c:v>803.77410000000009</c:v>
                </c:pt>
                <c:pt idx="1714">
                  <c:v>803.77545000000009</c:v>
                </c:pt>
                <c:pt idx="1715">
                  <c:v>803.77680000000009</c:v>
                </c:pt>
                <c:pt idx="1716">
                  <c:v>803.7781500000001</c:v>
                </c:pt>
                <c:pt idx="1717">
                  <c:v>803.7984100000001</c:v>
                </c:pt>
                <c:pt idx="1718">
                  <c:v>803.79977000000008</c:v>
                </c:pt>
                <c:pt idx="1719">
                  <c:v>803.80112000000008</c:v>
                </c:pt>
                <c:pt idx="1720">
                  <c:v>803.80247000000008</c:v>
                </c:pt>
                <c:pt idx="1721">
                  <c:v>803.80382000000009</c:v>
                </c:pt>
                <c:pt idx="1722">
                  <c:v>803.80517000000009</c:v>
                </c:pt>
                <c:pt idx="1723">
                  <c:v>803.80652000000009</c:v>
                </c:pt>
                <c:pt idx="1724">
                  <c:v>803.80787000000009</c:v>
                </c:pt>
                <c:pt idx="1725">
                  <c:v>803.80923000000007</c:v>
                </c:pt>
                <c:pt idx="1726">
                  <c:v>803.81058000000007</c:v>
                </c:pt>
                <c:pt idx="1727">
                  <c:v>803.81193000000007</c:v>
                </c:pt>
                <c:pt idx="1728">
                  <c:v>803.81328000000008</c:v>
                </c:pt>
                <c:pt idx="1729">
                  <c:v>803.81464000000005</c:v>
                </c:pt>
                <c:pt idx="1730">
                  <c:v>803.81599000000006</c:v>
                </c:pt>
                <c:pt idx="1731">
                  <c:v>803.81734000000006</c:v>
                </c:pt>
                <c:pt idx="1732">
                  <c:v>803.81869000000006</c:v>
                </c:pt>
                <c:pt idx="1733">
                  <c:v>803.82004000000006</c:v>
                </c:pt>
                <c:pt idx="1734">
                  <c:v>803.82139000000006</c:v>
                </c:pt>
                <c:pt idx="1735">
                  <c:v>803.82275000000004</c:v>
                </c:pt>
                <c:pt idx="1736">
                  <c:v>803.82410000000004</c:v>
                </c:pt>
                <c:pt idx="1737">
                  <c:v>803.84034000000008</c:v>
                </c:pt>
                <c:pt idx="1738">
                  <c:v>803.84169000000009</c:v>
                </c:pt>
                <c:pt idx="1739">
                  <c:v>803.84441000000004</c:v>
                </c:pt>
                <c:pt idx="1740">
                  <c:v>803.84577000000002</c:v>
                </c:pt>
                <c:pt idx="1741">
                  <c:v>803.84713000000011</c:v>
                </c:pt>
                <c:pt idx="1742">
                  <c:v>803.84849000000008</c:v>
                </c:pt>
                <c:pt idx="1743">
                  <c:v>803.84985000000006</c:v>
                </c:pt>
                <c:pt idx="1744">
                  <c:v>803.85120000000006</c:v>
                </c:pt>
                <c:pt idx="1745">
                  <c:v>803.85255000000006</c:v>
                </c:pt>
                <c:pt idx="1746">
                  <c:v>803.85390000000007</c:v>
                </c:pt>
                <c:pt idx="1747">
                  <c:v>803.85525000000007</c:v>
                </c:pt>
                <c:pt idx="1748">
                  <c:v>803.85661000000005</c:v>
                </c:pt>
                <c:pt idx="1749">
                  <c:v>803.85797000000002</c:v>
                </c:pt>
                <c:pt idx="1750">
                  <c:v>803.85933000000011</c:v>
                </c:pt>
                <c:pt idx="1751">
                  <c:v>803.86069000000009</c:v>
                </c:pt>
                <c:pt idx="1752">
                  <c:v>803.86205000000007</c:v>
                </c:pt>
                <c:pt idx="1753">
                  <c:v>803.86340000000007</c:v>
                </c:pt>
                <c:pt idx="1754">
                  <c:v>803.86475000000007</c:v>
                </c:pt>
                <c:pt idx="1755">
                  <c:v>803.86610000000007</c:v>
                </c:pt>
                <c:pt idx="1756">
                  <c:v>803.8823900000001</c:v>
                </c:pt>
                <c:pt idx="1757">
                  <c:v>803.8837400000001</c:v>
                </c:pt>
                <c:pt idx="1758">
                  <c:v>803.8850900000001</c:v>
                </c:pt>
                <c:pt idx="1759">
                  <c:v>803.88644000000011</c:v>
                </c:pt>
                <c:pt idx="1760">
                  <c:v>803.88780000000008</c:v>
                </c:pt>
                <c:pt idx="1761">
                  <c:v>803.88916000000006</c:v>
                </c:pt>
                <c:pt idx="1762">
                  <c:v>803.89052000000004</c:v>
                </c:pt>
                <c:pt idx="1763">
                  <c:v>803.89188000000001</c:v>
                </c:pt>
                <c:pt idx="1764">
                  <c:v>803.89323000000002</c:v>
                </c:pt>
                <c:pt idx="1765">
                  <c:v>803.89458000000002</c:v>
                </c:pt>
                <c:pt idx="1766">
                  <c:v>803.89593000000002</c:v>
                </c:pt>
                <c:pt idx="1767">
                  <c:v>803.89728000000002</c:v>
                </c:pt>
                <c:pt idx="1768">
                  <c:v>803.89864000000011</c:v>
                </c:pt>
                <c:pt idx="1769">
                  <c:v>803.90000000000009</c:v>
                </c:pt>
                <c:pt idx="1770">
                  <c:v>803.90136000000007</c:v>
                </c:pt>
                <c:pt idx="1771">
                  <c:v>803.90272000000004</c:v>
                </c:pt>
                <c:pt idx="1772">
                  <c:v>803.90407000000005</c:v>
                </c:pt>
                <c:pt idx="1773">
                  <c:v>803.90542000000005</c:v>
                </c:pt>
                <c:pt idx="1774">
                  <c:v>803.91902000000005</c:v>
                </c:pt>
                <c:pt idx="1775">
                  <c:v>803.92038000000002</c:v>
                </c:pt>
                <c:pt idx="1776">
                  <c:v>803.92174000000011</c:v>
                </c:pt>
                <c:pt idx="1777">
                  <c:v>803.92310000000009</c:v>
                </c:pt>
                <c:pt idx="1778">
                  <c:v>803.92446000000007</c:v>
                </c:pt>
                <c:pt idx="1779">
                  <c:v>803.92582000000004</c:v>
                </c:pt>
                <c:pt idx="1780">
                  <c:v>803.92717000000005</c:v>
                </c:pt>
                <c:pt idx="1781">
                  <c:v>803.92853000000002</c:v>
                </c:pt>
                <c:pt idx="1782">
                  <c:v>803.92989000000011</c:v>
                </c:pt>
                <c:pt idx="1783">
                  <c:v>803.93125000000009</c:v>
                </c:pt>
                <c:pt idx="1784">
                  <c:v>803.93261000000007</c:v>
                </c:pt>
                <c:pt idx="1785">
                  <c:v>803.93396000000007</c:v>
                </c:pt>
                <c:pt idx="1786">
                  <c:v>803.93532000000005</c:v>
                </c:pt>
                <c:pt idx="1787">
                  <c:v>803.93668000000002</c:v>
                </c:pt>
                <c:pt idx="1788">
                  <c:v>803.93803000000003</c:v>
                </c:pt>
                <c:pt idx="1789">
                  <c:v>803.93939000000012</c:v>
                </c:pt>
                <c:pt idx="1790">
                  <c:v>803.94075000000009</c:v>
                </c:pt>
                <c:pt idx="1791">
                  <c:v>803.94211000000007</c:v>
                </c:pt>
                <c:pt idx="1792">
                  <c:v>803.95571000000007</c:v>
                </c:pt>
                <c:pt idx="1793">
                  <c:v>803.95707000000004</c:v>
                </c:pt>
                <c:pt idx="1794">
                  <c:v>803.95843000000002</c:v>
                </c:pt>
                <c:pt idx="1795">
                  <c:v>803.95979000000011</c:v>
                </c:pt>
                <c:pt idx="1796">
                  <c:v>803.96115000000009</c:v>
                </c:pt>
                <c:pt idx="1797">
                  <c:v>803.96251000000007</c:v>
                </c:pt>
                <c:pt idx="1798">
                  <c:v>803.96387000000004</c:v>
                </c:pt>
                <c:pt idx="1799">
                  <c:v>803.96523000000002</c:v>
                </c:pt>
                <c:pt idx="1800">
                  <c:v>803.96659000000011</c:v>
                </c:pt>
                <c:pt idx="1801">
                  <c:v>803.96795000000009</c:v>
                </c:pt>
                <c:pt idx="1802">
                  <c:v>803.96931000000006</c:v>
                </c:pt>
                <c:pt idx="1803">
                  <c:v>803.97067000000004</c:v>
                </c:pt>
                <c:pt idx="1804">
                  <c:v>803.97203000000002</c:v>
                </c:pt>
                <c:pt idx="1805">
                  <c:v>803.97339000000011</c:v>
                </c:pt>
                <c:pt idx="1806">
                  <c:v>803.97475000000009</c:v>
                </c:pt>
                <c:pt idx="1807">
                  <c:v>803.97611000000006</c:v>
                </c:pt>
                <c:pt idx="1808">
                  <c:v>803.98971000000006</c:v>
                </c:pt>
                <c:pt idx="1809">
                  <c:v>803.99107000000004</c:v>
                </c:pt>
                <c:pt idx="1810">
                  <c:v>803.99242000000004</c:v>
                </c:pt>
                <c:pt idx="1811">
                  <c:v>803.99378000000002</c:v>
                </c:pt>
                <c:pt idx="1812">
                  <c:v>803.99514000000011</c:v>
                </c:pt>
                <c:pt idx="1813">
                  <c:v>803.99650000000008</c:v>
                </c:pt>
                <c:pt idx="1814">
                  <c:v>803.99786000000006</c:v>
                </c:pt>
                <c:pt idx="1815">
                  <c:v>803.99922000000004</c:v>
                </c:pt>
                <c:pt idx="1816">
                  <c:v>804.00058000000001</c:v>
                </c:pt>
                <c:pt idx="1817">
                  <c:v>804.0019400000001</c:v>
                </c:pt>
                <c:pt idx="1818">
                  <c:v>804.00330000000008</c:v>
                </c:pt>
                <c:pt idx="1819">
                  <c:v>804.00466000000006</c:v>
                </c:pt>
                <c:pt idx="1820">
                  <c:v>804.00602000000003</c:v>
                </c:pt>
                <c:pt idx="1821">
                  <c:v>804.00738000000001</c:v>
                </c:pt>
                <c:pt idx="1822">
                  <c:v>804.0087400000001</c:v>
                </c:pt>
                <c:pt idx="1823">
                  <c:v>804.0209900000001</c:v>
                </c:pt>
                <c:pt idx="1824">
                  <c:v>804.02236000000005</c:v>
                </c:pt>
                <c:pt idx="1825">
                  <c:v>804.02372000000003</c:v>
                </c:pt>
                <c:pt idx="1826">
                  <c:v>804.02508000000012</c:v>
                </c:pt>
                <c:pt idx="1827">
                  <c:v>804.02644000000009</c:v>
                </c:pt>
                <c:pt idx="1828">
                  <c:v>804.02781000000004</c:v>
                </c:pt>
                <c:pt idx="1829">
                  <c:v>804.02917000000002</c:v>
                </c:pt>
                <c:pt idx="1830">
                  <c:v>804.03053000000011</c:v>
                </c:pt>
                <c:pt idx="1831">
                  <c:v>804.03189000000009</c:v>
                </c:pt>
                <c:pt idx="1832">
                  <c:v>804.03325000000007</c:v>
                </c:pt>
                <c:pt idx="1833">
                  <c:v>804.03461000000004</c:v>
                </c:pt>
                <c:pt idx="1834">
                  <c:v>804.03597000000002</c:v>
                </c:pt>
                <c:pt idx="1835">
                  <c:v>804.03734000000009</c:v>
                </c:pt>
                <c:pt idx="1836">
                  <c:v>804.03870000000006</c:v>
                </c:pt>
                <c:pt idx="1837">
                  <c:v>804.04006000000004</c:v>
                </c:pt>
                <c:pt idx="1838">
                  <c:v>804.04142000000002</c:v>
                </c:pt>
                <c:pt idx="1839">
                  <c:v>804.0536800000001</c:v>
                </c:pt>
                <c:pt idx="1840">
                  <c:v>804.05504000000008</c:v>
                </c:pt>
                <c:pt idx="1841">
                  <c:v>804.05640000000005</c:v>
                </c:pt>
                <c:pt idx="1842">
                  <c:v>804.05777000000012</c:v>
                </c:pt>
                <c:pt idx="1843">
                  <c:v>804.0591300000001</c:v>
                </c:pt>
                <c:pt idx="1844">
                  <c:v>804.06049000000007</c:v>
                </c:pt>
                <c:pt idx="1845">
                  <c:v>804.06185000000005</c:v>
                </c:pt>
                <c:pt idx="1846">
                  <c:v>804.06321000000003</c:v>
                </c:pt>
                <c:pt idx="1847">
                  <c:v>804.06457000000012</c:v>
                </c:pt>
                <c:pt idx="1848">
                  <c:v>804.06593000000009</c:v>
                </c:pt>
                <c:pt idx="1849">
                  <c:v>804.06729000000007</c:v>
                </c:pt>
                <c:pt idx="1850">
                  <c:v>804.06866000000002</c:v>
                </c:pt>
                <c:pt idx="1851">
                  <c:v>804.07003000000009</c:v>
                </c:pt>
                <c:pt idx="1852">
                  <c:v>804.07140000000004</c:v>
                </c:pt>
                <c:pt idx="1853">
                  <c:v>804.07277000000011</c:v>
                </c:pt>
                <c:pt idx="1854">
                  <c:v>804.08501000000001</c:v>
                </c:pt>
                <c:pt idx="1855">
                  <c:v>804.08638000000008</c:v>
                </c:pt>
                <c:pt idx="1856">
                  <c:v>804.08912000000009</c:v>
                </c:pt>
                <c:pt idx="1857">
                  <c:v>804.09049000000005</c:v>
                </c:pt>
                <c:pt idx="1858">
                  <c:v>804.09186000000011</c:v>
                </c:pt>
                <c:pt idx="1859">
                  <c:v>804.09323000000006</c:v>
                </c:pt>
                <c:pt idx="1860">
                  <c:v>804.09459000000004</c:v>
                </c:pt>
                <c:pt idx="1861">
                  <c:v>804.09595000000002</c:v>
                </c:pt>
                <c:pt idx="1862">
                  <c:v>804.09731000000011</c:v>
                </c:pt>
                <c:pt idx="1863">
                  <c:v>804.09867000000008</c:v>
                </c:pt>
                <c:pt idx="1864">
                  <c:v>804.10003000000006</c:v>
                </c:pt>
                <c:pt idx="1865">
                  <c:v>804.10139000000004</c:v>
                </c:pt>
                <c:pt idx="1866">
                  <c:v>804.10275000000001</c:v>
                </c:pt>
                <c:pt idx="1867">
                  <c:v>804.11503000000005</c:v>
                </c:pt>
                <c:pt idx="1868">
                  <c:v>804.11639000000002</c:v>
                </c:pt>
                <c:pt idx="1869">
                  <c:v>804.11775000000011</c:v>
                </c:pt>
                <c:pt idx="1870">
                  <c:v>804.11911000000009</c:v>
                </c:pt>
                <c:pt idx="1871">
                  <c:v>804.12047000000007</c:v>
                </c:pt>
                <c:pt idx="1872">
                  <c:v>804.12183000000005</c:v>
                </c:pt>
                <c:pt idx="1873">
                  <c:v>804.12319000000002</c:v>
                </c:pt>
                <c:pt idx="1874">
                  <c:v>804.12455000000011</c:v>
                </c:pt>
                <c:pt idx="1875">
                  <c:v>804.12591000000009</c:v>
                </c:pt>
                <c:pt idx="1876">
                  <c:v>804.12727000000007</c:v>
                </c:pt>
                <c:pt idx="1877">
                  <c:v>804.12864000000002</c:v>
                </c:pt>
                <c:pt idx="1878">
                  <c:v>804.13001000000008</c:v>
                </c:pt>
                <c:pt idx="1879">
                  <c:v>804.13138000000004</c:v>
                </c:pt>
                <c:pt idx="1880">
                  <c:v>804.14232000000004</c:v>
                </c:pt>
                <c:pt idx="1881">
                  <c:v>804.14368000000002</c:v>
                </c:pt>
                <c:pt idx="1882">
                  <c:v>804.14504000000011</c:v>
                </c:pt>
                <c:pt idx="1883">
                  <c:v>804.14640000000009</c:v>
                </c:pt>
                <c:pt idx="1884">
                  <c:v>804.14776000000006</c:v>
                </c:pt>
                <c:pt idx="1885">
                  <c:v>804.14913000000001</c:v>
                </c:pt>
                <c:pt idx="1886">
                  <c:v>804.15050000000008</c:v>
                </c:pt>
                <c:pt idx="1887">
                  <c:v>804.15187000000003</c:v>
                </c:pt>
                <c:pt idx="1888">
                  <c:v>804.1532400000001</c:v>
                </c:pt>
                <c:pt idx="1889">
                  <c:v>804.15460000000007</c:v>
                </c:pt>
                <c:pt idx="1890">
                  <c:v>804.15596000000005</c:v>
                </c:pt>
                <c:pt idx="1891">
                  <c:v>804.15732000000003</c:v>
                </c:pt>
                <c:pt idx="1892">
                  <c:v>804.15868000000012</c:v>
                </c:pt>
                <c:pt idx="1893">
                  <c:v>804.16961000000003</c:v>
                </c:pt>
                <c:pt idx="1894">
                  <c:v>804.1709800000001</c:v>
                </c:pt>
                <c:pt idx="1895">
                  <c:v>804.17235000000005</c:v>
                </c:pt>
                <c:pt idx="1896">
                  <c:v>804.17372000000012</c:v>
                </c:pt>
                <c:pt idx="1897">
                  <c:v>804.17508000000009</c:v>
                </c:pt>
                <c:pt idx="1898">
                  <c:v>804.17644000000007</c:v>
                </c:pt>
                <c:pt idx="1899">
                  <c:v>804.17780000000005</c:v>
                </c:pt>
                <c:pt idx="1900">
                  <c:v>804.17916000000002</c:v>
                </c:pt>
                <c:pt idx="1901">
                  <c:v>804.18053000000009</c:v>
                </c:pt>
                <c:pt idx="1902">
                  <c:v>804.18190000000004</c:v>
                </c:pt>
                <c:pt idx="1903">
                  <c:v>804.18326000000002</c:v>
                </c:pt>
                <c:pt idx="1904">
                  <c:v>804.18463000000008</c:v>
                </c:pt>
                <c:pt idx="1905">
                  <c:v>804.18600000000004</c:v>
                </c:pt>
                <c:pt idx="1906">
                  <c:v>804.19556000000011</c:v>
                </c:pt>
                <c:pt idx="1907">
                  <c:v>804.19693000000007</c:v>
                </c:pt>
                <c:pt idx="1908">
                  <c:v>804.19830000000002</c:v>
                </c:pt>
                <c:pt idx="1909">
                  <c:v>804.19966000000011</c:v>
                </c:pt>
                <c:pt idx="1910">
                  <c:v>804.20103000000006</c:v>
                </c:pt>
                <c:pt idx="1911">
                  <c:v>804.20240000000001</c:v>
                </c:pt>
                <c:pt idx="1912">
                  <c:v>804.20377000000008</c:v>
                </c:pt>
                <c:pt idx="1913">
                  <c:v>804.20514000000003</c:v>
                </c:pt>
                <c:pt idx="1914">
                  <c:v>804.20651000000009</c:v>
                </c:pt>
                <c:pt idx="1915">
                  <c:v>804.20788000000005</c:v>
                </c:pt>
                <c:pt idx="1916">
                  <c:v>804.20925000000011</c:v>
                </c:pt>
                <c:pt idx="1917">
                  <c:v>804.21062000000006</c:v>
                </c:pt>
                <c:pt idx="1918">
                  <c:v>804.22020000000009</c:v>
                </c:pt>
                <c:pt idx="1919">
                  <c:v>804.22157000000004</c:v>
                </c:pt>
                <c:pt idx="1920">
                  <c:v>804.22294000000011</c:v>
                </c:pt>
                <c:pt idx="1921">
                  <c:v>804.22431000000006</c:v>
                </c:pt>
                <c:pt idx="1922">
                  <c:v>804.22568000000001</c:v>
                </c:pt>
                <c:pt idx="1923">
                  <c:v>804.22705000000008</c:v>
                </c:pt>
                <c:pt idx="1924">
                  <c:v>804.22842000000003</c:v>
                </c:pt>
                <c:pt idx="1925">
                  <c:v>804.22979000000009</c:v>
                </c:pt>
                <c:pt idx="1926">
                  <c:v>804.23116000000005</c:v>
                </c:pt>
                <c:pt idx="1927">
                  <c:v>804.23252000000002</c:v>
                </c:pt>
                <c:pt idx="1928">
                  <c:v>804.23389000000009</c:v>
                </c:pt>
                <c:pt idx="1929">
                  <c:v>804.23526000000004</c:v>
                </c:pt>
                <c:pt idx="1930">
                  <c:v>804.2366300000001</c:v>
                </c:pt>
                <c:pt idx="1931">
                  <c:v>804.24622000000011</c:v>
                </c:pt>
                <c:pt idx="1932">
                  <c:v>804.24759000000006</c:v>
                </c:pt>
                <c:pt idx="1933">
                  <c:v>804.24896000000001</c:v>
                </c:pt>
                <c:pt idx="1934">
                  <c:v>804.25033000000008</c:v>
                </c:pt>
                <c:pt idx="1935">
                  <c:v>804.25170000000003</c:v>
                </c:pt>
                <c:pt idx="1936">
                  <c:v>804.25307000000009</c:v>
                </c:pt>
                <c:pt idx="1937">
                  <c:v>804.25444000000005</c:v>
                </c:pt>
                <c:pt idx="1938">
                  <c:v>804.25581000000011</c:v>
                </c:pt>
                <c:pt idx="1939">
                  <c:v>804.25718000000006</c:v>
                </c:pt>
                <c:pt idx="1940">
                  <c:v>804.25855000000001</c:v>
                </c:pt>
                <c:pt idx="1941">
                  <c:v>804.25992000000008</c:v>
                </c:pt>
                <c:pt idx="1942">
                  <c:v>804.26951000000008</c:v>
                </c:pt>
                <c:pt idx="1943">
                  <c:v>804.27088000000003</c:v>
                </c:pt>
                <c:pt idx="1944">
                  <c:v>804.2722500000001</c:v>
                </c:pt>
                <c:pt idx="1945">
                  <c:v>804.27362000000005</c:v>
                </c:pt>
                <c:pt idx="1946">
                  <c:v>804.27499000000012</c:v>
                </c:pt>
                <c:pt idx="1947">
                  <c:v>804.27636000000007</c:v>
                </c:pt>
                <c:pt idx="1948">
                  <c:v>804.27773000000002</c:v>
                </c:pt>
                <c:pt idx="1949">
                  <c:v>804.27910000000008</c:v>
                </c:pt>
                <c:pt idx="1950">
                  <c:v>804.28047000000004</c:v>
                </c:pt>
                <c:pt idx="1951">
                  <c:v>804.2818400000001</c:v>
                </c:pt>
                <c:pt idx="1952">
                  <c:v>804.28321000000005</c:v>
                </c:pt>
                <c:pt idx="1953">
                  <c:v>804.28458000000012</c:v>
                </c:pt>
                <c:pt idx="1954">
                  <c:v>804.29417000000012</c:v>
                </c:pt>
                <c:pt idx="1955">
                  <c:v>804.29554000000007</c:v>
                </c:pt>
                <c:pt idx="1956">
                  <c:v>804.29691000000003</c:v>
                </c:pt>
                <c:pt idx="1957">
                  <c:v>804.29828000000009</c:v>
                </c:pt>
                <c:pt idx="1958">
                  <c:v>804.29965000000004</c:v>
                </c:pt>
                <c:pt idx="1959">
                  <c:v>804.30102000000011</c:v>
                </c:pt>
                <c:pt idx="1960">
                  <c:v>804.30239000000006</c:v>
                </c:pt>
                <c:pt idx="1961">
                  <c:v>804.30376000000001</c:v>
                </c:pt>
                <c:pt idx="1962">
                  <c:v>804.30513000000008</c:v>
                </c:pt>
                <c:pt idx="1963">
                  <c:v>804.30650000000003</c:v>
                </c:pt>
                <c:pt idx="1964">
                  <c:v>804.30787000000009</c:v>
                </c:pt>
                <c:pt idx="1965">
                  <c:v>804.31748000000005</c:v>
                </c:pt>
                <c:pt idx="1966">
                  <c:v>804.31885000000011</c:v>
                </c:pt>
                <c:pt idx="1967">
                  <c:v>804.32022000000006</c:v>
                </c:pt>
                <c:pt idx="1968">
                  <c:v>804.32159000000001</c:v>
                </c:pt>
                <c:pt idx="1969">
                  <c:v>804.32296000000008</c:v>
                </c:pt>
                <c:pt idx="1970">
                  <c:v>804.32434000000012</c:v>
                </c:pt>
                <c:pt idx="1971">
                  <c:v>804.32571000000007</c:v>
                </c:pt>
                <c:pt idx="1972">
                  <c:v>804.32708000000002</c:v>
                </c:pt>
                <c:pt idx="1973">
                  <c:v>804.32845000000009</c:v>
                </c:pt>
                <c:pt idx="1974">
                  <c:v>804.32983000000002</c:v>
                </c:pt>
                <c:pt idx="1975">
                  <c:v>804.33120000000008</c:v>
                </c:pt>
                <c:pt idx="1976">
                  <c:v>804.33944000000008</c:v>
                </c:pt>
                <c:pt idx="1977">
                  <c:v>804.34081000000003</c:v>
                </c:pt>
                <c:pt idx="1978">
                  <c:v>804.3421800000001</c:v>
                </c:pt>
                <c:pt idx="1979">
                  <c:v>804.34355000000005</c:v>
                </c:pt>
                <c:pt idx="1980">
                  <c:v>804.34493000000009</c:v>
                </c:pt>
                <c:pt idx="1981">
                  <c:v>804.34630000000004</c:v>
                </c:pt>
                <c:pt idx="1982">
                  <c:v>804.34767000000011</c:v>
                </c:pt>
                <c:pt idx="1983">
                  <c:v>804.34904000000006</c:v>
                </c:pt>
                <c:pt idx="1984">
                  <c:v>804.35041000000001</c:v>
                </c:pt>
                <c:pt idx="1985">
                  <c:v>804.35178000000008</c:v>
                </c:pt>
                <c:pt idx="1986">
                  <c:v>804.35315000000003</c:v>
                </c:pt>
                <c:pt idx="1987">
                  <c:v>804.36275000000012</c:v>
                </c:pt>
                <c:pt idx="1988">
                  <c:v>804.36412000000007</c:v>
                </c:pt>
                <c:pt idx="1989">
                  <c:v>804.36550000000011</c:v>
                </c:pt>
                <c:pt idx="1990">
                  <c:v>804.36687000000006</c:v>
                </c:pt>
                <c:pt idx="1991">
                  <c:v>804.36824000000001</c:v>
                </c:pt>
                <c:pt idx="1992">
                  <c:v>804.36961000000008</c:v>
                </c:pt>
                <c:pt idx="1993">
                  <c:v>804.37098000000003</c:v>
                </c:pt>
                <c:pt idx="1994">
                  <c:v>804.3723500000001</c:v>
                </c:pt>
                <c:pt idx="1995">
                  <c:v>804.37372000000005</c:v>
                </c:pt>
                <c:pt idx="1996">
                  <c:v>804.37509000000011</c:v>
                </c:pt>
                <c:pt idx="1997">
                  <c:v>804.37647000000004</c:v>
                </c:pt>
                <c:pt idx="1998">
                  <c:v>804.38607000000002</c:v>
                </c:pt>
                <c:pt idx="1999">
                  <c:v>804.38744000000008</c:v>
                </c:pt>
                <c:pt idx="2000">
                  <c:v>804.38881000000003</c:v>
                </c:pt>
                <c:pt idx="2001">
                  <c:v>804.39019000000008</c:v>
                </c:pt>
                <c:pt idx="2002">
                  <c:v>804.39157000000012</c:v>
                </c:pt>
                <c:pt idx="2003">
                  <c:v>804.39295000000004</c:v>
                </c:pt>
                <c:pt idx="2004">
                  <c:v>804.39433000000008</c:v>
                </c:pt>
                <c:pt idx="2005">
                  <c:v>804.39571000000012</c:v>
                </c:pt>
                <c:pt idx="2006">
                  <c:v>804.39708000000007</c:v>
                </c:pt>
                <c:pt idx="2007">
                  <c:v>804.39845000000003</c:v>
                </c:pt>
                <c:pt idx="2008">
                  <c:v>804.40805000000012</c:v>
                </c:pt>
                <c:pt idx="2009">
                  <c:v>804.40942000000007</c:v>
                </c:pt>
                <c:pt idx="2010">
                  <c:v>804.41080000000011</c:v>
                </c:pt>
                <c:pt idx="2011">
                  <c:v>804.41218000000003</c:v>
                </c:pt>
                <c:pt idx="2012">
                  <c:v>804.41356000000007</c:v>
                </c:pt>
                <c:pt idx="2013">
                  <c:v>804.41494000000012</c:v>
                </c:pt>
                <c:pt idx="2014">
                  <c:v>804.41631000000007</c:v>
                </c:pt>
                <c:pt idx="2015">
                  <c:v>804.41768000000002</c:v>
                </c:pt>
                <c:pt idx="2016">
                  <c:v>804.41905000000008</c:v>
                </c:pt>
                <c:pt idx="2017">
                  <c:v>804.42042000000004</c:v>
                </c:pt>
                <c:pt idx="2018">
                  <c:v>804.4300300000001</c:v>
                </c:pt>
                <c:pt idx="2019">
                  <c:v>804.43141000000003</c:v>
                </c:pt>
                <c:pt idx="2020">
                  <c:v>804.43279000000007</c:v>
                </c:pt>
                <c:pt idx="2021">
                  <c:v>804.43417000000011</c:v>
                </c:pt>
                <c:pt idx="2022">
                  <c:v>804.43555000000003</c:v>
                </c:pt>
                <c:pt idx="2023">
                  <c:v>804.4369200000001</c:v>
                </c:pt>
                <c:pt idx="2024">
                  <c:v>804.43829000000005</c:v>
                </c:pt>
                <c:pt idx="2025">
                  <c:v>804.43966000000012</c:v>
                </c:pt>
                <c:pt idx="2026">
                  <c:v>804.44103000000007</c:v>
                </c:pt>
                <c:pt idx="2027">
                  <c:v>804.44240000000002</c:v>
                </c:pt>
                <c:pt idx="2028">
                  <c:v>804.45204000000001</c:v>
                </c:pt>
                <c:pt idx="2029">
                  <c:v>804.45342000000005</c:v>
                </c:pt>
                <c:pt idx="2030">
                  <c:v>804.45480000000009</c:v>
                </c:pt>
                <c:pt idx="2031">
                  <c:v>804.45617000000004</c:v>
                </c:pt>
                <c:pt idx="2032">
                  <c:v>804.45754000000011</c:v>
                </c:pt>
                <c:pt idx="2033">
                  <c:v>804.45891000000006</c:v>
                </c:pt>
                <c:pt idx="2034">
                  <c:v>804.46028000000001</c:v>
                </c:pt>
                <c:pt idx="2035">
                  <c:v>804.46165000000008</c:v>
                </c:pt>
                <c:pt idx="2036">
                  <c:v>804.46302000000003</c:v>
                </c:pt>
                <c:pt idx="2037">
                  <c:v>804.46439000000009</c:v>
                </c:pt>
                <c:pt idx="2038">
                  <c:v>804.47403000000008</c:v>
                </c:pt>
                <c:pt idx="2039">
                  <c:v>804.47540000000004</c:v>
                </c:pt>
                <c:pt idx="2040">
                  <c:v>804.4767700000001</c:v>
                </c:pt>
                <c:pt idx="2041">
                  <c:v>804.47814000000005</c:v>
                </c:pt>
                <c:pt idx="2042">
                  <c:v>804.47952000000009</c:v>
                </c:pt>
                <c:pt idx="2043">
                  <c:v>804.48090000000002</c:v>
                </c:pt>
                <c:pt idx="2044">
                  <c:v>804.48228000000006</c:v>
                </c:pt>
                <c:pt idx="2045">
                  <c:v>804.4836600000001</c:v>
                </c:pt>
                <c:pt idx="2046">
                  <c:v>804.48503000000005</c:v>
                </c:pt>
                <c:pt idx="2047">
                  <c:v>804.49467000000004</c:v>
                </c:pt>
                <c:pt idx="2048">
                  <c:v>804.49604000000011</c:v>
                </c:pt>
                <c:pt idx="2049">
                  <c:v>804.49741000000006</c:v>
                </c:pt>
                <c:pt idx="2050">
                  <c:v>804.49878000000001</c:v>
                </c:pt>
                <c:pt idx="2051">
                  <c:v>804.50016000000005</c:v>
                </c:pt>
                <c:pt idx="2052">
                  <c:v>804.50154000000009</c:v>
                </c:pt>
                <c:pt idx="2053">
                  <c:v>804.50292000000002</c:v>
                </c:pt>
                <c:pt idx="2054">
                  <c:v>804.50430000000006</c:v>
                </c:pt>
                <c:pt idx="2055">
                  <c:v>804.5056800000001</c:v>
                </c:pt>
                <c:pt idx="2056">
                  <c:v>804.51532000000009</c:v>
                </c:pt>
                <c:pt idx="2057">
                  <c:v>804.51670000000001</c:v>
                </c:pt>
                <c:pt idx="2058">
                  <c:v>804.51807000000008</c:v>
                </c:pt>
                <c:pt idx="2059">
                  <c:v>804.51944000000003</c:v>
                </c:pt>
                <c:pt idx="2060">
                  <c:v>804.5208100000001</c:v>
                </c:pt>
                <c:pt idx="2061">
                  <c:v>804.52219000000002</c:v>
                </c:pt>
                <c:pt idx="2062">
                  <c:v>804.52357000000006</c:v>
                </c:pt>
                <c:pt idx="2063">
                  <c:v>804.5249500000001</c:v>
                </c:pt>
                <c:pt idx="2064">
                  <c:v>804.52633000000003</c:v>
                </c:pt>
                <c:pt idx="2065">
                  <c:v>804.5277000000001</c:v>
                </c:pt>
                <c:pt idx="2066">
                  <c:v>804.53597000000002</c:v>
                </c:pt>
                <c:pt idx="2067">
                  <c:v>804.53734000000009</c:v>
                </c:pt>
                <c:pt idx="2068">
                  <c:v>804.53871000000004</c:v>
                </c:pt>
                <c:pt idx="2069">
                  <c:v>804.5400800000001</c:v>
                </c:pt>
                <c:pt idx="2070">
                  <c:v>804.54145000000005</c:v>
                </c:pt>
                <c:pt idx="2071">
                  <c:v>804.54283000000009</c:v>
                </c:pt>
                <c:pt idx="2072">
                  <c:v>804.54421000000002</c:v>
                </c:pt>
                <c:pt idx="2073">
                  <c:v>804.54559000000006</c:v>
                </c:pt>
                <c:pt idx="2074">
                  <c:v>804.54696000000001</c:v>
                </c:pt>
                <c:pt idx="2075">
                  <c:v>804.54834000000005</c:v>
                </c:pt>
                <c:pt idx="2076">
                  <c:v>804.55798000000004</c:v>
                </c:pt>
                <c:pt idx="2077">
                  <c:v>804.55935000000011</c:v>
                </c:pt>
                <c:pt idx="2078">
                  <c:v>804.56072000000006</c:v>
                </c:pt>
                <c:pt idx="2079">
                  <c:v>804.56209000000001</c:v>
                </c:pt>
                <c:pt idx="2080">
                  <c:v>804.56347000000005</c:v>
                </c:pt>
                <c:pt idx="2081">
                  <c:v>804.56485000000009</c:v>
                </c:pt>
                <c:pt idx="2082">
                  <c:v>804.56623000000002</c:v>
                </c:pt>
                <c:pt idx="2083">
                  <c:v>804.56761000000006</c:v>
                </c:pt>
                <c:pt idx="2084">
                  <c:v>804.56898000000001</c:v>
                </c:pt>
                <c:pt idx="2085">
                  <c:v>804.57726000000002</c:v>
                </c:pt>
                <c:pt idx="2086">
                  <c:v>804.57863000000009</c:v>
                </c:pt>
                <c:pt idx="2087">
                  <c:v>804.58001000000002</c:v>
                </c:pt>
                <c:pt idx="2088">
                  <c:v>804.5827700000001</c:v>
                </c:pt>
                <c:pt idx="2089">
                  <c:v>804.58415000000002</c:v>
                </c:pt>
                <c:pt idx="2090">
                  <c:v>804.58553000000006</c:v>
                </c:pt>
                <c:pt idx="2091">
                  <c:v>804.58690000000001</c:v>
                </c:pt>
                <c:pt idx="2092">
                  <c:v>804.58828000000005</c:v>
                </c:pt>
                <c:pt idx="2093">
                  <c:v>804.59655000000009</c:v>
                </c:pt>
                <c:pt idx="2094">
                  <c:v>804.59793000000002</c:v>
                </c:pt>
                <c:pt idx="2095">
                  <c:v>804.59931000000006</c:v>
                </c:pt>
                <c:pt idx="2096">
                  <c:v>804.6006900000001</c:v>
                </c:pt>
                <c:pt idx="2097">
                  <c:v>804.60207000000003</c:v>
                </c:pt>
                <c:pt idx="2098">
                  <c:v>804.60344000000009</c:v>
                </c:pt>
                <c:pt idx="2099">
                  <c:v>804.60481000000004</c:v>
                </c:pt>
                <c:pt idx="2100">
                  <c:v>804.60619000000008</c:v>
                </c:pt>
                <c:pt idx="2101">
                  <c:v>804.60757000000001</c:v>
                </c:pt>
                <c:pt idx="2102">
                  <c:v>804.60894000000008</c:v>
                </c:pt>
                <c:pt idx="2103">
                  <c:v>804.61719000000005</c:v>
                </c:pt>
                <c:pt idx="2104">
                  <c:v>804.61857000000009</c:v>
                </c:pt>
                <c:pt idx="2105">
                  <c:v>804.61994000000004</c:v>
                </c:pt>
                <c:pt idx="2106">
                  <c:v>804.62131000000011</c:v>
                </c:pt>
                <c:pt idx="2107">
                  <c:v>804.62269000000003</c:v>
                </c:pt>
                <c:pt idx="2108">
                  <c:v>804.62407000000007</c:v>
                </c:pt>
                <c:pt idx="2109">
                  <c:v>804.62544000000003</c:v>
                </c:pt>
                <c:pt idx="2110">
                  <c:v>804.62682000000007</c:v>
                </c:pt>
                <c:pt idx="2111">
                  <c:v>804.62820000000011</c:v>
                </c:pt>
                <c:pt idx="2112">
                  <c:v>804.62957000000006</c:v>
                </c:pt>
                <c:pt idx="2113">
                  <c:v>804.63783000000012</c:v>
                </c:pt>
                <c:pt idx="2114">
                  <c:v>804.63921000000005</c:v>
                </c:pt>
                <c:pt idx="2115">
                  <c:v>804.64059000000009</c:v>
                </c:pt>
                <c:pt idx="2116">
                  <c:v>804.64196000000004</c:v>
                </c:pt>
                <c:pt idx="2117">
                  <c:v>804.64334000000008</c:v>
                </c:pt>
                <c:pt idx="2118">
                  <c:v>804.64472000000012</c:v>
                </c:pt>
                <c:pt idx="2119">
                  <c:v>804.64609000000007</c:v>
                </c:pt>
                <c:pt idx="2120">
                  <c:v>804.64747000000011</c:v>
                </c:pt>
                <c:pt idx="2121">
                  <c:v>804.64885000000004</c:v>
                </c:pt>
                <c:pt idx="2122">
                  <c:v>804.6571100000001</c:v>
                </c:pt>
                <c:pt idx="2123">
                  <c:v>804.65848000000005</c:v>
                </c:pt>
                <c:pt idx="2124">
                  <c:v>804.65986000000009</c:v>
                </c:pt>
                <c:pt idx="2125">
                  <c:v>804.66124000000002</c:v>
                </c:pt>
                <c:pt idx="2126">
                  <c:v>804.66261000000009</c:v>
                </c:pt>
                <c:pt idx="2127">
                  <c:v>804.66399000000001</c:v>
                </c:pt>
                <c:pt idx="2128">
                  <c:v>804.66537000000005</c:v>
                </c:pt>
                <c:pt idx="2129">
                  <c:v>804.66674000000012</c:v>
                </c:pt>
                <c:pt idx="2130">
                  <c:v>804.66812000000004</c:v>
                </c:pt>
                <c:pt idx="2131">
                  <c:v>804.66950000000008</c:v>
                </c:pt>
                <c:pt idx="2132">
                  <c:v>804.67777000000001</c:v>
                </c:pt>
                <c:pt idx="2133">
                  <c:v>804.67915000000005</c:v>
                </c:pt>
                <c:pt idx="2134">
                  <c:v>804.68053000000009</c:v>
                </c:pt>
                <c:pt idx="2135">
                  <c:v>804.68190000000004</c:v>
                </c:pt>
                <c:pt idx="2136">
                  <c:v>804.68328000000008</c:v>
                </c:pt>
                <c:pt idx="2137">
                  <c:v>804.68466000000012</c:v>
                </c:pt>
                <c:pt idx="2138">
                  <c:v>804.68604000000005</c:v>
                </c:pt>
                <c:pt idx="2139">
                  <c:v>804.68742000000009</c:v>
                </c:pt>
                <c:pt idx="2140">
                  <c:v>804.68880000000001</c:v>
                </c:pt>
                <c:pt idx="2141">
                  <c:v>804.69018000000005</c:v>
                </c:pt>
                <c:pt idx="2142">
                  <c:v>804.69708000000003</c:v>
                </c:pt>
                <c:pt idx="2143">
                  <c:v>804.69846000000007</c:v>
                </c:pt>
                <c:pt idx="2144">
                  <c:v>804.69984000000011</c:v>
                </c:pt>
                <c:pt idx="2145">
                  <c:v>804.70122000000003</c:v>
                </c:pt>
                <c:pt idx="2146">
                  <c:v>804.70260000000007</c:v>
                </c:pt>
                <c:pt idx="2147">
                  <c:v>804.70398000000012</c:v>
                </c:pt>
                <c:pt idx="2148">
                  <c:v>804.70536000000004</c:v>
                </c:pt>
                <c:pt idx="2149">
                  <c:v>804.70674000000008</c:v>
                </c:pt>
                <c:pt idx="2150">
                  <c:v>804.70812000000012</c:v>
                </c:pt>
                <c:pt idx="2151">
                  <c:v>804.70950000000005</c:v>
                </c:pt>
                <c:pt idx="2152">
                  <c:v>804.71777000000009</c:v>
                </c:pt>
                <c:pt idx="2153">
                  <c:v>804.71915000000001</c:v>
                </c:pt>
                <c:pt idx="2154">
                  <c:v>804.72053000000005</c:v>
                </c:pt>
                <c:pt idx="2155">
                  <c:v>804.72191000000009</c:v>
                </c:pt>
                <c:pt idx="2156">
                  <c:v>804.72329000000002</c:v>
                </c:pt>
                <c:pt idx="2157">
                  <c:v>804.72467000000006</c:v>
                </c:pt>
                <c:pt idx="2158">
                  <c:v>804.7260500000001</c:v>
                </c:pt>
                <c:pt idx="2159">
                  <c:v>804.72743000000003</c:v>
                </c:pt>
                <c:pt idx="2160">
                  <c:v>804.72881000000007</c:v>
                </c:pt>
                <c:pt idx="2161">
                  <c:v>804.73019000000011</c:v>
                </c:pt>
                <c:pt idx="2162">
                  <c:v>804.73847000000012</c:v>
                </c:pt>
                <c:pt idx="2163">
                  <c:v>804.73985000000005</c:v>
                </c:pt>
                <c:pt idx="2164">
                  <c:v>804.74123000000009</c:v>
                </c:pt>
                <c:pt idx="2165">
                  <c:v>804.74261000000001</c:v>
                </c:pt>
                <c:pt idx="2166">
                  <c:v>804.74399000000005</c:v>
                </c:pt>
                <c:pt idx="2167">
                  <c:v>804.74537000000009</c:v>
                </c:pt>
                <c:pt idx="2168">
                  <c:v>804.74675000000002</c:v>
                </c:pt>
                <c:pt idx="2169">
                  <c:v>804.74813000000006</c:v>
                </c:pt>
                <c:pt idx="2170">
                  <c:v>804.74950000000001</c:v>
                </c:pt>
                <c:pt idx="2171">
                  <c:v>804.75778000000003</c:v>
                </c:pt>
                <c:pt idx="2172">
                  <c:v>804.75916000000007</c:v>
                </c:pt>
                <c:pt idx="2173">
                  <c:v>804.76054000000011</c:v>
                </c:pt>
                <c:pt idx="2174">
                  <c:v>804.76192000000003</c:v>
                </c:pt>
                <c:pt idx="2175">
                  <c:v>804.76330000000007</c:v>
                </c:pt>
                <c:pt idx="2176">
                  <c:v>804.76468000000011</c:v>
                </c:pt>
                <c:pt idx="2177">
                  <c:v>804.76606000000004</c:v>
                </c:pt>
                <c:pt idx="2178">
                  <c:v>804.76744000000008</c:v>
                </c:pt>
                <c:pt idx="2179">
                  <c:v>804.76882000000012</c:v>
                </c:pt>
                <c:pt idx="2180">
                  <c:v>804.77710000000002</c:v>
                </c:pt>
                <c:pt idx="2181">
                  <c:v>804.77848000000006</c:v>
                </c:pt>
                <c:pt idx="2182">
                  <c:v>804.7798600000001</c:v>
                </c:pt>
                <c:pt idx="2183">
                  <c:v>804.78124000000003</c:v>
                </c:pt>
                <c:pt idx="2184">
                  <c:v>804.78263000000004</c:v>
                </c:pt>
                <c:pt idx="2185">
                  <c:v>804.78401000000008</c:v>
                </c:pt>
                <c:pt idx="2186">
                  <c:v>804.78539000000012</c:v>
                </c:pt>
                <c:pt idx="2187">
                  <c:v>804.78677000000005</c:v>
                </c:pt>
                <c:pt idx="2188">
                  <c:v>804.78815000000009</c:v>
                </c:pt>
                <c:pt idx="2189">
                  <c:v>804.79506000000003</c:v>
                </c:pt>
                <c:pt idx="2190">
                  <c:v>804.79644000000008</c:v>
                </c:pt>
                <c:pt idx="2191">
                  <c:v>804.79783000000009</c:v>
                </c:pt>
                <c:pt idx="2192">
                  <c:v>804.79921000000002</c:v>
                </c:pt>
                <c:pt idx="2193">
                  <c:v>804.80059000000006</c:v>
                </c:pt>
                <c:pt idx="2194">
                  <c:v>804.8019700000001</c:v>
                </c:pt>
                <c:pt idx="2195">
                  <c:v>804.80335000000002</c:v>
                </c:pt>
                <c:pt idx="2196">
                  <c:v>804.80473000000006</c:v>
                </c:pt>
                <c:pt idx="2197">
                  <c:v>804.8061100000001</c:v>
                </c:pt>
                <c:pt idx="2198">
                  <c:v>804.81440000000009</c:v>
                </c:pt>
                <c:pt idx="2199">
                  <c:v>804.81578000000002</c:v>
                </c:pt>
                <c:pt idx="2200">
                  <c:v>804.81716000000006</c:v>
                </c:pt>
                <c:pt idx="2201">
                  <c:v>804.81855000000007</c:v>
                </c:pt>
                <c:pt idx="2202">
                  <c:v>804.81993000000011</c:v>
                </c:pt>
                <c:pt idx="2203">
                  <c:v>804.82131000000004</c:v>
                </c:pt>
                <c:pt idx="2204">
                  <c:v>804.82269000000008</c:v>
                </c:pt>
                <c:pt idx="2205">
                  <c:v>804.82407000000012</c:v>
                </c:pt>
                <c:pt idx="2206">
                  <c:v>804.83239000000003</c:v>
                </c:pt>
                <c:pt idx="2207">
                  <c:v>804.83378000000005</c:v>
                </c:pt>
                <c:pt idx="2208">
                  <c:v>804.83516000000009</c:v>
                </c:pt>
                <c:pt idx="2209">
                  <c:v>804.83654000000001</c:v>
                </c:pt>
                <c:pt idx="2210">
                  <c:v>804.83792000000005</c:v>
                </c:pt>
                <c:pt idx="2211">
                  <c:v>804.83930000000009</c:v>
                </c:pt>
                <c:pt idx="2212">
                  <c:v>804.84068000000002</c:v>
                </c:pt>
                <c:pt idx="2213">
                  <c:v>804.84206000000006</c:v>
                </c:pt>
                <c:pt idx="2214">
                  <c:v>804.85036000000002</c:v>
                </c:pt>
                <c:pt idx="2215">
                  <c:v>804.85174000000006</c:v>
                </c:pt>
                <c:pt idx="2216">
                  <c:v>804.8531200000001</c:v>
                </c:pt>
                <c:pt idx="2217">
                  <c:v>804.85450000000003</c:v>
                </c:pt>
                <c:pt idx="2218">
                  <c:v>804.85588000000007</c:v>
                </c:pt>
                <c:pt idx="2219">
                  <c:v>804.85726000000011</c:v>
                </c:pt>
                <c:pt idx="2220">
                  <c:v>804.85864000000004</c:v>
                </c:pt>
                <c:pt idx="2221">
                  <c:v>804.86002000000008</c:v>
                </c:pt>
                <c:pt idx="2222">
                  <c:v>804.86832000000004</c:v>
                </c:pt>
                <c:pt idx="2223">
                  <c:v>804.86971000000005</c:v>
                </c:pt>
                <c:pt idx="2224">
                  <c:v>804.87109000000009</c:v>
                </c:pt>
                <c:pt idx="2225">
                  <c:v>804.87247000000002</c:v>
                </c:pt>
                <c:pt idx="2226">
                  <c:v>804.87385000000006</c:v>
                </c:pt>
                <c:pt idx="2227">
                  <c:v>804.8752300000001</c:v>
                </c:pt>
                <c:pt idx="2228">
                  <c:v>804.87661000000003</c:v>
                </c:pt>
                <c:pt idx="2229">
                  <c:v>804.87799000000007</c:v>
                </c:pt>
                <c:pt idx="2230">
                  <c:v>804.87938000000008</c:v>
                </c:pt>
                <c:pt idx="2231">
                  <c:v>804.88076000000001</c:v>
                </c:pt>
                <c:pt idx="2232">
                  <c:v>804.88767000000007</c:v>
                </c:pt>
                <c:pt idx="2233">
                  <c:v>804.88905000000011</c:v>
                </c:pt>
                <c:pt idx="2234">
                  <c:v>804.89043000000004</c:v>
                </c:pt>
                <c:pt idx="2235">
                  <c:v>804.89181000000008</c:v>
                </c:pt>
                <c:pt idx="2236">
                  <c:v>804.89319000000012</c:v>
                </c:pt>
                <c:pt idx="2237">
                  <c:v>804.89457000000004</c:v>
                </c:pt>
                <c:pt idx="2238">
                  <c:v>804.89595000000008</c:v>
                </c:pt>
                <c:pt idx="2239">
                  <c:v>804.89733000000001</c:v>
                </c:pt>
                <c:pt idx="2240">
                  <c:v>804.89871000000005</c:v>
                </c:pt>
                <c:pt idx="2241">
                  <c:v>804.90700000000004</c:v>
                </c:pt>
                <c:pt idx="2242">
                  <c:v>804.90838000000008</c:v>
                </c:pt>
                <c:pt idx="2243">
                  <c:v>804.90976000000012</c:v>
                </c:pt>
                <c:pt idx="2244">
                  <c:v>804.91114000000005</c:v>
                </c:pt>
                <c:pt idx="2245">
                  <c:v>804.91252000000009</c:v>
                </c:pt>
                <c:pt idx="2246">
                  <c:v>804.91390000000001</c:v>
                </c:pt>
                <c:pt idx="2247">
                  <c:v>804.91528000000005</c:v>
                </c:pt>
                <c:pt idx="2248">
                  <c:v>804.91666000000009</c:v>
                </c:pt>
                <c:pt idx="2249">
                  <c:v>804.91804000000002</c:v>
                </c:pt>
                <c:pt idx="2250">
                  <c:v>804.92632000000003</c:v>
                </c:pt>
                <c:pt idx="2251">
                  <c:v>804.92770000000007</c:v>
                </c:pt>
                <c:pt idx="2252">
                  <c:v>804.92908000000011</c:v>
                </c:pt>
                <c:pt idx="2253">
                  <c:v>804.93046000000004</c:v>
                </c:pt>
                <c:pt idx="2254">
                  <c:v>804.93184000000008</c:v>
                </c:pt>
                <c:pt idx="2255">
                  <c:v>804.93322000000012</c:v>
                </c:pt>
                <c:pt idx="2256">
                  <c:v>804.93460000000005</c:v>
                </c:pt>
                <c:pt idx="2257">
                  <c:v>804.93598000000009</c:v>
                </c:pt>
                <c:pt idx="2258">
                  <c:v>804.93736000000001</c:v>
                </c:pt>
                <c:pt idx="2259">
                  <c:v>804.93874000000005</c:v>
                </c:pt>
                <c:pt idx="2260">
                  <c:v>804.94702000000007</c:v>
                </c:pt>
                <c:pt idx="2261">
                  <c:v>804.94840000000011</c:v>
                </c:pt>
                <c:pt idx="2262">
                  <c:v>804.94978000000003</c:v>
                </c:pt>
                <c:pt idx="2263">
                  <c:v>804.95116000000007</c:v>
                </c:pt>
                <c:pt idx="2264">
                  <c:v>804.95254000000011</c:v>
                </c:pt>
                <c:pt idx="2265">
                  <c:v>804.95392000000004</c:v>
                </c:pt>
                <c:pt idx="2266">
                  <c:v>804.95530000000008</c:v>
                </c:pt>
                <c:pt idx="2267">
                  <c:v>804.95668000000012</c:v>
                </c:pt>
                <c:pt idx="2268">
                  <c:v>804.95806000000005</c:v>
                </c:pt>
                <c:pt idx="2269">
                  <c:v>804.96633000000008</c:v>
                </c:pt>
                <c:pt idx="2270">
                  <c:v>804.96771000000001</c:v>
                </c:pt>
                <c:pt idx="2271">
                  <c:v>804.96909000000005</c:v>
                </c:pt>
                <c:pt idx="2272">
                  <c:v>804.97047000000009</c:v>
                </c:pt>
                <c:pt idx="2273">
                  <c:v>804.97185000000002</c:v>
                </c:pt>
                <c:pt idx="2274">
                  <c:v>804.97323000000006</c:v>
                </c:pt>
                <c:pt idx="2275">
                  <c:v>804.9746100000001</c:v>
                </c:pt>
                <c:pt idx="2276">
                  <c:v>804.97599000000002</c:v>
                </c:pt>
                <c:pt idx="2277">
                  <c:v>804.97737000000006</c:v>
                </c:pt>
                <c:pt idx="2278">
                  <c:v>804.9856400000001</c:v>
                </c:pt>
                <c:pt idx="2279">
                  <c:v>804.98702000000003</c:v>
                </c:pt>
                <c:pt idx="2280">
                  <c:v>804.98840000000007</c:v>
                </c:pt>
                <c:pt idx="2281">
                  <c:v>804.98978000000011</c:v>
                </c:pt>
                <c:pt idx="2282">
                  <c:v>804.99116000000004</c:v>
                </c:pt>
                <c:pt idx="2283">
                  <c:v>804.99254000000008</c:v>
                </c:pt>
                <c:pt idx="2284">
                  <c:v>804.99392000000012</c:v>
                </c:pt>
                <c:pt idx="2285">
                  <c:v>804.99530000000004</c:v>
                </c:pt>
                <c:pt idx="2286">
                  <c:v>804.99668000000008</c:v>
                </c:pt>
                <c:pt idx="2287">
                  <c:v>804.99806000000001</c:v>
                </c:pt>
                <c:pt idx="2288">
                  <c:v>805.00634000000002</c:v>
                </c:pt>
                <c:pt idx="2289">
                  <c:v>805.00772000000006</c:v>
                </c:pt>
                <c:pt idx="2290">
                  <c:v>805.0091000000001</c:v>
                </c:pt>
                <c:pt idx="2291">
                  <c:v>805.01048000000003</c:v>
                </c:pt>
                <c:pt idx="2292">
                  <c:v>805.01186000000007</c:v>
                </c:pt>
                <c:pt idx="2293">
                  <c:v>805.01324000000011</c:v>
                </c:pt>
                <c:pt idx="2294">
                  <c:v>805.01462000000004</c:v>
                </c:pt>
                <c:pt idx="2295">
                  <c:v>805.01600000000008</c:v>
                </c:pt>
                <c:pt idx="2296">
                  <c:v>805.01738000000012</c:v>
                </c:pt>
                <c:pt idx="2297">
                  <c:v>805.02566000000002</c:v>
                </c:pt>
                <c:pt idx="2298">
                  <c:v>805.02704000000006</c:v>
                </c:pt>
                <c:pt idx="2299">
                  <c:v>805.0284200000001</c:v>
                </c:pt>
                <c:pt idx="2300">
                  <c:v>805.02980000000002</c:v>
                </c:pt>
                <c:pt idx="2301">
                  <c:v>805.03118000000006</c:v>
                </c:pt>
                <c:pt idx="2302">
                  <c:v>805.0325600000001</c:v>
                </c:pt>
                <c:pt idx="2303">
                  <c:v>805.03394000000003</c:v>
                </c:pt>
                <c:pt idx="2304">
                  <c:v>805.03532000000007</c:v>
                </c:pt>
                <c:pt idx="2305">
                  <c:v>805.03670000000011</c:v>
                </c:pt>
                <c:pt idx="2306">
                  <c:v>805.04498000000001</c:v>
                </c:pt>
                <c:pt idx="2307">
                  <c:v>805.04636000000005</c:v>
                </c:pt>
                <c:pt idx="2308">
                  <c:v>805.04774000000009</c:v>
                </c:pt>
                <c:pt idx="2309">
                  <c:v>805.04912000000002</c:v>
                </c:pt>
                <c:pt idx="2310">
                  <c:v>805.05050000000006</c:v>
                </c:pt>
                <c:pt idx="2311">
                  <c:v>805.05187000000012</c:v>
                </c:pt>
                <c:pt idx="2312">
                  <c:v>805.05325000000005</c:v>
                </c:pt>
                <c:pt idx="2313">
                  <c:v>805.05463000000009</c:v>
                </c:pt>
                <c:pt idx="2314">
                  <c:v>805.05601000000001</c:v>
                </c:pt>
                <c:pt idx="2315">
                  <c:v>805.05739000000005</c:v>
                </c:pt>
                <c:pt idx="2316">
                  <c:v>805.06567000000007</c:v>
                </c:pt>
                <c:pt idx="2317">
                  <c:v>805.06705000000011</c:v>
                </c:pt>
                <c:pt idx="2318">
                  <c:v>805.06843000000003</c:v>
                </c:pt>
                <c:pt idx="2319">
                  <c:v>805.06981000000007</c:v>
                </c:pt>
                <c:pt idx="2320">
                  <c:v>805.07119000000012</c:v>
                </c:pt>
                <c:pt idx="2321">
                  <c:v>805.07257000000004</c:v>
                </c:pt>
                <c:pt idx="2322">
                  <c:v>805.07395000000008</c:v>
                </c:pt>
                <c:pt idx="2323">
                  <c:v>805.07533000000012</c:v>
                </c:pt>
                <c:pt idx="2324">
                  <c:v>805.07671000000005</c:v>
                </c:pt>
                <c:pt idx="2325">
                  <c:v>805.08362000000011</c:v>
                </c:pt>
                <c:pt idx="2326">
                  <c:v>805.08500000000004</c:v>
                </c:pt>
                <c:pt idx="2327">
                  <c:v>805.08638000000008</c:v>
                </c:pt>
                <c:pt idx="2328">
                  <c:v>805.08776000000012</c:v>
                </c:pt>
                <c:pt idx="2329">
                  <c:v>805.08914000000004</c:v>
                </c:pt>
                <c:pt idx="2330">
                  <c:v>805.09052000000008</c:v>
                </c:pt>
                <c:pt idx="2331">
                  <c:v>805.09190000000001</c:v>
                </c:pt>
                <c:pt idx="2332">
                  <c:v>805.09328000000005</c:v>
                </c:pt>
                <c:pt idx="2333">
                  <c:v>805.09466000000009</c:v>
                </c:pt>
                <c:pt idx="2334">
                  <c:v>805.09604000000002</c:v>
                </c:pt>
                <c:pt idx="2335">
                  <c:v>805.10431000000005</c:v>
                </c:pt>
                <c:pt idx="2336">
                  <c:v>805.1056900000001</c:v>
                </c:pt>
                <c:pt idx="2337">
                  <c:v>805.10707000000002</c:v>
                </c:pt>
                <c:pt idx="2338">
                  <c:v>805.10845000000006</c:v>
                </c:pt>
                <c:pt idx="2339">
                  <c:v>805.1098300000001</c:v>
                </c:pt>
                <c:pt idx="2340">
                  <c:v>805.11121000000003</c:v>
                </c:pt>
                <c:pt idx="2341">
                  <c:v>805.11259000000007</c:v>
                </c:pt>
                <c:pt idx="2342">
                  <c:v>805.11397000000011</c:v>
                </c:pt>
                <c:pt idx="2343">
                  <c:v>805.11535000000003</c:v>
                </c:pt>
                <c:pt idx="2344">
                  <c:v>805.11673000000008</c:v>
                </c:pt>
                <c:pt idx="2345">
                  <c:v>805.12501000000009</c:v>
                </c:pt>
                <c:pt idx="2346">
                  <c:v>805.12639000000001</c:v>
                </c:pt>
                <c:pt idx="2347">
                  <c:v>805.12777000000006</c:v>
                </c:pt>
                <c:pt idx="2348">
                  <c:v>805.1291500000001</c:v>
                </c:pt>
                <c:pt idx="2349">
                  <c:v>805.13053000000002</c:v>
                </c:pt>
                <c:pt idx="2350">
                  <c:v>805.13190000000009</c:v>
                </c:pt>
                <c:pt idx="2351">
                  <c:v>805.13328000000001</c:v>
                </c:pt>
                <c:pt idx="2352">
                  <c:v>805.13466000000005</c:v>
                </c:pt>
                <c:pt idx="2353">
                  <c:v>805.13603000000012</c:v>
                </c:pt>
                <c:pt idx="2354">
                  <c:v>805.14429000000007</c:v>
                </c:pt>
                <c:pt idx="2355">
                  <c:v>805.14567000000011</c:v>
                </c:pt>
                <c:pt idx="2356">
                  <c:v>805.14705000000004</c:v>
                </c:pt>
                <c:pt idx="2357">
                  <c:v>805.1484200000001</c:v>
                </c:pt>
                <c:pt idx="2358">
                  <c:v>805.14980000000003</c:v>
                </c:pt>
                <c:pt idx="2359">
                  <c:v>805.15118000000007</c:v>
                </c:pt>
                <c:pt idx="2360">
                  <c:v>805.15255000000002</c:v>
                </c:pt>
                <c:pt idx="2361">
                  <c:v>805.15393000000006</c:v>
                </c:pt>
                <c:pt idx="2362">
                  <c:v>805.1553100000001</c:v>
                </c:pt>
                <c:pt idx="2363">
                  <c:v>805.15668000000005</c:v>
                </c:pt>
                <c:pt idx="2364">
                  <c:v>805.16494000000012</c:v>
                </c:pt>
                <c:pt idx="2365">
                  <c:v>805.16632000000004</c:v>
                </c:pt>
                <c:pt idx="2366">
                  <c:v>805.16770000000008</c:v>
                </c:pt>
                <c:pt idx="2367">
                  <c:v>805.16908000000012</c:v>
                </c:pt>
                <c:pt idx="2368">
                  <c:v>805.17046000000005</c:v>
                </c:pt>
                <c:pt idx="2369">
                  <c:v>805.17184000000009</c:v>
                </c:pt>
                <c:pt idx="2370">
                  <c:v>805.17321000000004</c:v>
                </c:pt>
                <c:pt idx="2371">
                  <c:v>805.17459000000008</c:v>
                </c:pt>
                <c:pt idx="2372">
                  <c:v>805.17597000000012</c:v>
                </c:pt>
                <c:pt idx="2373">
                  <c:v>805.17735000000005</c:v>
                </c:pt>
                <c:pt idx="2374">
                  <c:v>805.18562000000009</c:v>
                </c:pt>
                <c:pt idx="2375">
                  <c:v>805.18700000000001</c:v>
                </c:pt>
                <c:pt idx="2376">
                  <c:v>805.18838000000005</c:v>
                </c:pt>
                <c:pt idx="2377">
                  <c:v>805.18975000000012</c:v>
                </c:pt>
                <c:pt idx="2378">
                  <c:v>805.19113000000004</c:v>
                </c:pt>
                <c:pt idx="2379">
                  <c:v>805.19251000000008</c:v>
                </c:pt>
                <c:pt idx="2380">
                  <c:v>805.19389000000001</c:v>
                </c:pt>
                <c:pt idx="2381">
                  <c:v>805.19527000000005</c:v>
                </c:pt>
                <c:pt idx="2382">
                  <c:v>805.19665000000009</c:v>
                </c:pt>
                <c:pt idx="2383">
                  <c:v>805.19803000000002</c:v>
                </c:pt>
                <c:pt idx="2384">
                  <c:v>805.20631000000003</c:v>
                </c:pt>
                <c:pt idx="2385">
                  <c:v>805.20769000000007</c:v>
                </c:pt>
                <c:pt idx="2386">
                  <c:v>805.20907000000011</c:v>
                </c:pt>
                <c:pt idx="2387">
                  <c:v>805.21045000000004</c:v>
                </c:pt>
                <c:pt idx="2388">
                  <c:v>805.21183000000008</c:v>
                </c:pt>
                <c:pt idx="2389">
                  <c:v>805.21321000000012</c:v>
                </c:pt>
                <c:pt idx="2390">
                  <c:v>805.21459000000004</c:v>
                </c:pt>
                <c:pt idx="2391">
                  <c:v>805.21596000000011</c:v>
                </c:pt>
                <c:pt idx="2392">
                  <c:v>805.21734000000004</c:v>
                </c:pt>
                <c:pt idx="2393">
                  <c:v>805.21872000000008</c:v>
                </c:pt>
                <c:pt idx="2394">
                  <c:v>805.22836000000007</c:v>
                </c:pt>
                <c:pt idx="2395">
                  <c:v>805.22974000000011</c:v>
                </c:pt>
                <c:pt idx="2396">
                  <c:v>805.23112000000003</c:v>
                </c:pt>
                <c:pt idx="2397">
                  <c:v>805.2324900000001</c:v>
                </c:pt>
                <c:pt idx="2398">
                  <c:v>805.23387000000002</c:v>
                </c:pt>
                <c:pt idx="2399">
                  <c:v>805.23525000000006</c:v>
                </c:pt>
                <c:pt idx="2400">
                  <c:v>805.23662000000002</c:v>
                </c:pt>
                <c:pt idx="2401">
                  <c:v>805.23800000000006</c:v>
                </c:pt>
                <c:pt idx="2402">
                  <c:v>805.2393800000001</c:v>
                </c:pt>
                <c:pt idx="2403">
                  <c:v>805.24765000000002</c:v>
                </c:pt>
                <c:pt idx="2404">
                  <c:v>805.24902000000009</c:v>
                </c:pt>
                <c:pt idx="2405">
                  <c:v>805.25040000000001</c:v>
                </c:pt>
                <c:pt idx="2406">
                  <c:v>805.25178000000005</c:v>
                </c:pt>
                <c:pt idx="2407">
                  <c:v>805.25315000000012</c:v>
                </c:pt>
                <c:pt idx="2408">
                  <c:v>805.25453000000005</c:v>
                </c:pt>
                <c:pt idx="2409">
                  <c:v>805.25591000000009</c:v>
                </c:pt>
                <c:pt idx="2410">
                  <c:v>805.25728000000004</c:v>
                </c:pt>
                <c:pt idx="2411">
                  <c:v>805.25866000000008</c:v>
                </c:pt>
                <c:pt idx="2412">
                  <c:v>805.26004000000012</c:v>
                </c:pt>
                <c:pt idx="2413">
                  <c:v>805.26830000000007</c:v>
                </c:pt>
                <c:pt idx="2414">
                  <c:v>805.26967000000002</c:v>
                </c:pt>
                <c:pt idx="2415">
                  <c:v>805.27105000000006</c:v>
                </c:pt>
                <c:pt idx="2416">
                  <c:v>805.2724300000001</c:v>
                </c:pt>
                <c:pt idx="2417">
                  <c:v>805.27380000000005</c:v>
                </c:pt>
                <c:pt idx="2418">
                  <c:v>805.27518000000009</c:v>
                </c:pt>
                <c:pt idx="2419">
                  <c:v>805.27656000000002</c:v>
                </c:pt>
                <c:pt idx="2420">
                  <c:v>805.27793000000008</c:v>
                </c:pt>
                <c:pt idx="2421">
                  <c:v>805.27931000000001</c:v>
                </c:pt>
                <c:pt idx="2422">
                  <c:v>805.28757000000007</c:v>
                </c:pt>
                <c:pt idx="2423">
                  <c:v>805.28895000000011</c:v>
                </c:pt>
                <c:pt idx="2424">
                  <c:v>805.29032000000007</c:v>
                </c:pt>
                <c:pt idx="2425">
                  <c:v>805.29170000000011</c:v>
                </c:pt>
                <c:pt idx="2426">
                  <c:v>805.29308000000003</c:v>
                </c:pt>
                <c:pt idx="2427">
                  <c:v>805.2944500000001</c:v>
                </c:pt>
                <c:pt idx="2428">
                  <c:v>805.29583000000002</c:v>
                </c:pt>
                <c:pt idx="2429">
                  <c:v>805.29721000000006</c:v>
                </c:pt>
                <c:pt idx="2430">
                  <c:v>805.2985900000001</c:v>
                </c:pt>
                <c:pt idx="2431">
                  <c:v>805.29997000000003</c:v>
                </c:pt>
                <c:pt idx="2432">
                  <c:v>805.30824000000007</c:v>
                </c:pt>
                <c:pt idx="2433">
                  <c:v>805.30962000000011</c:v>
                </c:pt>
                <c:pt idx="2434">
                  <c:v>805.31100000000004</c:v>
                </c:pt>
                <c:pt idx="2435">
                  <c:v>805.31238000000008</c:v>
                </c:pt>
                <c:pt idx="2436">
                  <c:v>805.31376000000012</c:v>
                </c:pt>
                <c:pt idx="2437">
                  <c:v>805.31514000000004</c:v>
                </c:pt>
                <c:pt idx="2438">
                  <c:v>805.31652000000008</c:v>
                </c:pt>
                <c:pt idx="2439">
                  <c:v>805.31790000000012</c:v>
                </c:pt>
                <c:pt idx="2440">
                  <c:v>805.31927000000007</c:v>
                </c:pt>
                <c:pt idx="2441">
                  <c:v>805.32065000000011</c:v>
                </c:pt>
                <c:pt idx="2442">
                  <c:v>805.3289400000001</c:v>
                </c:pt>
                <c:pt idx="2443">
                  <c:v>805.33032000000003</c:v>
                </c:pt>
                <c:pt idx="2444">
                  <c:v>805.33170000000007</c:v>
                </c:pt>
                <c:pt idx="2445">
                  <c:v>805.33308000000011</c:v>
                </c:pt>
                <c:pt idx="2446">
                  <c:v>805.33446000000004</c:v>
                </c:pt>
                <c:pt idx="2447">
                  <c:v>805.3358300000001</c:v>
                </c:pt>
                <c:pt idx="2448">
                  <c:v>805.33721000000003</c:v>
                </c:pt>
                <c:pt idx="2449">
                  <c:v>805.33859000000007</c:v>
                </c:pt>
                <c:pt idx="2450">
                  <c:v>805.33997000000011</c:v>
                </c:pt>
                <c:pt idx="2451">
                  <c:v>805.3496100000001</c:v>
                </c:pt>
                <c:pt idx="2452">
                  <c:v>805.35099000000002</c:v>
                </c:pt>
                <c:pt idx="2453">
                  <c:v>805.35237000000006</c:v>
                </c:pt>
                <c:pt idx="2454">
                  <c:v>805.35374000000002</c:v>
                </c:pt>
                <c:pt idx="2455">
                  <c:v>805.35512000000006</c:v>
                </c:pt>
                <c:pt idx="2456">
                  <c:v>805.3565000000001</c:v>
                </c:pt>
                <c:pt idx="2457">
                  <c:v>805.35788000000002</c:v>
                </c:pt>
                <c:pt idx="2458">
                  <c:v>805.35925000000009</c:v>
                </c:pt>
                <c:pt idx="2459">
                  <c:v>805.36062000000004</c:v>
                </c:pt>
                <c:pt idx="2460">
                  <c:v>805.37026000000003</c:v>
                </c:pt>
                <c:pt idx="2461">
                  <c:v>805.3716300000001</c:v>
                </c:pt>
                <c:pt idx="2462">
                  <c:v>805.37301000000002</c:v>
                </c:pt>
                <c:pt idx="2463">
                  <c:v>805.37439000000006</c:v>
                </c:pt>
                <c:pt idx="2464">
                  <c:v>805.3757700000001</c:v>
                </c:pt>
                <c:pt idx="2465">
                  <c:v>805.37715000000003</c:v>
                </c:pt>
                <c:pt idx="2466">
                  <c:v>805.37853000000007</c:v>
                </c:pt>
                <c:pt idx="2467">
                  <c:v>805.37990000000002</c:v>
                </c:pt>
                <c:pt idx="2468">
                  <c:v>805.38127000000009</c:v>
                </c:pt>
                <c:pt idx="2469">
                  <c:v>805.38954000000001</c:v>
                </c:pt>
                <c:pt idx="2470">
                  <c:v>805.39091000000008</c:v>
                </c:pt>
                <c:pt idx="2471">
                  <c:v>805.39228000000003</c:v>
                </c:pt>
                <c:pt idx="2472">
                  <c:v>805.39365000000009</c:v>
                </c:pt>
                <c:pt idx="2473">
                  <c:v>805.39503000000002</c:v>
                </c:pt>
                <c:pt idx="2474">
                  <c:v>805.39641000000006</c:v>
                </c:pt>
                <c:pt idx="2475">
                  <c:v>805.3977900000001</c:v>
                </c:pt>
                <c:pt idx="2476">
                  <c:v>805.39916000000005</c:v>
                </c:pt>
                <c:pt idx="2477">
                  <c:v>805.40053000000012</c:v>
                </c:pt>
                <c:pt idx="2478">
                  <c:v>805.40190000000007</c:v>
                </c:pt>
                <c:pt idx="2479">
                  <c:v>805.41154000000006</c:v>
                </c:pt>
                <c:pt idx="2480">
                  <c:v>805.41291000000001</c:v>
                </c:pt>
                <c:pt idx="2481">
                  <c:v>805.41428000000008</c:v>
                </c:pt>
                <c:pt idx="2482">
                  <c:v>805.41566000000012</c:v>
                </c:pt>
                <c:pt idx="2483">
                  <c:v>805.41704000000004</c:v>
                </c:pt>
                <c:pt idx="2484">
                  <c:v>805.41842000000008</c:v>
                </c:pt>
                <c:pt idx="2485">
                  <c:v>805.41980000000001</c:v>
                </c:pt>
                <c:pt idx="2486">
                  <c:v>805.42118000000005</c:v>
                </c:pt>
                <c:pt idx="2487">
                  <c:v>805.42255000000011</c:v>
                </c:pt>
                <c:pt idx="2488">
                  <c:v>805.43219000000011</c:v>
                </c:pt>
                <c:pt idx="2489">
                  <c:v>805.43356000000006</c:v>
                </c:pt>
                <c:pt idx="2490">
                  <c:v>805.43493000000012</c:v>
                </c:pt>
                <c:pt idx="2491">
                  <c:v>805.43630000000007</c:v>
                </c:pt>
                <c:pt idx="2492">
                  <c:v>805.43768000000011</c:v>
                </c:pt>
                <c:pt idx="2493">
                  <c:v>805.43906000000004</c:v>
                </c:pt>
                <c:pt idx="2494">
                  <c:v>805.44044000000008</c:v>
                </c:pt>
                <c:pt idx="2495">
                  <c:v>805.44182000000012</c:v>
                </c:pt>
                <c:pt idx="2496">
                  <c:v>805.44319000000007</c:v>
                </c:pt>
                <c:pt idx="2497">
                  <c:v>805.45283000000006</c:v>
                </c:pt>
                <c:pt idx="2498">
                  <c:v>805.45420000000001</c:v>
                </c:pt>
                <c:pt idx="2499">
                  <c:v>805.45557000000008</c:v>
                </c:pt>
                <c:pt idx="2500">
                  <c:v>805.45694000000003</c:v>
                </c:pt>
                <c:pt idx="2501">
                  <c:v>805.45832000000007</c:v>
                </c:pt>
                <c:pt idx="2502">
                  <c:v>805.45970000000011</c:v>
                </c:pt>
                <c:pt idx="2503">
                  <c:v>805.46108000000004</c:v>
                </c:pt>
                <c:pt idx="2504">
                  <c:v>805.46246000000008</c:v>
                </c:pt>
                <c:pt idx="2505">
                  <c:v>805.46384000000012</c:v>
                </c:pt>
                <c:pt idx="2506">
                  <c:v>805.47210000000007</c:v>
                </c:pt>
                <c:pt idx="2507">
                  <c:v>805.47348000000011</c:v>
                </c:pt>
                <c:pt idx="2508">
                  <c:v>805.47485000000006</c:v>
                </c:pt>
                <c:pt idx="2509">
                  <c:v>805.47622000000001</c:v>
                </c:pt>
                <c:pt idx="2510">
                  <c:v>805.47759000000008</c:v>
                </c:pt>
                <c:pt idx="2511">
                  <c:v>805.47897000000012</c:v>
                </c:pt>
                <c:pt idx="2512">
                  <c:v>805.48035000000004</c:v>
                </c:pt>
                <c:pt idx="2513">
                  <c:v>805.48173000000008</c:v>
                </c:pt>
                <c:pt idx="2514">
                  <c:v>805.48311000000001</c:v>
                </c:pt>
                <c:pt idx="2515">
                  <c:v>805.48449000000005</c:v>
                </c:pt>
                <c:pt idx="2516">
                  <c:v>805.49413000000004</c:v>
                </c:pt>
                <c:pt idx="2517">
                  <c:v>805.49551000000008</c:v>
                </c:pt>
                <c:pt idx="2518">
                  <c:v>805.49688000000003</c:v>
                </c:pt>
                <c:pt idx="2519">
                  <c:v>805.4982500000001</c:v>
                </c:pt>
                <c:pt idx="2520">
                  <c:v>805.49962000000005</c:v>
                </c:pt>
                <c:pt idx="2521">
                  <c:v>805.50100000000009</c:v>
                </c:pt>
                <c:pt idx="2522">
                  <c:v>805.50238000000002</c:v>
                </c:pt>
                <c:pt idx="2523">
                  <c:v>805.50376000000006</c:v>
                </c:pt>
                <c:pt idx="2524">
                  <c:v>805.50513000000012</c:v>
                </c:pt>
                <c:pt idx="2525">
                  <c:v>805.51477000000011</c:v>
                </c:pt>
                <c:pt idx="2526">
                  <c:v>805.51615000000004</c:v>
                </c:pt>
                <c:pt idx="2527">
                  <c:v>805.5175200000001</c:v>
                </c:pt>
                <c:pt idx="2528">
                  <c:v>805.51889000000006</c:v>
                </c:pt>
                <c:pt idx="2529">
                  <c:v>805.52026000000012</c:v>
                </c:pt>
                <c:pt idx="2530">
                  <c:v>805.52164000000005</c:v>
                </c:pt>
                <c:pt idx="2531">
                  <c:v>805.52302000000009</c:v>
                </c:pt>
                <c:pt idx="2532">
                  <c:v>805.52440000000001</c:v>
                </c:pt>
                <c:pt idx="2533">
                  <c:v>805.52578000000005</c:v>
                </c:pt>
                <c:pt idx="2534">
                  <c:v>805.53542000000004</c:v>
                </c:pt>
                <c:pt idx="2535">
                  <c:v>805.53680000000008</c:v>
                </c:pt>
                <c:pt idx="2536">
                  <c:v>805.53818000000001</c:v>
                </c:pt>
                <c:pt idx="2537">
                  <c:v>805.53956000000005</c:v>
                </c:pt>
                <c:pt idx="2538">
                  <c:v>805.54094000000009</c:v>
                </c:pt>
                <c:pt idx="2539">
                  <c:v>805.54231000000004</c:v>
                </c:pt>
                <c:pt idx="2540">
                  <c:v>805.54368000000011</c:v>
                </c:pt>
                <c:pt idx="2541">
                  <c:v>805.54505000000006</c:v>
                </c:pt>
                <c:pt idx="2542">
                  <c:v>805.54642000000001</c:v>
                </c:pt>
                <c:pt idx="2543">
                  <c:v>805.55604000000005</c:v>
                </c:pt>
                <c:pt idx="2544">
                  <c:v>805.55742000000009</c:v>
                </c:pt>
                <c:pt idx="2545">
                  <c:v>805.55880000000002</c:v>
                </c:pt>
                <c:pt idx="2546">
                  <c:v>805.56018000000006</c:v>
                </c:pt>
                <c:pt idx="2547">
                  <c:v>805.5615600000001</c:v>
                </c:pt>
                <c:pt idx="2548">
                  <c:v>805.56293000000005</c:v>
                </c:pt>
                <c:pt idx="2549">
                  <c:v>805.56430000000012</c:v>
                </c:pt>
                <c:pt idx="2550">
                  <c:v>805.56567000000007</c:v>
                </c:pt>
                <c:pt idx="2551">
                  <c:v>805.56704000000002</c:v>
                </c:pt>
                <c:pt idx="2552">
                  <c:v>805.56841000000009</c:v>
                </c:pt>
                <c:pt idx="2553">
                  <c:v>805.57667000000004</c:v>
                </c:pt>
                <c:pt idx="2554">
                  <c:v>805.57805000000008</c:v>
                </c:pt>
                <c:pt idx="2555">
                  <c:v>805.57943000000012</c:v>
                </c:pt>
                <c:pt idx="2556">
                  <c:v>805.58081000000004</c:v>
                </c:pt>
                <c:pt idx="2557">
                  <c:v>805.58218000000011</c:v>
                </c:pt>
                <c:pt idx="2558">
                  <c:v>805.58355000000006</c:v>
                </c:pt>
                <c:pt idx="2559">
                  <c:v>805.58492000000001</c:v>
                </c:pt>
                <c:pt idx="2560">
                  <c:v>805.58629000000008</c:v>
                </c:pt>
                <c:pt idx="2561">
                  <c:v>805.58766000000003</c:v>
                </c:pt>
                <c:pt idx="2562">
                  <c:v>805.58903000000009</c:v>
                </c:pt>
                <c:pt idx="2563">
                  <c:v>805.59867000000008</c:v>
                </c:pt>
                <c:pt idx="2564">
                  <c:v>805.60005000000001</c:v>
                </c:pt>
                <c:pt idx="2565">
                  <c:v>805.60142000000008</c:v>
                </c:pt>
                <c:pt idx="2566">
                  <c:v>805.60279000000003</c:v>
                </c:pt>
                <c:pt idx="2567">
                  <c:v>805.60416000000009</c:v>
                </c:pt>
                <c:pt idx="2568">
                  <c:v>805.60553000000004</c:v>
                </c:pt>
                <c:pt idx="2569">
                  <c:v>805.60690000000011</c:v>
                </c:pt>
                <c:pt idx="2570">
                  <c:v>805.60827000000006</c:v>
                </c:pt>
                <c:pt idx="2571">
                  <c:v>805.60964000000001</c:v>
                </c:pt>
                <c:pt idx="2572">
                  <c:v>805.61101000000008</c:v>
                </c:pt>
                <c:pt idx="2573">
                  <c:v>805.62066000000004</c:v>
                </c:pt>
                <c:pt idx="2574">
                  <c:v>805.62203000000011</c:v>
                </c:pt>
                <c:pt idx="2575">
                  <c:v>805.62340000000006</c:v>
                </c:pt>
                <c:pt idx="2576">
                  <c:v>805.62477000000001</c:v>
                </c:pt>
                <c:pt idx="2577">
                  <c:v>805.62614000000008</c:v>
                </c:pt>
                <c:pt idx="2578">
                  <c:v>805.62751000000003</c:v>
                </c:pt>
                <c:pt idx="2579">
                  <c:v>805.62888000000009</c:v>
                </c:pt>
                <c:pt idx="2580">
                  <c:v>805.63025000000005</c:v>
                </c:pt>
                <c:pt idx="2581">
                  <c:v>805.63162000000011</c:v>
                </c:pt>
                <c:pt idx="2582">
                  <c:v>805.63300000000004</c:v>
                </c:pt>
                <c:pt idx="2583">
                  <c:v>805.64264000000003</c:v>
                </c:pt>
                <c:pt idx="2584">
                  <c:v>805.64401000000009</c:v>
                </c:pt>
                <c:pt idx="2585">
                  <c:v>805.64538000000005</c:v>
                </c:pt>
                <c:pt idx="2586">
                  <c:v>805.64675000000011</c:v>
                </c:pt>
                <c:pt idx="2587">
                  <c:v>805.64812000000006</c:v>
                </c:pt>
                <c:pt idx="2588">
                  <c:v>805.64949000000001</c:v>
                </c:pt>
                <c:pt idx="2589">
                  <c:v>805.65086000000008</c:v>
                </c:pt>
                <c:pt idx="2590">
                  <c:v>805.65223000000003</c:v>
                </c:pt>
                <c:pt idx="2591">
                  <c:v>805.65361000000007</c:v>
                </c:pt>
                <c:pt idx="2592">
                  <c:v>805.65499000000011</c:v>
                </c:pt>
                <c:pt idx="2593">
                  <c:v>805.66461000000004</c:v>
                </c:pt>
                <c:pt idx="2594">
                  <c:v>805.6659800000001</c:v>
                </c:pt>
                <c:pt idx="2595">
                  <c:v>805.66735000000006</c:v>
                </c:pt>
                <c:pt idx="2596">
                  <c:v>805.66872000000012</c:v>
                </c:pt>
                <c:pt idx="2597">
                  <c:v>805.67009000000007</c:v>
                </c:pt>
                <c:pt idx="2598">
                  <c:v>805.67146000000002</c:v>
                </c:pt>
                <c:pt idx="2599">
                  <c:v>805.67283000000009</c:v>
                </c:pt>
                <c:pt idx="2600">
                  <c:v>805.67421000000002</c:v>
                </c:pt>
                <c:pt idx="2601">
                  <c:v>805.67559000000006</c:v>
                </c:pt>
                <c:pt idx="2602">
                  <c:v>805.6769700000001</c:v>
                </c:pt>
                <c:pt idx="2603">
                  <c:v>805.68658000000005</c:v>
                </c:pt>
                <c:pt idx="2604">
                  <c:v>805.68795000000011</c:v>
                </c:pt>
                <c:pt idx="2605">
                  <c:v>805.68932000000007</c:v>
                </c:pt>
                <c:pt idx="2606">
                  <c:v>805.69069000000002</c:v>
                </c:pt>
                <c:pt idx="2607">
                  <c:v>805.69207000000006</c:v>
                </c:pt>
                <c:pt idx="2608">
                  <c:v>805.69344000000001</c:v>
                </c:pt>
                <c:pt idx="2609">
                  <c:v>805.69482000000005</c:v>
                </c:pt>
                <c:pt idx="2610">
                  <c:v>805.69620000000009</c:v>
                </c:pt>
                <c:pt idx="2611">
                  <c:v>805.69758000000002</c:v>
                </c:pt>
                <c:pt idx="2612">
                  <c:v>805.69896000000006</c:v>
                </c:pt>
                <c:pt idx="2613">
                  <c:v>805.70856000000003</c:v>
                </c:pt>
                <c:pt idx="2614">
                  <c:v>805.7099300000001</c:v>
                </c:pt>
                <c:pt idx="2615">
                  <c:v>805.71131000000003</c:v>
                </c:pt>
                <c:pt idx="2616">
                  <c:v>805.71269000000007</c:v>
                </c:pt>
                <c:pt idx="2617">
                  <c:v>805.71406000000002</c:v>
                </c:pt>
                <c:pt idx="2618">
                  <c:v>805.71544000000006</c:v>
                </c:pt>
                <c:pt idx="2619">
                  <c:v>805.7168200000001</c:v>
                </c:pt>
                <c:pt idx="2620">
                  <c:v>805.71820000000002</c:v>
                </c:pt>
                <c:pt idx="2621">
                  <c:v>805.71957000000009</c:v>
                </c:pt>
                <c:pt idx="2622">
                  <c:v>805.72094000000004</c:v>
                </c:pt>
                <c:pt idx="2623">
                  <c:v>805.73054000000002</c:v>
                </c:pt>
                <c:pt idx="2624">
                  <c:v>805.73191000000008</c:v>
                </c:pt>
                <c:pt idx="2625">
                  <c:v>805.73328000000004</c:v>
                </c:pt>
                <c:pt idx="2626">
                  <c:v>805.7346500000001</c:v>
                </c:pt>
                <c:pt idx="2627">
                  <c:v>805.73603000000003</c:v>
                </c:pt>
                <c:pt idx="2628">
                  <c:v>805.73740000000009</c:v>
                </c:pt>
                <c:pt idx="2629">
                  <c:v>805.73877000000005</c:v>
                </c:pt>
                <c:pt idx="2630">
                  <c:v>805.74014000000011</c:v>
                </c:pt>
                <c:pt idx="2631">
                  <c:v>805.74152000000004</c:v>
                </c:pt>
                <c:pt idx="2632">
                  <c:v>805.7428900000001</c:v>
                </c:pt>
                <c:pt idx="2633">
                  <c:v>805.74426000000005</c:v>
                </c:pt>
                <c:pt idx="2634">
                  <c:v>805.75386000000003</c:v>
                </c:pt>
                <c:pt idx="2635">
                  <c:v>805.7552300000001</c:v>
                </c:pt>
                <c:pt idx="2636">
                  <c:v>805.75661000000002</c:v>
                </c:pt>
                <c:pt idx="2637">
                  <c:v>805.75798000000009</c:v>
                </c:pt>
                <c:pt idx="2638">
                  <c:v>805.75935000000004</c:v>
                </c:pt>
                <c:pt idx="2639">
                  <c:v>805.76072000000011</c:v>
                </c:pt>
                <c:pt idx="2640">
                  <c:v>805.76210000000003</c:v>
                </c:pt>
                <c:pt idx="2641">
                  <c:v>805.7634700000001</c:v>
                </c:pt>
                <c:pt idx="2642">
                  <c:v>805.76484000000005</c:v>
                </c:pt>
                <c:pt idx="2643">
                  <c:v>805.76621000000011</c:v>
                </c:pt>
                <c:pt idx="2644">
                  <c:v>805.77581000000009</c:v>
                </c:pt>
                <c:pt idx="2645">
                  <c:v>805.77719000000002</c:v>
                </c:pt>
                <c:pt idx="2646">
                  <c:v>805.77856000000008</c:v>
                </c:pt>
                <c:pt idx="2647">
                  <c:v>805.77993000000004</c:v>
                </c:pt>
                <c:pt idx="2648">
                  <c:v>805.7813000000001</c:v>
                </c:pt>
                <c:pt idx="2649">
                  <c:v>805.78267000000005</c:v>
                </c:pt>
                <c:pt idx="2650">
                  <c:v>805.78404000000012</c:v>
                </c:pt>
                <c:pt idx="2651">
                  <c:v>805.78541000000007</c:v>
                </c:pt>
                <c:pt idx="2652">
                  <c:v>805.78679000000011</c:v>
                </c:pt>
                <c:pt idx="2653">
                  <c:v>805.78816000000006</c:v>
                </c:pt>
                <c:pt idx="2654">
                  <c:v>805.78953000000001</c:v>
                </c:pt>
                <c:pt idx="2655">
                  <c:v>805.79776000000004</c:v>
                </c:pt>
                <c:pt idx="2656">
                  <c:v>805.7991300000001</c:v>
                </c:pt>
                <c:pt idx="2657">
                  <c:v>805.80050000000006</c:v>
                </c:pt>
                <c:pt idx="2658">
                  <c:v>805.8018800000001</c:v>
                </c:pt>
                <c:pt idx="2659">
                  <c:v>805.80325000000005</c:v>
                </c:pt>
                <c:pt idx="2660">
                  <c:v>805.80462000000011</c:v>
                </c:pt>
                <c:pt idx="2661">
                  <c:v>805.80599000000007</c:v>
                </c:pt>
                <c:pt idx="2662">
                  <c:v>805.80737000000011</c:v>
                </c:pt>
                <c:pt idx="2663">
                  <c:v>805.80874000000006</c:v>
                </c:pt>
                <c:pt idx="2664">
                  <c:v>805.81011000000012</c:v>
                </c:pt>
                <c:pt idx="2665">
                  <c:v>805.81148000000007</c:v>
                </c:pt>
                <c:pt idx="2666">
                  <c:v>805.82246000000009</c:v>
                </c:pt>
                <c:pt idx="2667">
                  <c:v>805.82383000000004</c:v>
                </c:pt>
                <c:pt idx="2668">
                  <c:v>805.82520000000011</c:v>
                </c:pt>
                <c:pt idx="2669">
                  <c:v>805.82657000000006</c:v>
                </c:pt>
                <c:pt idx="2670">
                  <c:v>805.82794000000001</c:v>
                </c:pt>
                <c:pt idx="2671">
                  <c:v>805.82931000000008</c:v>
                </c:pt>
                <c:pt idx="2672">
                  <c:v>805.83068000000003</c:v>
                </c:pt>
                <c:pt idx="2673">
                  <c:v>805.83205000000009</c:v>
                </c:pt>
                <c:pt idx="2674">
                  <c:v>805.83342000000005</c:v>
                </c:pt>
                <c:pt idx="2675">
                  <c:v>805.84165000000007</c:v>
                </c:pt>
                <c:pt idx="2676">
                  <c:v>805.84303000000011</c:v>
                </c:pt>
                <c:pt idx="2677">
                  <c:v>805.84440000000006</c:v>
                </c:pt>
                <c:pt idx="2678">
                  <c:v>805.84577000000002</c:v>
                </c:pt>
                <c:pt idx="2679">
                  <c:v>805.84714000000008</c:v>
                </c:pt>
                <c:pt idx="2680">
                  <c:v>805.84852000000012</c:v>
                </c:pt>
                <c:pt idx="2681">
                  <c:v>805.84989000000007</c:v>
                </c:pt>
                <c:pt idx="2682">
                  <c:v>805.85126000000002</c:v>
                </c:pt>
                <c:pt idx="2683">
                  <c:v>805.85263000000009</c:v>
                </c:pt>
                <c:pt idx="2684">
                  <c:v>805.85400000000004</c:v>
                </c:pt>
                <c:pt idx="2685">
                  <c:v>805.86361000000011</c:v>
                </c:pt>
                <c:pt idx="2686">
                  <c:v>805.86498000000006</c:v>
                </c:pt>
                <c:pt idx="2687">
                  <c:v>805.86635000000001</c:v>
                </c:pt>
                <c:pt idx="2688">
                  <c:v>805.86772000000008</c:v>
                </c:pt>
                <c:pt idx="2689">
                  <c:v>805.86909000000003</c:v>
                </c:pt>
                <c:pt idx="2690">
                  <c:v>805.87046000000009</c:v>
                </c:pt>
                <c:pt idx="2691">
                  <c:v>805.87183000000005</c:v>
                </c:pt>
                <c:pt idx="2692">
                  <c:v>805.87321000000009</c:v>
                </c:pt>
                <c:pt idx="2693">
                  <c:v>805.87458000000004</c:v>
                </c:pt>
                <c:pt idx="2694">
                  <c:v>805.8759500000001</c:v>
                </c:pt>
                <c:pt idx="2695">
                  <c:v>805.87732000000005</c:v>
                </c:pt>
                <c:pt idx="2696">
                  <c:v>805.88693000000012</c:v>
                </c:pt>
                <c:pt idx="2697">
                  <c:v>805.88831000000005</c:v>
                </c:pt>
                <c:pt idx="2698">
                  <c:v>805.88968000000011</c:v>
                </c:pt>
                <c:pt idx="2699">
                  <c:v>805.89105000000006</c:v>
                </c:pt>
                <c:pt idx="2700">
                  <c:v>805.89242000000002</c:v>
                </c:pt>
                <c:pt idx="2701">
                  <c:v>805.89380000000006</c:v>
                </c:pt>
                <c:pt idx="2702">
                  <c:v>805.89517000000012</c:v>
                </c:pt>
                <c:pt idx="2703">
                  <c:v>805.89654000000007</c:v>
                </c:pt>
                <c:pt idx="2704">
                  <c:v>805.89791000000002</c:v>
                </c:pt>
                <c:pt idx="2705">
                  <c:v>805.89929000000006</c:v>
                </c:pt>
                <c:pt idx="2706">
                  <c:v>805.90066000000002</c:v>
                </c:pt>
                <c:pt idx="2707">
                  <c:v>805.90889000000004</c:v>
                </c:pt>
                <c:pt idx="2708">
                  <c:v>805.91026000000011</c:v>
                </c:pt>
                <c:pt idx="2709">
                  <c:v>805.91163000000006</c:v>
                </c:pt>
                <c:pt idx="2710">
                  <c:v>805.91300000000001</c:v>
                </c:pt>
                <c:pt idx="2711">
                  <c:v>805.91437000000008</c:v>
                </c:pt>
                <c:pt idx="2712">
                  <c:v>805.91574000000003</c:v>
                </c:pt>
                <c:pt idx="2713">
                  <c:v>805.91711000000009</c:v>
                </c:pt>
                <c:pt idx="2714">
                  <c:v>805.91848000000005</c:v>
                </c:pt>
                <c:pt idx="2715">
                  <c:v>805.91985000000011</c:v>
                </c:pt>
                <c:pt idx="2716">
                  <c:v>805.92122000000006</c:v>
                </c:pt>
                <c:pt idx="2717">
                  <c:v>805.92259000000001</c:v>
                </c:pt>
                <c:pt idx="2718">
                  <c:v>805.93220000000008</c:v>
                </c:pt>
                <c:pt idx="2719">
                  <c:v>805.93357000000003</c:v>
                </c:pt>
                <c:pt idx="2720">
                  <c:v>805.93495000000007</c:v>
                </c:pt>
                <c:pt idx="2721">
                  <c:v>805.93632000000002</c:v>
                </c:pt>
                <c:pt idx="2722">
                  <c:v>805.93769000000009</c:v>
                </c:pt>
                <c:pt idx="2723">
                  <c:v>805.93906000000004</c:v>
                </c:pt>
                <c:pt idx="2724">
                  <c:v>805.94043000000011</c:v>
                </c:pt>
                <c:pt idx="2725">
                  <c:v>805.94180000000006</c:v>
                </c:pt>
                <c:pt idx="2726">
                  <c:v>805.94317000000001</c:v>
                </c:pt>
                <c:pt idx="2727">
                  <c:v>805.94455000000005</c:v>
                </c:pt>
                <c:pt idx="2728">
                  <c:v>805.95416000000012</c:v>
                </c:pt>
                <c:pt idx="2729">
                  <c:v>805.95553000000007</c:v>
                </c:pt>
                <c:pt idx="2730">
                  <c:v>805.95690000000002</c:v>
                </c:pt>
                <c:pt idx="2731">
                  <c:v>805.95827000000008</c:v>
                </c:pt>
                <c:pt idx="2732">
                  <c:v>805.95965000000001</c:v>
                </c:pt>
                <c:pt idx="2733">
                  <c:v>805.96102000000008</c:v>
                </c:pt>
                <c:pt idx="2734">
                  <c:v>805.96239000000003</c:v>
                </c:pt>
                <c:pt idx="2735">
                  <c:v>805.96376000000009</c:v>
                </c:pt>
                <c:pt idx="2736">
                  <c:v>805.96514000000002</c:v>
                </c:pt>
                <c:pt idx="2737">
                  <c:v>805.96651000000008</c:v>
                </c:pt>
                <c:pt idx="2738">
                  <c:v>805.96788000000004</c:v>
                </c:pt>
                <c:pt idx="2739">
                  <c:v>805.9774900000001</c:v>
                </c:pt>
                <c:pt idx="2740">
                  <c:v>805.97886000000005</c:v>
                </c:pt>
                <c:pt idx="2741">
                  <c:v>805.98024000000009</c:v>
                </c:pt>
                <c:pt idx="2742">
                  <c:v>805.98161000000005</c:v>
                </c:pt>
                <c:pt idx="2743">
                  <c:v>805.98298000000011</c:v>
                </c:pt>
                <c:pt idx="2744">
                  <c:v>805.98435000000006</c:v>
                </c:pt>
                <c:pt idx="2745">
                  <c:v>805.9857300000001</c:v>
                </c:pt>
                <c:pt idx="2746">
                  <c:v>805.98710000000005</c:v>
                </c:pt>
                <c:pt idx="2747">
                  <c:v>805.98847000000012</c:v>
                </c:pt>
                <c:pt idx="2748">
                  <c:v>805.98984000000007</c:v>
                </c:pt>
                <c:pt idx="2749">
                  <c:v>805.99944000000005</c:v>
                </c:pt>
                <c:pt idx="2750">
                  <c:v>806.00082000000009</c:v>
                </c:pt>
                <c:pt idx="2751">
                  <c:v>806.00219000000004</c:v>
                </c:pt>
                <c:pt idx="2752">
                  <c:v>806.00356000000011</c:v>
                </c:pt>
                <c:pt idx="2753">
                  <c:v>806.00493000000006</c:v>
                </c:pt>
                <c:pt idx="2754">
                  <c:v>806.00630000000001</c:v>
                </c:pt>
                <c:pt idx="2755">
                  <c:v>806.00767000000008</c:v>
                </c:pt>
                <c:pt idx="2756">
                  <c:v>806.00904000000003</c:v>
                </c:pt>
                <c:pt idx="2757">
                  <c:v>806.01042000000007</c:v>
                </c:pt>
                <c:pt idx="2758">
                  <c:v>806.01179000000002</c:v>
                </c:pt>
                <c:pt idx="2759">
                  <c:v>806.02141000000006</c:v>
                </c:pt>
                <c:pt idx="2760">
                  <c:v>806.02278000000001</c:v>
                </c:pt>
                <c:pt idx="2761">
                  <c:v>806.02415000000008</c:v>
                </c:pt>
                <c:pt idx="2762">
                  <c:v>806.02552000000003</c:v>
                </c:pt>
                <c:pt idx="2763">
                  <c:v>806.02689000000009</c:v>
                </c:pt>
                <c:pt idx="2764">
                  <c:v>806.02826000000005</c:v>
                </c:pt>
                <c:pt idx="2765">
                  <c:v>806.02963000000011</c:v>
                </c:pt>
                <c:pt idx="2766">
                  <c:v>806.03101000000004</c:v>
                </c:pt>
                <c:pt idx="2767">
                  <c:v>806.0323800000001</c:v>
                </c:pt>
                <c:pt idx="2768">
                  <c:v>806.03375000000005</c:v>
                </c:pt>
                <c:pt idx="2769">
                  <c:v>806.03512000000012</c:v>
                </c:pt>
                <c:pt idx="2770">
                  <c:v>806.03650000000005</c:v>
                </c:pt>
                <c:pt idx="2771">
                  <c:v>806.0447200000001</c:v>
                </c:pt>
                <c:pt idx="2772">
                  <c:v>806.04609000000005</c:v>
                </c:pt>
                <c:pt idx="2773">
                  <c:v>806.04746000000011</c:v>
                </c:pt>
                <c:pt idx="2774">
                  <c:v>806.04883000000007</c:v>
                </c:pt>
                <c:pt idx="2775">
                  <c:v>806.05020000000002</c:v>
                </c:pt>
                <c:pt idx="2776">
                  <c:v>806.05157000000008</c:v>
                </c:pt>
                <c:pt idx="2777">
                  <c:v>806.05294000000004</c:v>
                </c:pt>
                <c:pt idx="2778">
                  <c:v>806.0543100000001</c:v>
                </c:pt>
                <c:pt idx="2779">
                  <c:v>806.05569000000003</c:v>
                </c:pt>
                <c:pt idx="2780">
                  <c:v>806.05707000000007</c:v>
                </c:pt>
                <c:pt idx="2781">
                  <c:v>806.05844000000002</c:v>
                </c:pt>
                <c:pt idx="2782">
                  <c:v>806.06943000000001</c:v>
                </c:pt>
                <c:pt idx="2783">
                  <c:v>806.07081000000005</c:v>
                </c:pt>
                <c:pt idx="2784">
                  <c:v>806.07219000000009</c:v>
                </c:pt>
                <c:pt idx="2785">
                  <c:v>806.07356000000004</c:v>
                </c:pt>
                <c:pt idx="2786">
                  <c:v>806.07493000000011</c:v>
                </c:pt>
                <c:pt idx="2787">
                  <c:v>806.07630000000006</c:v>
                </c:pt>
                <c:pt idx="2788">
                  <c:v>806.07767000000001</c:v>
                </c:pt>
                <c:pt idx="2789">
                  <c:v>806.07904000000008</c:v>
                </c:pt>
                <c:pt idx="2790">
                  <c:v>806.08041000000003</c:v>
                </c:pt>
                <c:pt idx="2791">
                  <c:v>806.09</c:v>
                </c:pt>
                <c:pt idx="2792">
                  <c:v>806.0913700000001</c:v>
                </c:pt>
                <c:pt idx="2793">
                  <c:v>806.09274000000005</c:v>
                </c:pt>
                <c:pt idx="2794">
                  <c:v>806.09411000000011</c:v>
                </c:pt>
                <c:pt idx="2795">
                  <c:v>806.09548000000007</c:v>
                </c:pt>
                <c:pt idx="2796">
                  <c:v>806.09685000000002</c:v>
                </c:pt>
                <c:pt idx="2797">
                  <c:v>806.09822000000008</c:v>
                </c:pt>
                <c:pt idx="2798">
                  <c:v>806.09959000000003</c:v>
                </c:pt>
                <c:pt idx="2799">
                  <c:v>806.1009600000001</c:v>
                </c:pt>
                <c:pt idx="2800">
                  <c:v>806.10233000000005</c:v>
                </c:pt>
                <c:pt idx="2801">
                  <c:v>806.10370000000012</c:v>
                </c:pt>
                <c:pt idx="2802">
                  <c:v>806.11329000000012</c:v>
                </c:pt>
                <c:pt idx="2803">
                  <c:v>806.11466000000007</c:v>
                </c:pt>
                <c:pt idx="2804">
                  <c:v>806.11603000000002</c:v>
                </c:pt>
                <c:pt idx="2805">
                  <c:v>806.11740000000009</c:v>
                </c:pt>
                <c:pt idx="2806">
                  <c:v>806.11877000000004</c:v>
                </c:pt>
                <c:pt idx="2807">
                  <c:v>806.12014000000011</c:v>
                </c:pt>
                <c:pt idx="2808">
                  <c:v>806.12151000000006</c:v>
                </c:pt>
                <c:pt idx="2809">
                  <c:v>806.12288000000001</c:v>
                </c:pt>
                <c:pt idx="2810">
                  <c:v>806.12425000000007</c:v>
                </c:pt>
                <c:pt idx="2811">
                  <c:v>806.12562000000003</c:v>
                </c:pt>
                <c:pt idx="2812">
                  <c:v>806.12699000000009</c:v>
                </c:pt>
                <c:pt idx="2813">
                  <c:v>806.13795000000005</c:v>
                </c:pt>
                <c:pt idx="2814">
                  <c:v>806.13932000000011</c:v>
                </c:pt>
                <c:pt idx="2815">
                  <c:v>806.14069000000006</c:v>
                </c:pt>
                <c:pt idx="2816">
                  <c:v>806.14206000000001</c:v>
                </c:pt>
                <c:pt idx="2817">
                  <c:v>806.14343000000008</c:v>
                </c:pt>
                <c:pt idx="2818">
                  <c:v>806.14480000000003</c:v>
                </c:pt>
                <c:pt idx="2819">
                  <c:v>806.1461700000001</c:v>
                </c:pt>
                <c:pt idx="2820">
                  <c:v>806.14754000000005</c:v>
                </c:pt>
                <c:pt idx="2821">
                  <c:v>806.14891000000011</c:v>
                </c:pt>
                <c:pt idx="2822">
                  <c:v>806.15027000000009</c:v>
                </c:pt>
                <c:pt idx="2823">
                  <c:v>806.15164000000004</c:v>
                </c:pt>
                <c:pt idx="2824">
                  <c:v>806.16123000000005</c:v>
                </c:pt>
                <c:pt idx="2825">
                  <c:v>806.16260000000011</c:v>
                </c:pt>
                <c:pt idx="2826">
                  <c:v>806.16397000000006</c:v>
                </c:pt>
                <c:pt idx="2827">
                  <c:v>806.16534000000001</c:v>
                </c:pt>
                <c:pt idx="2828">
                  <c:v>806.16671000000008</c:v>
                </c:pt>
                <c:pt idx="2829">
                  <c:v>806.16808000000003</c:v>
                </c:pt>
                <c:pt idx="2830">
                  <c:v>806.1694500000001</c:v>
                </c:pt>
                <c:pt idx="2831">
                  <c:v>806.17082000000005</c:v>
                </c:pt>
                <c:pt idx="2832">
                  <c:v>806.17219000000011</c:v>
                </c:pt>
                <c:pt idx="2833">
                  <c:v>806.17356000000007</c:v>
                </c:pt>
                <c:pt idx="2834">
                  <c:v>806.17493000000002</c:v>
                </c:pt>
                <c:pt idx="2835">
                  <c:v>806.17630000000008</c:v>
                </c:pt>
                <c:pt idx="2836">
                  <c:v>806.18726000000004</c:v>
                </c:pt>
                <c:pt idx="2837">
                  <c:v>806.1886300000001</c:v>
                </c:pt>
                <c:pt idx="2838">
                  <c:v>806.19</c:v>
                </c:pt>
                <c:pt idx="2839">
                  <c:v>806.19137000000012</c:v>
                </c:pt>
                <c:pt idx="2840">
                  <c:v>806.19274000000007</c:v>
                </c:pt>
                <c:pt idx="2841">
                  <c:v>806.19411000000002</c:v>
                </c:pt>
                <c:pt idx="2842">
                  <c:v>806.19548000000009</c:v>
                </c:pt>
                <c:pt idx="2843">
                  <c:v>806.19685000000004</c:v>
                </c:pt>
                <c:pt idx="2844">
                  <c:v>806.19822000000011</c:v>
                </c:pt>
                <c:pt idx="2845">
                  <c:v>806.19959000000006</c:v>
                </c:pt>
                <c:pt idx="2846">
                  <c:v>806.20096000000012</c:v>
                </c:pt>
                <c:pt idx="2847">
                  <c:v>806.2105600000001</c:v>
                </c:pt>
                <c:pt idx="2848">
                  <c:v>806.21193000000005</c:v>
                </c:pt>
                <c:pt idx="2849">
                  <c:v>806.21330000000012</c:v>
                </c:pt>
                <c:pt idx="2850">
                  <c:v>806.21467000000007</c:v>
                </c:pt>
                <c:pt idx="2851">
                  <c:v>806.21604000000002</c:v>
                </c:pt>
                <c:pt idx="2852">
                  <c:v>806.21741000000009</c:v>
                </c:pt>
                <c:pt idx="2853">
                  <c:v>806.21878000000004</c:v>
                </c:pt>
                <c:pt idx="2854">
                  <c:v>806.2201500000001</c:v>
                </c:pt>
                <c:pt idx="2855">
                  <c:v>806.22152000000006</c:v>
                </c:pt>
                <c:pt idx="2856">
                  <c:v>806.22289000000012</c:v>
                </c:pt>
                <c:pt idx="2857">
                  <c:v>806.22426000000007</c:v>
                </c:pt>
                <c:pt idx="2858">
                  <c:v>806.22563000000002</c:v>
                </c:pt>
                <c:pt idx="2859">
                  <c:v>806.23522000000003</c:v>
                </c:pt>
                <c:pt idx="2860">
                  <c:v>806.23659000000009</c:v>
                </c:pt>
                <c:pt idx="2861">
                  <c:v>806.23796000000004</c:v>
                </c:pt>
                <c:pt idx="2862">
                  <c:v>806.23933000000011</c:v>
                </c:pt>
                <c:pt idx="2863">
                  <c:v>806.24070000000006</c:v>
                </c:pt>
                <c:pt idx="2864">
                  <c:v>806.24207000000001</c:v>
                </c:pt>
                <c:pt idx="2865">
                  <c:v>806.24344000000008</c:v>
                </c:pt>
                <c:pt idx="2866">
                  <c:v>806.24481000000003</c:v>
                </c:pt>
                <c:pt idx="2867">
                  <c:v>806.24618000000009</c:v>
                </c:pt>
                <c:pt idx="2868">
                  <c:v>806.24755000000005</c:v>
                </c:pt>
                <c:pt idx="2869">
                  <c:v>806.24892000000011</c:v>
                </c:pt>
                <c:pt idx="2870">
                  <c:v>806.25029000000006</c:v>
                </c:pt>
                <c:pt idx="2871">
                  <c:v>806.25988000000007</c:v>
                </c:pt>
                <c:pt idx="2872">
                  <c:v>806.26125000000002</c:v>
                </c:pt>
                <c:pt idx="2873">
                  <c:v>806.26262000000008</c:v>
                </c:pt>
                <c:pt idx="2874">
                  <c:v>806.26399000000004</c:v>
                </c:pt>
                <c:pt idx="2875">
                  <c:v>806.2653600000001</c:v>
                </c:pt>
                <c:pt idx="2876">
                  <c:v>806.26673000000005</c:v>
                </c:pt>
                <c:pt idx="2877">
                  <c:v>806.26810000000012</c:v>
                </c:pt>
                <c:pt idx="2878">
                  <c:v>806.26946000000009</c:v>
                </c:pt>
                <c:pt idx="2879">
                  <c:v>806.27083000000005</c:v>
                </c:pt>
                <c:pt idx="2880">
                  <c:v>806.27220000000011</c:v>
                </c:pt>
                <c:pt idx="2881">
                  <c:v>806.27357000000006</c:v>
                </c:pt>
                <c:pt idx="2882">
                  <c:v>806.27494000000002</c:v>
                </c:pt>
                <c:pt idx="2883">
                  <c:v>806.28453000000002</c:v>
                </c:pt>
                <c:pt idx="2884">
                  <c:v>806.28590000000008</c:v>
                </c:pt>
                <c:pt idx="2885">
                  <c:v>806.28727000000003</c:v>
                </c:pt>
                <c:pt idx="2886">
                  <c:v>806.28863000000001</c:v>
                </c:pt>
                <c:pt idx="2887">
                  <c:v>806.29000000000008</c:v>
                </c:pt>
                <c:pt idx="2888">
                  <c:v>806.29137000000003</c:v>
                </c:pt>
                <c:pt idx="2889">
                  <c:v>806.29273000000012</c:v>
                </c:pt>
                <c:pt idx="2890">
                  <c:v>806.29410000000007</c:v>
                </c:pt>
                <c:pt idx="2891">
                  <c:v>806.29547000000002</c:v>
                </c:pt>
                <c:pt idx="2892">
                  <c:v>806.29684000000009</c:v>
                </c:pt>
                <c:pt idx="2893">
                  <c:v>806.29821000000004</c:v>
                </c:pt>
                <c:pt idx="2894">
                  <c:v>806.29958000000011</c:v>
                </c:pt>
                <c:pt idx="2895">
                  <c:v>806.30917000000011</c:v>
                </c:pt>
                <c:pt idx="2896">
                  <c:v>806.31054000000006</c:v>
                </c:pt>
                <c:pt idx="2897">
                  <c:v>806.31191000000001</c:v>
                </c:pt>
                <c:pt idx="2898">
                  <c:v>806.31328000000008</c:v>
                </c:pt>
                <c:pt idx="2899">
                  <c:v>806.31602000000009</c:v>
                </c:pt>
                <c:pt idx="2900">
                  <c:v>806.31740000000002</c:v>
                </c:pt>
                <c:pt idx="2901">
                  <c:v>806.31877000000009</c:v>
                </c:pt>
                <c:pt idx="2902">
                  <c:v>806.32014000000004</c:v>
                </c:pt>
                <c:pt idx="2903">
                  <c:v>806.3215100000001</c:v>
                </c:pt>
                <c:pt idx="2904">
                  <c:v>806.32288000000005</c:v>
                </c:pt>
                <c:pt idx="2905">
                  <c:v>806.32425000000012</c:v>
                </c:pt>
                <c:pt idx="2906">
                  <c:v>806.33384000000001</c:v>
                </c:pt>
                <c:pt idx="2907">
                  <c:v>806.33521000000007</c:v>
                </c:pt>
                <c:pt idx="2908">
                  <c:v>806.33658000000003</c:v>
                </c:pt>
                <c:pt idx="2909">
                  <c:v>806.33795000000009</c:v>
                </c:pt>
                <c:pt idx="2910">
                  <c:v>806.33932000000004</c:v>
                </c:pt>
                <c:pt idx="2911">
                  <c:v>806.34069000000011</c:v>
                </c:pt>
                <c:pt idx="2912">
                  <c:v>806.34205000000009</c:v>
                </c:pt>
                <c:pt idx="2913">
                  <c:v>806.34342000000004</c:v>
                </c:pt>
                <c:pt idx="2914">
                  <c:v>806.3447900000001</c:v>
                </c:pt>
                <c:pt idx="2915">
                  <c:v>806.34616000000005</c:v>
                </c:pt>
                <c:pt idx="2916">
                  <c:v>806.34753000000012</c:v>
                </c:pt>
                <c:pt idx="2917">
                  <c:v>806.34890000000007</c:v>
                </c:pt>
                <c:pt idx="2918">
                  <c:v>806.35849000000007</c:v>
                </c:pt>
                <c:pt idx="2919">
                  <c:v>806.35986000000003</c:v>
                </c:pt>
                <c:pt idx="2920">
                  <c:v>806.36123000000009</c:v>
                </c:pt>
                <c:pt idx="2921">
                  <c:v>806.36260000000004</c:v>
                </c:pt>
                <c:pt idx="2922">
                  <c:v>806.36397000000011</c:v>
                </c:pt>
                <c:pt idx="2923">
                  <c:v>806.36534000000006</c:v>
                </c:pt>
                <c:pt idx="2924">
                  <c:v>806.36671000000001</c:v>
                </c:pt>
                <c:pt idx="2925">
                  <c:v>806.36808000000008</c:v>
                </c:pt>
                <c:pt idx="2926">
                  <c:v>806.36945000000003</c:v>
                </c:pt>
                <c:pt idx="2927">
                  <c:v>806.37082000000009</c:v>
                </c:pt>
                <c:pt idx="2928">
                  <c:v>806.37219000000005</c:v>
                </c:pt>
                <c:pt idx="2929">
                  <c:v>806.38178000000005</c:v>
                </c:pt>
                <c:pt idx="2930">
                  <c:v>806.38314000000003</c:v>
                </c:pt>
                <c:pt idx="2931">
                  <c:v>806.38451000000009</c:v>
                </c:pt>
                <c:pt idx="2932">
                  <c:v>806.38588000000004</c:v>
                </c:pt>
                <c:pt idx="2933">
                  <c:v>806.38725000000011</c:v>
                </c:pt>
                <c:pt idx="2934">
                  <c:v>806.38862000000006</c:v>
                </c:pt>
                <c:pt idx="2935">
                  <c:v>806.38999000000001</c:v>
                </c:pt>
                <c:pt idx="2936">
                  <c:v>806.39136000000008</c:v>
                </c:pt>
                <c:pt idx="2937">
                  <c:v>806.39273000000003</c:v>
                </c:pt>
                <c:pt idx="2938">
                  <c:v>806.39410000000009</c:v>
                </c:pt>
                <c:pt idx="2939">
                  <c:v>806.39547000000005</c:v>
                </c:pt>
                <c:pt idx="2940">
                  <c:v>806.40642000000003</c:v>
                </c:pt>
                <c:pt idx="2941">
                  <c:v>806.40779000000009</c:v>
                </c:pt>
                <c:pt idx="2942">
                  <c:v>806.40916000000004</c:v>
                </c:pt>
                <c:pt idx="2943">
                  <c:v>806.41053000000011</c:v>
                </c:pt>
                <c:pt idx="2944">
                  <c:v>806.41190000000006</c:v>
                </c:pt>
                <c:pt idx="2945">
                  <c:v>806.41327000000001</c:v>
                </c:pt>
                <c:pt idx="2946">
                  <c:v>806.41464000000008</c:v>
                </c:pt>
                <c:pt idx="2947">
                  <c:v>806.41601000000003</c:v>
                </c:pt>
                <c:pt idx="2948">
                  <c:v>806.41738000000009</c:v>
                </c:pt>
                <c:pt idx="2949">
                  <c:v>806.41875000000005</c:v>
                </c:pt>
                <c:pt idx="2950">
                  <c:v>806.42012000000011</c:v>
                </c:pt>
                <c:pt idx="2951">
                  <c:v>806.43109000000004</c:v>
                </c:pt>
                <c:pt idx="2952">
                  <c:v>806.43246000000011</c:v>
                </c:pt>
                <c:pt idx="2953">
                  <c:v>806.43383000000006</c:v>
                </c:pt>
                <c:pt idx="2954">
                  <c:v>806.43520000000012</c:v>
                </c:pt>
                <c:pt idx="2955">
                  <c:v>806.43657000000007</c:v>
                </c:pt>
                <c:pt idx="2956">
                  <c:v>806.43794000000003</c:v>
                </c:pt>
                <c:pt idx="2957">
                  <c:v>806.43931000000009</c:v>
                </c:pt>
                <c:pt idx="2958">
                  <c:v>806.44068000000004</c:v>
                </c:pt>
                <c:pt idx="2959">
                  <c:v>806.44205000000011</c:v>
                </c:pt>
                <c:pt idx="2960">
                  <c:v>806.44342000000006</c:v>
                </c:pt>
                <c:pt idx="2961">
                  <c:v>806.44479000000001</c:v>
                </c:pt>
                <c:pt idx="2962">
                  <c:v>806.44616000000008</c:v>
                </c:pt>
                <c:pt idx="2963">
                  <c:v>806.44753000000003</c:v>
                </c:pt>
                <c:pt idx="2964">
                  <c:v>806.45711000000006</c:v>
                </c:pt>
                <c:pt idx="2965">
                  <c:v>806.45848000000012</c:v>
                </c:pt>
                <c:pt idx="2966">
                  <c:v>806.45985000000007</c:v>
                </c:pt>
                <c:pt idx="2967">
                  <c:v>806.46122000000003</c:v>
                </c:pt>
                <c:pt idx="2968">
                  <c:v>806.46259000000009</c:v>
                </c:pt>
                <c:pt idx="2969">
                  <c:v>806.46396000000004</c:v>
                </c:pt>
                <c:pt idx="2970">
                  <c:v>806.46533000000011</c:v>
                </c:pt>
                <c:pt idx="2971">
                  <c:v>806.46670000000006</c:v>
                </c:pt>
                <c:pt idx="2972">
                  <c:v>806.46807000000001</c:v>
                </c:pt>
                <c:pt idx="2973">
                  <c:v>806.46944000000008</c:v>
                </c:pt>
                <c:pt idx="2974">
                  <c:v>806.47081000000003</c:v>
                </c:pt>
                <c:pt idx="2975">
                  <c:v>806.47218000000009</c:v>
                </c:pt>
                <c:pt idx="2976">
                  <c:v>806.47355000000005</c:v>
                </c:pt>
                <c:pt idx="2977">
                  <c:v>806.48313000000007</c:v>
                </c:pt>
                <c:pt idx="2978">
                  <c:v>806.48450000000003</c:v>
                </c:pt>
                <c:pt idx="2979">
                  <c:v>806.48586000000012</c:v>
                </c:pt>
                <c:pt idx="2980">
                  <c:v>806.48723000000007</c:v>
                </c:pt>
                <c:pt idx="2981">
                  <c:v>806.48860000000002</c:v>
                </c:pt>
                <c:pt idx="2982">
                  <c:v>806.48996000000011</c:v>
                </c:pt>
                <c:pt idx="2983">
                  <c:v>806.49133000000006</c:v>
                </c:pt>
                <c:pt idx="2984">
                  <c:v>806.49269000000004</c:v>
                </c:pt>
                <c:pt idx="2985">
                  <c:v>806.49405000000002</c:v>
                </c:pt>
                <c:pt idx="2986">
                  <c:v>806.49542000000008</c:v>
                </c:pt>
                <c:pt idx="2987">
                  <c:v>806.49679000000003</c:v>
                </c:pt>
                <c:pt idx="2988">
                  <c:v>806.49815000000001</c:v>
                </c:pt>
                <c:pt idx="2989">
                  <c:v>806.49952000000008</c:v>
                </c:pt>
                <c:pt idx="2990">
                  <c:v>806.50909000000001</c:v>
                </c:pt>
                <c:pt idx="2991">
                  <c:v>806.51045000000011</c:v>
                </c:pt>
                <c:pt idx="2992">
                  <c:v>806.51182000000006</c:v>
                </c:pt>
                <c:pt idx="2993">
                  <c:v>806.51319000000012</c:v>
                </c:pt>
                <c:pt idx="2994">
                  <c:v>806.5145500000001</c:v>
                </c:pt>
                <c:pt idx="2995">
                  <c:v>806.51592000000005</c:v>
                </c:pt>
                <c:pt idx="2996">
                  <c:v>806.51729000000012</c:v>
                </c:pt>
                <c:pt idx="2997">
                  <c:v>806.51865000000009</c:v>
                </c:pt>
                <c:pt idx="2998">
                  <c:v>806.52002000000005</c:v>
                </c:pt>
                <c:pt idx="2999">
                  <c:v>806.52139000000011</c:v>
                </c:pt>
                <c:pt idx="3000">
                  <c:v>806.52275000000009</c:v>
                </c:pt>
                <c:pt idx="3001">
                  <c:v>806.52412000000004</c:v>
                </c:pt>
                <c:pt idx="3002">
                  <c:v>806.53506000000004</c:v>
                </c:pt>
                <c:pt idx="3003">
                  <c:v>806.53643000000011</c:v>
                </c:pt>
                <c:pt idx="3004">
                  <c:v>806.53780000000006</c:v>
                </c:pt>
                <c:pt idx="3005">
                  <c:v>806.53916000000004</c:v>
                </c:pt>
                <c:pt idx="3006">
                  <c:v>806.5405300000001</c:v>
                </c:pt>
                <c:pt idx="3007">
                  <c:v>806.54190000000006</c:v>
                </c:pt>
                <c:pt idx="3008">
                  <c:v>806.54326000000003</c:v>
                </c:pt>
                <c:pt idx="3009">
                  <c:v>806.5446300000001</c:v>
                </c:pt>
                <c:pt idx="3010">
                  <c:v>806.54600000000005</c:v>
                </c:pt>
                <c:pt idx="3011">
                  <c:v>806.54736000000003</c:v>
                </c:pt>
                <c:pt idx="3012">
                  <c:v>806.54873000000009</c:v>
                </c:pt>
                <c:pt idx="3013">
                  <c:v>806.55010000000004</c:v>
                </c:pt>
                <c:pt idx="3014">
                  <c:v>806.55966000000012</c:v>
                </c:pt>
                <c:pt idx="3015">
                  <c:v>806.56240000000003</c:v>
                </c:pt>
                <c:pt idx="3016">
                  <c:v>806.56377000000009</c:v>
                </c:pt>
                <c:pt idx="3017">
                  <c:v>806.56514000000004</c:v>
                </c:pt>
                <c:pt idx="3018">
                  <c:v>806.56651000000011</c:v>
                </c:pt>
                <c:pt idx="3019">
                  <c:v>806.56787000000008</c:v>
                </c:pt>
                <c:pt idx="3020">
                  <c:v>806.56924000000004</c:v>
                </c:pt>
                <c:pt idx="3021">
                  <c:v>806.5706100000001</c:v>
                </c:pt>
                <c:pt idx="3022">
                  <c:v>806.57197000000008</c:v>
                </c:pt>
                <c:pt idx="3023">
                  <c:v>806.57334000000003</c:v>
                </c:pt>
                <c:pt idx="3024">
                  <c:v>806.5747100000001</c:v>
                </c:pt>
                <c:pt idx="3025">
                  <c:v>806.58566000000008</c:v>
                </c:pt>
                <c:pt idx="3026">
                  <c:v>806.58703000000003</c:v>
                </c:pt>
                <c:pt idx="3027">
                  <c:v>806.58840000000009</c:v>
                </c:pt>
                <c:pt idx="3028">
                  <c:v>806.58977000000004</c:v>
                </c:pt>
                <c:pt idx="3029">
                  <c:v>806.59114000000011</c:v>
                </c:pt>
                <c:pt idx="3030">
                  <c:v>806.59251000000006</c:v>
                </c:pt>
                <c:pt idx="3031">
                  <c:v>806.59388000000001</c:v>
                </c:pt>
                <c:pt idx="3032">
                  <c:v>806.59525000000008</c:v>
                </c:pt>
                <c:pt idx="3033">
                  <c:v>806.59662000000003</c:v>
                </c:pt>
                <c:pt idx="3034">
                  <c:v>806.5979900000001</c:v>
                </c:pt>
                <c:pt idx="3035">
                  <c:v>806.59936000000005</c:v>
                </c:pt>
                <c:pt idx="3036">
                  <c:v>806.60073000000011</c:v>
                </c:pt>
                <c:pt idx="3037">
                  <c:v>806.61169000000007</c:v>
                </c:pt>
                <c:pt idx="3038">
                  <c:v>806.61305000000004</c:v>
                </c:pt>
                <c:pt idx="3039">
                  <c:v>806.61442000000011</c:v>
                </c:pt>
                <c:pt idx="3040">
                  <c:v>806.61579000000006</c:v>
                </c:pt>
                <c:pt idx="3041">
                  <c:v>806.61716000000001</c:v>
                </c:pt>
                <c:pt idx="3042">
                  <c:v>806.61853000000008</c:v>
                </c:pt>
                <c:pt idx="3043">
                  <c:v>806.61990000000003</c:v>
                </c:pt>
                <c:pt idx="3044">
                  <c:v>806.6212700000001</c:v>
                </c:pt>
                <c:pt idx="3045">
                  <c:v>806.62264000000005</c:v>
                </c:pt>
                <c:pt idx="3046">
                  <c:v>806.62401000000011</c:v>
                </c:pt>
                <c:pt idx="3047">
                  <c:v>806.62538000000006</c:v>
                </c:pt>
                <c:pt idx="3048">
                  <c:v>806.62675000000002</c:v>
                </c:pt>
                <c:pt idx="3049">
                  <c:v>806.63770000000011</c:v>
                </c:pt>
                <c:pt idx="3050">
                  <c:v>806.63906000000009</c:v>
                </c:pt>
                <c:pt idx="3051">
                  <c:v>806.64043000000004</c:v>
                </c:pt>
                <c:pt idx="3052">
                  <c:v>806.6418000000001</c:v>
                </c:pt>
                <c:pt idx="3053">
                  <c:v>806.64316000000008</c:v>
                </c:pt>
                <c:pt idx="3054">
                  <c:v>806.64453000000003</c:v>
                </c:pt>
                <c:pt idx="3055">
                  <c:v>806.6459000000001</c:v>
                </c:pt>
                <c:pt idx="3056">
                  <c:v>806.64726000000007</c:v>
                </c:pt>
                <c:pt idx="3057">
                  <c:v>806.64863000000003</c:v>
                </c:pt>
                <c:pt idx="3058">
                  <c:v>806.64999000000012</c:v>
                </c:pt>
                <c:pt idx="3059">
                  <c:v>806.65135000000009</c:v>
                </c:pt>
                <c:pt idx="3060">
                  <c:v>806.65272000000004</c:v>
                </c:pt>
                <c:pt idx="3061">
                  <c:v>806.66365000000008</c:v>
                </c:pt>
                <c:pt idx="3062">
                  <c:v>806.66502000000003</c:v>
                </c:pt>
                <c:pt idx="3063">
                  <c:v>806.66639000000009</c:v>
                </c:pt>
                <c:pt idx="3064">
                  <c:v>806.66775000000007</c:v>
                </c:pt>
                <c:pt idx="3065">
                  <c:v>806.66912000000002</c:v>
                </c:pt>
                <c:pt idx="3066">
                  <c:v>806.67049000000009</c:v>
                </c:pt>
                <c:pt idx="3067">
                  <c:v>806.67185000000006</c:v>
                </c:pt>
                <c:pt idx="3068">
                  <c:v>806.67322000000001</c:v>
                </c:pt>
                <c:pt idx="3069">
                  <c:v>806.67459000000008</c:v>
                </c:pt>
                <c:pt idx="3070">
                  <c:v>806.67595000000006</c:v>
                </c:pt>
                <c:pt idx="3071">
                  <c:v>806.67732000000012</c:v>
                </c:pt>
                <c:pt idx="3072">
                  <c:v>806.67869000000007</c:v>
                </c:pt>
                <c:pt idx="3073">
                  <c:v>806.68825000000004</c:v>
                </c:pt>
                <c:pt idx="3074">
                  <c:v>806.6896200000001</c:v>
                </c:pt>
                <c:pt idx="3075">
                  <c:v>806.69099000000006</c:v>
                </c:pt>
                <c:pt idx="3076">
                  <c:v>806.69235000000003</c:v>
                </c:pt>
                <c:pt idx="3077">
                  <c:v>806.6937200000001</c:v>
                </c:pt>
                <c:pt idx="3078">
                  <c:v>806.69509000000005</c:v>
                </c:pt>
                <c:pt idx="3079">
                  <c:v>806.69646000000012</c:v>
                </c:pt>
                <c:pt idx="3080">
                  <c:v>806.69783000000007</c:v>
                </c:pt>
                <c:pt idx="3081">
                  <c:v>806.69920000000002</c:v>
                </c:pt>
                <c:pt idx="3082">
                  <c:v>806.70056000000011</c:v>
                </c:pt>
                <c:pt idx="3083">
                  <c:v>806.70192000000009</c:v>
                </c:pt>
                <c:pt idx="3084">
                  <c:v>806.70328000000006</c:v>
                </c:pt>
                <c:pt idx="3085">
                  <c:v>806.70465000000002</c:v>
                </c:pt>
                <c:pt idx="3086">
                  <c:v>806.71558000000005</c:v>
                </c:pt>
                <c:pt idx="3087">
                  <c:v>806.71695000000011</c:v>
                </c:pt>
                <c:pt idx="3088">
                  <c:v>806.71832000000006</c:v>
                </c:pt>
                <c:pt idx="3089">
                  <c:v>806.71969000000001</c:v>
                </c:pt>
                <c:pt idx="3090">
                  <c:v>806.7210500000001</c:v>
                </c:pt>
                <c:pt idx="3091">
                  <c:v>806.72241000000008</c:v>
                </c:pt>
                <c:pt idx="3092">
                  <c:v>806.72377000000006</c:v>
                </c:pt>
                <c:pt idx="3093">
                  <c:v>806.72514000000001</c:v>
                </c:pt>
                <c:pt idx="3094">
                  <c:v>806.72651000000008</c:v>
                </c:pt>
                <c:pt idx="3095">
                  <c:v>806.72788000000003</c:v>
                </c:pt>
                <c:pt idx="3096">
                  <c:v>806.72925000000009</c:v>
                </c:pt>
                <c:pt idx="3097">
                  <c:v>806.73061000000007</c:v>
                </c:pt>
                <c:pt idx="3098">
                  <c:v>806.73197000000005</c:v>
                </c:pt>
                <c:pt idx="3099">
                  <c:v>806.74290000000008</c:v>
                </c:pt>
                <c:pt idx="3100">
                  <c:v>806.74426000000005</c:v>
                </c:pt>
                <c:pt idx="3101">
                  <c:v>806.74562000000003</c:v>
                </c:pt>
                <c:pt idx="3102">
                  <c:v>806.7469900000001</c:v>
                </c:pt>
                <c:pt idx="3103">
                  <c:v>806.74836000000005</c:v>
                </c:pt>
                <c:pt idx="3104">
                  <c:v>806.74973000000011</c:v>
                </c:pt>
                <c:pt idx="3105">
                  <c:v>806.75110000000006</c:v>
                </c:pt>
                <c:pt idx="3106">
                  <c:v>806.75246000000004</c:v>
                </c:pt>
                <c:pt idx="3107">
                  <c:v>806.75382000000002</c:v>
                </c:pt>
                <c:pt idx="3108">
                  <c:v>806.75518000000011</c:v>
                </c:pt>
                <c:pt idx="3109">
                  <c:v>806.75655000000006</c:v>
                </c:pt>
                <c:pt idx="3110">
                  <c:v>806.75792000000001</c:v>
                </c:pt>
                <c:pt idx="3111">
                  <c:v>806.75929000000008</c:v>
                </c:pt>
                <c:pt idx="3112">
                  <c:v>806.77022000000011</c:v>
                </c:pt>
                <c:pt idx="3113">
                  <c:v>806.77159000000006</c:v>
                </c:pt>
                <c:pt idx="3114">
                  <c:v>806.77296000000001</c:v>
                </c:pt>
                <c:pt idx="3115">
                  <c:v>806.7743200000001</c:v>
                </c:pt>
                <c:pt idx="3116">
                  <c:v>806.77568000000008</c:v>
                </c:pt>
                <c:pt idx="3117">
                  <c:v>806.77704000000006</c:v>
                </c:pt>
                <c:pt idx="3118">
                  <c:v>806.77841000000012</c:v>
                </c:pt>
                <c:pt idx="3119">
                  <c:v>806.77978000000007</c:v>
                </c:pt>
                <c:pt idx="3120">
                  <c:v>806.78115000000003</c:v>
                </c:pt>
                <c:pt idx="3121">
                  <c:v>806.78252000000009</c:v>
                </c:pt>
                <c:pt idx="3122">
                  <c:v>806.78388000000007</c:v>
                </c:pt>
                <c:pt idx="3123">
                  <c:v>806.78524000000004</c:v>
                </c:pt>
                <c:pt idx="3124">
                  <c:v>806.78660000000002</c:v>
                </c:pt>
                <c:pt idx="3125">
                  <c:v>806.79753000000005</c:v>
                </c:pt>
                <c:pt idx="3126">
                  <c:v>806.79890000000012</c:v>
                </c:pt>
                <c:pt idx="3127">
                  <c:v>806.80027000000007</c:v>
                </c:pt>
                <c:pt idx="3128">
                  <c:v>806.80164000000002</c:v>
                </c:pt>
                <c:pt idx="3129">
                  <c:v>806.80301000000009</c:v>
                </c:pt>
                <c:pt idx="3130">
                  <c:v>806.80438000000004</c:v>
                </c:pt>
                <c:pt idx="3131">
                  <c:v>806.80574000000001</c:v>
                </c:pt>
                <c:pt idx="3132">
                  <c:v>806.80847000000006</c:v>
                </c:pt>
                <c:pt idx="3133">
                  <c:v>806.8098500000001</c:v>
                </c:pt>
                <c:pt idx="3134">
                  <c:v>806.81122000000005</c:v>
                </c:pt>
                <c:pt idx="3135">
                  <c:v>806.81259000000011</c:v>
                </c:pt>
                <c:pt idx="3136">
                  <c:v>806.81396000000007</c:v>
                </c:pt>
                <c:pt idx="3137">
                  <c:v>806.82488000000012</c:v>
                </c:pt>
                <c:pt idx="3138">
                  <c:v>806.8262400000001</c:v>
                </c:pt>
                <c:pt idx="3139">
                  <c:v>806.82760000000007</c:v>
                </c:pt>
                <c:pt idx="3140">
                  <c:v>806.82896000000005</c:v>
                </c:pt>
                <c:pt idx="3141">
                  <c:v>806.83033000000012</c:v>
                </c:pt>
                <c:pt idx="3142">
                  <c:v>806.83170000000007</c:v>
                </c:pt>
                <c:pt idx="3143">
                  <c:v>806.83307000000002</c:v>
                </c:pt>
                <c:pt idx="3144">
                  <c:v>806.83444000000009</c:v>
                </c:pt>
                <c:pt idx="3145">
                  <c:v>806.83581000000004</c:v>
                </c:pt>
                <c:pt idx="3146">
                  <c:v>806.83717000000001</c:v>
                </c:pt>
                <c:pt idx="3147">
                  <c:v>806.83853000000011</c:v>
                </c:pt>
                <c:pt idx="3148">
                  <c:v>806.83989000000008</c:v>
                </c:pt>
                <c:pt idx="3149">
                  <c:v>806.84126000000003</c:v>
                </c:pt>
                <c:pt idx="3150">
                  <c:v>806.8426300000001</c:v>
                </c:pt>
                <c:pt idx="3151">
                  <c:v>806.85356000000002</c:v>
                </c:pt>
                <c:pt idx="3152">
                  <c:v>806.85493000000008</c:v>
                </c:pt>
                <c:pt idx="3153">
                  <c:v>806.85630000000003</c:v>
                </c:pt>
                <c:pt idx="3154">
                  <c:v>806.85766000000001</c:v>
                </c:pt>
                <c:pt idx="3155">
                  <c:v>806.8590200000001</c:v>
                </c:pt>
                <c:pt idx="3156">
                  <c:v>806.86038000000008</c:v>
                </c:pt>
                <c:pt idx="3157">
                  <c:v>806.86174000000005</c:v>
                </c:pt>
                <c:pt idx="3158">
                  <c:v>806.86310000000003</c:v>
                </c:pt>
                <c:pt idx="3159">
                  <c:v>806.86446000000012</c:v>
                </c:pt>
                <c:pt idx="3160">
                  <c:v>806.8658200000001</c:v>
                </c:pt>
                <c:pt idx="3161">
                  <c:v>806.86719000000005</c:v>
                </c:pt>
                <c:pt idx="3162">
                  <c:v>806.86856000000012</c:v>
                </c:pt>
                <c:pt idx="3163">
                  <c:v>806.86993000000007</c:v>
                </c:pt>
                <c:pt idx="3164">
                  <c:v>806.87130000000002</c:v>
                </c:pt>
                <c:pt idx="3165">
                  <c:v>806.88220000000001</c:v>
                </c:pt>
                <c:pt idx="3166">
                  <c:v>806.8835600000001</c:v>
                </c:pt>
                <c:pt idx="3167">
                  <c:v>806.88492000000008</c:v>
                </c:pt>
                <c:pt idx="3168">
                  <c:v>806.88628000000006</c:v>
                </c:pt>
                <c:pt idx="3169">
                  <c:v>806.88765000000012</c:v>
                </c:pt>
                <c:pt idx="3170">
                  <c:v>806.8890100000001</c:v>
                </c:pt>
                <c:pt idx="3171">
                  <c:v>806.89038000000005</c:v>
                </c:pt>
                <c:pt idx="3172">
                  <c:v>806.89175000000012</c:v>
                </c:pt>
                <c:pt idx="3173">
                  <c:v>806.89312000000007</c:v>
                </c:pt>
                <c:pt idx="3174">
                  <c:v>806.89449000000002</c:v>
                </c:pt>
                <c:pt idx="3175">
                  <c:v>806.89585000000011</c:v>
                </c:pt>
                <c:pt idx="3176">
                  <c:v>806.89721000000009</c:v>
                </c:pt>
                <c:pt idx="3177">
                  <c:v>806.89857000000006</c:v>
                </c:pt>
                <c:pt idx="3178">
                  <c:v>806.89993000000004</c:v>
                </c:pt>
                <c:pt idx="3179">
                  <c:v>806.90129000000002</c:v>
                </c:pt>
                <c:pt idx="3180">
                  <c:v>806.91360000000009</c:v>
                </c:pt>
                <c:pt idx="3181">
                  <c:v>806.91496000000006</c:v>
                </c:pt>
                <c:pt idx="3182">
                  <c:v>806.91632000000004</c:v>
                </c:pt>
                <c:pt idx="3183">
                  <c:v>806.91768000000002</c:v>
                </c:pt>
                <c:pt idx="3184">
                  <c:v>806.91904000000011</c:v>
                </c:pt>
                <c:pt idx="3185">
                  <c:v>806.92040000000009</c:v>
                </c:pt>
                <c:pt idx="3186">
                  <c:v>806.92176000000006</c:v>
                </c:pt>
                <c:pt idx="3187">
                  <c:v>806.92312000000004</c:v>
                </c:pt>
                <c:pt idx="3188">
                  <c:v>806.92448000000002</c:v>
                </c:pt>
                <c:pt idx="3189">
                  <c:v>806.92584000000011</c:v>
                </c:pt>
                <c:pt idx="3190">
                  <c:v>806.92721000000006</c:v>
                </c:pt>
                <c:pt idx="3191">
                  <c:v>806.92858000000001</c:v>
                </c:pt>
                <c:pt idx="3192">
                  <c:v>806.92995000000008</c:v>
                </c:pt>
                <c:pt idx="3193">
                  <c:v>806.93132000000003</c:v>
                </c:pt>
                <c:pt idx="3194">
                  <c:v>806.94357000000002</c:v>
                </c:pt>
                <c:pt idx="3195">
                  <c:v>806.94493000000011</c:v>
                </c:pt>
                <c:pt idx="3196">
                  <c:v>806.94630000000006</c:v>
                </c:pt>
                <c:pt idx="3197">
                  <c:v>806.94767000000002</c:v>
                </c:pt>
                <c:pt idx="3198">
                  <c:v>806.94904000000008</c:v>
                </c:pt>
                <c:pt idx="3199">
                  <c:v>806.95041000000003</c:v>
                </c:pt>
                <c:pt idx="3200">
                  <c:v>806.9517800000001</c:v>
                </c:pt>
                <c:pt idx="3201">
                  <c:v>806.95315000000005</c:v>
                </c:pt>
                <c:pt idx="3202">
                  <c:v>806.95451000000003</c:v>
                </c:pt>
                <c:pt idx="3203">
                  <c:v>806.95587000000012</c:v>
                </c:pt>
                <c:pt idx="3204">
                  <c:v>806.9572300000001</c:v>
                </c:pt>
                <c:pt idx="3205">
                  <c:v>806.95859000000007</c:v>
                </c:pt>
                <c:pt idx="3206">
                  <c:v>806.95995000000005</c:v>
                </c:pt>
                <c:pt idx="3207">
                  <c:v>806.96131000000003</c:v>
                </c:pt>
                <c:pt idx="3208">
                  <c:v>806.97358000000008</c:v>
                </c:pt>
                <c:pt idx="3209">
                  <c:v>806.97494000000006</c:v>
                </c:pt>
                <c:pt idx="3210">
                  <c:v>806.97630000000004</c:v>
                </c:pt>
                <c:pt idx="3211">
                  <c:v>806.97766000000001</c:v>
                </c:pt>
                <c:pt idx="3212">
                  <c:v>806.97902000000011</c:v>
                </c:pt>
                <c:pt idx="3213">
                  <c:v>806.98038000000008</c:v>
                </c:pt>
                <c:pt idx="3214">
                  <c:v>806.98175000000003</c:v>
                </c:pt>
                <c:pt idx="3215">
                  <c:v>806.98311000000001</c:v>
                </c:pt>
                <c:pt idx="3216">
                  <c:v>806.9844700000001</c:v>
                </c:pt>
                <c:pt idx="3217">
                  <c:v>806.98583000000008</c:v>
                </c:pt>
                <c:pt idx="3218">
                  <c:v>806.98719000000006</c:v>
                </c:pt>
                <c:pt idx="3219">
                  <c:v>806.98855000000003</c:v>
                </c:pt>
                <c:pt idx="3220">
                  <c:v>806.98991000000012</c:v>
                </c:pt>
                <c:pt idx="3221">
                  <c:v>806.9912700000001</c:v>
                </c:pt>
                <c:pt idx="3222">
                  <c:v>806.99264000000005</c:v>
                </c:pt>
                <c:pt idx="3223">
                  <c:v>806.99400000000003</c:v>
                </c:pt>
                <c:pt idx="3224">
                  <c:v>807.00626000000011</c:v>
                </c:pt>
                <c:pt idx="3225">
                  <c:v>807.00763000000006</c:v>
                </c:pt>
                <c:pt idx="3226">
                  <c:v>807.00899000000004</c:v>
                </c:pt>
                <c:pt idx="3227">
                  <c:v>807.01035000000002</c:v>
                </c:pt>
                <c:pt idx="3228">
                  <c:v>807.01171000000011</c:v>
                </c:pt>
                <c:pt idx="3229">
                  <c:v>807.01307000000008</c:v>
                </c:pt>
                <c:pt idx="3230">
                  <c:v>807.01443000000006</c:v>
                </c:pt>
                <c:pt idx="3231">
                  <c:v>807.01579000000004</c:v>
                </c:pt>
                <c:pt idx="3232">
                  <c:v>807.0171600000001</c:v>
                </c:pt>
                <c:pt idx="3233">
                  <c:v>807.01852000000008</c:v>
                </c:pt>
                <c:pt idx="3234">
                  <c:v>807.01988000000006</c:v>
                </c:pt>
                <c:pt idx="3235">
                  <c:v>807.02124000000003</c:v>
                </c:pt>
                <c:pt idx="3236">
                  <c:v>807.0226100000001</c:v>
                </c:pt>
                <c:pt idx="3237">
                  <c:v>807.02397000000008</c:v>
                </c:pt>
                <c:pt idx="3238">
                  <c:v>807.02533000000005</c:v>
                </c:pt>
                <c:pt idx="3239">
                  <c:v>807.03760000000011</c:v>
                </c:pt>
                <c:pt idx="3240">
                  <c:v>807.03896000000009</c:v>
                </c:pt>
                <c:pt idx="3241">
                  <c:v>807.04032000000007</c:v>
                </c:pt>
                <c:pt idx="3242">
                  <c:v>807.04168000000004</c:v>
                </c:pt>
                <c:pt idx="3243">
                  <c:v>807.04305000000011</c:v>
                </c:pt>
                <c:pt idx="3244">
                  <c:v>807.04441000000008</c:v>
                </c:pt>
                <c:pt idx="3245">
                  <c:v>807.04577000000006</c:v>
                </c:pt>
                <c:pt idx="3246">
                  <c:v>807.04713000000004</c:v>
                </c:pt>
                <c:pt idx="3247">
                  <c:v>807.04849000000002</c:v>
                </c:pt>
                <c:pt idx="3248">
                  <c:v>807.04985000000011</c:v>
                </c:pt>
                <c:pt idx="3249">
                  <c:v>807.05121000000008</c:v>
                </c:pt>
                <c:pt idx="3250">
                  <c:v>807.05394000000001</c:v>
                </c:pt>
                <c:pt idx="3251">
                  <c:v>807.05531000000008</c:v>
                </c:pt>
                <c:pt idx="3252">
                  <c:v>807.05667000000005</c:v>
                </c:pt>
                <c:pt idx="3253">
                  <c:v>807.07028000000003</c:v>
                </c:pt>
                <c:pt idx="3254">
                  <c:v>807.07164000000012</c:v>
                </c:pt>
                <c:pt idx="3255">
                  <c:v>807.07300000000009</c:v>
                </c:pt>
                <c:pt idx="3256">
                  <c:v>807.07436000000007</c:v>
                </c:pt>
                <c:pt idx="3257">
                  <c:v>807.07572000000005</c:v>
                </c:pt>
                <c:pt idx="3258">
                  <c:v>807.07708000000002</c:v>
                </c:pt>
                <c:pt idx="3259">
                  <c:v>807.07844000000011</c:v>
                </c:pt>
                <c:pt idx="3260">
                  <c:v>807.07980000000009</c:v>
                </c:pt>
                <c:pt idx="3261">
                  <c:v>807.08116000000007</c:v>
                </c:pt>
                <c:pt idx="3262">
                  <c:v>807.08252000000005</c:v>
                </c:pt>
                <c:pt idx="3263">
                  <c:v>807.08388000000002</c:v>
                </c:pt>
                <c:pt idx="3264">
                  <c:v>807.08524000000011</c:v>
                </c:pt>
                <c:pt idx="3265">
                  <c:v>807.08660000000009</c:v>
                </c:pt>
                <c:pt idx="3266">
                  <c:v>807.08796000000007</c:v>
                </c:pt>
                <c:pt idx="3267">
                  <c:v>807.08932000000004</c:v>
                </c:pt>
                <c:pt idx="3268">
                  <c:v>807.09068000000002</c:v>
                </c:pt>
                <c:pt idx="3269">
                  <c:v>807.10428000000002</c:v>
                </c:pt>
                <c:pt idx="3270">
                  <c:v>807.10564000000011</c:v>
                </c:pt>
                <c:pt idx="3271">
                  <c:v>807.10700000000008</c:v>
                </c:pt>
                <c:pt idx="3272">
                  <c:v>807.10836000000006</c:v>
                </c:pt>
                <c:pt idx="3273">
                  <c:v>807.10972000000004</c:v>
                </c:pt>
                <c:pt idx="3274">
                  <c:v>807.11108000000002</c:v>
                </c:pt>
                <c:pt idx="3275">
                  <c:v>807.11244000000011</c:v>
                </c:pt>
                <c:pt idx="3276">
                  <c:v>807.11380000000008</c:v>
                </c:pt>
                <c:pt idx="3277">
                  <c:v>807.11516000000006</c:v>
                </c:pt>
                <c:pt idx="3278">
                  <c:v>807.11652000000004</c:v>
                </c:pt>
                <c:pt idx="3279">
                  <c:v>807.11788000000001</c:v>
                </c:pt>
                <c:pt idx="3280">
                  <c:v>807.1192400000001</c:v>
                </c:pt>
                <c:pt idx="3281">
                  <c:v>807.12060000000008</c:v>
                </c:pt>
                <c:pt idx="3282">
                  <c:v>807.12196000000006</c:v>
                </c:pt>
                <c:pt idx="3283">
                  <c:v>807.12332000000004</c:v>
                </c:pt>
                <c:pt idx="3284">
                  <c:v>807.12468000000001</c:v>
                </c:pt>
                <c:pt idx="3285">
                  <c:v>807.13828000000012</c:v>
                </c:pt>
                <c:pt idx="3286">
                  <c:v>807.1396400000001</c:v>
                </c:pt>
                <c:pt idx="3287">
                  <c:v>807.14100000000008</c:v>
                </c:pt>
                <c:pt idx="3288">
                  <c:v>807.14236000000005</c:v>
                </c:pt>
                <c:pt idx="3289">
                  <c:v>807.14372000000003</c:v>
                </c:pt>
                <c:pt idx="3290">
                  <c:v>807.14508000000012</c:v>
                </c:pt>
                <c:pt idx="3291">
                  <c:v>807.1464400000001</c:v>
                </c:pt>
                <c:pt idx="3292">
                  <c:v>807.14780000000007</c:v>
                </c:pt>
                <c:pt idx="3293">
                  <c:v>807.14916000000005</c:v>
                </c:pt>
                <c:pt idx="3294">
                  <c:v>807.15052000000003</c:v>
                </c:pt>
                <c:pt idx="3295">
                  <c:v>807.15188000000012</c:v>
                </c:pt>
                <c:pt idx="3296">
                  <c:v>807.1532400000001</c:v>
                </c:pt>
                <c:pt idx="3297">
                  <c:v>807.15460000000007</c:v>
                </c:pt>
                <c:pt idx="3298">
                  <c:v>807.15596000000005</c:v>
                </c:pt>
                <c:pt idx="3299">
                  <c:v>807.15732000000003</c:v>
                </c:pt>
                <c:pt idx="3300">
                  <c:v>807.15868000000012</c:v>
                </c:pt>
                <c:pt idx="3301">
                  <c:v>807.17092000000002</c:v>
                </c:pt>
                <c:pt idx="3302">
                  <c:v>807.17228000000011</c:v>
                </c:pt>
                <c:pt idx="3303">
                  <c:v>807.17364000000009</c:v>
                </c:pt>
                <c:pt idx="3304">
                  <c:v>807.17499000000009</c:v>
                </c:pt>
                <c:pt idx="3305">
                  <c:v>807.17635000000007</c:v>
                </c:pt>
                <c:pt idx="3306">
                  <c:v>807.17771000000005</c:v>
                </c:pt>
                <c:pt idx="3307">
                  <c:v>807.17906000000005</c:v>
                </c:pt>
                <c:pt idx="3308">
                  <c:v>807.18042000000003</c:v>
                </c:pt>
                <c:pt idx="3309">
                  <c:v>807.18178000000012</c:v>
                </c:pt>
                <c:pt idx="3310">
                  <c:v>807.18313000000012</c:v>
                </c:pt>
                <c:pt idx="3311">
                  <c:v>807.1844900000001</c:v>
                </c:pt>
                <c:pt idx="3312">
                  <c:v>807.18585000000007</c:v>
                </c:pt>
                <c:pt idx="3313">
                  <c:v>807.18720000000008</c:v>
                </c:pt>
                <c:pt idx="3314">
                  <c:v>807.18856000000005</c:v>
                </c:pt>
                <c:pt idx="3315">
                  <c:v>807.18992000000003</c:v>
                </c:pt>
                <c:pt idx="3316">
                  <c:v>807.19127000000003</c:v>
                </c:pt>
                <c:pt idx="3317">
                  <c:v>807.20620000000008</c:v>
                </c:pt>
                <c:pt idx="3318">
                  <c:v>807.20755000000008</c:v>
                </c:pt>
                <c:pt idx="3319">
                  <c:v>807.20891000000006</c:v>
                </c:pt>
                <c:pt idx="3320">
                  <c:v>807.21027000000004</c:v>
                </c:pt>
                <c:pt idx="3321">
                  <c:v>807.21162000000004</c:v>
                </c:pt>
                <c:pt idx="3322">
                  <c:v>807.21298000000002</c:v>
                </c:pt>
                <c:pt idx="3323">
                  <c:v>807.21434000000011</c:v>
                </c:pt>
                <c:pt idx="3324">
                  <c:v>807.21569000000011</c:v>
                </c:pt>
                <c:pt idx="3325">
                  <c:v>807.21705000000009</c:v>
                </c:pt>
                <c:pt idx="3326">
                  <c:v>807.21841000000006</c:v>
                </c:pt>
                <c:pt idx="3327">
                  <c:v>807.21976000000006</c:v>
                </c:pt>
                <c:pt idx="3328">
                  <c:v>807.22112000000004</c:v>
                </c:pt>
                <c:pt idx="3329">
                  <c:v>807.22248000000002</c:v>
                </c:pt>
                <c:pt idx="3330">
                  <c:v>807.22383000000002</c:v>
                </c:pt>
                <c:pt idx="3331">
                  <c:v>807.22519000000011</c:v>
                </c:pt>
                <c:pt idx="3332">
                  <c:v>807.22655000000009</c:v>
                </c:pt>
                <c:pt idx="3333">
                  <c:v>807.24012000000005</c:v>
                </c:pt>
                <c:pt idx="3334">
                  <c:v>807.24148000000002</c:v>
                </c:pt>
                <c:pt idx="3335">
                  <c:v>807.24284000000011</c:v>
                </c:pt>
                <c:pt idx="3336">
                  <c:v>807.24419000000012</c:v>
                </c:pt>
                <c:pt idx="3337">
                  <c:v>807.24555000000009</c:v>
                </c:pt>
                <c:pt idx="3338">
                  <c:v>807.24691000000007</c:v>
                </c:pt>
                <c:pt idx="3339">
                  <c:v>807.24827000000005</c:v>
                </c:pt>
                <c:pt idx="3340">
                  <c:v>807.24963000000002</c:v>
                </c:pt>
                <c:pt idx="3341">
                  <c:v>807.25099000000012</c:v>
                </c:pt>
                <c:pt idx="3342">
                  <c:v>807.25235000000009</c:v>
                </c:pt>
                <c:pt idx="3343">
                  <c:v>807.25371000000007</c:v>
                </c:pt>
                <c:pt idx="3344">
                  <c:v>807.25507000000005</c:v>
                </c:pt>
                <c:pt idx="3345">
                  <c:v>807.25643000000002</c:v>
                </c:pt>
                <c:pt idx="3346">
                  <c:v>807.25779000000011</c:v>
                </c:pt>
                <c:pt idx="3347">
                  <c:v>807.25915000000009</c:v>
                </c:pt>
                <c:pt idx="3348">
                  <c:v>807.26051000000007</c:v>
                </c:pt>
                <c:pt idx="3349">
                  <c:v>807.26187000000004</c:v>
                </c:pt>
                <c:pt idx="3350">
                  <c:v>807.27681000000007</c:v>
                </c:pt>
                <c:pt idx="3351">
                  <c:v>807.27817000000005</c:v>
                </c:pt>
                <c:pt idx="3352">
                  <c:v>807.27953000000002</c:v>
                </c:pt>
                <c:pt idx="3353">
                  <c:v>807.28089000000011</c:v>
                </c:pt>
                <c:pt idx="3354">
                  <c:v>807.28225000000009</c:v>
                </c:pt>
                <c:pt idx="3355">
                  <c:v>807.28361000000007</c:v>
                </c:pt>
                <c:pt idx="3356">
                  <c:v>807.28497000000004</c:v>
                </c:pt>
                <c:pt idx="3357">
                  <c:v>807.28632000000005</c:v>
                </c:pt>
                <c:pt idx="3358">
                  <c:v>807.28768000000002</c:v>
                </c:pt>
                <c:pt idx="3359">
                  <c:v>807.28904000000011</c:v>
                </c:pt>
                <c:pt idx="3360">
                  <c:v>807.29040000000009</c:v>
                </c:pt>
                <c:pt idx="3361">
                  <c:v>807.29175000000009</c:v>
                </c:pt>
                <c:pt idx="3362">
                  <c:v>807.29310000000009</c:v>
                </c:pt>
                <c:pt idx="3363">
                  <c:v>807.2944500000001</c:v>
                </c:pt>
                <c:pt idx="3364">
                  <c:v>807.2958000000001</c:v>
                </c:pt>
                <c:pt idx="3365">
                  <c:v>807.31209000000001</c:v>
                </c:pt>
                <c:pt idx="3366">
                  <c:v>807.31344000000001</c:v>
                </c:pt>
                <c:pt idx="3367">
                  <c:v>807.31479000000002</c:v>
                </c:pt>
                <c:pt idx="3368">
                  <c:v>807.31614000000002</c:v>
                </c:pt>
                <c:pt idx="3369">
                  <c:v>807.31749000000002</c:v>
                </c:pt>
                <c:pt idx="3370">
                  <c:v>807.31885000000011</c:v>
                </c:pt>
                <c:pt idx="3371">
                  <c:v>807.32021000000009</c:v>
                </c:pt>
                <c:pt idx="3372">
                  <c:v>807.32157000000007</c:v>
                </c:pt>
                <c:pt idx="3373">
                  <c:v>807.32293000000004</c:v>
                </c:pt>
                <c:pt idx="3374">
                  <c:v>807.32428000000004</c:v>
                </c:pt>
                <c:pt idx="3375">
                  <c:v>807.32563000000005</c:v>
                </c:pt>
                <c:pt idx="3376">
                  <c:v>807.32698000000005</c:v>
                </c:pt>
                <c:pt idx="3377">
                  <c:v>807.32834000000003</c:v>
                </c:pt>
                <c:pt idx="3378">
                  <c:v>807.32970000000012</c:v>
                </c:pt>
                <c:pt idx="3379">
                  <c:v>807.33106000000009</c:v>
                </c:pt>
                <c:pt idx="3380">
                  <c:v>807.33242000000007</c:v>
                </c:pt>
                <c:pt idx="3381">
                  <c:v>807.33378000000005</c:v>
                </c:pt>
                <c:pt idx="3382">
                  <c:v>807.33513000000005</c:v>
                </c:pt>
                <c:pt idx="3383">
                  <c:v>807.33648000000005</c:v>
                </c:pt>
                <c:pt idx="3384">
                  <c:v>807.33783000000005</c:v>
                </c:pt>
                <c:pt idx="3385">
                  <c:v>807.3527600000001</c:v>
                </c:pt>
                <c:pt idx="3386">
                  <c:v>807.35412000000008</c:v>
                </c:pt>
                <c:pt idx="3387">
                  <c:v>807.35547000000008</c:v>
                </c:pt>
                <c:pt idx="3388">
                  <c:v>807.35682000000008</c:v>
                </c:pt>
                <c:pt idx="3389">
                  <c:v>807.35817000000009</c:v>
                </c:pt>
                <c:pt idx="3390">
                  <c:v>807.35953000000006</c:v>
                </c:pt>
                <c:pt idx="3391">
                  <c:v>807.36089000000004</c:v>
                </c:pt>
                <c:pt idx="3392">
                  <c:v>807.36225000000002</c:v>
                </c:pt>
                <c:pt idx="3393">
                  <c:v>807.36361000000011</c:v>
                </c:pt>
                <c:pt idx="3394">
                  <c:v>807.36497000000008</c:v>
                </c:pt>
                <c:pt idx="3395">
                  <c:v>807.36632000000009</c:v>
                </c:pt>
                <c:pt idx="3396">
                  <c:v>807.36767000000009</c:v>
                </c:pt>
                <c:pt idx="3397">
                  <c:v>807.36902000000009</c:v>
                </c:pt>
                <c:pt idx="3398">
                  <c:v>807.37038000000007</c:v>
                </c:pt>
                <c:pt idx="3399">
                  <c:v>807.37174000000005</c:v>
                </c:pt>
                <c:pt idx="3400">
                  <c:v>807.37310000000002</c:v>
                </c:pt>
                <c:pt idx="3401">
                  <c:v>807.37446000000011</c:v>
                </c:pt>
                <c:pt idx="3402">
                  <c:v>807.37581000000011</c:v>
                </c:pt>
                <c:pt idx="3403">
                  <c:v>807.37716000000012</c:v>
                </c:pt>
                <c:pt idx="3404">
                  <c:v>807.39211000000012</c:v>
                </c:pt>
                <c:pt idx="3405">
                  <c:v>807.39347000000009</c:v>
                </c:pt>
                <c:pt idx="3406">
                  <c:v>807.39483000000007</c:v>
                </c:pt>
                <c:pt idx="3407">
                  <c:v>807.39618000000007</c:v>
                </c:pt>
                <c:pt idx="3408">
                  <c:v>807.39753000000007</c:v>
                </c:pt>
                <c:pt idx="3409">
                  <c:v>807.39888000000008</c:v>
                </c:pt>
                <c:pt idx="3410">
                  <c:v>807.40023000000008</c:v>
                </c:pt>
                <c:pt idx="3411">
                  <c:v>807.40158000000008</c:v>
                </c:pt>
                <c:pt idx="3412">
                  <c:v>807.40293000000008</c:v>
                </c:pt>
                <c:pt idx="3413">
                  <c:v>807.40428000000009</c:v>
                </c:pt>
                <c:pt idx="3414">
                  <c:v>807.40563000000009</c:v>
                </c:pt>
                <c:pt idx="3415">
                  <c:v>807.40698000000009</c:v>
                </c:pt>
                <c:pt idx="3416">
                  <c:v>807.40833000000009</c:v>
                </c:pt>
                <c:pt idx="3417">
                  <c:v>807.40969000000007</c:v>
                </c:pt>
                <c:pt idx="3418">
                  <c:v>807.41105000000005</c:v>
                </c:pt>
                <c:pt idx="3419">
                  <c:v>807.41241000000002</c:v>
                </c:pt>
                <c:pt idx="3420">
                  <c:v>807.41377000000011</c:v>
                </c:pt>
                <c:pt idx="3421">
                  <c:v>807.41513000000009</c:v>
                </c:pt>
                <c:pt idx="3422">
                  <c:v>807.41648000000009</c:v>
                </c:pt>
                <c:pt idx="3423">
                  <c:v>807.41783000000009</c:v>
                </c:pt>
                <c:pt idx="3424">
                  <c:v>807.43545000000006</c:v>
                </c:pt>
                <c:pt idx="3425">
                  <c:v>807.43680000000006</c:v>
                </c:pt>
                <c:pt idx="3426">
                  <c:v>807.43815000000006</c:v>
                </c:pt>
                <c:pt idx="3427">
                  <c:v>807.43950000000007</c:v>
                </c:pt>
                <c:pt idx="3428">
                  <c:v>807.44085000000007</c:v>
                </c:pt>
                <c:pt idx="3429">
                  <c:v>807.44220000000007</c:v>
                </c:pt>
                <c:pt idx="3430">
                  <c:v>807.44355000000007</c:v>
                </c:pt>
                <c:pt idx="3431">
                  <c:v>807.44490000000008</c:v>
                </c:pt>
                <c:pt idx="3432">
                  <c:v>807.44625000000008</c:v>
                </c:pt>
                <c:pt idx="3433">
                  <c:v>807.44761000000005</c:v>
                </c:pt>
                <c:pt idx="3434">
                  <c:v>807.44897000000003</c:v>
                </c:pt>
                <c:pt idx="3435">
                  <c:v>807.45033000000012</c:v>
                </c:pt>
                <c:pt idx="3436">
                  <c:v>807.4516900000001</c:v>
                </c:pt>
                <c:pt idx="3437">
                  <c:v>807.45305000000008</c:v>
                </c:pt>
                <c:pt idx="3438">
                  <c:v>807.45441000000005</c:v>
                </c:pt>
                <c:pt idx="3439">
                  <c:v>807.45576000000005</c:v>
                </c:pt>
                <c:pt idx="3440">
                  <c:v>807.45711000000006</c:v>
                </c:pt>
                <c:pt idx="3441">
                  <c:v>807.45846000000006</c:v>
                </c:pt>
                <c:pt idx="3442">
                  <c:v>807.45981000000006</c:v>
                </c:pt>
                <c:pt idx="3443">
                  <c:v>807.47608000000002</c:v>
                </c:pt>
                <c:pt idx="3444">
                  <c:v>807.47743000000003</c:v>
                </c:pt>
                <c:pt idx="3445">
                  <c:v>807.47878000000003</c:v>
                </c:pt>
                <c:pt idx="3446">
                  <c:v>807.48013000000003</c:v>
                </c:pt>
                <c:pt idx="3447">
                  <c:v>807.48148000000003</c:v>
                </c:pt>
                <c:pt idx="3448">
                  <c:v>807.48283000000004</c:v>
                </c:pt>
                <c:pt idx="3449">
                  <c:v>807.48418000000004</c:v>
                </c:pt>
                <c:pt idx="3450">
                  <c:v>807.48553000000004</c:v>
                </c:pt>
                <c:pt idx="3451">
                  <c:v>807.48689000000002</c:v>
                </c:pt>
                <c:pt idx="3452">
                  <c:v>807.48825000000011</c:v>
                </c:pt>
                <c:pt idx="3453">
                  <c:v>807.48961000000008</c:v>
                </c:pt>
                <c:pt idx="3454">
                  <c:v>807.49096000000009</c:v>
                </c:pt>
                <c:pt idx="3455">
                  <c:v>807.49231000000009</c:v>
                </c:pt>
                <c:pt idx="3456">
                  <c:v>807.49366000000009</c:v>
                </c:pt>
                <c:pt idx="3457">
                  <c:v>807.49502000000007</c:v>
                </c:pt>
                <c:pt idx="3458">
                  <c:v>807.49637000000007</c:v>
                </c:pt>
                <c:pt idx="3459">
                  <c:v>807.49772000000007</c:v>
                </c:pt>
                <c:pt idx="3460">
                  <c:v>807.49907000000007</c:v>
                </c:pt>
                <c:pt idx="3461">
                  <c:v>807.50042000000008</c:v>
                </c:pt>
                <c:pt idx="3462">
                  <c:v>807.50177000000008</c:v>
                </c:pt>
                <c:pt idx="3463">
                  <c:v>807.50312000000008</c:v>
                </c:pt>
                <c:pt idx="3464">
                  <c:v>807.52205000000004</c:v>
                </c:pt>
                <c:pt idx="3465">
                  <c:v>807.52340000000004</c:v>
                </c:pt>
                <c:pt idx="3466">
                  <c:v>807.52476000000001</c:v>
                </c:pt>
                <c:pt idx="3467">
                  <c:v>807.52611000000002</c:v>
                </c:pt>
                <c:pt idx="3468">
                  <c:v>807.52746000000002</c:v>
                </c:pt>
                <c:pt idx="3469">
                  <c:v>807.52881000000002</c:v>
                </c:pt>
                <c:pt idx="3470">
                  <c:v>807.53017000000011</c:v>
                </c:pt>
                <c:pt idx="3471">
                  <c:v>807.53152000000011</c:v>
                </c:pt>
                <c:pt idx="3472">
                  <c:v>807.53287000000012</c:v>
                </c:pt>
                <c:pt idx="3473">
                  <c:v>807.53422000000012</c:v>
                </c:pt>
                <c:pt idx="3474">
                  <c:v>807.53557000000012</c:v>
                </c:pt>
                <c:pt idx="3475">
                  <c:v>807.53692000000012</c:v>
                </c:pt>
                <c:pt idx="3476">
                  <c:v>807.53827000000001</c:v>
                </c:pt>
                <c:pt idx="3477">
                  <c:v>807.5396300000001</c:v>
                </c:pt>
                <c:pt idx="3478">
                  <c:v>807.54234000000008</c:v>
                </c:pt>
                <c:pt idx="3479">
                  <c:v>807.54370000000006</c:v>
                </c:pt>
                <c:pt idx="3480">
                  <c:v>807.54506000000003</c:v>
                </c:pt>
                <c:pt idx="3481">
                  <c:v>807.54641000000004</c:v>
                </c:pt>
                <c:pt idx="3482">
                  <c:v>807.54776000000004</c:v>
                </c:pt>
                <c:pt idx="3483">
                  <c:v>807.56533000000002</c:v>
                </c:pt>
                <c:pt idx="3484">
                  <c:v>807.56668000000002</c:v>
                </c:pt>
                <c:pt idx="3485">
                  <c:v>807.56803000000002</c:v>
                </c:pt>
                <c:pt idx="3486">
                  <c:v>807.56938000000002</c:v>
                </c:pt>
                <c:pt idx="3487">
                  <c:v>807.57073000000003</c:v>
                </c:pt>
                <c:pt idx="3488">
                  <c:v>807.57208000000003</c:v>
                </c:pt>
                <c:pt idx="3489">
                  <c:v>807.57343000000003</c:v>
                </c:pt>
                <c:pt idx="3490">
                  <c:v>807.57479000000012</c:v>
                </c:pt>
                <c:pt idx="3491">
                  <c:v>807.57614000000001</c:v>
                </c:pt>
                <c:pt idx="3492">
                  <c:v>807.57749000000001</c:v>
                </c:pt>
                <c:pt idx="3493">
                  <c:v>807.57884000000001</c:v>
                </c:pt>
                <c:pt idx="3494">
                  <c:v>807.5802000000001</c:v>
                </c:pt>
                <c:pt idx="3495">
                  <c:v>807.58155000000011</c:v>
                </c:pt>
                <c:pt idx="3496">
                  <c:v>807.58290000000011</c:v>
                </c:pt>
                <c:pt idx="3497">
                  <c:v>807.58425000000011</c:v>
                </c:pt>
                <c:pt idx="3498">
                  <c:v>807.58560000000011</c:v>
                </c:pt>
                <c:pt idx="3499">
                  <c:v>807.58695000000012</c:v>
                </c:pt>
                <c:pt idx="3500">
                  <c:v>807.58830000000012</c:v>
                </c:pt>
                <c:pt idx="3501">
                  <c:v>807.58965000000012</c:v>
                </c:pt>
                <c:pt idx="3502">
                  <c:v>807.59100000000012</c:v>
                </c:pt>
                <c:pt idx="3503">
                  <c:v>807.59235000000001</c:v>
                </c:pt>
                <c:pt idx="3504">
                  <c:v>807.61260000000004</c:v>
                </c:pt>
                <c:pt idx="3505">
                  <c:v>807.61394000000007</c:v>
                </c:pt>
                <c:pt idx="3506">
                  <c:v>807.61529000000007</c:v>
                </c:pt>
                <c:pt idx="3507">
                  <c:v>807.61664000000007</c:v>
                </c:pt>
                <c:pt idx="3508">
                  <c:v>807.61799000000008</c:v>
                </c:pt>
                <c:pt idx="3509">
                  <c:v>807.61934000000008</c:v>
                </c:pt>
                <c:pt idx="3510">
                  <c:v>807.62069000000008</c:v>
                </c:pt>
                <c:pt idx="3511">
                  <c:v>807.62204000000008</c:v>
                </c:pt>
                <c:pt idx="3512">
                  <c:v>807.62339000000009</c:v>
                </c:pt>
                <c:pt idx="3513">
                  <c:v>807.62474000000009</c:v>
                </c:pt>
                <c:pt idx="3514">
                  <c:v>807.62609000000009</c:v>
                </c:pt>
                <c:pt idx="3515">
                  <c:v>807.62744000000009</c:v>
                </c:pt>
                <c:pt idx="3516">
                  <c:v>807.62878000000012</c:v>
                </c:pt>
                <c:pt idx="3517">
                  <c:v>807.63013000000012</c:v>
                </c:pt>
                <c:pt idx="3518">
                  <c:v>807.63148000000001</c:v>
                </c:pt>
                <c:pt idx="3519">
                  <c:v>807.63283000000001</c:v>
                </c:pt>
                <c:pt idx="3520">
                  <c:v>807.63418000000001</c:v>
                </c:pt>
                <c:pt idx="3521">
                  <c:v>807.63553000000002</c:v>
                </c:pt>
                <c:pt idx="3522">
                  <c:v>807.63688000000002</c:v>
                </c:pt>
                <c:pt idx="3523">
                  <c:v>807.63823000000002</c:v>
                </c:pt>
                <c:pt idx="3524">
                  <c:v>807.63958000000002</c:v>
                </c:pt>
                <c:pt idx="3525">
                  <c:v>807.64093000000003</c:v>
                </c:pt>
                <c:pt idx="3526">
                  <c:v>807.66118000000006</c:v>
                </c:pt>
                <c:pt idx="3527">
                  <c:v>807.66253000000006</c:v>
                </c:pt>
                <c:pt idx="3528">
                  <c:v>807.66388000000006</c:v>
                </c:pt>
                <c:pt idx="3529">
                  <c:v>807.66523000000007</c:v>
                </c:pt>
                <c:pt idx="3530">
                  <c:v>807.66658000000007</c:v>
                </c:pt>
                <c:pt idx="3531">
                  <c:v>807.66793000000007</c:v>
                </c:pt>
                <c:pt idx="3532">
                  <c:v>807.66928000000007</c:v>
                </c:pt>
                <c:pt idx="3533">
                  <c:v>807.67063000000007</c:v>
                </c:pt>
                <c:pt idx="3534">
                  <c:v>807.67198000000008</c:v>
                </c:pt>
                <c:pt idx="3535">
                  <c:v>807.67333000000008</c:v>
                </c:pt>
                <c:pt idx="3536">
                  <c:v>807.67467000000011</c:v>
                </c:pt>
                <c:pt idx="3537">
                  <c:v>807.67602000000011</c:v>
                </c:pt>
                <c:pt idx="3538">
                  <c:v>807.67737000000011</c:v>
                </c:pt>
                <c:pt idx="3539">
                  <c:v>807.67872000000011</c:v>
                </c:pt>
                <c:pt idx="3540">
                  <c:v>807.68006000000003</c:v>
                </c:pt>
                <c:pt idx="3541">
                  <c:v>807.68141000000003</c:v>
                </c:pt>
                <c:pt idx="3542">
                  <c:v>807.68276000000003</c:v>
                </c:pt>
                <c:pt idx="3543">
                  <c:v>807.68410000000006</c:v>
                </c:pt>
                <c:pt idx="3544">
                  <c:v>807.68545000000006</c:v>
                </c:pt>
                <c:pt idx="3545">
                  <c:v>807.68680000000006</c:v>
                </c:pt>
                <c:pt idx="3546">
                  <c:v>807.68814000000009</c:v>
                </c:pt>
                <c:pt idx="3547">
                  <c:v>807.68949000000009</c:v>
                </c:pt>
                <c:pt idx="3548">
                  <c:v>807.69084000000009</c:v>
                </c:pt>
                <c:pt idx="3549">
                  <c:v>807.69218000000012</c:v>
                </c:pt>
                <c:pt idx="3550">
                  <c:v>807.71373000000006</c:v>
                </c:pt>
                <c:pt idx="3551">
                  <c:v>807.71508000000006</c:v>
                </c:pt>
                <c:pt idx="3552">
                  <c:v>807.71642000000008</c:v>
                </c:pt>
                <c:pt idx="3553">
                  <c:v>807.71777000000009</c:v>
                </c:pt>
                <c:pt idx="3554">
                  <c:v>807.71912000000009</c:v>
                </c:pt>
                <c:pt idx="3555">
                  <c:v>807.72046000000012</c:v>
                </c:pt>
                <c:pt idx="3556">
                  <c:v>807.72181000000012</c:v>
                </c:pt>
                <c:pt idx="3557">
                  <c:v>807.72316000000012</c:v>
                </c:pt>
                <c:pt idx="3558">
                  <c:v>807.72450000000003</c:v>
                </c:pt>
                <c:pt idx="3559">
                  <c:v>807.72585000000004</c:v>
                </c:pt>
                <c:pt idx="3560">
                  <c:v>807.72720000000004</c:v>
                </c:pt>
                <c:pt idx="3561">
                  <c:v>807.72854000000007</c:v>
                </c:pt>
                <c:pt idx="3562">
                  <c:v>807.72989000000007</c:v>
                </c:pt>
                <c:pt idx="3563">
                  <c:v>807.73124000000007</c:v>
                </c:pt>
                <c:pt idx="3564">
                  <c:v>807.7325800000001</c:v>
                </c:pt>
                <c:pt idx="3565">
                  <c:v>807.7339300000001</c:v>
                </c:pt>
                <c:pt idx="3566">
                  <c:v>807.7352800000001</c:v>
                </c:pt>
                <c:pt idx="3567">
                  <c:v>807.73662000000002</c:v>
                </c:pt>
                <c:pt idx="3568">
                  <c:v>807.73797000000002</c:v>
                </c:pt>
                <c:pt idx="3569">
                  <c:v>807.73932000000002</c:v>
                </c:pt>
                <c:pt idx="3570">
                  <c:v>807.74066000000005</c:v>
                </c:pt>
                <c:pt idx="3571">
                  <c:v>807.74201000000005</c:v>
                </c:pt>
                <c:pt idx="3572">
                  <c:v>807.74336000000005</c:v>
                </c:pt>
                <c:pt idx="3573">
                  <c:v>807.74470000000008</c:v>
                </c:pt>
                <c:pt idx="3574">
                  <c:v>807.76894000000004</c:v>
                </c:pt>
                <c:pt idx="3575">
                  <c:v>807.77029000000005</c:v>
                </c:pt>
                <c:pt idx="3576">
                  <c:v>807.77164000000005</c:v>
                </c:pt>
                <c:pt idx="3577">
                  <c:v>807.77299000000005</c:v>
                </c:pt>
                <c:pt idx="3578">
                  <c:v>807.77433000000008</c:v>
                </c:pt>
                <c:pt idx="3579">
                  <c:v>807.7756700000001</c:v>
                </c:pt>
                <c:pt idx="3580">
                  <c:v>807.77701000000002</c:v>
                </c:pt>
                <c:pt idx="3581">
                  <c:v>807.77836000000002</c:v>
                </c:pt>
                <c:pt idx="3582">
                  <c:v>807.77971000000002</c:v>
                </c:pt>
                <c:pt idx="3583">
                  <c:v>807.78106000000002</c:v>
                </c:pt>
                <c:pt idx="3584">
                  <c:v>807.78240000000005</c:v>
                </c:pt>
                <c:pt idx="3585">
                  <c:v>807.78509000000008</c:v>
                </c:pt>
                <c:pt idx="3586">
                  <c:v>807.78644000000008</c:v>
                </c:pt>
                <c:pt idx="3587">
                  <c:v>807.78779000000009</c:v>
                </c:pt>
                <c:pt idx="3588">
                  <c:v>807.78914000000009</c:v>
                </c:pt>
                <c:pt idx="3589">
                  <c:v>807.79049000000009</c:v>
                </c:pt>
                <c:pt idx="3590">
                  <c:v>807.79184000000009</c:v>
                </c:pt>
                <c:pt idx="3591">
                  <c:v>807.7931900000001</c:v>
                </c:pt>
                <c:pt idx="3592">
                  <c:v>807.79453000000012</c:v>
                </c:pt>
                <c:pt idx="3593">
                  <c:v>807.79587000000004</c:v>
                </c:pt>
                <c:pt idx="3594">
                  <c:v>807.79721000000006</c:v>
                </c:pt>
                <c:pt idx="3595">
                  <c:v>807.79856000000007</c:v>
                </c:pt>
                <c:pt idx="3596">
                  <c:v>807.79991000000007</c:v>
                </c:pt>
                <c:pt idx="3597">
                  <c:v>807.80126000000007</c:v>
                </c:pt>
                <c:pt idx="3598">
                  <c:v>807.80261000000007</c:v>
                </c:pt>
                <c:pt idx="3599">
                  <c:v>807.8039500000001</c:v>
                </c:pt>
                <c:pt idx="3600">
                  <c:v>807.83088000000009</c:v>
                </c:pt>
                <c:pt idx="3601">
                  <c:v>807.8322300000001</c:v>
                </c:pt>
                <c:pt idx="3602">
                  <c:v>807.8335800000001</c:v>
                </c:pt>
                <c:pt idx="3603">
                  <c:v>807.8349300000001</c:v>
                </c:pt>
                <c:pt idx="3604">
                  <c:v>807.83627000000001</c:v>
                </c:pt>
                <c:pt idx="3605">
                  <c:v>807.83761000000004</c:v>
                </c:pt>
                <c:pt idx="3606">
                  <c:v>807.83895000000007</c:v>
                </c:pt>
                <c:pt idx="3607">
                  <c:v>807.8402900000001</c:v>
                </c:pt>
                <c:pt idx="3608">
                  <c:v>807.84163000000012</c:v>
                </c:pt>
                <c:pt idx="3609">
                  <c:v>807.84297000000004</c:v>
                </c:pt>
                <c:pt idx="3610">
                  <c:v>807.84431000000006</c:v>
                </c:pt>
                <c:pt idx="3611">
                  <c:v>807.84565000000009</c:v>
                </c:pt>
                <c:pt idx="3612">
                  <c:v>807.84699000000012</c:v>
                </c:pt>
                <c:pt idx="3613">
                  <c:v>807.84834000000012</c:v>
                </c:pt>
                <c:pt idx="3614">
                  <c:v>807.84969000000001</c:v>
                </c:pt>
                <c:pt idx="3615">
                  <c:v>807.85104000000001</c:v>
                </c:pt>
                <c:pt idx="3616">
                  <c:v>807.85239000000001</c:v>
                </c:pt>
                <c:pt idx="3617">
                  <c:v>807.85374000000002</c:v>
                </c:pt>
                <c:pt idx="3618">
                  <c:v>807.85509000000002</c:v>
                </c:pt>
                <c:pt idx="3619">
                  <c:v>807.85643000000005</c:v>
                </c:pt>
                <c:pt idx="3620">
                  <c:v>807.85777000000007</c:v>
                </c:pt>
                <c:pt idx="3621">
                  <c:v>807.8591100000001</c:v>
                </c:pt>
                <c:pt idx="3622">
                  <c:v>807.86045000000001</c:v>
                </c:pt>
                <c:pt idx="3623">
                  <c:v>807.86179000000004</c:v>
                </c:pt>
                <c:pt idx="3624">
                  <c:v>807.86313000000007</c:v>
                </c:pt>
                <c:pt idx="3625">
                  <c:v>807.8644700000001</c:v>
                </c:pt>
                <c:pt idx="3626">
                  <c:v>807.86581000000001</c:v>
                </c:pt>
                <c:pt idx="3627">
                  <c:v>807.86715000000004</c:v>
                </c:pt>
                <c:pt idx="3628">
                  <c:v>807.86850000000004</c:v>
                </c:pt>
                <c:pt idx="3629">
                  <c:v>807.86985000000004</c:v>
                </c:pt>
                <c:pt idx="3630">
                  <c:v>807.87120000000004</c:v>
                </c:pt>
                <c:pt idx="3631">
                  <c:v>807.87255000000005</c:v>
                </c:pt>
                <c:pt idx="3632">
                  <c:v>807.87390000000005</c:v>
                </c:pt>
                <c:pt idx="3633">
                  <c:v>807.90878000000009</c:v>
                </c:pt>
                <c:pt idx="3634">
                  <c:v>807.91012000000012</c:v>
                </c:pt>
                <c:pt idx="3635">
                  <c:v>807.91146000000003</c:v>
                </c:pt>
                <c:pt idx="3636">
                  <c:v>807.91280000000006</c:v>
                </c:pt>
                <c:pt idx="3637">
                  <c:v>807.91414000000009</c:v>
                </c:pt>
                <c:pt idx="3638">
                  <c:v>807.91549000000009</c:v>
                </c:pt>
                <c:pt idx="3639">
                  <c:v>807.91683000000012</c:v>
                </c:pt>
                <c:pt idx="3640">
                  <c:v>807.91817000000003</c:v>
                </c:pt>
                <c:pt idx="3641">
                  <c:v>807.91951000000006</c:v>
                </c:pt>
                <c:pt idx="3642">
                  <c:v>807.92085000000009</c:v>
                </c:pt>
                <c:pt idx="3643">
                  <c:v>807.92219000000011</c:v>
                </c:pt>
                <c:pt idx="3644">
                  <c:v>807.92353000000003</c:v>
                </c:pt>
                <c:pt idx="3645">
                  <c:v>807.92488000000003</c:v>
                </c:pt>
                <c:pt idx="3646">
                  <c:v>807.92622000000006</c:v>
                </c:pt>
                <c:pt idx="3647">
                  <c:v>807.92756000000008</c:v>
                </c:pt>
                <c:pt idx="3648">
                  <c:v>807.92890000000011</c:v>
                </c:pt>
                <c:pt idx="3649">
                  <c:v>807.93025000000011</c:v>
                </c:pt>
                <c:pt idx="3650">
                  <c:v>807.93159000000003</c:v>
                </c:pt>
                <c:pt idx="3651">
                  <c:v>807.93293000000006</c:v>
                </c:pt>
                <c:pt idx="3652">
                  <c:v>807.93427000000008</c:v>
                </c:pt>
                <c:pt idx="3653">
                  <c:v>807.93562000000009</c:v>
                </c:pt>
                <c:pt idx="3654">
                  <c:v>807.93696000000011</c:v>
                </c:pt>
                <c:pt idx="3655">
                  <c:v>807.93830000000003</c:v>
                </c:pt>
                <c:pt idx="3656">
                  <c:v>807.93964000000005</c:v>
                </c:pt>
                <c:pt idx="3657">
                  <c:v>807.94098000000008</c:v>
                </c:pt>
                <c:pt idx="3658">
                  <c:v>807.94232000000011</c:v>
                </c:pt>
                <c:pt idx="3659">
                  <c:v>807.94366000000002</c:v>
                </c:pt>
                <c:pt idx="3660">
                  <c:v>807.94501000000002</c:v>
                </c:pt>
                <c:pt idx="3661">
                  <c:v>807.94635000000005</c:v>
                </c:pt>
                <c:pt idx="3662">
                  <c:v>807.94769000000008</c:v>
                </c:pt>
                <c:pt idx="3663">
                  <c:v>807.94903000000011</c:v>
                </c:pt>
                <c:pt idx="3664">
                  <c:v>807.95037000000002</c:v>
                </c:pt>
                <c:pt idx="3665">
                  <c:v>807.95171000000005</c:v>
                </c:pt>
                <c:pt idx="3666">
                  <c:v>807.95305000000008</c:v>
                </c:pt>
                <c:pt idx="3667">
                  <c:v>807.9543900000001</c:v>
                </c:pt>
                <c:pt idx="3668">
                  <c:v>807.95573000000002</c:v>
                </c:pt>
                <c:pt idx="3669">
                  <c:v>807.95707000000004</c:v>
                </c:pt>
                <c:pt idx="3670">
                  <c:v>807.95841000000007</c:v>
                </c:pt>
                <c:pt idx="3671">
                  <c:v>807.9597500000001</c:v>
                </c:pt>
                <c:pt idx="3672">
                  <c:v>807.96109000000001</c:v>
                </c:pt>
                <c:pt idx="3673">
                  <c:v>807.96243000000004</c:v>
                </c:pt>
                <c:pt idx="3674">
                  <c:v>807.96377000000007</c:v>
                </c:pt>
                <c:pt idx="3675">
                  <c:v>807.9651100000001</c:v>
                </c:pt>
                <c:pt idx="3676">
                  <c:v>807.96645000000012</c:v>
                </c:pt>
                <c:pt idx="3677">
                  <c:v>807.96779000000004</c:v>
                </c:pt>
                <c:pt idx="3678">
                  <c:v>807.96913000000006</c:v>
                </c:pt>
                <c:pt idx="3679">
                  <c:v>807.97047000000009</c:v>
                </c:pt>
                <c:pt idx="3680">
                  <c:v>808.02671000000009</c:v>
                </c:pt>
                <c:pt idx="3681">
                  <c:v>808.0280600000001</c:v>
                </c:pt>
                <c:pt idx="3682">
                  <c:v>808.02940000000001</c:v>
                </c:pt>
                <c:pt idx="3683">
                  <c:v>808.03073000000006</c:v>
                </c:pt>
                <c:pt idx="3684">
                  <c:v>808.03207000000009</c:v>
                </c:pt>
                <c:pt idx="3685">
                  <c:v>808.03341000000012</c:v>
                </c:pt>
                <c:pt idx="3686">
                  <c:v>808.03474000000006</c:v>
                </c:pt>
                <c:pt idx="3687">
                  <c:v>808.03608000000008</c:v>
                </c:pt>
                <c:pt idx="3688">
                  <c:v>808.03742000000011</c:v>
                </c:pt>
                <c:pt idx="3689">
                  <c:v>808.03875000000005</c:v>
                </c:pt>
                <c:pt idx="3690">
                  <c:v>808.04009000000008</c:v>
                </c:pt>
                <c:pt idx="3691">
                  <c:v>808.0414300000001</c:v>
                </c:pt>
                <c:pt idx="3692">
                  <c:v>808.04276000000004</c:v>
                </c:pt>
                <c:pt idx="3693">
                  <c:v>808.04410000000007</c:v>
                </c:pt>
                <c:pt idx="3694">
                  <c:v>808.0454400000001</c:v>
                </c:pt>
                <c:pt idx="3695">
                  <c:v>808.04677000000004</c:v>
                </c:pt>
                <c:pt idx="3696">
                  <c:v>808.04811000000007</c:v>
                </c:pt>
                <c:pt idx="3697">
                  <c:v>808.04945000000009</c:v>
                </c:pt>
                <c:pt idx="3698">
                  <c:v>808.05078000000003</c:v>
                </c:pt>
                <c:pt idx="3699">
                  <c:v>808.05212000000006</c:v>
                </c:pt>
                <c:pt idx="3700">
                  <c:v>808.05346000000009</c:v>
                </c:pt>
                <c:pt idx="3701">
                  <c:v>808.05479000000003</c:v>
                </c:pt>
                <c:pt idx="3702">
                  <c:v>808.05613000000005</c:v>
                </c:pt>
                <c:pt idx="3703">
                  <c:v>808.05747000000008</c:v>
                </c:pt>
                <c:pt idx="3704">
                  <c:v>808.05880000000002</c:v>
                </c:pt>
                <c:pt idx="3705">
                  <c:v>808.06014000000005</c:v>
                </c:pt>
                <c:pt idx="3706">
                  <c:v>808.06148000000007</c:v>
                </c:pt>
                <c:pt idx="3707">
                  <c:v>808.06281000000001</c:v>
                </c:pt>
                <c:pt idx="3708">
                  <c:v>808.06415000000004</c:v>
                </c:pt>
                <c:pt idx="3709">
                  <c:v>808.06549000000007</c:v>
                </c:pt>
                <c:pt idx="3710">
                  <c:v>808.06682000000012</c:v>
                </c:pt>
                <c:pt idx="3711">
                  <c:v>808.06816000000003</c:v>
                </c:pt>
                <c:pt idx="3712">
                  <c:v>808.06950000000006</c:v>
                </c:pt>
                <c:pt idx="3713">
                  <c:v>808.07083000000011</c:v>
                </c:pt>
                <c:pt idx="3714">
                  <c:v>808.07217000000003</c:v>
                </c:pt>
                <c:pt idx="3715">
                  <c:v>808.07351000000006</c:v>
                </c:pt>
                <c:pt idx="3716">
                  <c:v>808.07484000000011</c:v>
                </c:pt>
                <c:pt idx="3717">
                  <c:v>808.07617000000005</c:v>
                </c:pt>
                <c:pt idx="3718">
                  <c:v>808.07751000000007</c:v>
                </c:pt>
                <c:pt idx="3719">
                  <c:v>808.0788500000001</c:v>
                </c:pt>
                <c:pt idx="3720">
                  <c:v>808.08019000000002</c:v>
                </c:pt>
                <c:pt idx="3721">
                  <c:v>808.08153000000004</c:v>
                </c:pt>
                <c:pt idx="3722">
                  <c:v>808.08287000000007</c:v>
                </c:pt>
                <c:pt idx="3723">
                  <c:v>808.08420000000001</c:v>
                </c:pt>
                <c:pt idx="3724">
                  <c:v>808.08553000000006</c:v>
                </c:pt>
                <c:pt idx="3725">
                  <c:v>808.08686000000012</c:v>
                </c:pt>
                <c:pt idx="3726">
                  <c:v>808.08820000000003</c:v>
                </c:pt>
                <c:pt idx="3727">
                  <c:v>808.08954000000006</c:v>
                </c:pt>
                <c:pt idx="3728">
                  <c:v>808.09088000000008</c:v>
                </c:pt>
                <c:pt idx="3729">
                  <c:v>808.09222000000011</c:v>
                </c:pt>
                <c:pt idx="3730">
                  <c:v>808.09355000000005</c:v>
                </c:pt>
                <c:pt idx="3731">
                  <c:v>808.0948800000001</c:v>
                </c:pt>
                <c:pt idx="3732">
                  <c:v>808.09621000000004</c:v>
                </c:pt>
                <c:pt idx="3733">
                  <c:v>808.09754000000009</c:v>
                </c:pt>
                <c:pt idx="3734">
                  <c:v>808.09888000000012</c:v>
                </c:pt>
                <c:pt idx="3735">
                  <c:v>808.10022000000004</c:v>
                </c:pt>
                <c:pt idx="3736">
                  <c:v>808.10156000000006</c:v>
                </c:pt>
                <c:pt idx="3737">
                  <c:v>808.10290000000009</c:v>
                </c:pt>
                <c:pt idx="3738">
                  <c:v>808.10423000000003</c:v>
                </c:pt>
                <c:pt idx="3739">
                  <c:v>808.10556000000008</c:v>
                </c:pt>
                <c:pt idx="3740">
                  <c:v>808.10689000000002</c:v>
                </c:pt>
                <c:pt idx="3741">
                  <c:v>808.10823000000005</c:v>
                </c:pt>
                <c:pt idx="3742">
                  <c:v>808.10957000000008</c:v>
                </c:pt>
                <c:pt idx="3743">
                  <c:v>808.1109100000001</c:v>
                </c:pt>
                <c:pt idx="3744">
                  <c:v>808.11225000000002</c:v>
                </c:pt>
                <c:pt idx="3745">
                  <c:v>808.11359000000004</c:v>
                </c:pt>
                <c:pt idx="3746">
                  <c:v>808.1149200000001</c:v>
                </c:pt>
                <c:pt idx="3747">
                  <c:v>808.11625000000004</c:v>
                </c:pt>
                <c:pt idx="3748">
                  <c:v>808.11758000000009</c:v>
                </c:pt>
                <c:pt idx="3749">
                  <c:v>808.11892000000012</c:v>
                </c:pt>
                <c:pt idx="3750">
                  <c:v>808.12026000000003</c:v>
                </c:pt>
                <c:pt idx="3751">
                  <c:v>808.12160000000006</c:v>
                </c:pt>
                <c:pt idx="3752">
                  <c:v>808.12294000000009</c:v>
                </c:pt>
                <c:pt idx="3753">
                  <c:v>808.12427000000002</c:v>
                </c:pt>
                <c:pt idx="3754">
                  <c:v>808.12560000000008</c:v>
                </c:pt>
                <c:pt idx="3755">
                  <c:v>808.12693000000002</c:v>
                </c:pt>
                <c:pt idx="3756">
                  <c:v>808.12827000000004</c:v>
                </c:pt>
                <c:pt idx="3757">
                  <c:v>808.12961000000007</c:v>
                </c:pt>
                <c:pt idx="3758">
                  <c:v>808.1309500000001</c:v>
                </c:pt>
                <c:pt idx="3759">
                  <c:v>808.13229000000001</c:v>
                </c:pt>
                <c:pt idx="3760">
                  <c:v>808.13363000000004</c:v>
                </c:pt>
                <c:pt idx="3761">
                  <c:v>808.13496000000009</c:v>
                </c:pt>
                <c:pt idx="3762">
                  <c:v>808.13629000000003</c:v>
                </c:pt>
                <c:pt idx="3763">
                  <c:v>808.13762000000008</c:v>
                </c:pt>
                <c:pt idx="3764">
                  <c:v>808.13896000000011</c:v>
                </c:pt>
                <c:pt idx="3765">
                  <c:v>808.14030000000002</c:v>
                </c:pt>
                <c:pt idx="3766">
                  <c:v>808.14163000000008</c:v>
                </c:pt>
                <c:pt idx="3767">
                  <c:v>808.14296000000002</c:v>
                </c:pt>
                <c:pt idx="3768">
                  <c:v>808.14429000000007</c:v>
                </c:pt>
                <c:pt idx="3769">
                  <c:v>808.14562000000012</c:v>
                </c:pt>
                <c:pt idx="3770">
                  <c:v>808.14695000000006</c:v>
                </c:pt>
                <c:pt idx="3771">
                  <c:v>808.14828000000011</c:v>
                </c:pt>
                <c:pt idx="3772">
                  <c:v>808.14961000000005</c:v>
                </c:pt>
                <c:pt idx="3773">
                  <c:v>808.15094000000011</c:v>
                </c:pt>
                <c:pt idx="3774">
                  <c:v>808.15227000000004</c:v>
                </c:pt>
                <c:pt idx="3775">
                  <c:v>808.15361000000007</c:v>
                </c:pt>
                <c:pt idx="3776">
                  <c:v>808.15494000000001</c:v>
                </c:pt>
                <c:pt idx="3777">
                  <c:v>808.15628000000004</c:v>
                </c:pt>
                <c:pt idx="3778">
                  <c:v>808.15762000000007</c:v>
                </c:pt>
                <c:pt idx="3779">
                  <c:v>808.15896000000009</c:v>
                </c:pt>
                <c:pt idx="3780">
                  <c:v>808.16029000000003</c:v>
                </c:pt>
                <c:pt idx="3781">
                  <c:v>808.16162000000008</c:v>
                </c:pt>
                <c:pt idx="3782">
                  <c:v>808.16295000000002</c:v>
                </c:pt>
                <c:pt idx="3783">
                  <c:v>808.16428000000008</c:v>
                </c:pt>
                <c:pt idx="3784">
                  <c:v>808.16561000000002</c:v>
                </c:pt>
                <c:pt idx="3785">
                  <c:v>808.16694000000007</c:v>
                </c:pt>
                <c:pt idx="3786">
                  <c:v>808.16827000000012</c:v>
                </c:pt>
                <c:pt idx="3787">
                  <c:v>808.16960000000006</c:v>
                </c:pt>
                <c:pt idx="3788">
                  <c:v>808.17093000000011</c:v>
                </c:pt>
                <c:pt idx="3789">
                  <c:v>808.17227000000003</c:v>
                </c:pt>
                <c:pt idx="3790">
                  <c:v>808.17361000000005</c:v>
                </c:pt>
                <c:pt idx="3791">
                  <c:v>808.17494000000011</c:v>
                </c:pt>
                <c:pt idx="3792">
                  <c:v>808.17628000000002</c:v>
                </c:pt>
                <c:pt idx="3793">
                  <c:v>808.17762000000005</c:v>
                </c:pt>
                <c:pt idx="3794">
                  <c:v>808.17896000000007</c:v>
                </c:pt>
                <c:pt idx="3795">
                  <c:v>808.18029000000001</c:v>
                </c:pt>
                <c:pt idx="3796">
                  <c:v>808.18162000000007</c:v>
                </c:pt>
                <c:pt idx="3797">
                  <c:v>808.18295000000012</c:v>
                </c:pt>
                <c:pt idx="3798">
                  <c:v>808.18428000000006</c:v>
                </c:pt>
                <c:pt idx="3799">
                  <c:v>808.18561000000011</c:v>
                </c:pt>
                <c:pt idx="3800">
                  <c:v>808.18694000000005</c:v>
                </c:pt>
                <c:pt idx="3801">
                  <c:v>808.1882700000001</c:v>
                </c:pt>
                <c:pt idx="3802">
                  <c:v>808.18960000000004</c:v>
                </c:pt>
                <c:pt idx="3803">
                  <c:v>808.19093000000009</c:v>
                </c:pt>
                <c:pt idx="3804">
                  <c:v>808.19227000000012</c:v>
                </c:pt>
                <c:pt idx="3805">
                  <c:v>808.19361000000004</c:v>
                </c:pt>
                <c:pt idx="3806">
                  <c:v>808.19495000000006</c:v>
                </c:pt>
                <c:pt idx="3807">
                  <c:v>808.19629000000009</c:v>
                </c:pt>
                <c:pt idx="3808">
                  <c:v>808.19763000000012</c:v>
                </c:pt>
                <c:pt idx="3809">
                  <c:v>808.19897000000003</c:v>
                </c:pt>
                <c:pt idx="3810">
                  <c:v>808.20030000000008</c:v>
                </c:pt>
                <c:pt idx="3811">
                  <c:v>808.20163000000002</c:v>
                </c:pt>
                <c:pt idx="3812">
                  <c:v>808.20296000000008</c:v>
                </c:pt>
                <c:pt idx="3813">
                  <c:v>808.20429000000001</c:v>
                </c:pt>
                <c:pt idx="3814">
                  <c:v>808.20562000000007</c:v>
                </c:pt>
                <c:pt idx="3815">
                  <c:v>808.20695000000012</c:v>
                </c:pt>
                <c:pt idx="3816">
                  <c:v>808.20828000000006</c:v>
                </c:pt>
                <c:pt idx="3817">
                  <c:v>808.20961000000011</c:v>
                </c:pt>
                <c:pt idx="3818">
                  <c:v>808.21094000000005</c:v>
                </c:pt>
                <c:pt idx="3819">
                  <c:v>808.2122700000001</c:v>
                </c:pt>
                <c:pt idx="3820">
                  <c:v>808.21361000000002</c:v>
                </c:pt>
                <c:pt idx="3821">
                  <c:v>808.21494000000007</c:v>
                </c:pt>
                <c:pt idx="3822">
                  <c:v>808.21627000000012</c:v>
                </c:pt>
                <c:pt idx="3823">
                  <c:v>808.21760000000006</c:v>
                </c:pt>
                <c:pt idx="3824">
                  <c:v>808.21893000000011</c:v>
                </c:pt>
                <c:pt idx="3825">
                  <c:v>808.22026000000005</c:v>
                </c:pt>
                <c:pt idx="3826">
                  <c:v>808.22159000000011</c:v>
                </c:pt>
                <c:pt idx="3827">
                  <c:v>808.22292000000004</c:v>
                </c:pt>
                <c:pt idx="3828">
                  <c:v>808.22426000000007</c:v>
                </c:pt>
                <c:pt idx="3829">
                  <c:v>808.22559000000001</c:v>
                </c:pt>
                <c:pt idx="3830">
                  <c:v>808.22692000000006</c:v>
                </c:pt>
                <c:pt idx="3831">
                  <c:v>808.22825000000012</c:v>
                </c:pt>
                <c:pt idx="3832">
                  <c:v>808.22958000000006</c:v>
                </c:pt>
                <c:pt idx="3833">
                  <c:v>808.23091000000011</c:v>
                </c:pt>
                <c:pt idx="3834">
                  <c:v>808.23224000000005</c:v>
                </c:pt>
                <c:pt idx="3835">
                  <c:v>808.23358000000007</c:v>
                </c:pt>
                <c:pt idx="3836">
                  <c:v>808.23491000000001</c:v>
                </c:pt>
                <c:pt idx="3837">
                  <c:v>808.23624000000007</c:v>
                </c:pt>
                <c:pt idx="3838">
                  <c:v>808.23757000000012</c:v>
                </c:pt>
                <c:pt idx="3839">
                  <c:v>808.23890000000006</c:v>
                </c:pt>
                <c:pt idx="3840">
                  <c:v>808.24023000000011</c:v>
                </c:pt>
                <c:pt idx="3841">
                  <c:v>808.24156000000005</c:v>
                </c:pt>
                <c:pt idx="3842">
                  <c:v>808.2428900000001</c:v>
                </c:pt>
                <c:pt idx="3843">
                  <c:v>808.24423000000002</c:v>
                </c:pt>
                <c:pt idx="3844">
                  <c:v>808.24556000000007</c:v>
                </c:pt>
                <c:pt idx="3845">
                  <c:v>808.24689000000012</c:v>
                </c:pt>
                <c:pt idx="3846">
                  <c:v>808.24822000000006</c:v>
                </c:pt>
                <c:pt idx="3847">
                  <c:v>808.24955000000011</c:v>
                </c:pt>
                <c:pt idx="3848">
                  <c:v>808.25088000000005</c:v>
                </c:pt>
                <c:pt idx="3849">
                  <c:v>808.2522100000001</c:v>
                </c:pt>
                <c:pt idx="3850">
                  <c:v>808.25355000000002</c:v>
                </c:pt>
                <c:pt idx="3851">
                  <c:v>808.25488000000007</c:v>
                </c:pt>
                <c:pt idx="3852">
                  <c:v>808.25621000000001</c:v>
                </c:pt>
                <c:pt idx="3853">
                  <c:v>808.25754000000006</c:v>
                </c:pt>
                <c:pt idx="3854">
                  <c:v>808.25888000000009</c:v>
                </c:pt>
                <c:pt idx="3855">
                  <c:v>808.26021000000003</c:v>
                </c:pt>
                <c:pt idx="3856">
                  <c:v>808.26154000000008</c:v>
                </c:pt>
                <c:pt idx="3857">
                  <c:v>808.26287000000002</c:v>
                </c:pt>
                <c:pt idx="3858">
                  <c:v>808.26420000000007</c:v>
                </c:pt>
                <c:pt idx="3859">
                  <c:v>808.26687000000004</c:v>
                </c:pt>
                <c:pt idx="3860">
                  <c:v>808.26821000000007</c:v>
                </c:pt>
                <c:pt idx="3861">
                  <c:v>808.26954000000012</c:v>
                </c:pt>
                <c:pt idx="3862">
                  <c:v>808.27087000000006</c:v>
                </c:pt>
                <c:pt idx="3863">
                  <c:v>808.27220000000011</c:v>
                </c:pt>
                <c:pt idx="3864">
                  <c:v>808.27354000000003</c:v>
                </c:pt>
                <c:pt idx="3865">
                  <c:v>808.27487000000008</c:v>
                </c:pt>
                <c:pt idx="3866">
                  <c:v>808.27620000000002</c:v>
                </c:pt>
                <c:pt idx="3867">
                  <c:v>808.27753000000007</c:v>
                </c:pt>
                <c:pt idx="3868">
                  <c:v>808.27886000000012</c:v>
                </c:pt>
                <c:pt idx="3869">
                  <c:v>808.28019000000006</c:v>
                </c:pt>
                <c:pt idx="3870">
                  <c:v>808.28152000000011</c:v>
                </c:pt>
                <c:pt idx="3871">
                  <c:v>808.28285000000005</c:v>
                </c:pt>
                <c:pt idx="3872">
                  <c:v>808.28418000000011</c:v>
                </c:pt>
                <c:pt idx="3873">
                  <c:v>808.28551000000004</c:v>
                </c:pt>
                <c:pt idx="3874">
                  <c:v>808.2868400000001</c:v>
                </c:pt>
                <c:pt idx="3875">
                  <c:v>808.28817000000004</c:v>
                </c:pt>
                <c:pt idx="3876">
                  <c:v>808.28950000000009</c:v>
                </c:pt>
                <c:pt idx="3877">
                  <c:v>808.29083000000003</c:v>
                </c:pt>
                <c:pt idx="3878">
                  <c:v>808.29216000000008</c:v>
                </c:pt>
                <c:pt idx="3879">
                  <c:v>808.29349000000002</c:v>
                </c:pt>
                <c:pt idx="3880">
                  <c:v>808.29482000000007</c:v>
                </c:pt>
                <c:pt idx="3881">
                  <c:v>808.29615000000001</c:v>
                </c:pt>
                <c:pt idx="3882">
                  <c:v>808.29748000000006</c:v>
                </c:pt>
                <c:pt idx="3883">
                  <c:v>808.29881000000012</c:v>
                </c:pt>
                <c:pt idx="3884">
                  <c:v>808.30014000000006</c:v>
                </c:pt>
                <c:pt idx="3885">
                  <c:v>808.30147000000011</c:v>
                </c:pt>
                <c:pt idx="3886">
                  <c:v>808.30280000000005</c:v>
                </c:pt>
                <c:pt idx="3887">
                  <c:v>808.30412000000001</c:v>
                </c:pt>
                <c:pt idx="3888">
                  <c:v>808.30545000000006</c:v>
                </c:pt>
                <c:pt idx="3889">
                  <c:v>808.30678000000012</c:v>
                </c:pt>
                <c:pt idx="3890">
                  <c:v>808.30811000000006</c:v>
                </c:pt>
                <c:pt idx="3891">
                  <c:v>808.30944000000011</c:v>
                </c:pt>
                <c:pt idx="3892">
                  <c:v>808.31077000000005</c:v>
                </c:pt>
                <c:pt idx="3893">
                  <c:v>808.3121000000001</c:v>
                </c:pt>
                <c:pt idx="3894">
                  <c:v>808.31343000000004</c:v>
                </c:pt>
                <c:pt idx="3895">
                  <c:v>808.31476000000009</c:v>
                </c:pt>
                <c:pt idx="3896">
                  <c:v>808.31609000000003</c:v>
                </c:pt>
                <c:pt idx="3897">
                  <c:v>808.31742000000008</c:v>
                </c:pt>
                <c:pt idx="3898">
                  <c:v>808.31875000000002</c:v>
                </c:pt>
                <c:pt idx="3899">
                  <c:v>808.32008000000008</c:v>
                </c:pt>
                <c:pt idx="3900">
                  <c:v>808.32141000000001</c:v>
                </c:pt>
                <c:pt idx="3901">
                  <c:v>808.32274000000007</c:v>
                </c:pt>
                <c:pt idx="3902">
                  <c:v>808.32407000000012</c:v>
                </c:pt>
                <c:pt idx="3903">
                  <c:v>808.32540000000006</c:v>
                </c:pt>
                <c:pt idx="3904">
                  <c:v>808.32673000000011</c:v>
                </c:pt>
                <c:pt idx="3905">
                  <c:v>808.32806000000005</c:v>
                </c:pt>
                <c:pt idx="3906">
                  <c:v>808.3293900000001</c:v>
                </c:pt>
                <c:pt idx="3907">
                  <c:v>808.33072000000004</c:v>
                </c:pt>
                <c:pt idx="3908">
                  <c:v>808.33205000000009</c:v>
                </c:pt>
                <c:pt idx="3909">
                  <c:v>808.33338000000003</c:v>
                </c:pt>
                <c:pt idx="3910">
                  <c:v>808.33471000000009</c:v>
                </c:pt>
                <c:pt idx="3911">
                  <c:v>808.33604000000003</c:v>
                </c:pt>
                <c:pt idx="3912">
                  <c:v>808.33737000000008</c:v>
                </c:pt>
                <c:pt idx="3913">
                  <c:v>808.33870000000002</c:v>
                </c:pt>
                <c:pt idx="3914">
                  <c:v>808.34003000000007</c:v>
                </c:pt>
                <c:pt idx="3915">
                  <c:v>808.34135000000003</c:v>
                </c:pt>
                <c:pt idx="3916">
                  <c:v>808.34268000000009</c:v>
                </c:pt>
                <c:pt idx="3917">
                  <c:v>808.34401000000003</c:v>
                </c:pt>
                <c:pt idx="3918">
                  <c:v>808.34534000000008</c:v>
                </c:pt>
                <c:pt idx="3919">
                  <c:v>808.34668000000011</c:v>
                </c:pt>
                <c:pt idx="3920">
                  <c:v>808.34801000000004</c:v>
                </c:pt>
                <c:pt idx="3921">
                  <c:v>808.3493400000001</c:v>
                </c:pt>
                <c:pt idx="3922">
                  <c:v>808.35067000000004</c:v>
                </c:pt>
                <c:pt idx="3923">
                  <c:v>808.35200000000009</c:v>
                </c:pt>
                <c:pt idx="3924">
                  <c:v>808.35333000000003</c:v>
                </c:pt>
                <c:pt idx="3925">
                  <c:v>808.35466000000008</c:v>
                </c:pt>
                <c:pt idx="3926">
                  <c:v>808.35599000000002</c:v>
                </c:pt>
                <c:pt idx="3927">
                  <c:v>808.35732000000007</c:v>
                </c:pt>
                <c:pt idx="3928">
                  <c:v>808.35865000000001</c:v>
                </c:pt>
                <c:pt idx="3929">
                  <c:v>808.35998000000006</c:v>
                </c:pt>
                <c:pt idx="3930">
                  <c:v>808.36131000000012</c:v>
                </c:pt>
                <c:pt idx="3931">
                  <c:v>808.36264000000006</c:v>
                </c:pt>
                <c:pt idx="3932">
                  <c:v>808.36397000000011</c:v>
                </c:pt>
                <c:pt idx="3933">
                  <c:v>808.36529000000007</c:v>
                </c:pt>
                <c:pt idx="3934">
                  <c:v>808.36662000000001</c:v>
                </c:pt>
                <c:pt idx="3935">
                  <c:v>808.36795000000006</c:v>
                </c:pt>
                <c:pt idx="3936">
                  <c:v>808.36927000000003</c:v>
                </c:pt>
                <c:pt idx="3937">
                  <c:v>808.37060000000008</c:v>
                </c:pt>
                <c:pt idx="3938">
                  <c:v>808.37193000000002</c:v>
                </c:pt>
                <c:pt idx="3939">
                  <c:v>808.3732500000001</c:v>
                </c:pt>
                <c:pt idx="3940">
                  <c:v>808.37458000000004</c:v>
                </c:pt>
                <c:pt idx="3941">
                  <c:v>808.37591000000009</c:v>
                </c:pt>
                <c:pt idx="3942">
                  <c:v>808.37723000000005</c:v>
                </c:pt>
                <c:pt idx="3943">
                  <c:v>808.37856000000011</c:v>
                </c:pt>
                <c:pt idx="3944">
                  <c:v>808.37989000000005</c:v>
                </c:pt>
                <c:pt idx="3945">
                  <c:v>808.38121000000001</c:v>
                </c:pt>
                <c:pt idx="3946">
                  <c:v>808.38254000000006</c:v>
                </c:pt>
                <c:pt idx="3947">
                  <c:v>808.38387000000012</c:v>
                </c:pt>
                <c:pt idx="3948">
                  <c:v>808.38519000000008</c:v>
                </c:pt>
                <c:pt idx="3949">
                  <c:v>808.38652000000002</c:v>
                </c:pt>
                <c:pt idx="3950">
                  <c:v>808.38785000000007</c:v>
                </c:pt>
                <c:pt idx="3951">
                  <c:v>808.38917000000004</c:v>
                </c:pt>
                <c:pt idx="3952">
                  <c:v>808.39050000000009</c:v>
                </c:pt>
                <c:pt idx="3953">
                  <c:v>808.39183000000003</c:v>
                </c:pt>
                <c:pt idx="3954">
                  <c:v>808.39315000000011</c:v>
                </c:pt>
                <c:pt idx="3955">
                  <c:v>808.39448000000004</c:v>
                </c:pt>
                <c:pt idx="3956">
                  <c:v>808.3958100000001</c:v>
                </c:pt>
                <c:pt idx="3957">
                  <c:v>808.39713000000006</c:v>
                </c:pt>
                <c:pt idx="3958">
                  <c:v>808.39846000000011</c:v>
                </c:pt>
                <c:pt idx="3959">
                  <c:v>808.39979000000005</c:v>
                </c:pt>
                <c:pt idx="3960">
                  <c:v>808.40111000000002</c:v>
                </c:pt>
                <c:pt idx="3961">
                  <c:v>808.40244000000007</c:v>
                </c:pt>
                <c:pt idx="3962">
                  <c:v>808.40377000000012</c:v>
                </c:pt>
                <c:pt idx="3963">
                  <c:v>808.40509000000009</c:v>
                </c:pt>
                <c:pt idx="3964">
                  <c:v>808.40642000000003</c:v>
                </c:pt>
                <c:pt idx="3965">
                  <c:v>808.40775000000008</c:v>
                </c:pt>
                <c:pt idx="3966">
                  <c:v>808.40907000000004</c:v>
                </c:pt>
                <c:pt idx="3967">
                  <c:v>808.4104000000001</c:v>
                </c:pt>
                <c:pt idx="3968">
                  <c:v>808.41173000000003</c:v>
                </c:pt>
                <c:pt idx="3969">
                  <c:v>808.41305000000011</c:v>
                </c:pt>
                <c:pt idx="3970">
                  <c:v>808.41438000000005</c:v>
                </c:pt>
                <c:pt idx="3971">
                  <c:v>808.4157100000001</c:v>
                </c:pt>
                <c:pt idx="3972">
                  <c:v>808.41703000000007</c:v>
                </c:pt>
                <c:pt idx="3973">
                  <c:v>808.41836000000012</c:v>
                </c:pt>
                <c:pt idx="3974">
                  <c:v>808.41969000000006</c:v>
                </c:pt>
                <c:pt idx="3975">
                  <c:v>808.42101000000002</c:v>
                </c:pt>
                <c:pt idx="3976">
                  <c:v>808.42234000000008</c:v>
                </c:pt>
                <c:pt idx="3977">
                  <c:v>808.42367000000002</c:v>
                </c:pt>
                <c:pt idx="3978">
                  <c:v>808.42499000000009</c:v>
                </c:pt>
                <c:pt idx="3979">
                  <c:v>808.42632000000003</c:v>
                </c:pt>
                <c:pt idx="3980">
                  <c:v>808.42765000000009</c:v>
                </c:pt>
                <c:pt idx="3981">
                  <c:v>808.42897000000005</c:v>
                </c:pt>
                <c:pt idx="3982">
                  <c:v>808.4303000000001</c:v>
                </c:pt>
                <c:pt idx="3983">
                  <c:v>808.43163000000004</c:v>
                </c:pt>
                <c:pt idx="3984">
                  <c:v>808.43295000000012</c:v>
                </c:pt>
                <c:pt idx="3985">
                  <c:v>808.43428000000006</c:v>
                </c:pt>
                <c:pt idx="3986">
                  <c:v>808.43561000000011</c:v>
                </c:pt>
                <c:pt idx="3987">
                  <c:v>808.43693000000007</c:v>
                </c:pt>
                <c:pt idx="3988">
                  <c:v>808.43826000000001</c:v>
                </c:pt>
                <c:pt idx="3989">
                  <c:v>808.43959000000007</c:v>
                </c:pt>
                <c:pt idx="3990">
                  <c:v>808.44092000000012</c:v>
                </c:pt>
                <c:pt idx="3991">
                  <c:v>808.44225000000006</c:v>
                </c:pt>
                <c:pt idx="3992">
                  <c:v>808.44358000000011</c:v>
                </c:pt>
                <c:pt idx="3993">
                  <c:v>808.44491000000005</c:v>
                </c:pt>
                <c:pt idx="3994">
                  <c:v>808.4462400000001</c:v>
                </c:pt>
                <c:pt idx="3995">
                  <c:v>808.44757000000004</c:v>
                </c:pt>
                <c:pt idx="3996">
                  <c:v>808.44890000000009</c:v>
                </c:pt>
                <c:pt idx="3997">
                  <c:v>808.45022000000006</c:v>
                </c:pt>
                <c:pt idx="3998">
                  <c:v>808.45154000000002</c:v>
                </c:pt>
                <c:pt idx="3999">
                  <c:v>808.4528600000001</c:v>
                </c:pt>
                <c:pt idx="4000">
                  <c:v>808.45419000000004</c:v>
                </c:pt>
                <c:pt idx="4001">
                  <c:v>808.45552000000009</c:v>
                </c:pt>
                <c:pt idx="4002">
                  <c:v>808.45685000000003</c:v>
                </c:pt>
                <c:pt idx="4003">
                  <c:v>808.45817000000011</c:v>
                </c:pt>
                <c:pt idx="4004">
                  <c:v>808.45949000000007</c:v>
                </c:pt>
                <c:pt idx="4005">
                  <c:v>808.46081000000004</c:v>
                </c:pt>
                <c:pt idx="4006">
                  <c:v>808.46213000000012</c:v>
                </c:pt>
                <c:pt idx="4007">
                  <c:v>808.46346000000005</c:v>
                </c:pt>
                <c:pt idx="4008">
                  <c:v>808.46479000000011</c:v>
                </c:pt>
                <c:pt idx="4009">
                  <c:v>808.46612000000005</c:v>
                </c:pt>
                <c:pt idx="4010">
                  <c:v>808.4674500000001</c:v>
                </c:pt>
                <c:pt idx="4011">
                  <c:v>808.46878000000004</c:v>
                </c:pt>
                <c:pt idx="4012">
                  <c:v>808.47010000000012</c:v>
                </c:pt>
                <c:pt idx="4013">
                  <c:v>808.47142000000008</c:v>
                </c:pt>
                <c:pt idx="4014">
                  <c:v>808.47274000000004</c:v>
                </c:pt>
                <c:pt idx="4015">
                  <c:v>808.4740700000001</c:v>
                </c:pt>
                <c:pt idx="4016">
                  <c:v>808.47540000000004</c:v>
                </c:pt>
                <c:pt idx="4017">
                  <c:v>808.47673000000009</c:v>
                </c:pt>
                <c:pt idx="4018">
                  <c:v>808.47806000000003</c:v>
                </c:pt>
                <c:pt idx="4019">
                  <c:v>808.47938000000011</c:v>
                </c:pt>
                <c:pt idx="4020">
                  <c:v>808.48070000000007</c:v>
                </c:pt>
                <c:pt idx="4021">
                  <c:v>808.48202000000003</c:v>
                </c:pt>
                <c:pt idx="4022">
                  <c:v>808.48335000000009</c:v>
                </c:pt>
                <c:pt idx="4023">
                  <c:v>808.48468000000003</c:v>
                </c:pt>
                <c:pt idx="4024">
                  <c:v>808.48601000000008</c:v>
                </c:pt>
                <c:pt idx="4025">
                  <c:v>808.48733000000004</c:v>
                </c:pt>
                <c:pt idx="4026">
                  <c:v>808.4886600000001</c:v>
                </c:pt>
                <c:pt idx="4027">
                  <c:v>808.48998000000006</c:v>
                </c:pt>
                <c:pt idx="4028">
                  <c:v>808.49130000000002</c:v>
                </c:pt>
                <c:pt idx="4029">
                  <c:v>808.4926200000001</c:v>
                </c:pt>
                <c:pt idx="4030">
                  <c:v>808.49395000000004</c:v>
                </c:pt>
                <c:pt idx="4031">
                  <c:v>808.49528000000009</c:v>
                </c:pt>
                <c:pt idx="4032">
                  <c:v>808.49661000000003</c:v>
                </c:pt>
                <c:pt idx="4033">
                  <c:v>808.49794000000009</c:v>
                </c:pt>
                <c:pt idx="4034">
                  <c:v>808.49926000000005</c:v>
                </c:pt>
                <c:pt idx="4035">
                  <c:v>808.50058000000001</c:v>
                </c:pt>
                <c:pt idx="4036">
                  <c:v>808.50190000000009</c:v>
                </c:pt>
                <c:pt idx="4037">
                  <c:v>808.50323000000003</c:v>
                </c:pt>
                <c:pt idx="4038">
                  <c:v>808.50589000000002</c:v>
                </c:pt>
                <c:pt idx="4039">
                  <c:v>808.50722000000007</c:v>
                </c:pt>
                <c:pt idx="4040">
                  <c:v>808.50855000000001</c:v>
                </c:pt>
                <c:pt idx="4041">
                  <c:v>808.50987000000009</c:v>
                </c:pt>
                <c:pt idx="4042">
                  <c:v>808.51119000000006</c:v>
                </c:pt>
                <c:pt idx="4043">
                  <c:v>808.51251000000002</c:v>
                </c:pt>
                <c:pt idx="4044">
                  <c:v>808.51384000000007</c:v>
                </c:pt>
                <c:pt idx="4045">
                  <c:v>808.51517000000001</c:v>
                </c:pt>
                <c:pt idx="4046">
                  <c:v>808.51650000000006</c:v>
                </c:pt>
                <c:pt idx="4047">
                  <c:v>808.51783000000012</c:v>
                </c:pt>
                <c:pt idx="4048">
                  <c:v>808.51915000000008</c:v>
                </c:pt>
                <c:pt idx="4049">
                  <c:v>808.52047000000005</c:v>
                </c:pt>
                <c:pt idx="4050">
                  <c:v>808.52179000000001</c:v>
                </c:pt>
                <c:pt idx="4051">
                  <c:v>808.52312000000006</c:v>
                </c:pt>
                <c:pt idx="4052">
                  <c:v>808.52445000000012</c:v>
                </c:pt>
                <c:pt idx="4053">
                  <c:v>808.52578000000005</c:v>
                </c:pt>
                <c:pt idx="4054">
                  <c:v>808.52711000000011</c:v>
                </c:pt>
                <c:pt idx="4055">
                  <c:v>808.52843000000007</c:v>
                </c:pt>
                <c:pt idx="4056">
                  <c:v>808.52975000000004</c:v>
                </c:pt>
                <c:pt idx="4057">
                  <c:v>808.53107000000011</c:v>
                </c:pt>
                <c:pt idx="4058">
                  <c:v>808.53239000000008</c:v>
                </c:pt>
                <c:pt idx="4059">
                  <c:v>808.53372000000002</c:v>
                </c:pt>
                <c:pt idx="4060">
                  <c:v>808.53505000000007</c:v>
                </c:pt>
                <c:pt idx="4061">
                  <c:v>808.53638000000012</c:v>
                </c:pt>
                <c:pt idx="4062">
                  <c:v>808.53771000000006</c:v>
                </c:pt>
                <c:pt idx="4063">
                  <c:v>808.53903000000003</c:v>
                </c:pt>
                <c:pt idx="4064">
                  <c:v>808.54036000000008</c:v>
                </c:pt>
                <c:pt idx="4065">
                  <c:v>808.54169000000002</c:v>
                </c:pt>
                <c:pt idx="4066">
                  <c:v>808.54302000000007</c:v>
                </c:pt>
                <c:pt idx="4067">
                  <c:v>808.54435000000012</c:v>
                </c:pt>
                <c:pt idx="4068">
                  <c:v>808.54568000000006</c:v>
                </c:pt>
                <c:pt idx="4069">
                  <c:v>808.54701000000011</c:v>
                </c:pt>
                <c:pt idx="4070">
                  <c:v>808.54833000000008</c:v>
                </c:pt>
                <c:pt idx="4071">
                  <c:v>808.54965000000004</c:v>
                </c:pt>
                <c:pt idx="4072">
                  <c:v>808.55097000000012</c:v>
                </c:pt>
                <c:pt idx="4073">
                  <c:v>808.55229000000008</c:v>
                </c:pt>
                <c:pt idx="4074">
                  <c:v>808.55361000000005</c:v>
                </c:pt>
                <c:pt idx="4075">
                  <c:v>808.55493000000001</c:v>
                </c:pt>
                <c:pt idx="4076">
                  <c:v>808.55625000000009</c:v>
                </c:pt>
                <c:pt idx="4077">
                  <c:v>808.55757000000006</c:v>
                </c:pt>
                <c:pt idx="4078">
                  <c:v>808.55889000000002</c:v>
                </c:pt>
                <c:pt idx="4079">
                  <c:v>808.56022000000007</c:v>
                </c:pt>
                <c:pt idx="4080">
                  <c:v>808.56155000000001</c:v>
                </c:pt>
                <c:pt idx="4081">
                  <c:v>808.56288000000006</c:v>
                </c:pt>
                <c:pt idx="4082">
                  <c:v>808.56421000000012</c:v>
                </c:pt>
                <c:pt idx="4083">
                  <c:v>808.56554000000006</c:v>
                </c:pt>
                <c:pt idx="4084">
                  <c:v>808.56686000000002</c:v>
                </c:pt>
                <c:pt idx="4085">
                  <c:v>808.5681800000001</c:v>
                </c:pt>
                <c:pt idx="4086">
                  <c:v>808.56950000000006</c:v>
                </c:pt>
                <c:pt idx="4087">
                  <c:v>808.57082000000003</c:v>
                </c:pt>
                <c:pt idx="4088">
                  <c:v>808.5721400000001</c:v>
                </c:pt>
                <c:pt idx="4089">
                  <c:v>808.57346000000007</c:v>
                </c:pt>
                <c:pt idx="4090">
                  <c:v>808.57478000000003</c:v>
                </c:pt>
                <c:pt idx="4091">
                  <c:v>808.57610000000011</c:v>
                </c:pt>
                <c:pt idx="4092">
                  <c:v>808.57742000000007</c:v>
                </c:pt>
                <c:pt idx="4093">
                  <c:v>808.57875000000001</c:v>
                </c:pt>
                <c:pt idx="4094">
                  <c:v>808.58008000000007</c:v>
                </c:pt>
                <c:pt idx="4095">
                  <c:v>808.58140000000003</c:v>
                </c:pt>
                <c:pt idx="4096">
                  <c:v>808.58273000000008</c:v>
                </c:pt>
                <c:pt idx="4097">
                  <c:v>808.58406000000002</c:v>
                </c:pt>
                <c:pt idx="4098">
                  <c:v>808.58539000000007</c:v>
                </c:pt>
                <c:pt idx="4099">
                  <c:v>808.58671000000004</c:v>
                </c:pt>
                <c:pt idx="4100">
                  <c:v>808.58803000000012</c:v>
                </c:pt>
                <c:pt idx="4101">
                  <c:v>808.58935000000008</c:v>
                </c:pt>
                <c:pt idx="4102">
                  <c:v>808.59067000000005</c:v>
                </c:pt>
                <c:pt idx="4103">
                  <c:v>808.59199000000001</c:v>
                </c:pt>
                <c:pt idx="4104">
                  <c:v>808.59331000000009</c:v>
                </c:pt>
                <c:pt idx="4105">
                  <c:v>808.59463000000005</c:v>
                </c:pt>
                <c:pt idx="4106">
                  <c:v>808.59595000000002</c:v>
                </c:pt>
                <c:pt idx="4107">
                  <c:v>808.59727000000009</c:v>
                </c:pt>
                <c:pt idx="4108">
                  <c:v>808.59859000000006</c:v>
                </c:pt>
                <c:pt idx="4109">
                  <c:v>808.59992000000011</c:v>
                </c:pt>
                <c:pt idx="4110">
                  <c:v>808.60125000000005</c:v>
                </c:pt>
                <c:pt idx="4111">
                  <c:v>808.6025800000001</c:v>
                </c:pt>
                <c:pt idx="4112">
                  <c:v>808.60391000000004</c:v>
                </c:pt>
                <c:pt idx="4113">
                  <c:v>808.60524000000009</c:v>
                </c:pt>
                <c:pt idx="4114">
                  <c:v>808.60656000000006</c:v>
                </c:pt>
                <c:pt idx="4115">
                  <c:v>808.60788000000002</c:v>
                </c:pt>
                <c:pt idx="4116">
                  <c:v>808.6092000000001</c:v>
                </c:pt>
                <c:pt idx="4117">
                  <c:v>808.61052000000007</c:v>
                </c:pt>
                <c:pt idx="4118">
                  <c:v>808.61184000000003</c:v>
                </c:pt>
                <c:pt idx="4119">
                  <c:v>808.61316000000011</c:v>
                </c:pt>
                <c:pt idx="4120">
                  <c:v>808.61448000000007</c:v>
                </c:pt>
                <c:pt idx="4121">
                  <c:v>808.61580000000004</c:v>
                </c:pt>
                <c:pt idx="4122">
                  <c:v>808.61712000000011</c:v>
                </c:pt>
                <c:pt idx="4123">
                  <c:v>808.61845000000005</c:v>
                </c:pt>
                <c:pt idx="4124">
                  <c:v>808.61978000000011</c:v>
                </c:pt>
                <c:pt idx="4125">
                  <c:v>808.62110000000007</c:v>
                </c:pt>
                <c:pt idx="4126">
                  <c:v>808.62243000000012</c:v>
                </c:pt>
                <c:pt idx="4127">
                  <c:v>808.62376000000006</c:v>
                </c:pt>
                <c:pt idx="4128">
                  <c:v>808.62509000000011</c:v>
                </c:pt>
                <c:pt idx="4129">
                  <c:v>808.62641000000008</c:v>
                </c:pt>
                <c:pt idx="4130">
                  <c:v>808.62773000000004</c:v>
                </c:pt>
                <c:pt idx="4131">
                  <c:v>808.62905000000012</c:v>
                </c:pt>
                <c:pt idx="4132">
                  <c:v>808.63037000000008</c:v>
                </c:pt>
                <c:pt idx="4133">
                  <c:v>808.63169000000005</c:v>
                </c:pt>
                <c:pt idx="4134">
                  <c:v>808.63301000000001</c:v>
                </c:pt>
                <c:pt idx="4135">
                  <c:v>808.63433000000009</c:v>
                </c:pt>
                <c:pt idx="4136">
                  <c:v>808.63565000000006</c:v>
                </c:pt>
                <c:pt idx="4137">
                  <c:v>808.63697000000002</c:v>
                </c:pt>
                <c:pt idx="4138">
                  <c:v>808.6382900000001</c:v>
                </c:pt>
                <c:pt idx="4139">
                  <c:v>808.63962000000004</c:v>
                </c:pt>
                <c:pt idx="4140">
                  <c:v>808.64094000000011</c:v>
                </c:pt>
                <c:pt idx="4141">
                  <c:v>808.64226000000008</c:v>
                </c:pt>
                <c:pt idx="4142">
                  <c:v>808.64358000000004</c:v>
                </c:pt>
                <c:pt idx="4143">
                  <c:v>808.6449100000001</c:v>
                </c:pt>
                <c:pt idx="4144">
                  <c:v>808.64623000000006</c:v>
                </c:pt>
                <c:pt idx="4145">
                  <c:v>808.64755000000002</c:v>
                </c:pt>
                <c:pt idx="4146">
                  <c:v>808.6488700000001</c:v>
                </c:pt>
                <c:pt idx="4147">
                  <c:v>808.65019000000007</c:v>
                </c:pt>
                <c:pt idx="4148">
                  <c:v>808.65151000000003</c:v>
                </c:pt>
                <c:pt idx="4149">
                  <c:v>808.65283000000011</c:v>
                </c:pt>
                <c:pt idx="4150">
                  <c:v>808.65416000000005</c:v>
                </c:pt>
                <c:pt idx="4151">
                  <c:v>808.65548000000001</c:v>
                </c:pt>
                <c:pt idx="4152">
                  <c:v>808.65680000000009</c:v>
                </c:pt>
                <c:pt idx="4153">
                  <c:v>808.65812000000005</c:v>
                </c:pt>
                <c:pt idx="4154">
                  <c:v>808.65945000000011</c:v>
                </c:pt>
                <c:pt idx="4155">
                  <c:v>808.66077000000007</c:v>
                </c:pt>
                <c:pt idx="4156">
                  <c:v>808.66209000000003</c:v>
                </c:pt>
                <c:pt idx="4157">
                  <c:v>808.66341000000011</c:v>
                </c:pt>
                <c:pt idx="4158">
                  <c:v>808.66474000000005</c:v>
                </c:pt>
                <c:pt idx="4159">
                  <c:v>808.66606000000002</c:v>
                </c:pt>
                <c:pt idx="4160">
                  <c:v>808.66738000000009</c:v>
                </c:pt>
                <c:pt idx="4161">
                  <c:v>808.66870000000006</c:v>
                </c:pt>
                <c:pt idx="4162">
                  <c:v>808.67002000000002</c:v>
                </c:pt>
                <c:pt idx="4163">
                  <c:v>808.6713400000001</c:v>
                </c:pt>
                <c:pt idx="4164">
                  <c:v>808.67266000000006</c:v>
                </c:pt>
                <c:pt idx="4165">
                  <c:v>808.67399000000012</c:v>
                </c:pt>
                <c:pt idx="4166">
                  <c:v>808.67531000000008</c:v>
                </c:pt>
                <c:pt idx="4167">
                  <c:v>808.67663000000005</c:v>
                </c:pt>
                <c:pt idx="4168">
                  <c:v>808.67795000000001</c:v>
                </c:pt>
                <c:pt idx="4169">
                  <c:v>808.67928000000006</c:v>
                </c:pt>
                <c:pt idx="4170">
                  <c:v>808.68060000000003</c:v>
                </c:pt>
                <c:pt idx="4171">
                  <c:v>808.6819200000001</c:v>
                </c:pt>
                <c:pt idx="4172">
                  <c:v>808.68324000000007</c:v>
                </c:pt>
                <c:pt idx="4173">
                  <c:v>808.68457000000012</c:v>
                </c:pt>
                <c:pt idx="4174">
                  <c:v>808.68589000000009</c:v>
                </c:pt>
                <c:pt idx="4175">
                  <c:v>808.68721000000005</c:v>
                </c:pt>
                <c:pt idx="4176">
                  <c:v>808.6885400000001</c:v>
                </c:pt>
                <c:pt idx="4177">
                  <c:v>808.68986000000007</c:v>
                </c:pt>
                <c:pt idx="4178">
                  <c:v>808.69118000000003</c:v>
                </c:pt>
                <c:pt idx="4179">
                  <c:v>808.69250000000011</c:v>
                </c:pt>
                <c:pt idx="4180">
                  <c:v>808.69383000000005</c:v>
                </c:pt>
                <c:pt idx="4181">
                  <c:v>808.69515000000001</c:v>
                </c:pt>
                <c:pt idx="4182">
                  <c:v>808.69647000000009</c:v>
                </c:pt>
                <c:pt idx="4183">
                  <c:v>808.69779000000005</c:v>
                </c:pt>
                <c:pt idx="4184">
                  <c:v>808.69912000000011</c:v>
                </c:pt>
                <c:pt idx="4185">
                  <c:v>808.70044000000007</c:v>
                </c:pt>
                <c:pt idx="4186">
                  <c:v>808.70176000000004</c:v>
                </c:pt>
                <c:pt idx="4187">
                  <c:v>808.70308000000011</c:v>
                </c:pt>
                <c:pt idx="4188">
                  <c:v>808.70440000000008</c:v>
                </c:pt>
                <c:pt idx="4189">
                  <c:v>808.70572000000004</c:v>
                </c:pt>
                <c:pt idx="4190">
                  <c:v>808.70704000000012</c:v>
                </c:pt>
                <c:pt idx="4191">
                  <c:v>808.70837000000006</c:v>
                </c:pt>
                <c:pt idx="4192">
                  <c:v>808.70969000000002</c:v>
                </c:pt>
                <c:pt idx="4193">
                  <c:v>808.7110100000001</c:v>
                </c:pt>
                <c:pt idx="4194">
                  <c:v>808.71233000000007</c:v>
                </c:pt>
                <c:pt idx="4195">
                  <c:v>808.71366000000012</c:v>
                </c:pt>
                <c:pt idx="4196">
                  <c:v>808.71498000000008</c:v>
                </c:pt>
                <c:pt idx="4197">
                  <c:v>808.71625000000006</c:v>
                </c:pt>
                <c:pt idx="4198">
                  <c:v>808.71762000000001</c:v>
                </c:pt>
                <c:pt idx="4199">
                  <c:v>808.71895000000006</c:v>
                </c:pt>
                <c:pt idx="4200">
                  <c:v>808.72027000000003</c:v>
                </c:pt>
                <c:pt idx="4201">
                  <c:v>808.72159000000011</c:v>
                </c:pt>
                <c:pt idx="4202">
                  <c:v>808.72291000000007</c:v>
                </c:pt>
                <c:pt idx="4203">
                  <c:v>808.72423000000003</c:v>
                </c:pt>
                <c:pt idx="4204">
                  <c:v>808.72555000000011</c:v>
                </c:pt>
                <c:pt idx="4205">
                  <c:v>808.72687000000008</c:v>
                </c:pt>
                <c:pt idx="4206">
                  <c:v>808.72820000000002</c:v>
                </c:pt>
                <c:pt idx="4207">
                  <c:v>808.72952000000009</c:v>
                </c:pt>
                <c:pt idx="4208">
                  <c:v>808.73084000000006</c:v>
                </c:pt>
                <c:pt idx="4209">
                  <c:v>808.73216000000002</c:v>
                </c:pt>
                <c:pt idx="4210">
                  <c:v>808.7334800000001</c:v>
                </c:pt>
                <c:pt idx="4211">
                  <c:v>808.73480000000006</c:v>
                </c:pt>
                <c:pt idx="4212">
                  <c:v>808.73612000000003</c:v>
                </c:pt>
                <c:pt idx="4213">
                  <c:v>808.73744000000011</c:v>
                </c:pt>
                <c:pt idx="4214">
                  <c:v>808.73876000000007</c:v>
                </c:pt>
                <c:pt idx="4215">
                  <c:v>808.74008000000003</c:v>
                </c:pt>
                <c:pt idx="4216">
                  <c:v>808.74140000000011</c:v>
                </c:pt>
                <c:pt idx="4217">
                  <c:v>808.74404000000004</c:v>
                </c:pt>
                <c:pt idx="4218">
                  <c:v>808.74537000000009</c:v>
                </c:pt>
                <c:pt idx="4219">
                  <c:v>808.74669000000006</c:v>
                </c:pt>
                <c:pt idx="4220">
                  <c:v>808.74801000000002</c:v>
                </c:pt>
                <c:pt idx="4221">
                  <c:v>808.7493300000001</c:v>
                </c:pt>
                <c:pt idx="4222">
                  <c:v>808.75065000000006</c:v>
                </c:pt>
                <c:pt idx="4223">
                  <c:v>808.75197000000003</c:v>
                </c:pt>
                <c:pt idx="4224">
                  <c:v>808.75329000000011</c:v>
                </c:pt>
                <c:pt idx="4225">
                  <c:v>808.7546000000001</c:v>
                </c:pt>
                <c:pt idx="4226">
                  <c:v>808.75592000000006</c:v>
                </c:pt>
                <c:pt idx="4227">
                  <c:v>808.75724000000002</c:v>
                </c:pt>
                <c:pt idx="4228">
                  <c:v>808.7585600000001</c:v>
                </c:pt>
                <c:pt idx="4229">
                  <c:v>808.75988000000007</c:v>
                </c:pt>
                <c:pt idx="4230">
                  <c:v>808.76120000000003</c:v>
                </c:pt>
                <c:pt idx="4231">
                  <c:v>808.76252000000011</c:v>
                </c:pt>
                <c:pt idx="4232">
                  <c:v>808.76384000000007</c:v>
                </c:pt>
                <c:pt idx="4233">
                  <c:v>808.76516000000004</c:v>
                </c:pt>
                <c:pt idx="4234">
                  <c:v>808.76648000000012</c:v>
                </c:pt>
                <c:pt idx="4235">
                  <c:v>808.76780000000008</c:v>
                </c:pt>
                <c:pt idx="4236">
                  <c:v>808.76912000000004</c:v>
                </c:pt>
                <c:pt idx="4237">
                  <c:v>808.77044000000012</c:v>
                </c:pt>
                <c:pt idx="4238">
                  <c:v>808.77176000000009</c:v>
                </c:pt>
                <c:pt idx="4239">
                  <c:v>808.77308000000005</c:v>
                </c:pt>
                <c:pt idx="4240">
                  <c:v>808.77439000000004</c:v>
                </c:pt>
                <c:pt idx="4241">
                  <c:v>808.77571000000012</c:v>
                </c:pt>
                <c:pt idx="4242">
                  <c:v>808.77703000000008</c:v>
                </c:pt>
                <c:pt idx="4243">
                  <c:v>808.77835000000005</c:v>
                </c:pt>
                <c:pt idx="4244">
                  <c:v>808.77967000000001</c:v>
                </c:pt>
                <c:pt idx="4245">
                  <c:v>808.78099000000009</c:v>
                </c:pt>
                <c:pt idx="4246">
                  <c:v>808.78231000000005</c:v>
                </c:pt>
                <c:pt idx="4247">
                  <c:v>808.78363000000002</c:v>
                </c:pt>
                <c:pt idx="4248">
                  <c:v>808.78495000000009</c:v>
                </c:pt>
                <c:pt idx="4249">
                  <c:v>808.78627000000006</c:v>
                </c:pt>
                <c:pt idx="4250">
                  <c:v>808.78759000000002</c:v>
                </c:pt>
                <c:pt idx="4251">
                  <c:v>808.7889100000001</c:v>
                </c:pt>
                <c:pt idx="4252">
                  <c:v>808.79023000000007</c:v>
                </c:pt>
                <c:pt idx="4253">
                  <c:v>808.79155000000003</c:v>
                </c:pt>
                <c:pt idx="4254">
                  <c:v>808.79287000000011</c:v>
                </c:pt>
                <c:pt idx="4255">
                  <c:v>808.79419000000007</c:v>
                </c:pt>
                <c:pt idx="4256">
                  <c:v>808.79551000000004</c:v>
                </c:pt>
                <c:pt idx="4257">
                  <c:v>808.79683000000011</c:v>
                </c:pt>
                <c:pt idx="4258">
                  <c:v>808.79815000000008</c:v>
                </c:pt>
                <c:pt idx="4259">
                  <c:v>808.79947000000004</c:v>
                </c:pt>
                <c:pt idx="4260">
                  <c:v>808.82456000000002</c:v>
                </c:pt>
                <c:pt idx="4261">
                  <c:v>808.8258800000001</c:v>
                </c:pt>
                <c:pt idx="4262">
                  <c:v>808.82720000000006</c:v>
                </c:pt>
                <c:pt idx="4263">
                  <c:v>808.82852000000003</c:v>
                </c:pt>
                <c:pt idx="4264">
                  <c:v>808.8298400000001</c:v>
                </c:pt>
                <c:pt idx="4265">
                  <c:v>808.83116000000007</c:v>
                </c:pt>
                <c:pt idx="4266">
                  <c:v>808.83247000000006</c:v>
                </c:pt>
                <c:pt idx="4267">
                  <c:v>808.83379000000002</c:v>
                </c:pt>
                <c:pt idx="4268">
                  <c:v>808.8351100000001</c:v>
                </c:pt>
                <c:pt idx="4269">
                  <c:v>808.83642000000009</c:v>
                </c:pt>
                <c:pt idx="4270">
                  <c:v>808.83774000000005</c:v>
                </c:pt>
                <c:pt idx="4271">
                  <c:v>808.83906000000002</c:v>
                </c:pt>
                <c:pt idx="4272">
                  <c:v>808.84037000000012</c:v>
                </c:pt>
                <c:pt idx="4273">
                  <c:v>808.84169000000009</c:v>
                </c:pt>
                <c:pt idx="4274">
                  <c:v>808.84301000000005</c:v>
                </c:pt>
                <c:pt idx="4275">
                  <c:v>808.84432000000004</c:v>
                </c:pt>
                <c:pt idx="4276">
                  <c:v>808.84564000000012</c:v>
                </c:pt>
                <c:pt idx="4277">
                  <c:v>808.84695000000011</c:v>
                </c:pt>
                <c:pt idx="4278">
                  <c:v>808.8482600000001</c:v>
                </c:pt>
                <c:pt idx="4279">
                  <c:v>808.84958000000006</c:v>
                </c:pt>
                <c:pt idx="4280">
                  <c:v>808.85090000000002</c:v>
                </c:pt>
                <c:pt idx="4281">
                  <c:v>808.85221000000001</c:v>
                </c:pt>
                <c:pt idx="4282">
                  <c:v>808.85353000000009</c:v>
                </c:pt>
                <c:pt idx="4283">
                  <c:v>808.85485000000006</c:v>
                </c:pt>
                <c:pt idx="4284">
                  <c:v>808.85616000000005</c:v>
                </c:pt>
                <c:pt idx="4285">
                  <c:v>808.85748000000001</c:v>
                </c:pt>
                <c:pt idx="4286">
                  <c:v>808.85880000000009</c:v>
                </c:pt>
                <c:pt idx="4287">
                  <c:v>808.86011000000008</c:v>
                </c:pt>
                <c:pt idx="4288">
                  <c:v>808.86143000000004</c:v>
                </c:pt>
                <c:pt idx="4289">
                  <c:v>808.86275000000012</c:v>
                </c:pt>
                <c:pt idx="4290">
                  <c:v>808.86406000000011</c:v>
                </c:pt>
                <c:pt idx="4291">
                  <c:v>808.86538000000007</c:v>
                </c:pt>
                <c:pt idx="4292">
                  <c:v>808.86670000000004</c:v>
                </c:pt>
                <c:pt idx="4293">
                  <c:v>808.86801000000003</c:v>
                </c:pt>
                <c:pt idx="4294">
                  <c:v>808.8693300000001</c:v>
                </c:pt>
                <c:pt idx="4295">
                  <c:v>808.87065000000007</c:v>
                </c:pt>
                <c:pt idx="4296">
                  <c:v>808.87196000000006</c:v>
                </c:pt>
                <c:pt idx="4297">
                  <c:v>808.87328000000002</c:v>
                </c:pt>
                <c:pt idx="4298">
                  <c:v>808.87459000000001</c:v>
                </c:pt>
                <c:pt idx="4299">
                  <c:v>808.87590000000012</c:v>
                </c:pt>
                <c:pt idx="4300">
                  <c:v>808.87722000000008</c:v>
                </c:pt>
                <c:pt idx="4301">
                  <c:v>808.87854000000004</c:v>
                </c:pt>
                <c:pt idx="4302">
                  <c:v>808.87985000000003</c:v>
                </c:pt>
                <c:pt idx="4303">
                  <c:v>808.89961000000005</c:v>
                </c:pt>
                <c:pt idx="4304">
                  <c:v>808.90093000000002</c:v>
                </c:pt>
                <c:pt idx="4305">
                  <c:v>808.90225000000009</c:v>
                </c:pt>
                <c:pt idx="4306">
                  <c:v>808.90356000000008</c:v>
                </c:pt>
                <c:pt idx="4307">
                  <c:v>808.90488000000005</c:v>
                </c:pt>
                <c:pt idx="4308">
                  <c:v>808.90620000000001</c:v>
                </c:pt>
                <c:pt idx="4309">
                  <c:v>808.90751000000012</c:v>
                </c:pt>
                <c:pt idx="4310">
                  <c:v>808.90883000000008</c:v>
                </c:pt>
                <c:pt idx="4311">
                  <c:v>808.91015000000004</c:v>
                </c:pt>
                <c:pt idx="4312">
                  <c:v>808.91146000000003</c:v>
                </c:pt>
                <c:pt idx="4313">
                  <c:v>808.91278000000011</c:v>
                </c:pt>
                <c:pt idx="4314">
                  <c:v>808.91410000000008</c:v>
                </c:pt>
                <c:pt idx="4315">
                  <c:v>808.91541000000007</c:v>
                </c:pt>
                <c:pt idx="4316">
                  <c:v>808.91673000000003</c:v>
                </c:pt>
                <c:pt idx="4317">
                  <c:v>808.91805000000011</c:v>
                </c:pt>
                <c:pt idx="4318">
                  <c:v>808.9193600000001</c:v>
                </c:pt>
                <c:pt idx="4319">
                  <c:v>808.92068000000006</c:v>
                </c:pt>
                <c:pt idx="4320">
                  <c:v>808.92200000000003</c:v>
                </c:pt>
                <c:pt idx="4321">
                  <c:v>808.92331000000001</c:v>
                </c:pt>
                <c:pt idx="4322">
                  <c:v>808.92463000000009</c:v>
                </c:pt>
                <c:pt idx="4323">
                  <c:v>808.92595000000006</c:v>
                </c:pt>
                <c:pt idx="4324">
                  <c:v>808.92726000000005</c:v>
                </c:pt>
                <c:pt idx="4325">
                  <c:v>808.92858000000001</c:v>
                </c:pt>
                <c:pt idx="4326">
                  <c:v>808.92990000000009</c:v>
                </c:pt>
                <c:pt idx="4327">
                  <c:v>808.93121000000008</c:v>
                </c:pt>
                <c:pt idx="4328">
                  <c:v>808.93253000000004</c:v>
                </c:pt>
                <c:pt idx="4329">
                  <c:v>808.93385000000012</c:v>
                </c:pt>
                <c:pt idx="4330">
                  <c:v>808.93516000000011</c:v>
                </c:pt>
                <c:pt idx="4331">
                  <c:v>808.93648000000007</c:v>
                </c:pt>
                <c:pt idx="4332">
                  <c:v>808.93780000000004</c:v>
                </c:pt>
                <c:pt idx="4333">
                  <c:v>808.93912000000012</c:v>
                </c:pt>
                <c:pt idx="4334">
                  <c:v>808.94044000000008</c:v>
                </c:pt>
                <c:pt idx="4335">
                  <c:v>808.94175000000007</c:v>
                </c:pt>
                <c:pt idx="4336">
                  <c:v>808.94306000000006</c:v>
                </c:pt>
                <c:pt idx="4337">
                  <c:v>808.94437000000005</c:v>
                </c:pt>
                <c:pt idx="4338">
                  <c:v>808.94569000000001</c:v>
                </c:pt>
                <c:pt idx="4339">
                  <c:v>808.94701000000009</c:v>
                </c:pt>
                <c:pt idx="4340">
                  <c:v>808.94833000000006</c:v>
                </c:pt>
                <c:pt idx="4341">
                  <c:v>808.94965000000002</c:v>
                </c:pt>
                <c:pt idx="4342">
                  <c:v>808.9509700000001</c:v>
                </c:pt>
                <c:pt idx="4343">
                  <c:v>808.95228000000009</c:v>
                </c:pt>
                <c:pt idx="4344">
                  <c:v>808.95359000000008</c:v>
                </c:pt>
                <c:pt idx="4345">
                  <c:v>808.95490000000007</c:v>
                </c:pt>
                <c:pt idx="4346">
                  <c:v>808.95622000000003</c:v>
                </c:pt>
                <c:pt idx="4347">
                  <c:v>808.97464000000002</c:v>
                </c:pt>
                <c:pt idx="4348">
                  <c:v>808.9759600000001</c:v>
                </c:pt>
                <c:pt idx="4349">
                  <c:v>808.97728000000006</c:v>
                </c:pt>
                <c:pt idx="4350">
                  <c:v>808.97860000000003</c:v>
                </c:pt>
                <c:pt idx="4351">
                  <c:v>808.98124000000007</c:v>
                </c:pt>
                <c:pt idx="4352">
                  <c:v>808.98256000000003</c:v>
                </c:pt>
                <c:pt idx="4353">
                  <c:v>808.98387000000002</c:v>
                </c:pt>
                <c:pt idx="4354">
                  <c:v>808.9851900000001</c:v>
                </c:pt>
                <c:pt idx="4355">
                  <c:v>808.98651000000007</c:v>
                </c:pt>
                <c:pt idx="4356">
                  <c:v>808.98783000000003</c:v>
                </c:pt>
                <c:pt idx="4357">
                  <c:v>808.98915000000011</c:v>
                </c:pt>
                <c:pt idx="4358">
                  <c:v>808.99047000000007</c:v>
                </c:pt>
                <c:pt idx="4359">
                  <c:v>808.99178000000006</c:v>
                </c:pt>
                <c:pt idx="4360">
                  <c:v>808.99309000000005</c:v>
                </c:pt>
                <c:pt idx="4361">
                  <c:v>808.99440000000004</c:v>
                </c:pt>
                <c:pt idx="4362">
                  <c:v>808.99572000000012</c:v>
                </c:pt>
                <c:pt idx="4363">
                  <c:v>808.99704000000008</c:v>
                </c:pt>
                <c:pt idx="4364">
                  <c:v>808.99836000000005</c:v>
                </c:pt>
                <c:pt idx="4365">
                  <c:v>808.99968000000001</c:v>
                </c:pt>
                <c:pt idx="4366">
                  <c:v>809.00099000000012</c:v>
                </c:pt>
                <c:pt idx="4367">
                  <c:v>809.0023000000001</c:v>
                </c:pt>
                <c:pt idx="4368">
                  <c:v>809.00361000000009</c:v>
                </c:pt>
                <c:pt idx="4369">
                  <c:v>809.00492000000008</c:v>
                </c:pt>
                <c:pt idx="4370">
                  <c:v>809.00624000000005</c:v>
                </c:pt>
                <c:pt idx="4371">
                  <c:v>809.00756000000001</c:v>
                </c:pt>
                <c:pt idx="4372">
                  <c:v>809.00888000000009</c:v>
                </c:pt>
                <c:pt idx="4373">
                  <c:v>809.01020000000005</c:v>
                </c:pt>
                <c:pt idx="4374">
                  <c:v>809.01151000000004</c:v>
                </c:pt>
                <c:pt idx="4375">
                  <c:v>809.01282000000003</c:v>
                </c:pt>
                <c:pt idx="4376">
                  <c:v>809.01413000000002</c:v>
                </c:pt>
                <c:pt idx="4377">
                  <c:v>809.0154500000001</c:v>
                </c:pt>
                <c:pt idx="4378">
                  <c:v>809.01677000000007</c:v>
                </c:pt>
                <c:pt idx="4379">
                  <c:v>809.03519000000006</c:v>
                </c:pt>
                <c:pt idx="4380">
                  <c:v>809.03651000000002</c:v>
                </c:pt>
                <c:pt idx="4381">
                  <c:v>809.0378300000001</c:v>
                </c:pt>
                <c:pt idx="4382">
                  <c:v>809.03915000000006</c:v>
                </c:pt>
                <c:pt idx="4383">
                  <c:v>809.04047000000003</c:v>
                </c:pt>
                <c:pt idx="4384">
                  <c:v>809.04178000000002</c:v>
                </c:pt>
                <c:pt idx="4385">
                  <c:v>809.04309000000012</c:v>
                </c:pt>
                <c:pt idx="4386">
                  <c:v>809.04440000000011</c:v>
                </c:pt>
                <c:pt idx="4387">
                  <c:v>809.04572000000007</c:v>
                </c:pt>
                <c:pt idx="4388">
                  <c:v>809.04703000000006</c:v>
                </c:pt>
                <c:pt idx="4389">
                  <c:v>809.04834000000005</c:v>
                </c:pt>
                <c:pt idx="4390">
                  <c:v>809.04965000000004</c:v>
                </c:pt>
                <c:pt idx="4391">
                  <c:v>809.05096000000003</c:v>
                </c:pt>
                <c:pt idx="4392">
                  <c:v>809.05227000000002</c:v>
                </c:pt>
                <c:pt idx="4393">
                  <c:v>809.05358000000001</c:v>
                </c:pt>
                <c:pt idx="4394">
                  <c:v>809.05489000000011</c:v>
                </c:pt>
                <c:pt idx="4395">
                  <c:v>809.0562000000001</c:v>
                </c:pt>
                <c:pt idx="4396">
                  <c:v>809.05751000000009</c:v>
                </c:pt>
                <c:pt idx="4397">
                  <c:v>809.05883000000006</c:v>
                </c:pt>
                <c:pt idx="4398">
                  <c:v>809.06015000000002</c:v>
                </c:pt>
                <c:pt idx="4399">
                  <c:v>809.0614700000001</c:v>
                </c:pt>
                <c:pt idx="4400">
                  <c:v>809.06279000000006</c:v>
                </c:pt>
                <c:pt idx="4401">
                  <c:v>809.06411000000003</c:v>
                </c:pt>
                <c:pt idx="4402">
                  <c:v>809.06543000000011</c:v>
                </c:pt>
                <c:pt idx="4403">
                  <c:v>809.0667400000001</c:v>
                </c:pt>
                <c:pt idx="4404">
                  <c:v>809.06805000000008</c:v>
                </c:pt>
                <c:pt idx="4405">
                  <c:v>809.08382000000006</c:v>
                </c:pt>
                <c:pt idx="4406">
                  <c:v>809.08514000000002</c:v>
                </c:pt>
                <c:pt idx="4407">
                  <c:v>809.08645000000001</c:v>
                </c:pt>
                <c:pt idx="4408">
                  <c:v>809.08776000000012</c:v>
                </c:pt>
                <c:pt idx="4409">
                  <c:v>809.08907000000011</c:v>
                </c:pt>
                <c:pt idx="4410">
                  <c:v>809.0903800000001</c:v>
                </c:pt>
                <c:pt idx="4411">
                  <c:v>809.09169000000009</c:v>
                </c:pt>
                <c:pt idx="4412">
                  <c:v>809.09300000000007</c:v>
                </c:pt>
                <c:pt idx="4413">
                  <c:v>809.09431000000006</c:v>
                </c:pt>
                <c:pt idx="4414">
                  <c:v>809.09562000000005</c:v>
                </c:pt>
                <c:pt idx="4415">
                  <c:v>809.09693000000004</c:v>
                </c:pt>
                <c:pt idx="4416">
                  <c:v>809.09825000000012</c:v>
                </c:pt>
                <c:pt idx="4417">
                  <c:v>809.09957000000009</c:v>
                </c:pt>
                <c:pt idx="4418">
                  <c:v>809.10089000000005</c:v>
                </c:pt>
                <c:pt idx="4419">
                  <c:v>809.10221000000001</c:v>
                </c:pt>
                <c:pt idx="4420">
                  <c:v>809.10353000000009</c:v>
                </c:pt>
                <c:pt idx="4421">
                  <c:v>809.10485000000006</c:v>
                </c:pt>
                <c:pt idx="4422">
                  <c:v>809.10616000000005</c:v>
                </c:pt>
                <c:pt idx="4423">
                  <c:v>809.10747000000003</c:v>
                </c:pt>
                <c:pt idx="4424">
                  <c:v>809.10878000000002</c:v>
                </c:pt>
                <c:pt idx="4425">
                  <c:v>809.11009000000001</c:v>
                </c:pt>
                <c:pt idx="4426">
                  <c:v>809.11140000000012</c:v>
                </c:pt>
                <c:pt idx="4427">
                  <c:v>809.11271000000011</c:v>
                </c:pt>
                <c:pt idx="4428">
                  <c:v>809.12981000000002</c:v>
                </c:pt>
                <c:pt idx="4429">
                  <c:v>809.13112000000001</c:v>
                </c:pt>
                <c:pt idx="4430">
                  <c:v>809.13243000000011</c:v>
                </c:pt>
                <c:pt idx="4431">
                  <c:v>809.1337400000001</c:v>
                </c:pt>
                <c:pt idx="4432">
                  <c:v>809.13505000000009</c:v>
                </c:pt>
                <c:pt idx="4433">
                  <c:v>809.13636000000008</c:v>
                </c:pt>
                <c:pt idx="4434">
                  <c:v>809.13768000000005</c:v>
                </c:pt>
                <c:pt idx="4435">
                  <c:v>809.13900000000001</c:v>
                </c:pt>
                <c:pt idx="4436">
                  <c:v>809.14032000000009</c:v>
                </c:pt>
                <c:pt idx="4437">
                  <c:v>809.14164000000005</c:v>
                </c:pt>
                <c:pt idx="4438">
                  <c:v>809.14296000000002</c:v>
                </c:pt>
                <c:pt idx="4439">
                  <c:v>809.14428000000009</c:v>
                </c:pt>
                <c:pt idx="4440">
                  <c:v>809.14559000000008</c:v>
                </c:pt>
                <c:pt idx="4441">
                  <c:v>809.14690000000007</c:v>
                </c:pt>
                <c:pt idx="4442">
                  <c:v>809.14821000000006</c:v>
                </c:pt>
                <c:pt idx="4443">
                  <c:v>809.14952000000005</c:v>
                </c:pt>
                <c:pt idx="4444">
                  <c:v>809.15083000000004</c:v>
                </c:pt>
                <c:pt idx="4445">
                  <c:v>809.15214000000003</c:v>
                </c:pt>
                <c:pt idx="4446">
                  <c:v>809.15345000000002</c:v>
                </c:pt>
                <c:pt idx="4447">
                  <c:v>809.15476000000001</c:v>
                </c:pt>
                <c:pt idx="4448">
                  <c:v>809.15607000000011</c:v>
                </c:pt>
                <c:pt idx="4449">
                  <c:v>809.15739000000008</c:v>
                </c:pt>
                <c:pt idx="4450">
                  <c:v>809.15871000000004</c:v>
                </c:pt>
                <c:pt idx="4451">
                  <c:v>809.17316000000005</c:v>
                </c:pt>
                <c:pt idx="4452">
                  <c:v>809.17447000000004</c:v>
                </c:pt>
                <c:pt idx="4453">
                  <c:v>809.17578000000003</c:v>
                </c:pt>
                <c:pt idx="4454">
                  <c:v>809.17709000000002</c:v>
                </c:pt>
                <c:pt idx="4455">
                  <c:v>809.17840000000001</c:v>
                </c:pt>
                <c:pt idx="4456">
                  <c:v>809.17971000000011</c:v>
                </c:pt>
                <c:pt idx="4457">
                  <c:v>809.18103000000008</c:v>
                </c:pt>
                <c:pt idx="4458">
                  <c:v>809.18234000000007</c:v>
                </c:pt>
                <c:pt idx="4459">
                  <c:v>809.18365000000006</c:v>
                </c:pt>
                <c:pt idx="4460">
                  <c:v>809.18496000000005</c:v>
                </c:pt>
                <c:pt idx="4461">
                  <c:v>809.18627000000004</c:v>
                </c:pt>
                <c:pt idx="4462">
                  <c:v>809.18758000000003</c:v>
                </c:pt>
                <c:pt idx="4463">
                  <c:v>809.18889000000001</c:v>
                </c:pt>
                <c:pt idx="4464">
                  <c:v>809.19009000000005</c:v>
                </c:pt>
                <c:pt idx="4465">
                  <c:v>809.19151000000011</c:v>
                </c:pt>
                <c:pt idx="4466">
                  <c:v>809.1928200000001</c:v>
                </c:pt>
                <c:pt idx="4467">
                  <c:v>809.19413000000009</c:v>
                </c:pt>
                <c:pt idx="4468">
                  <c:v>809.19545000000005</c:v>
                </c:pt>
                <c:pt idx="4469">
                  <c:v>809.19676000000004</c:v>
                </c:pt>
                <c:pt idx="4470">
                  <c:v>809.19807000000003</c:v>
                </c:pt>
                <c:pt idx="4471">
                  <c:v>809.19938000000002</c:v>
                </c:pt>
                <c:pt idx="4472">
                  <c:v>809.2007000000001</c:v>
                </c:pt>
                <c:pt idx="4473">
                  <c:v>809.21382000000006</c:v>
                </c:pt>
                <c:pt idx="4474">
                  <c:v>809.21514000000002</c:v>
                </c:pt>
                <c:pt idx="4475">
                  <c:v>809.21777000000009</c:v>
                </c:pt>
                <c:pt idx="4476">
                  <c:v>809.21909000000005</c:v>
                </c:pt>
                <c:pt idx="4477">
                  <c:v>809.22040000000004</c:v>
                </c:pt>
                <c:pt idx="4478">
                  <c:v>809.22171000000003</c:v>
                </c:pt>
                <c:pt idx="4479">
                  <c:v>809.22302000000002</c:v>
                </c:pt>
                <c:pt idx="4480">
                  <c:v>809.22433000000012</c:v>
                </c:pt>
                <c:pt idx="4481">
                  <c:v>809.22564000000011</c:v>
                </c:pt>
                <c:pt idx="4482">
                  <c:v>809.2269500000001</c:v>
                </c:pt>
                <c:pt idx="4483">
                  <c:v>809.22826000000009</c:v>
                </c:pt>
                <c:pt idx="4484">
                  <c:v>809.22958000000006</c:v>
                </c:pt>
                <c:pt idx="4485">
                  <c:v>809.23089000000004</c:v>
                </c:pt>
                <c:pt idx="4486">
                  <c:v>809.23220000000003</c:v>
                </c:pt>
                <c:pt idx="4487">
                  <c:v>809.23351000000002</c:v>
                </c:pt>
                <c:pt idx="4488">
                  <c:v>809.23482000000001</c:v>
                </c:pt>
                <c:pt idx="4489">
                  <c:v>809.23613000000012</c:v>
                </c:pt>
                <c:pt idx="4490">
                  <c:v>809.23744000000011</c:v>
                </c:pt>
                <c:pt idx="4491">
                  <c:v>809.2387500000001</c:v>
                </c:pt>
                <c:pt idx="4492">
                  <c:v>809.24007000000006</c:v>
                </c:pt>
                <c:pt idx="4493">
                  <c:v>809.24138000000005</c:v>
                </c:pt>
                <c:pt idx="4494">
                  <c:v>809.24269000000004</c:v>
                </c:pt>
                <c:pt idx="4495">
                  <c:v>809.24400000000003</c:v>
                </c:pt>
                <c:pt idx="4496">
                  <c:v>809.25843000000009</c:v>
                </c:pt>
                <c:pt idx="4497">
                  <c:v>809.25975000000005</c:v>
                </c:pt>
                <c:pt idx="4498">
                  <c:v>809.26106000000004</c:v>
                </c:pt>
                <c:pt idx="4499">
                  <c:v>809.26237000000003</c:v>
                </c:pt>
                <c:pt idx="4500">
                  <c:v>809.26368000000002</c:v>
                </c:pt>
                <c:pt idx="4501">
                  <c:v>809.26499000000001</c:v>
                </c:pt>
                <c:pt idx="4502">
                  <c:v>809.26630000000011</c:v>
                </c:pt>
                <c:pt idx="4503">
                  <c:v>809.2676100000001</c:v>
                </c:pt>
                <c:pt idx="4504">
                  <c:v>809.26893000000007</c:v>
                </c:pt>
                <c:pt idx="4505">
                  <c:v>809.27024000000006</c:v>
                </c:pt>
                <c:pt idx="4506">
                  <c:v>809.27155000000005</c:v>
                </c:pt>
                <c:pt idx="4507">
                  <c:v>809.27286000000004</c:v>
                </c:pt>
                <c:pt idx="4508">
                  <c:v>809.27417000000003</c:v>
                </c:pt>
                <c:pt idx="4509">
                  <c:v>809.27548000000002</c:v>
                </c:pt>
                <c:pt idx="4510">
                  <c:v>809.27679000000012</c:v>
                </c:pt>
                <c:pt idx="4511">
                  <c:v>809.27810000000011</c:v>
                </c:pt>
                <c:pt idx="4512">
                  <c:v>809.2794100000001</c:v>
                </c:pt>
                <c:pt idx="4513">
                  <c:v>809.28072000000009</c:v>
                </c:pt>
                <c:pt idx="4514">
                  <c:v>809.28203000000008</c:v>
                </c:pt>
                <c:pt idx="4515">
                  <c:v>809.29513000000009</c:v>
                </c:pt>
                <c:pt idx="4516">
                  <c:v>809.29644000000008</c:v>
                </c:pt>
                <c:pt idx="4517">
                  <c:v>809.29775000000006</c:v>
                </c:pt>
                <c:pt idx="4518">
                  <c:v>809.29906000000005</c:v>
                </c:pt>
                <c:pt idx="4519">
                  <c:v>809.30037000000004</c:v>
                </c:pt>
                <c:pt idx="4520">
                  <c:v>809.30168000000003</c:v>
                </c:pt>
                <c:pt idx="4521">
                  <c:v>809.30299000000002</c:v>
                </c:pt>
                <c:pt idx="4522">
                  <c:v>809.30430000000001</c:v>
                </c:pt>
                <c:pt idx="4523">
                  <c:v>809.30561000000012</c:v>
                </c:pt>
                <c:pt idx="4524">
                  <c:v>809.3069200000001</c:v>
                </c:pt>
                <c:pt idx="4525">
                  <c:v>809.30823000000009</c:v>
                </c:pt>
                <c:pt idx="4526">
                  <c:v>809.30954000000008</c:v>
                </c:pt>
                <c:pt idx="4527">
                  <c:v>809.31085000000007</c:v>
                </c:pt>
                <c:pt idx="4528">
                  <c:v>809.31216000000006</c:v>
                </c:pt>
                <c:pt idx="4529">
                  <c:v>809.31347000000005</c:v>
                </c:pt>
                <c:pt idx="4530">
                  <c:v>809.31478000000004</c:v>
                </c:pt>
                <c:pt idx="4531">
                  <c:v>809.31609000000003</c:v>
                </c:pt>
                <c:pt idx="4532">
                  <c:v>809.31740000000002</c:v>
                </c:pt>
                <c:pt idx="4533">
                  <c:v>809.31871000000001</c:v>
                </c:pt>
                <c:pt idx="4534">
                  <c:v>809.33181000000002</c:v>
                </c:pt>
                <c:pt idx="4535">
                  <c:v>809.33312000000012</c:v>
                </c:pt>
                <c:pt idx="4536">
                  <c:v>809.33443000000011</c:v>
                </c:pt>
                <c:pt idx="4537">
                  <c:v>809.3357400000001</c:v>
                </c:pt>
                <c:pt idx="4538">
                  <c:v>809.33704000000012</c:v>
                </c:pt>
                <c:pt idx="4539">
                  <c:v>809.3383500000001</c:v>
                </c:pt>
                <c:pt idx="4540">
                  <c:v>809.33966000000009</c:v>
                </c:pt>
                <c:pt idx="4541">
                  <c:v>809.34097000000008</c:v>
                </c:pt>
                <c:pt idx="4542">
                  <c:v>809.34228000000007</c:v>
                </c:pt>
                <c:pt idx="4543">
                  <c:v>809.34359000000006</c:v>
                </c:pt>
                <c:pt idx="4544">
                  <c:v>809.34490000000005</c:v>
                </c:pt>
                <c:pt idx="4545">
                  <c:v>809.34621000000004</c:v>
                </c:pt>
                <c:pt idx="4546">
                  <c:v>809.34752000000003</c:v>
                </c:pt>
                <c:pt idx="4547">
                  <c:v>809.34883000000002</c:v>
                </c:pt>
                <c:pt idx="4548">
                  <c:v>809.35014000000001</c:v>
                </c:pt>
                <c:pt idx="4549">
                  <c:v>809.35145000000011</c:v>
                </c:pt>
                <c:pt idx="4550">
                  <c:v>809.3527600000001</c:v>
                </c:pt>
                <c:pt idx="4551">
                  <c:v>809.35407000000009</c:v>
                </c:pt>
                <c:pt idx="4552">
                  <c:v>809.35538000000008</c:v>
                </c:pt>
                <c:pt idx="4553">
                  <c:v>809.36847000000012</c:v>
                </c:pt>
                <c:pt idx="4554">
                  <c:v>809.36978000000011</c:v>
                </c:pt>
                <c:pt idx="4555">
                  <c:v>809.37109000000009</c:v>
                </c:pt>
                <c:pt idx="4556">
                  <c:v>809.37240000000008</c:v>
                </c:pt>
                <c:pt idx="4557">
                  <c:v>809.37371000000007</c:v>
                </c:pt>
                <c:pt idx="4558">
                  <c:v>809.37502000000006</c:v>
                </c:pt>
                <c:pt idx="4559">
                  <c:v>809.37633000000005</c:v>
                </c:pt>
                <c:pt idx="4560">
                  <c:v>809.37763000000007</c:v>
                </c:pt>
                <c:pt idx="4561">
                  <c:v>809.37894000000006</c:v>
                </c:pt>
                <c:pt idx="4562">
                  <c:v>809.38025000000005</c:v>
                </c:pt>
                <c:pt idx="4563">
                  <c:v>809.38155000000006</c:v>
                </c:pt>
                <c:pt idx="4564">
                  <c:v>809.38286000000005</c:v>
                </c:pt>
                <c:pt idx="4565">
                  <c:v>809.38417000000004</c:v>
                </c:pt>
                <c:pt idx="4566">
                  <c:v>809.38547000000005</c:v>
                </c:pt>
                <c:pt idx="4567">
                  <c:v>809.38678000000004</c:v>
                </c:pt>
                <c:pt idx="4568">
                  <c:v>809.38809000000003</c:v>
                </c:pt>
                <c:pt idx="4569">
                  <c:v>809.38939000000005</c:v>
                </c:pt>
                <c:pt idx="4570">
                  <c:v>809.39070000000004</c:v>
                </c:pt>
                <c:pt idx="4571">
                  <c:v>809.40377000000012</c:v>
                </c:pt>
                <c:pt idx="4572">
                  <c:v>809.40507000000002</c:v>
                </c:pt>
                <c:pt idx="4573">
                  <c:v>809.40638000000001</c:v>
                </c:pt>
                <c:pt idx="4574">
                  <c:v>809.40769000000012</c:v>
                </c:pt>
                <c:pt idx="4575">
                  <c:v>809.40899000000002</c:v>
                </c:pt>
                <c:pt idx="4576">
                  <c:v>809.41030000000012</c:v>
                </c:pt>
                <c:pt idx="4577">
                  <c:v>809.41161000000011</c:v>
                </c:pt>
                <c:pt idx="4578">
                  <c:v>809.41291000000001</c:v>
                </c:pt>
                <c:pt idx="4579">
                  <c:v>809.41422000000011</c:v>
                </c:pt>
                <c:pt idx="4580">
                  <c:v>809.4155300000001</c:v>
                </c:pt>
                <c:pt idx="4581">
                  <c:v>809.41683000000012</c:v>
                </c:pt>
                <c:pt idx="4582">
                  <c:v>809.41814000000011</c:v>
                </c:pt>
                <c:pt idx="4583">
                  <c:v>809.4194500000001</c:v>
                </c:pt>
                <c:pt idx="4584">
                  <c:v>809.42075000000011</c:v>
                </c:pt>
                <c:pt idx="4585">
                  <c:v>809.4220600000001</c:v>
                </c:pt>
                <c:pt idx="4586">
                  <c:v>809.42337000000009</c:v>
                </c:pt>
                <c:pt idx="4587">
                  <c:v>809.42467000000011</c:v>
                </c:pt>
                <c:pt idx="4588">
                  <c:v>809.43775000000005</c:v>
                </c:pt>
                <c:pt idx="4589">
                  <c:v>809.43906000000004</c:v>
                </c:pt>
                <c:pt idx="4590">
                  <c:v>809.44036000000006</c:v>
                </c:pt>
                <c:pt idx="4591">
                  <c:v>809.44167000000004</c:v>
                </c:pt>
                <c:pt idx="4592">
                  <c:v>809.44298000000003</c:v>
                </c:pt>
                <c:pt idx="4593">
                  <c:v>809.44428000000005</c:v>
                </c:pt>
                <c:pt idx="4594">
                  <c:v>809.44559000000004</c:v>
                </c:pt>
                <c:pt idx="4595">
                  <c:v>809.44690000000003</c:v>
                </c:pt>
                <c:pt idx="4596">
                  <c:v>809.44820000000004</c:v>
                </c:pt>
                <c:pt idx="4597">
                  <c:v>809.44951000000003</c:v>
                </c:pt>
                <c:pt idx="4598">
                  <c:v>809.45082000000002</c:v>
                </c:pt>
                <c:pt idx="4599">
                  <c:v>809.45344000000011</c:v>
                </c:pt>
                <c:pt idx="4600">
                  <c:v>809.4547500000001</c:v>
                </c:pt>
                <c:pt idx="4601">
                  <c:v>809.45605000000012</c:v>
                </c:pt>
                <c:pt idx="4602">
                  <c:v>809.45736000000011</c:v>
                </c:pt>
                <c:pt idx="4603">
                  <c:v>809.4586700000001</c:v>
                </c:pt>
                <c:pt idx="4604">
                  <c:v>809.45997000000011</c:v>
                </c:pt>
                <c:pt idx="4605">
                  <c:v>809.4612800000001</c:v>
                </c:pt>
                <c:pt idx="4606">
                  <c:v>809.47304000000008</c:v>
                </c:pt>
                <c:pt idx="4607">
                  <c:v>809.47435000000007</c:v>
                </c:pt>
                <c:pt idx="4608">
                  <c:v>809.47565000000009</c:v>
                </c:pt>
                <c:pt idx="4609">
                  <c:v>809.47696000000008</c:v>
                </c:pt>
                <c:pt idx="4610">
                  <c:v>809.47827000000007</c:v>
                </c:pt>
                <c:pt idx="4611">
                  <c:v>809.47957000000008</c:v>
                </c:pt>
                <c:pt idx="4612">
                  <c:v>809.48088000000007</c:v>
                </c:pt>
                <c:pt idx="4613">
                  <c:v>809.48219000000006</c:v>
                </c:pt>
                <c:pt idx="4614">
                  <c:v>809.48349000000007</c:v>
                </c:pt>
                <c:pt idx="4615">
                  <c:v>809.48479000000009</c:v>
                </c:pt>
                <c:pt idx="4616">
                  <c:v>809.4860900000001</c:v>
                </c:pt>
                <c:pt idx="4617">
                  <c:v>809.48740000000009</c:v>
                </c:pt>
                <c:pt idx="4618">
                  <c:v>809.48871000000008</c:v>
                </c:pt>
                <c:pt idx="4619">
                  <c:v>809.49002000000007</c:v>
                </c:pt>
                <c:pt idx="4620">
                  <c:v>809.49133000000006</c:v>
                </c:pt>
                <c:pt idx="4621">
                  <c:v>809.49263000000008</c:v>
                </c:pt>
                <c:pt idx="4622">
                  <c:v>809.5056800000001</c:v>
                </c:pt>
                <c:pt idx="4623">
                  <c:v>809.50699000000009</c:v>
                </c:pt>
                <c:pt idx="4624">
                  <c:v>809.50830000000008</c:v>
                </c:pt>
                <c:pt idx="4625">
                  <c:v>809.50961000000007</c:v>
                </c:pt>
                <c:pt idx="4626">
                  <c:v>809.51092000000006</c:v>
                </c:pt>
                <c:pt idx="4627">
                  <c:v>809.51223000000005</c:v>
                </c:pt>
                <c:pt idx="4628">
                  <c:v>809.51353000000006</c:v>
                </c:pt>
                <c:pt idx="4629">
                  <c:v>809.51483000000007</c:v>
                </c:pt>
                <c:pt idx="4630">
                  <c:v>809.51613000000009</c:v>
                </c:pt>
                <c:pt idx="4631">
                  <c:v>809.51744000000008</c:v>
                </c:pt>
                <c:pt idx="4632">
                  <c:v>809.51875000000007</c:v>
                </c:pt>
                <c:pt idx="4633">
                  <c:v>809.52006000000006</c:v>
                </c:pt>
                <c:pt idx="4634">
                  <c:v>809.52137000000005</c:v>
                </c:pt>
                <c:pt idx="4635">
                  <c:v>809.52267000000006</c:v>
                </c:pt>
                <c:pt idx="4636">
                  <c:v>809.52397000000008</c:v>
                </c:pt>
                <c:pt idx="4637">
                  <c:v>809.52527000000009</c:v>
                </c:pt>
                <c:pt idx="4638">
                  <c:v>809.5370200000001</c:v>
                </c:pt>
                <c:pt idx="4639">
                  <c:v>809.53833000000009</c:v>
                </c:pt>
                <c:pt idx="4640">
                  <c:v>809.53964000000008</c:v>
                </c:pt>
                <c:pt idx="4641">
                  <c:v>809.54095000000007</c:v>
                </c:pt>
                <c:pt idx="4642">
                  <c:v>809.54225000000008</c:v>
                </c:pt>
                <c:pt idx="4643">
                  <c:v>809.5435500000001</c:v>
                </c:pt>
                <c:pt idx="4644">
                  <c:v>809.54485000000011</c:v>
                </c:pt>
                <c:pt idx="4645">
                  <c:v>809.54615000000001</c:v>
                </c:pt>
                <c:pt idx="4646">
                  <c:v>809.54746000000011</c:v>
                </c:pt>
                <c:pt idx="4647">
                  <c:v>809.5487700000001</c:v>
                </c:pt>
                <c:pt idx="4648">
                  <c:v>809.55008000000009</c:v>
                </c:pt>
                <c:pt idx="4649">
                  <c:v>809.55139000000008</c:v>
                </c:pt>
                <c:pt idx="4650">
                  <c:v>809.5526900000001</c:v>
                </c:pt>
                <c:pt idx="4651">
                  <c:v>809.55399000000011</c:v>
                </c:pt>
                <c:pt idx="4652">
                  <c:v>809.55529000000001</c:v>
                </c:pt>
                <c:pt idx="4653">
                  <c:v>809.55660000000012</c:v>
                </c:pt>
                <c:pt idx="4654">
                  <c:v>809.5683600000001</c:v>
                </c:pt>
                <c:pt idx="4655">
                  <c:v>809.56966000000011</c:v>
                </c:pt>
                <c:pt idx="4656">
                  <c:v>809.5709700000001</c:v>
                </c:pt>
                <c:pt idx="4657">
                  <c:v>809.57227000000012</c:v>
                </c:pt>
                <c:pt idx="4658">
                  <c:v>809.57357000000002</c:v>
                </c:pt>
                <c:pt idx="4659">
                  <c:v>809.57487000000003</c:v>
                </c:pt>
                <c:pt idx="4660">
                  <c:v>809.57618000000002</c:v>
                </c:pt>
                <c:pt idx="4661">
                  <c:v>809.57749000000001</c:v>
                </c:pt>
                <c:pt idx="4662">
                  <c:v>809.57880000000011</c:v>
                </c:pt>
                <c:pt idx="4663">
                  <c:v>809.58010000000002</c:v>
                </c:pt>
                <c:pt idx="4664">
                  <c:v>809.58140000000003</c:v>
                </c:pt>
                <c:pt idx="4665">
                  <c:v>809.58270000000005</c:v>
                </c:pt>
                <c:pt idx="4666">
                  <c:v>809.58400000000006</c:v>
                </c:pt>
                <c:pt idx="4667">
                  <c:v>809.58531000000005</c:v>
                </c:pt>
                <c:pt idx="4668">
                  <c:v>809.58662000000004</c:v>
                </c:pt>
                <c:pt idx="4669">
                  <c:v>809.58793000000003</c:v>
                </c:pt>
                <c:pt idx="4670">
                  <c:v>809.58924000000002</c:v>
                </c:pt>
                <c:pt idx="4671">
                  <c:v>809.60099000000002</c:v>
                </c:pt>
                <c:pt idx="4672">
                  <c:v>809.60229000000004</c:v>
                </c:pt>
                <c:pt idx="4673">
                  <c:v>809.60359000000005</c:v>
                </c:pt>
                <c:pt idx="4674">
                  <c:v>809.60489000000007</c:v>
                </c:pt>
                <c:pt idx="4675">
                  <c:v>809.60619000000008</c:v>
                </c:pt>
                <c:pt idx="4676">
                  <c:v>809.6074900000001</c:v>
                </c:pt>
                <c:pt idx="4677">
                  <c:v>809.60879000000011</c:v>
                </c:pt>
                <c:pt idx="4678">
                  <c:v>809.61009000000001</c:v>
                </c:pt>
                <c:pt idx="4679">
                  <c:v>809.61139000000003</c:v>
                </c:pt>
                <c:pt idx="4680">
                  <c:v>809.61269000000004</c:v>
                </c:pt>
                <c:pt idx="4681">
                  <c:v>809.61400000000003</c:v>
                </c:pt>
                <c:pt idx="4682">
                  <c:v>809.61530000000005</c:v>
                </c:pt>
                <c:pt idx="4683">
                  <c:v>809.61660000000006</c:v>
                </c:pt>
                <c:pt idx="4684">
                  <c:v>809.61791000000005</c:v>
                </c:pt>
                <c:pt idx="4685">
                  <c:v>809.62964000000011</c:v>
                </c:pt>
                <c:pt idx="4686">
                  <c:v>809.63094000000001</c:v>
                </c:pt>
                <c:pt idx="4687">
                  <c:v>809.63224000000002</c:v>
                </c:pt>
                <c:pt idx="4688">
                  <c:v>809.63355000000001</c:v>
                </c:pt>
                <c:pt idx="4689">
                  <c:v>809.63486000000012</c:v>
                </c:pt>
                <c:pt idx="4690">
                  <c:v>809.63617000000011</c:v>
                </c:pt>
                <c:pt idx="4691">
                  <c:v>809.6374800000001</c:v>
                </c:pt>
                <c:pt idx="4692">
                  <c:v>809.63879000000009</c:v>
                </c:pt>
                <c:pt idx="4693">
                  <c:v>809.64010000000007</c:v>
                </c:pt>
                <c:pt idx="4694">
                  <c:v>809.64141000000006</c:v>
                </c:pt>
                <c:pt idx="4695">
                  <c:v>809.64271000000008</c:v>
                </c:pt>
                <c:pt idx="4696">
                  <c:v>809.64401000000009</c:v>
                </c:pt>
                <c:pt idx="4697">
                  <c:v>809.64531000000011</c:v>
                </c:pt>
                <c:pt idx="4698">
                  <c:v>809.64661000000001</c:v>
                </c:pt>
                <c:pt idx="4699">
                  <c:v>809.64791000000002</c:v>
                </c:pt>
                <c:pt idx="4700">
                  <c:v>809.64921000000004</c:v>
                </c:pt>
                <c:pt idx="4701">
                  <c:v>809.65965000000006</c:v>
                </c:pt>
                <c:pt idx="4702">
                  <c:v>809.66091000000006</c:v>
                </c:pt>
                <c:pt idx="4703">
                  <c:v>809.66226000000006</c:v>
                </c:pt>
                <c:pt idx="4704">
                  <c:v>809.66356000000007</c:v>
                </c:pt>
                <c:pt idx="4705">
                  <c:v>809.66486000000009</c:v>
                </c:pt>
                <c:pt idx="4706">
                  <c:v>809.6661600000001</c:v>
                </c:pt>
                <c:pt idx="4707">
                  <c:v>809.66746000000012</c:v>
                </c:pt>
                <c:pt idx="4708">
                  <c:v>809.66876000000002</c:v>
                </c:pt>
                <c:pt idx="4709">
                  <c:v>809.67006000000003</c:v>
                </c:pt>
                <c:pt idx="4710">
                  <c:v>809.67136000000005</c:v>
                </c:pt>
                <c:pt idx="4711">
                  <c:v>809.67266000000006</c:v>
                </c:pt>
                <c:pt idx="4712">
                  <c:v>809.67397000000005</c:v>
                </c:pt>
                <c:pt idx="4713">
                  <c:v>809.67528000000004</c:v>
                </c:pt>
                <c:pt idx="4714">
                  <c:v>809.67659000000003</c:v>
                </c:pt>
                <c:pt idx="4715">
                  <c:v>809.67790000000002</c:v>
                </c:pt>
                <c:pt idx="4716">
                  <c:v>809.67921000000001</c:v>
                </c:pt>
                <c:pt idx="4717">
                  <c:v>809.68964000000005</c:v>
                </c:pt>
                <c:pt idx="4718">
                  <c:v>809.69094000000007</c:v>
                </c:pt>
                <c:pt idx="4719">
                  <c:v>809.69224000000008</c:v>
                </c:pt>
                <c:pt idx="4720">
                  <c:v>809.69355000000007</c:v>
                </c:pt>
                <c:pt idx="4721">
                  <c:v>809.69485000000009</c:v>
                </c:pt>
                <c:pt idx="4722">
                  <c:v>809.69616000000008</c:v>
                </c:pt>
                <c:pt idx="4723">
                  <c:v>809.69747000000007</c:v>
                </c:pt>
                <c:pt idx="4724">
                  <c:v>809.69878000000006</c:v>
                </c:pt>
                <c:pt idx="4725">
                  <c:v>809.70009000000005</c:v>
                </c:pt>
                <c:pt idx="4726">
                  <c:v>809.70139000000006</c:v>
                </c:pt>
                <c:pt idx="4727">
                  <c:v>809.70269000000008</c:v>
                </c:pt>
                <c:pt idx="4728">
                  <c:v>809.70399000000009</c:v>
                </c:pt>
                <c:pt idx="4729">
                  <c:v>809.7052900000001</c:v>
                </c:pt>
                <c:pt idx="4730">
                  <c:v>809.70659000000012</c:v>
                </c:pt>
                <c:pt idx="4731">
                  <c:v>809.70789000000002</c:v>
                </c:pt>
                <c:pt idx="4732">
                  <c:v>809.70919000000004</c:v>
                </c:pt>
                <c:pt idx="4733">
                  <c:v>809.71965000000012</c:v>
                </c:pt>
                <c:pt idx="4734">
                  <c:v>809.72095000000002</c:v>
                </c:pt>
                <c:pt idx="4735">
                  <c:v>809.72225000000003</c:v>
                </c:pt>
                <c:pt idx="4736">
                  <c:v>809.72355000000005</c:v>
                </c:pt>
                <c:pt idx="4737">
                  <c:v>809.72485000000006</c:v>
                </c:pt>
                <c:pt idx="4738">
                  <c:v>809.72615000000008</c:v>
                </c:pt>
                <c:pt idx="4739">
                  <c:v>809.72745000000009</c:v>
                </c:pt>
                <c:pt idx="4740">
                  <c:v>809.7287500000001</c:v>
                </c:pt>
                <c:pt idx="4741">
                  <c:v>809.73005000000012</c:v>
                </c:pt>
                <c:pt idx="4742">
                  <c:v>809.73135000000002</c:v>
                </c:pt>
                <c:pt idx="4743">
                  <c:v>809.73266000000001</c:v>
                </c:pt>
                <c:pt idx="4744">
                  <c:v>809.73396000000002</c:v>
                </c:pt>
                <c:pt idx="4745">
                  <c:v>809.73527000000001</c:v>
                </c:pt>
                <c:pt idx="4746">
                  <c:v>809.73658000000012</c:v>
                </c:pt>
                <c:pt idx="4747">
                  <c:v>809.74831000000006</c:v>
                </c:pt>
                <c:pt idx="4748">
                  <c:v>809.74961000000008</c:v>
                </c:pt>
                <c:pt idx="4749">
                  <c:v>809.75092000000006</c:v>
                </c:pt>
                <c:pt idx="4750">
                  <c:v>809.75223000000005</c:v>
                </c:pt>
                <c:pt idx="4751">
                  <c:v>809.75354000000004</c:v>
                </c:pt>
                <c:pt idx="4752">
                  <c:v>809.75485000000003</c:v>
                </c:pt>
                <c:pt idx="4753">
                  <c:v>809.75616000000002</c:v>
                </c:pt>
                <c:pt idx="4754">
                  <c:v>809.75747000000001</c:v>
                </c:pt>
                <c:pt idx="4755">
                  <c:v>809.75878000000012</c:v>
                </c:pt>
                <c:pt idx="4756">
                  <c:v>809.76008000000002</c:v>
                </c:pt>
                <c:pt idx="4757">
                  <c:v>809.76138000000003</c:v>
                </c:pt>
                <c:pt idx="4758">
                  <c:v>809.76268000000005</c:v>
                </c:pt>
                <c:pt idx="4759">
                  <c:v>809.76398000000006</c:v>
                </c:pt>
                <c:pt idx="4760">
                  <c:v>809.76528000000008</c:v>
                </c:pt>
                <c:pt idx="4761">
                  <c:v>809.77701000000002</c:v>
                </c:pt>
                <c:pt idx="4762">
                  <c:v>809.77832000000012</c:v>
                </c:pt>
                <c:pt idx="4763">
                  <c:v>809.77962000000002</c:v>
                </c:pt>
                <c:pt idx="4764">
                  <c:v>809.78092000000004</c:v>
                </c:pt>
                <c:pt idx="4765">
                  <c:v>809.78222000000005</c:v>
                </c:pt>
                <c:pt idx="4766">
                  <c:v>809.78352000000007</c:v>
                </c:pt>
                <c:pt idx="4767">
                  <c:v>809.78482000000008</c:v>
                </c:pt>
                <c:pt idx="4768">
                  <c:v>809.7861200000001</c:v>
                </c:pt>
                <c:pt idx="4769">
                  <c:v>809.78742000000011</c:v>
                </c:pt>
                <c:pt idx="4770">
                  <c:v>809.7887300000001</c:v>
                </c:pt>
                <c:pt idx="4771">
                  <c:v>809.79003000000012</c:v>
                </c:pt>
                <c:pt idx="4772">
                  <c:v>809.7913400000001</c:v>
                </c:pt>
                <c:pt idx="4773">
                  <c:v>809.79265000000009</c:v>
                </c:pt>
                <c:pt idx="4774">
                  <c:v>809.79396000000008</c:v>
                </c:pt>
                <c:pt idx="4775">
                  <c:v>809.79527000000007</c:v>
                </c:pt>
                <c:pt idx="4776">
                  <c:v>809.79658000000006</c:v>
                </c:pt>
                <c:pt idx="4777">
                  <c:v>809.80699000000004</c:v>
                </c:pt>
                <c:pt idx="4778">
                  <c:v>809.80829000000006</c:v>
                </c:pt>
                <c:pt idx="4779">
                  <c:v>809.80959000000007</c:v>
                </c:pt>
                <c:pt idx="4780">
                  <c:v>809.81090000000006</c:v>
                </c:pt>
                <c:pt idx="4781">
                  <c:v>809.81221000000005</c:v>
                </c:pt>
                <c:pt idx="4782">
                  <c:v>809.81351000000006</c:v>
                </c:pt>
                <c:pt idx="4783">
                  <c:v>809.81482000000005</c:v>
                </c:pt>
                <c:pt idx="4784">
                  <c:v>809.81613000000004</c:v>
                </c:pt>
                <c:pt idx="4785">
                  <c:v>809.81744000000003</c:v>
                </c:pt>
                <c:pt idx="4786">
                  <c:v>809.81874000000005</c:v>
                </c:pt>
                <c:pt idx="4787">
                  <c:v>809.82004000000006</c:v>
                </c:pt>
                <c:pt idx="4788">
                  <c:v>809.82134000000008</c:v>
                </c:pt>
                <c:pt idx="4789">
                  <c:v>809.82264000000009</c:v>
                </c:pt>
                <c:pt idx="4790">
                  <c:v>809.82394000000011</c:v>
                </c:pt>
                <c:pt idx="4791">
                  <c:v>809.82524000000012</c:v>
                </c:pt>
                <c:pt idx="4792">
                  <c:v>809.83569000000011</c:v>
                </c:pt>
                <c:pt idx="4793">
                  <c:v>809.8370000000001</c:v>
                </c:pt>
                <c:pt idx="4794">
                  <c:v>809.83830000000012</c:v>
                </c:pt>
                <c:pt idx="4795">
                  <c:v>809.83960000000002</c:v>
                </c:pt>
                <c:pt idx="4796">
                  <c:v>809.84090000000003</c:v>
                </c:pt>
                <c:pt idx="4797">
                  <c:v>809.84220000000005</c:v>
                </c:pt>
                <c:pt idx="4798">
                  <c:v>809.84350000000006</c:v>
                </c:pt>
                <c:pt idx="4799">
                  <c:v>809.84480000000008</c:v>
                </c:pt>
                <c:pt idx="4800">
                  <c:v>809.84610000000009</c:v>
                </c:pt>
                <c:pt idx="4801">
                  <c:v>809.84740000000011</c:v>
                </c:pt>
                <c:pt idx="4802">
                  <c:v>809.84870000000012</c:v>
                </c:pt>
                <c:pt idx="4803">
                  <c:v>809.85001000000011</c:v>
                </c:pt>
                <c:pt idx="4804">
                  <c:v>809.8513200000001</c:v>
                </c:pt>
                <c:pt idx="4805">
                  <c:v>809.85262000000012</c:v>
                </c:pt>
                <c:pt idx="4806">
                  <c:v>809.85392000000002</c:v>
                </c:pt>
                <c:pt idx="4807">
                  <c:v>809.85522000000003</c:v>
                </c:pt>
                <c:pt idx="4808">
                  <c:v>809.86566000000005</c:v>
                </c:pt>
                <c:pt idx="4809">
                  <c:v>809.86697000000004</c:v>
                </c:pt>
                <c:pt idx="4810">
                  <c:v>809.86828000000003</c:v>
                </c:pt>
                <c:pt idx="4811">
                  <c:v>809.86959000000002</c:v>
                </c:pt>
                <c:pt idx="4812">
                  <c:v>809.87090000000012</c:v>
                </c:pt>
                <c:pt idx="4813">
                  <c:v>809.87221000000011</c:v>
                </c:pt>
                <c:pt idx="4814">
                  <c:v>809.87351000000001</c:v>
                </c:pt>
                <c:pt idx="4815">
                  <c:v>809.87481000000002</c:v>
                </c:pt>
                <c:pt idx="4816">
                  <c:v>809.87611000000004</c:v>
                </c:pt>
                <c:pt idx="4817">
                  <c:v>809.87742000000003</c:v>
                </c:pt>
                <c:pt idx="4818">
                  <c:v>809.87873000000002</c:v>
                </c:pt>
                <c:pt idx="4819">
                  <c:v>809.88004000000012</c:v>
                </c:pt>
                <c:pt idx="4820">
                  <c:v>809.88135000000011</c:v>
                </c:pt>
                <c:pt idx="4821">
                  <c:v>809.88265000000001</c:v>
                </c:pt>
                <c:pt idx="4822">
                  <c:v>809.88395000000003</c:v>
                </c:pt>
                <c:pt idx="4823">
                  <c:v>809.88525000000004</c:v>
                </c:pt>
                <c:pt idx="4824">
                  <c:v>809.88656000000003</c:v>
                </c:pt>
                <c:pt idx="4825">
                  <c:v>809.89832000000001</c:v>
                </c:pt>
                <c:pt idx="4826">
                  <c:v>809.89963000000012</c:v>
                </c:pt>
                <c:pt idx="4827">
                  <c:v>809.90094000000011</c:v>
                </c:pt>
                <c:pt idx="4828">
                  <c:v>809.90224000000012</c:v>
                </c:pt>
                <c:pt idx="4829">
                  <c:v>809.90354000000002</c:v>
                </c:pt>
                <c:pt idx="4830">
                  <c:v>809.90484000000004</c:v>
                </c:pt>
                <c:pt idx="4831">
                  <c:v>809.90615000000003</c:v>
                </c:pt>
                <c:pt idx="4832">
                  <c:v>809.90746000000001</c:v>
                </c:pt>
                <c:pt idx="4833">
                  <c:v>809.90877000000012</c:v>
                </c:pt>
                <c:pt idx="4834">
                  <c:v>809.91008000000011</c:v>
                </c:pt>
                <c:pt idx="4835">
                  <c:v>809.9113900000001</c:v>
                </c:pt>
                <c:pt idx="4836">
                  <c:v>809.91269000000011</c:v>
                </c:pt>
                <c:pt idx="4837">
                  <c:v>809.91399000000001</c:v>
                </c:pt>
                <c:pt idx="4838">
                  <c:v>809.91529000000003</c:v>
                </c:pt>
                <c:pt idx="4839">
                  <c:v>809.91660000000002</c:v>
                </c:pt>
                <c:pt idx="4840">
                  <c:v>809.92838000000006</c:v>
                </c:pt>
                <c:pt idx="4841">
                  <c:v>809.92969000000005</c:v>
                </c:pt>
                <c:pt idx="4842">
                  <c:v>809.93100000000004</c:v>
                </c:pt>
                <c:pt idx="4843">
                  <c:v>809.93230000000005</c:v>
                </c:pt>
                <c:pt idx="4844">
                  <c:v>809.93360000000007</c:v>
                </c:pt>
                <c:pt idx="4845">
                  <c:v>809.93490000000008</c:v>
                </c:pt>
                <c:pt idx="4846">
                  <c:v>809.93621000000007</c:v>
                </c:pt>
                <c:pt idx="4847">
                  <c:v>809.93752000000006</c:v>
                </c:pt>
                <c:pt idx="4848">
                  <c:v>809.93883000000005</c:v>
                </c:pt>
                <c:pt idx="4849">
                  <c:v>809.94013000000007</c:v>
                </c:pt>
                <c:pt idx="4850">
                  <c:v>809.94143000000008</c:v>
                </c:pt>
                <c:pt idx="4851">
                  <c:v>809.9427300000001</c:v>
                </c:pt>
                <c:pt idx="4852">
                  <c:v>809.94403000000011</c:v>
                </c:pt>
                <c:pt idx="4853">
                  <c:v>809.9453400000001</c:v>
                </c:pt>
                <c:pt idx="4854">
                  <c:v>809.94665000000009</c:v>
                </c:pt>
                <c:pt idx="4855">
                  <c:v>809.94796000000008</c:v>
                </c:pt>
                <c:pt idx="4856">
                  <c:v>809.94927000000007</c:v>
                </c:pt>
                <c:pt idx="4857">
                  <c:v>809.95971000000009</c:v>
                </c:pt>
                <c:pt idx="4858">
                  <c:v>809.9610100000001</c:v>
                </c:pt>
                <c:pt idx="4859">
                  <c:v>809.96231000000012</c:v>
                </c:pt>
                <c:pt idx="4860">
                  <c:v>809.96361000000002</c:v>
                </c:pt>
                <c:pt idx="4861">
                  <c:v>809.96492000000012</c:v>
                </c:pt>
                <c:pt idx="4862">
                  <c:v>809.96623000000011</c:v>
                </c:pt>
                <c:pt idx="4863">
                  <c:v>809.9675400000001</c:v>
                </c:pt>
                <c:pt idx="4864">
                  <c:v>809.96885000000009</c:v>
                </c:pt>
                <c:pt idx="4865">
                  <c:v>809.97016000000008</c:v>
                </c:pt>
                <c:pt idx="4866">
                  <c:v>809.97146000000009</c:v>
                </c:pt>
                <c:pt idx="4867">
                  <c:v>809.97276000000011</c:v>
                </c:pt>
                <c:pt idx="4868">
                  <c:v>809.97406000000012</c:v>
                </c:pt>
                <c:pt idx="4869">
                  <c:v>809.97537000000011</c:v>
                </c:pt>
                <c:pt idx="4870">
                  <c:v>809.9766800000001</c:v>
                </c:pt>
              </c:numCache>
            </c:numRef>
          </c:xVal>
          <c:yVal>
            <c:numRef>
              <c:f>Лист1!$D$2:$D$4872</c:f>
              <c:numCache>
                <c:formatCode>General</c:formatCode>
                <c:ptCount val="4871"/>
                <c:pt idx="1">
                  <c:v>34.405999999999999</c:v>
                </c:pt>
                <c:pt idx="2">
                  <c:v>34.405900000000003</c:v>
                </c:pt>
                <c:pt idx="3">
                  <c:v>34.405900000000003</c:v>
                </c:pt>
                <c:pt idx="4">
                  <c:v>34.405999999999999</c:v>
                </c:pt>
                <c:pt idx="5">
                  <c:v>34.406100000000002</c:v>
                </c:pt>
                <c:pt idx="6">
                  <c:v>34.406700000000001</c:v>
                </c:pt>
                <c:pt idx="7">
                  <c:v>34.406100000000002</c:v>
                </c:pt>
                <c:pt idx="8">
                  <c:v>34.406399999999998</c:v>
                </c:pt>
                <c:pt idx="9">
                  <c:v>34.406799999999997</c:v>
                </c:pt>
                <c:pt idx="10">
                  <c:v>34.4069</c:v>
                </c:pt>
                <c:pt idx="11">
                  <c:v>34.406999999999996</c:v>
                </c:pt>
                <c:pt idx="12">
                  <c:v>34.406700000000001</c:v>
                </c:pt>
                <c:pt idx="13">
                  <c:v>34.406799999999997</c:v>
                </c:pt>
                <c:pt idx="14">
                  <c:v>34.408000000000001</c:v>
                </c:pt>
                <c:pt idx="15">
                  <c:v>34.407299999999999</c:v>
                </c:pt>
                <c:pt idx="16">
                  <c:v>34.408000000000001</c:v>
                </c:pt>
                <c:pt idx="17">
                  <c:v>34.408000000000001</c:v>
                </c:pt>
                <c:pt idx="18">
                  <c:v>34.408200000000001</c:v>
                </c:pt>
                <c:pt idx="19">
                  <c:v>34.408200000000001</c:v>
                </c:pt>
                <c:pt idx="20">
                  <c:v>34.407800000000002</c:v>
                </c:pt>
                <c:pt idx="21">
                  <c:v>34.407499999999999</c:v>
                </c:pt>
                <c:pt idx="22">
                  <c:v>34.406999999999996</c:v>
                </c:pt>
                <c:pt idx="23">
                  <c:v>34.408099999999997</c:v>
                </c:pt>
                <c:pt idx="24">
                  <c:v>34.407699999999998</c:v>
                </c:pt>
                <c:pt idx="25">
                  <c:v>34.407899999999998</c:v>
                </c:pt>
                <c:pt idx="26">
                  <c:v>34.407600000000002</c:v>
                </c:pt>
                <c:pt idx="27">
                  <c:v>34.406799999999997</c:v>
                </c:pt>
                <c:pt idx="28">
                  <c:v>34.406799999999997</c:v>
                </c:pt>
                <c:pt idx="29">
                  <c:v>34.406700000000001</c:v>
                </c:pt>
                <c:pt idx="30">
                  <c:v>34.406999999999996</c:v>
                </c:pt>
                <c:pt idx="31">
                  <c:v>34.406399999999998</c:v>
                </c:pt>
                <c:pt idx="32">
                  <c:v>34.405799999999999</c:v>
                </c:pt>
                <c:pt idx="33">
                  <c:v>34.405200000000001</c:v>
                </c:pt>
                <c:pt idx="34">
                  <c:v>34.405000000000001</c:v>
                </c:pt>
                <c:pt idx="35">
                  <c:v>34.405299999999997</c:v>
                </c:pt>
                <c:pt idx="36">
                  <c:v>34.404699999999998</c:v>
                </c:pt>
                <c:pt idx="37">
                  <c:v>34.405500000000004</c:v>
                </c:pt>
                <c:pt idx="38">
                  <c:v>34.404899999999998</c:v>
                </c:pt>
                <c:pt idx="39">
                  <c:v>34.405099999999997</c:v>
                </c:pt>
                <c:pt idx="40">
                  <c:v>34.4056</c:v>
                </c:pt>
                <c:pt idx="41">
                  <c:v>34.405299999999997</c:v>
                </c:pt>
                <c:pt idx="42">
                  <c:v>34.404899999999998</c:v>
                </c:pt>
                <c:pt idx="43">
                  <c:v>34.404299999999999</c:v>
                </c:pt>
                <c:pt idx="44">
                  <c:v>34.404899999999998</c:v>
                </c:pt>
                <c:pt idx="45">
                  <c:v>34.404200000000003</c:v>
                </c:pt>
                <c:pt idx="46">
                  <c:v>34.404200000000003</c:v>
                </c:pt>
                <c:pt idx="47">
                  <c:v>34.404400000000003</c:v>
                </c:pt>
                <c:pt idx="48">
                  <c:v>34.404400000000003</c:v>
                </c:pt>
                <c:pt idx="49">
                  <c:v>34.403700000000001</c:v>
                </c:pt>
                <c:pt idx="50">
                  <c:v>34.403799999999997</c:v>
                </c:pt>
                <c:pt idx="51">
                  <c:v>34.403500000000001</c:v>
                </c:pt>
                <c:pt idx="52">
                  <c:v>34.402999999999999</c:v>
                </c:pt>
                <c:pt idx="53">
                  <c:v>34.404299999999999</c:v>
                </c:pt>
                <c:pt idx="54">
                  <c:v>34.404699999999998</c:v>
                </c:pt>
                <c:pt idx="55">
                  <c:v>34.404499999999999</c:v>
                </c:pt>
                <c:pt idx="56">
                  <c:v>34.404000000000003</c:v>
                </c:pt>
                <c:pt idx="57">
                  <c:v>34.404400000000003</c:v>
                </c:pt>
                <c:pt idx="58">
                  <c:v>34.404200000000003</c:v>
                </c:pt>
                <c:pt idx="59">
                  <c:v>34.404200000000003</c:v>
                </c:pt>
                <c:pt idx="60">
                  <c:v>34.404000000000003</c:v>
                </c:pt>
                <c:pt idx="61">
                  <c:v>34.405099999999997</c:v>
                </c:pt>
                <c:pt idx="62">
                  <c:v>34.404600000000002</c:v>
                </c:pt>
                <c:pt idx="63">
                  <c:v>34.403799999999997</c:v>
                </c:pt>
                <c:pt idx="64">
                  <c:v>34.405099999999997</c:v>
                </c:pt>
                <c:pt idx="65">
                  <c:v>34.406300000000002</c:v>
                </c:pt>
                <c:pt idx="66">
                  <c:v>34.406500000000001</c:v>
                </c:pt>
                <c:pt idx="67">
                  <c:v>34.405900000000003</c:v>
                </c:pt>
                <c:pt idx="68">
                  <c:v>34.406500000000001</c:v>
                </c:pt>
                <c:pt idx="69">
                  <c:v>34.406599999999997</c:v>
                </c:pt>
                <c:pt idx="70">
                  <c:v>34.406799999999997</c:v>
                </c:pt>
                <c:pt idx="71">
                  <c:v>34.407200000000003</c:v>
                </c:pt>
                <c:pt idx="72">
                  <c:v>34.407200000000003</c:v>
                </c:pt>
                <c:pt idx="73">
                  <c:v>34.407899999999998</c:v>
                </c:pt>
                <c:pt idx="74">
                  <c:v>34.406700000000001</c:v>
                </c:pt>
                <c:pt idx="75">
                  <c:v>34.407699999999998</c:v>
                </c:pt>
                <c:pt idx="76">
                  <c:v>34.407499999999999</c:v>
                </c:pt>
                <c:pt idx="77">
                  <c:v>34.406700000000001</c:v>
                </c:pt>
                <c:pt idx="78">
                  <c:v>34.4071</c:v>
                </c:pt>
                <c:pt idx="79">
                  <c:v>34.406700000000001</c:v>
                </c:pt>
                <c:pt idx="80">
                  <c:v>34.406300000000002</c:v>
                </c:pt>
                <c:pt idx="81">
                  <c:v>34.405200000000001</c:v>
                </c:pt>
                <c:pt idx="82">
                  <c:v>34.405500000000004</c:v>
                </c:pt>
                <c:pt idx="83">
                  <c:v>34.405999999999999</c:v>
                </c:pt>
                <c:pt idx="84">
                  <c:v>34.4054</c:v>
                </c:pt>
                <c:pt idx="85">
                  <c:v>34.406100000000002</c:v>
                </c:pt>
                <c:pt idx="86">
                  <c:v>34.406199999999998</c:v>
                </c:pt>
                <c:pt idx="87">
                  <c:v>34.4054</c:v>
                </c:pt>
                <c:pt idx="88">
                  <c:v>34.4056</c:v>
                </c:pt>
                <c:pt idx="89">
                  <c:v>34.406100000000002</c:v>
                </c:pt>
                <c:pt idx="90">
                  <c:v>34.405700000000003</c:v>
                </c:pt>
                <c:pt idx="91">
                  <c:v>34.4056</c:v>
                </c:pt>
                <c:pt idx="92">
                  <c:v>34.4056</c:v>
                </c:pt>
                <c:pt idx="93">
                  <c:v>34.405799999999999</c:v>
                </c:pt>
                <c:pt idx="94">
                  <c:v>34.406799999999997</c:v>
                </c:pt>
                <c:pt idx="95">
                  <c:v>34.4071</c:v>
                </c:pt>
                <c:pt idx="96">
                  <c:v>34.4069</c:v>
                </c:pt>
                <c:pt idx="97">
                  <c:v>34.406700000000001</c:v>
                </c:pt>
                <c:pt idx="98">
                  <c:v>34.406300000000002</c:v>
                </c:pt>
                <c:pt idx="99">
                  <c:v>34.407400000000003</c:v>
                </c:pt>
                <c:pt idx="100">
                  <c:v>34.406500000000001</c:v>
                </c:pt>
                <c:pt idx="101">
                  <c:v>34.4056</c:v>
                </c:pt>
                <c:pt idx="102">
                  <c:v>34.406100000000002</c:v>
                </c:pt>
                <c:pt idx="103">
                  <c:v>34.406700000000001</c:v>
                </c:pt>
                <c:pt idx="104">
                  <c:v>34.406500000000001</c:v>
                </c:pt>
                <c:pt idx="105">
                  <c:v>34.406700000000001</c:v>
                </c:pt>
                <c:pt idx="106">
                  <c:v>34.407200000000003</c:v>
                </c:pt>
                <c:pt idx="107">
                  <c:v>34.4069</c:v>
                </c:pt>
                <c:pt idx="108">
                  <c:v>34.406599999999997</c:v>
                </c:pt>
                <c:pt idx="109">
                  <c:v>34.405900000000003</c:v>
                </c:pt>
                <c:pt idx="110">
                  <c:v>34.405299999999997</c:v>
                </c:pt>
                <c:pt idx="111">
                  <c:v>34.406300000000002</c:v>
                </c:pt>
                <c:pt idx="112">
                  <c:v>34.4056</c:v>
                </c:pt>
                <c:pt idx="113">
                  <c:v>34.406199999999998</c:v>
                </c:pt>
                <c:pt idx="114">
                  <c:v>34.406500000000001</c:v>
                </c:pt>
                <c:pt idx="115">
                  <c:v>34.406399999999998</c:v>
                </c:pt>
                <c:pt idx="116">
                  <c:v>34.406300000000002</c:v>
                </c:pt>
                <c:pt idx="117">
                  <c:v>34.406399999999998</c:v>
                </c:pt>
                <c:pt idx="118">
                  <c:v>34.406700000000001</c:v>
                </c:pt>
                <c:pt idx="119">
                  <c:v>34.406100000000002</c:v>
                </c:pt>
                <c:pt idx="120">
                  <c:v>34.407200000000003</c:v>
                </c:pt>
                <c:pt idx="121">
                  <c:v>34.406999999999996</c:v>
                </c:pt>
                <c:pt idx="122">
                  <c:v>34.407200000000003</c:v>
                </c:pt>
                <c:pt idx="123">
                  <c:v>34.407499999999999</c:v>
                </c:pt>
                <c:pt idx="124">
                  <c:v>34.407499999999999</c:v>
                </c:pt>
                <c:pt idx="125">
                  <c:v>34.407400000000003</c:v>
                </c:pt>
                <c:pt idx="126">
                  <c:v>34.407800000000002</c:v>
                </c:pt>
                <c:pt idx="127">
                  <c:v>34.407400000000003</c:v>
                </c:pt>
                <c:pt idx="128">
                  <c:v>34.408200000000001</c:v>
                </c:pt>
                <c:pt idx="129">
                  <c:v>34.407499999999999</c:v>
                </c:pt>
                <c:pt idx="130">
                  <c:v>34.407400000000003</c:v>
                </c:pt>
                <c:pt idx="131">
                  <c:v>34.408000000000001</c:v>
                </c:pt>
                <c:pt idx="132">
                  <c:v>34.408099999999997</c:v>
                </c:pt>
                <c:pt idx="133">
                  <c:v>34.4071</c:v>
                </c:pt>
                <c:pt idx="134">
                  <c:v>34.407299999999999</c:v>
                </c:pt>
                <c:pt idx="135">
                  <c:v>34.407299999999999</c:v>
                </c:pt>
                <c:pt idx="136">
                  <c:v>34.406999999999996</c:v>
                </c:pt>
                <c:pt idx="137">
                  <c:v>34.406700000000001</c:v>
                </c:pt>
                <c:pt idx="138">
                  <c:v>34.4071</c:v>
                </c:pt>
                <c:pt idx="139">
                  <c:v>34.406399999999998</c:v>
                </c:pt>
                <c:pt idx="140">
                  <c:v>34.4071</c:v>
                </c:pt>
                <c:pt idx="141">
                  <c:v>34.407299999999999</c:v>
                </c:pt>
                <c:pt idx="142">
                  <c:v>34.407699999999998</c:v>
                </c:pt>
                <c:pt idx="143">
                  <c:v>34.4069</c:v>
                </c:pt>
                <c:pt idx="144">
                  <c:v>34.407299999999999</c:v>
                </c:pt>
                <c:pt idx="145">
                  <c:v>34.406999999999996</c:v>
                </c:pt>
                <c:pt idx="146">
                  <c:v>34.406199999999998</c:v>
                </c:pt>
                <c:pt idx="147">
                  <c:v>34.406300000000002</c:v>
                </c:pt>
                <c:pt idx="148">
                  <c:v>34.4071</c:v>
                </c:pt>
                <c:pt idx="149">
                  <c:v>34.406599999999997</c:v>
                </c:pt>
                <c:pt idx="150">
                  <c:v>34.4071</c:v>
                </c:pt>
                <c:pt idx="151">
                  <c:v>34.406700000000001</c:v>
                </c:pt>
                <c:pt idx="152">
                  <c:v>34.4069</c:v>
                </c:pt>
                <c:pt idx="153">
                  <c:v>34.406799999999997</c:v>
                </c:pt>
                <c:pt idx="154">
                  <c:v>34.405700000000003</c:v>
                </c:pt>
                <c:pt idx="155">
                  <c:v>34.405799999999999</c:v>
                </c:pt>
                <c:pt idx="156">
                  <c:v>34.406199999999998</c:v>
                </c:pt>
                <c:pt idx="157">
                  <c:v>34.405799999999999</c:v>
                </c:pt>
                <c:pt idx="158">
                  <c:v>34.406399999999998</c:v>
                </c:pt>
                <c:pt idx="159">
                  <c:v>34.405700000000003</c:v>
                </c:pt>
                <c:pt idx="160">
                  <c:v>34.405799999999999</c:v>
                </c:pt>
                <c:pt idx="161">
                  <c:v>34.406599999999997</c:v>
                </c:pt>
                <c:pt idx="162">
                  <c:v>34.406799999999997</c:v>
                </c:pt>
                <c:pt idx="163">
                  <c:v>34.406500000000001</c:v>
                </c:pt>
                <c:pt idx="164">
                  <c:v>34.406199999999998</c:v>
                </c:pt>
                <c:pt idx="165">
                  <c:v>34.405799999999999</c:v>
                </c:pt>
                <c:pt idx="166">
                  <c:v>34.406799999999997</c:v>
                </c:pt>
                <c:pt idx="167">
                  <c:v>34.405900000000003</c:v>
                </c:pt>
                <c:pt idx="168">
                  <c:v>34.406199999999998</c:v>
                </c:pt>
                <c:pt idx="169">
                  <c:v>34.406500000000001</c:v>
                </c:pt>
                <c:pt idx="170">
                  <c:v>34.406599999999997</c:v>
                </c:pt>
                <c:pt idx="171">
                  <c:v>34.406799999999997</c:v>
                </c:pt>
                <c:pt idx="172">
                  <c:v>34.407299999999999</c:v>
                </c:pt>
                <c:pt idx="173">
                  <c:v>34.406599999999997</c:v>
                </c:pt>
                <c:pt idx="174">
                  <c:v>34.405900000000003</c:v>
                </c:pt>
                <c:pt idx="175">
                  <c:v>34.405900000000003</c:v>
                </c:pt>
                <c:pt idx="176">
                  <c:v>34.4054</c:v>
                </c:pt>
                <c:pt idx="177">
                  <c:v>34.406500000000001</c:v>
                </c:pt>
                <c:pt idx="178">
                  <c:v>34.406199999999998</c:v>
                </c:pt>
                <c:pt idx="179">
                  <c:v>34.406199999999998</c:v>
                </c:pt>
                <c:pt idx="180">
                  <c:v>34.406399999999998</c:v>
                </c:pt>
                <c:pt idx="181">
                  <c:v>34.406399999999998</c:v>
                </c:pt>
                <c:pt idx="182">
                  <c:v>34.406100000000002</c:v>
                </c:pt>
                <c:pt idx="183">
                  <c:v>34.406199999999998</c:v>
                </c:pt>
                <c:pt idx="184">
                  <c:v>34.406399999999998</c:v>
                </c:pt>
                <c:pt idx="185">
                  <c:v>34.405700000000003</c:v>
                </c:pt>
                <c:pt idx="186">
                  <c:v>34.406300000000002</c:v>
                </c:pt>
                <c:pt idx="187">
                  <c:v>34.406700000000001</c:v>
                </c:pt>
                <c:pt idx="188">
                  <c:v>34.4069</c:v>
                </c:pt>
                <c:pt idx="189">
                  <c:v>34.4071</c:v>
                </c:pt>
                <c:pt idx="190">
                  <c:v>34.406799999999997</c:v>
                </c:pt>
                <c:pt idx="191">
                  <c:v>34.406999999999996</c:v>
                </c:pt>
                <c:pt idx="192">
                  <c:v>34.4069</c:v>
                </c:pt>
                <c:pt idx="193">
                  <c:v>34.407299999999999</c:v>
                </c:pt>
                <c:pt idx="194">
                  <c:v>34.406999999999996</c:v>
                </c:pt>
                <c:pt idx="195">
                  <c:v>34.407800000000002</c:v>
                </c:pt>
                <c:pt idx="196">
                  <c:v>34.4071</c:v>
                </c:pt>
                <c:pt idx="197">
                  <c:v>34.4069</c:v>
                </c:pt>
                <c:pt idx="198">
                  <c:v>34.407499999999999</c:v>
                </c:pt>
                <c:pt idx="199">
                  <c:v>34.407699999999998</c:v>
                </c:pt>
                <c:pt idx="200">
                  <c:v>34.406799999999997</c:v>
                </c:pt>
                <c:pt idx="201">
                  <c:v>34.407200000000003</c:v>
                </c:pt>
                <c:pt idx="202">
                  <c:v>34.407299999999999</c:v>
                </c:pt>
                <c:pt idx="203">
                  <c:v>34.406999999999996</c:v>
                </c:pt>
                <c:pt idx="204">
                  <c:v>34.406199999999998</c:v>
                </c:pt>
                <c:pt idx="205">
                  <c:v>34.405999999999999</c:v>
                </c:pt>
                <c:pt idx="206">
                  <c:v>34.4069</c:v>
                </c:pt>
                <c:pt idx="207">
                  <c:v>34.406199999999998</c:v>
                </c:pt>
                <c:pt idx="208">
                  <c:v>34.4069</c:v>
                </c:pt>
                <c:pt idx="209">
                  <c:v>34.407299999999999</c:v>
                </c:pt>
                <c:pt idx="210">
                  <c:v>34.4069</c:v>
                </c:pt>
                <c:pt idx="211">
                  <c:v>34.406999999999996</c:v>
                </c:pt>
                <c:pt idx="212">
                  <c:v>34.406799999999997</c:v>
                </c:pt>
                <c:pt idx="213">
                  <c:v>34.405700000000003</c:v>
                </c:pt>
                <c:pt idx="214">
                  <c:v>34.405900000000003</c:v>
                </c:pt>
                <c:pt idx="215">
                  <c:v>34.405999999999999</c:v>
                </c:pt>
                <c:pt idx="216">
                  <c:v>34.406100000000002</c:v>
                </c:pt>
                <c:pt idx="217">
                  <c:v>34.406599999999997</c:v>
                </c:pt>
                <c:pt idx="218">
                  <c:v>34.406199999999998</c:v>
                </c:pt>
                <c:pt idx="219">
                  <c:v>34.406500000000001</c:v>
                </c:pt>
                <c:pt idx="220">
                  <c:v>34.405299999999997</c:v>
                </c:pt>
                <c:pt idx="221">
                  <c:v>34.4054</c:v>
                </c:pt>
                <c:pt idx="222">
                  <c:v>34.406599999999997</c:v>
                </c:pt>
                <c:pt idx="223">
                  <c:v>34.405900000000003</c:v>
                </c:pt>
                <c:pt idx="224">
                  <c:v>34.405500000000004</c:v>
                </c:pt>
                <c:pt idx="225">
                  <c:v>34.406100000000002</c:v>
                </c:pt>
                <c:pt idx="226">
                  <c:v>34.405500000000004</c:v>
                </c:pt>
                <c:pt idx="227">
                  <c:v>34.405700000000003</c:v>
                </c:pt>
                <c:pt idx="228">
                  <c:v>34.405999999999999</c:v>
                </c:pt>
                <c:pt idx="229">
                  <c:v>34.406100000000002</c:v>
                </c:pt>
                <c:pt idx="230">
                  <c:v>34.406300000000002</c:v>
                </c:pt>
                <c:pt idx="231">
                  <c:v>34.406399999999998</c:v>
                </c:pt>
                <c:pt idx="232">
                  <c:v>34.4054</c:v>
                </c:pt>
                <c:pt idx="233">
                  <c:v>34.406199999999998</c:v>
                </c:pt>
                <c:pt idx="234">
                  <c:v>34.406199999999998</c:v>
                </c:pt>
                <c:pt idx="235">
                  <c:v>34.405799999999999</c:v>
                </c:pt>
                <c:pt idx="236">
                  <c:v>34.405999999999999</c:v>
                </c:pt>
                <c:pt idx="237">
                  <c:v>34.406700000000001</c:v>
                </c:pt>
                <c:pt idx="238">
                  <c:v>34.406799999999997</c:v>
                </c:pt>
                <c:pt idx="239">
                  <c:v>34.4071</c:v>
                </c:pt>
                <c:pt idx="240">
                  <c:v>34.407499999999999</c:v>
                </c:pt>
                <c:pt idx="241">
                  <c:v>34.406799999999997</c:v>
                </c:pt>
                <c:pt idx="242">
                  <c:v>34.406799999999997</c:v>
                </c:pt>
                <c:pt idx="243">
                  <c:v>34.405900000000003</c:v>
                </c:pt>
                <c:pt idx="244">
                  <c:v>34.4071</c:v>
                </c:pt>
                <c:pt idx="245">
                  <c:v>34.406399999999998</c:v>
                </c:pt>
                <c:pt idx="246">
                  <c:v>34.409500000000001</c:v>
                </c:pt>
                <c:pt idx="247">
                  <c:v>34.454099999999997</c:v>
                </c:pt>
                <c:pt idx="248">
                  <c:v>34.546799999999998</c:v>
                </c:pt>
                <c:pt idx="249">
                  <c:v>35.088900000000002</c:v>
                </c:pt>
                <c:pt idx="250">
                  <c:v>35.351599999999998</c:v>
                </c:pt>
                <c:pt idx="251">
                  <c:v>35.651400000000002</c:v>
                </c:pt>
                <c:pt idx="252">
                  <c:v>35.987900000000003</c:v>
                </c:pt>
                <c:pt idx="253">
                  <c:v>36.360799999999998</c:v>
                </c:pt>
                <c:pt idx="254">
                  <c:v>37.200299999999999</c:v>
                </c:pt>
                <c:pt idx="255">
                  <c:v>37.664999999999999</c:v>
                </c:pt>
                <c:pt idx="256">
                  <c:v>38.884500000000003</c:v>
                </c:pt>
                <c:pt idx="257">
                  <c:v>39.527099999999997</c:v>
                </c:pt>
                <c:pt idx="258">
                  <c:v>40.189300000000003</c:v>
                </c:pt>
                <c:pt idx="259">
                  <c:v>43.027099999999997</c:v>
                </c:pt>
                <c:pt idx="260">
                  <c:v>43.777500000000003</c:v>
                </c:pt>
                <c:pt idx="261">
                  <c:v>44.543799999999997</c:v>
                </c:pt>
                <c:pt idx="262">
                  <c:v>46.928899999999999</c:v>
                </c:pt>
                <c:pt idx="263">
                  <c:v>48.583500000000001</c:v>
                </c:pt>
                <c:pt idx="264">
                  <c:v>49.428199999999997</c:v>
                </c:pt>
                <c:pt idx="265">
                  <c:v>50.284399999999998</c:v>
                </c:pt>
                <c:pt idx="266">
                  <c:v>51.151699999999998</c:v>
                </c:pt>
                <c:pt idx="267">
                  <c:v>52.914700000000003</c:v>
                </c:pt>
                <c:pt idx="268">
                  <c:v>53.8123</c:v>
                </c:pt>
                <c:pt idx="269">
                  <c:v>54.716200000000001</c:v>
                </c:pt>
                <c:pt idx="270">
                  <c:v>55.627400000000002</c:v>
                </c:pt>
                <c:pt idx="271">
                  <c:v>57.4801</c:v>
                </c:pt>
                <c:pt idx="272">
                  <c:v>58.415900000000001</c:v>
                </c:pt>
                <c:pt idx="273">
                  <c:v>61.261299999999999</c:v>
                </c:pt>
                <c:pt idx="274">
                  <c:v>62.220399999999998</c:v>
                </c:pt>
                <c:pt idx="275">
                  <c:v>62.220399999999998</c:v>
                </c:pt>
                <c:pt idx="276">
                  <c:v>64.165000000000006</c:v>
                </c:pt>
                <c:pt idx="277">
                  <c:v>65.144599999999997</c:v>
                </c:pt>
                <c:pt idx="278">
                  <c:v>65.144599999999997</c:v>
                </c:pt>
                <c:pt idx="279">
                  <c:v>67.115600000000001</c:v>
                </c:pt>
                <c:pt idx="280">
                  <c:v>68.107200000000006</c:v>
                </c:pt>
                <c:pt idx="281">
                  <c:v>70.106800000000007</c:v>
                </c:pt>
                <c:pt idx="282">
                  <c:v>72.120800000000003</c:v>
                </c:pt>
                <c:pt idx="283">
                  <c:v>73.132099999999994</c:v>
                </c:pt>
                <c:pt idx="284">
                  <c:v>75.165599999999998</c:v>
                </c:pt>
                <c:pt idx="285">
                  <c:v>75.165599999999998</c:v>
                </c:pt>
                <c:pt idx="286">
                  <c:v>77.214799999999997</c:v>
                </c:pt>
                <c:pt idx="287">
                  <c:v>82.376300000000001</c:v>
                </c:pt>
                <c:pt idx="288">
                  <c:v>82.376300000000001</c:v>
                </c:pt>
                <c:pt idx="289">
                  <c:v>84.460599999999999</c:v>
                </c:pt>
                <c:pt idx="290">
                  <c:v>84.460599999999999</c:v>
                </c:pt>
                <c:pt idx="291">
                  <c:v>86.552300000000002</c:v>
                </c:pt>
                <c:pt idx="292">
                  <c:v>88.647400000000005</c:v>
                </c:pt>
                <c:pt idx="293">
                  <c:v>90.7453</c:v>
                </c:pt>
                <c:pt idx="294">
                  <c:v>90.7453</c:v>
                </c:pt>
                <c:pt idx="295">
                  <c:v>92.850399999999993</c:v>
                </c:pt>
                <c:pt idx="296">
                  <c:v>94.968500000000006</c:v>
                </c:pt>
                <c:pt idx="297">
                  <c:v>97.091099999999997</c:v>
                </c:pt>
                <c:pt idx="298">
                  <c:v>97.091099999999997</c:v>
                </c:pt>
                <c:pt idx="299">
                  <c:v>99.220200000000006</c:v>
                </c:pt>
                <c:pt idx="300">
                  <c:v>101.348</c:v>
                </c:pt>
                <c:pt idx="301">
                  <c:v>104.548</c:v>
                </c:pt>
                <c:pt idx="302">
                  <c:v>104.548</c:v>
                </c:pt>
                <c:pt idx="303">
                  <c:v>108.82</c:v>
                </c:pt>
                <c:pt idx="304">
                  <c:v>108.82</c:v>
                </c:pt>
                <c:pt idx="305">
                  <c:v>108.82</c:v>
                </c:pt>
                <c:pt idx="306">
                  <c:v>114.169</c:v>
                </c:pt>
                <c:pt idx="307">
                  <c:v>114.169</c:v>
                </c:pt>
                <c:pt idx="308">
                  <c:v>116.31100000000001</c:v>
                </c:pt>
                <c:pt idx="309">
                  <c:v>116.31100000000001</c:v>
                </c:pt>
                <c:pt idx="310">
                  <c:v>116.31100000000001</c:v>
                </c:pt>
                <c:pt idx="311">
                  <c:v>119.52</c:v>
                </c:pt>
                <c:pt idx="312">
                  <c:v>121.65</c:v>
                </c:pt>
                <c:pt idx="313">
                  <c:v>124.84399999999999</c:v>
                </c:pt>
                <c:pt idx="314">
                  <c:v>124.84399999999999</c:v>
                </c:pt>
                <c:pt idx="315">
                  <c:v>128.03899999999999</c:v>
                </c:pt>
                <c:pt idx="316">
                  <c:v>130.16200000000001</c:v>
                </c:pt>
                <c:pt idx="317">
                  <c:v>130.16200000000001</c:v>
                </c:pt>
                <c:pt idx="318">
                  <c:v>133.33799999999999</c:v>
                </c:pt>
                <c:pt idx="319">
                  <c:v>133.33799999999999</c:v>
                </c:pt>
                <c:pt idx="320">
                  <c:v>133.33799999999999</c:v>
                </c:pt>
                <c:pt idx="321">
                  <c:v>136.511</c:v>
                </c:pt>
                <c:pt idx="322">
                  <c:v>139.67099999999999</c:v>
                </c:pt>
                <c:pt idx="323">
                  <c:v>139.67099999999999</c:v>
                </c:pt>
                <c:pt idx="324">
                  <c:v>139.67099999999999</c:v>
                </c:pt>
                <c:pt idx="325">
                  <c:v>139.67099999999999</c:v>
                </c:pt>
                <c:pt idx="326">
                  <c:v>139.67099999999999</c:v>
                </c:pt>
                <c:pt idx="327">
                  <c:v>139.67099999999999</c:v>
                </c:pt>
                <c:pt idx="328">
                  <c:v>139.67099999999999</c:v>
                </c:pt>
                <c:pt idx="329">
                  <c:v>139.67099999999999</c:v>
                </c:pt>
                <c:pt idx="330">
                  <c:v>139.67099999999999</c:v>
                </c:pt>
                <c:pt idx="331">
                  <c:v>139.67099999999999</c:v>
                </c:pt>
                <c:pt idx="332">
                  <c:v>151.25800000000001</c:v>
                </c:pt>
                <c:pt idx="333">
                  <c:v>151.25800000000001</c:v>
                </c:pt>
                <c:pt idx="334">
                  <c:v>151.25800000000001</c:v>
                </c:pt>
                <c:pt idx="335">
                  <c:v>155.417</c:v>
                </c:pt>
                <c:pt idx="336">
                  <c:v>158.48400000000001</c:v>
                </c:pt>
                <c:pt idx="337">
                  <c:v>158.48400000000001</c:v>
                </c:pt>
                <c:pt idx="338">
                  <c:v>158.48400000000001</c:v>
                </c:pt>
                <c:pt idx="339">
                  <c:v>161.5</c:v>
                </c:pt>
                <c:pt idx="340">
                  <c:v>164.477</c:v>
                </c:pt>
                <c:pt idx="341">
                  <c:v>164.477</c:v>
                </c:pt>
                <c:pt idx="342">
                  <c:v>164.477</c:v>
                </c:pt>
                <c:pt idx="343">
                  <c:v>168.40700000000001</c:v>
                </c:pt>
                <c:pt idx="344">
                  <c:v>168.40700000000001</c:v>
                </c:pt>
                <c:pt idx="345">
                  <c:v>171.328</c:v>
                </c:pt>
                <c:pt idx="346">
                  <c:v>171.328</c:v>
                </c:pt>
                <c:pt idx="347">
                  <c:v>171.328</c:v>
                </c:pt>
                <c:pt idx="348">
                  <c:v>171.328</c:v>
                </c:pt>
                <c:pt idx="349">
                  <c:v>171.328</c:v>
                </c:pt>
                <c:pt idx="350">
                  <c:v>178.042</c:v>
                </c:pt>
                <c:pt idx="351">
                  <c:v>178.042</c:v>
                </c:pt>
                <c:pt idx="352">
                  <c:v>181.833</c:v>
                </c:pt>
                <c:pt idx="353">
                  <c:v>184.65700000000001</c:v>
                </c:pt>
                <c:pt idx="354">
                  <c:v>184.65700000000001</c:v>
                </c:pt>
                <c:pt idx="355">
                  <c:v>184.65700000000001</c:v>
                </c:pt>
                <c:pt idx="356">
                  <c:v>184.65700000000001</c:v>
                </c:pt>
                <c:pt idx="357">
                  <c:v>188.41300000000001</c:v>
                </c:pt>
                <c:pt idx="358">
                  <c:v>188.41300000000001</c:v>
                </c:pt>
                <c:pt idx="359">
                  <c:v>192.13900000000001</c:v>
                </c:pt>
                <c:pt idx="360">
                  <c:v>192.13900000000001</c:v>
                </c:pt>
                <c:pt idx="361">
                  <c:v>192.13900000000001</c:v>
                </c:pt>
                <c:pt idx="362">
                  <c:v>192.13900000000001</c:v>
                </c:pt>
                <c:pt idx="363">
                  <c:v>192.13900000000001</c:v>
                </c:pt>
                <c:pt idx="364">
                  <c:v>198.61199999999999</c:v>
                </c:pt>
                <c:pt idx="365">
                  <c:v>198.61199999999999</c:v>
                </c:pt>
                <c:pt idx="366">
                  <c:v>198.61199999999999</c:v>
                </c:pt>
                <c:pt idx="367">
                  <c:v>202.30099999999999</c:v>
                </c:pt>
                <c:pt idx="368">
                  <c:v>202.30099999999999</c:v>
                </c:pt>
                <c:pt idx="369">
                  <c:v>202.30099999999999</c:v>
                </c:pt>
                <c:pt idx="370">
                  <c:v>205.959</c:v>
                </c:pt>
                <c:pt idx="371">
                  <c:v>205.959</c:v>
                </c:pt>
                <c:pt idx="372">
                  <c:v>205.959</c:v>
                </c:pt>
                <c:pt idx="373">
                  <c:v>205.959</c:v>
                </c:pt>
                <c:pt idx="374">
                  <c:v>205.959</c:v>
                </c:pt>
                <c:pt idx="375">
                  <c:v>205.959</c:v>
                </c:pt>
                <c:pt idx="376">
                  <c:v>212.44200000000001</c:v>
                </c:pt>
                <c:pt idx="377">
                  <c:v>212.44200000000001</c:v>
                </c:pt>
                <c:pt idx="378">
                  <c:v>216.38300000000001</c:v>
                </c:pt>
                <c:pt idx="379">
                  <c:v>216.38300000000001</c:v>
                </c:pt>
                <c:pt idx="380">
                  <c:v>216.38300000000001</c:v>
                </c:pt>
                <c:pt idx="381">
                  <c:v>220.25800000000001</c:v>
                </c:pt>
                <c:pt idx="382">
                  <c:v>220.25800000000001</c:v>
                </c:pt>
                <c:pt idx="383">
                  <c:v>220.25800000000001</c:v>
                </c:pt>
                <c:pt idx="384">
                  <c:v>220.25800000000001</c:v>
                </c:pt>
                <c:pt idx="385">
                  <c:v>220.25800000000001</c:v>
                </c:pt>
                <c:pt idx="386">
                  <c:v>220.25800000000001</c:v>
                </c:pt>
                <c:pt idx="387">
                  <c:v>235.88800000000001</c:v>
                </c:pt>
                <c:pt idx="388">
                  <c:v>235.88800000000001</c:v>
                </c:pt>
                <c:pt idx="389">
                  <c:v>235.88800000000001</c:v>
                </c:pt>
                <c:pt idx="390">
                  <c:v>235.88800000000001</c:v>
                </c:pt>
                <c:pt idx="391">
                  <c:v>235.88800000000001</c:v>
                </c:pt>
                <c:pt idx="392">
                  <c:v>242.95099999999999</c:v>
                </c:pt>
                <c:pt idx="393">
                  <c:v>242.95099999999999</c:v>
                </c:pt>
                <c:pt idx="394">
                  <c:v>242.95099999999999</c:v>
                </c:pt>
                <c:pt idx="395">
                  <c:v>242.95099999999999</c:v>
                </c:pt>
                <c:pt idx="396">
                  <c:v>246.75700000000001</c:v>
                </c:pt>
                <c:pt idx="397">
                  <c:v>246.75700000000001</c:v>
                </c:pt>
                <c:pt idx="398">
                  <c:v>246.75700000000001</c:v>
                </c:pt>
                <c:pt idx="399">
                  <c:v>246.75700000000001</c:v>
                </c:pt>
                <c:pt idx="400">
                  <c:v>246.75700000000001</c:v>
                </c:pt>
                <c:pt idx="401">
                  <c:v>253.446</c:v>
                </c:pt>
                <c:pt idx="402">
                  <c:v>253.446</c:v>
                </c:pt>
                <c:pt idx="403">
                  <c:v>253.446</c:v>
                </c:pt>
                <c:pt idx="404">
                  <c:v>253.446</c:v>
                </c:pt>
                <c:pt idx="405">
                  <c:v>257.08</c:v>
                </c:pt>
                <c:pt idx="406">
                  <c:v>257.08</c:v>
                </c:pt>
                <c:pt idx="407">
                  <c:v>257.08</c:v>
                </c:pt>
                <c:pt idx="408">
                  <c:v>260.68200000000002</c:v>
                </c:pt>
                <c:pt idx="409">
                  <c:v>260.68200000000002</c:v>
                </c:pt>
                <c:pt idx="410">
                  <c:v>260.68200000000002</c:v>
                </c:pt>
                <c:pt idx="411">
                  <c:v>264.25599999999997</c:v>
                </c:pt>
                <c:pt idx="412">
                  <c:v>264.25599999999997</c:v>
                </c:pt>
                <c:pt idx="413">
                  <c:v>264.25599999999997</c:v>
                </c:pt>
                <c:pt idx="414">
                  <c:v>267.78800000000001</c:v>
                </c:pt>
                <c:pt idx="415">
                  <c:v>267.78800000000001</c:v>
                </c:pt>
                <c:pt idx="416">
                  <c:v>271.31799999999998</c:v>
                </c:pt>
                <c:pt idx="417">
                  <c:v>271.31799999999998</c:v>
                </c:pt>
                <c:pt idx="418">
                  <c:v>271.31799999999998</c:v>
                </c:pt>
                <c:pt idx="419">
                  <c:v>271.31799999999998</c:v>
                </c:pt>
                <c:pt idx="420">
                  <c:v>271.31799999999998</c:v>
                </c:pt>
                <c:pt idx="421">
                  <c:v>271.31799999999998</c:v>
                </c:pt>
                <c:pt idx="422">
                  <c:v>278.99599999999998</c:v>
                </c:pt>
                <c:pt idx="423">
                  <c:v>278.99599999999998</c:v>
                </c:pt>
                <c:pt idx="424">
                  <c:v>278.99599999999998</c:v>
                </c:pt>
                <c:pt idx="425">
                  <c:v>282.46800000000002</c:v>
                </c:pt>
                <c:pt idx="426">
                  <c:v>282.46800000000002</c:v>
                </c:pt>
                <c:pt idx="427">
                  <c:v>282.46800000000002</c:v>
                </c:pt>
                <c:pt idx="428">
                  <c:v>282.46800000000002</c:v>
                </c:pt>
                <c:pt idx="429">
                  <c:v>282.46800000000002</c:v>
                </c:pt>
                <c:pt idx="430">
                  <c:v>282.46800000000002</c:v>
                </c:pt>
                <c:pt idx="431">
                  <c:v>282.46800000000002</c:v>
                </c:pt>
                <c:pt idx="432">
                  <c:v>290.04000000000002</c:v>
                </c:pt>
                <c:pt idx="433">
                  <c:v>290.04000000000002</c:v>
                </c:pt>
                <c:pt idx="434">
                  <c:v>290.04000000000002</c:v>
                </c:pt>
                <c:pt idx="435">
                  <c:v>290.04000000000002</c:v>
                </c:pt>
                <c:pt idx="436">
                  <c:v>290.04000000000002</c:v>
                </c:pt>
                <c:pt idx="437">
                  <c:v>290.04000000000002</c:v>
                </c:pt>
                <c:pt idx="438">
                  <c:v>290.04000000000002</c:v>
                </c:pt>
                <c:pt idx="439">
                  <c:v>297.53100000000001</c:v>
                </c:pt>
                <c:pt idx="440">
                  <c:v>297.53100000000001</c:v>
                </c:pt>
                <c:pt idx="441">
                  <c:v>297.53100000000001</c:v>
                </c:pt>
                <c:pt idx="442">
                  <c:v>297.53100000000001</c:v>
                </c:pt>
                <c:pt idx="443">
                  <c:v>301.59199999999998</c:v>
                </c:pt>
                <c:pt idx="444">
                  <c:v>301.59199999999998</c:v>
                </c:pt>
                <c:pt idx="445">
                  <c:v>301.59199999999998</c:v>
                </c:pt>
                <c:pt idx="446">
                  <c:v>301.59199999999998</c:v>
                </c:pt>
                <c:pt idx="447">
                  <c:v>301.59199999999998</c:v>
                </c:pt>
                <c:pt idx="448">
                  <c:v>301.59199999999998</c:v>
                </c:pt>
                <c:pt idx="449">
                  <c:v>301.59199999999998</c:v>
                </c:pt>
                <c:pt idx="450">
                  <c:v>309.00599999999997</c:v>
                </c:pt>
                <c:pt idx="451">
                  <c:v>309.00599999999997</c:v>
                </c:pt>
                <c:pt idx="452">
                  <c:v>309.00599999999997</c:v>
                </c:pt>
                <c:pt idx="453">
                  <c:v>313.09300000000002</c:v>
                </c:pt>
                <c:pt idx="454">
                  <c:v>313.09300000000002</c:v>
                </c:pt>
                <c:pt idx="455">
                  <c:v>313.09300000000002</c:v>
                </c:pt>
                <c:pt idx="456">
                  <c:v>313.09300000000002</c:v>
                </c:pt>
                <c:pt idx="457">
                  <c:v>317.113</c:v>
                </c:pt>
                <c:pt idx="458">
                  <c:v>317.113</c:v>
                </c:pt>
                <c:pt idx="459">
                  <c:v>317.113</c:v>
                </c:pt>
                <c:pt idx="460">
                  <c:v>317.113</c:v>
                </c:pt>
                <c:pt idx="461">
                  <c:v>321.09199999999998</c:v>
                </c:pt>
                <c:pt idx="462">
                  <c:v>321.09199999999998</c:v>
                </c:pt>
                <c:pt idx="463">
                  <c:v>321.09199999999998</c:v>
                </c:pt>
                <c:pt idx="464">
                  <c:v>325.09800000000001</c:v>
                </c:pt>
                <c:pt idx="465">
                  <c:v>325.09800000000001</c:v>
                </c:pt>
                <c:pt idx="466">
                  <c:v>325.09800000000001</c:v>
                </c:pt>
                <c:pt idx="467">
                  <c:v>325.09800000000001</c:v>
                </c:pt>
                <c:pt idx="468">
                  <c:v>325.09800000000001</c:v>
                </c:pt>
                <c:pt idx="469">
                  <c:v>329.74599999999998</c:v>
                </c:pt>
                <c:pt idx="470">
                  <c:v>329.74599999999998</c:v>
                </c:pt>
                <c:pt idx="471">
                  <c:v>329.74599999999998</c:v>
                </c:pt>
                <c:pt idx="472">
                  <c:v>329.74599999999998</c:v>
                </c:pt>
                <c:pt idx="473">
                  <c:v>329.74599999999998</c:v>
                </c:pt>
                <c:pt idx="474">
                  <c:v>329.74599999999998</c:v>
                </c:pt>
                <c:pt idx="475">
                  <c:v>329.74599999999998</c:v>
                </c:pt>
                <c:pt idx="476">
                  <c:v>329.74599999999998</c:v>
                </c:pt>
                <c:pt idx="477">
                  <c:v>329.74599999999998</c:v>
                </c:pt>
                <c:pt idx="478">
                  <c:v>338.315</c:v>
                </c:pt>
                <c:pt idx="479">
                  <c:v>338.315</c:v>
                </c:pt>
                <c:pt idx="480">
                  <c:v>338.315</c:v>
                </c:pt>
                <c:pt idx="481">
                  <c:v>338.315</c:v>
                </c:pt>
                <c:pt idx="482">
                  <c:v>341.483</c:v>
                </c:pt>
                <c:pt idx="483">
                  <c:v>341.483</c:v>
                </c:pt>
                <c:pt idx="484">
                  <c:v>341.483</c:v>
                </c:pt>
                <c:pt idx="485">
                  <c:v>341.483</c:v>
                </c:pt>
                <c:pt idx="486">
                  <c:v>344.25400000000002</c:v>
                </c:pt>
                <c:pt idx="487">
                  <c:v>344.25400000000002</c:v>
                </c:pt>
                <c:pt idx="488">
                  <c:v>344.25400000000002</c:v>
                </c:pt>
                <c:pt idx="489">
                  <c:v>344.25400000000002</c:v>
                </c:pt>
                <c:pt idx="490">
                  <c:v>344.25400000000002</c:v>
                </c:pt>
                <c:pt idx="491">
                  <c:v>344.25400000000002</c:v>
                </c:pt>
                <c:pt idx="492">
                  <c:v>344.25400000000002</c:v>
                </c:pt>
                <c:pt idx="493">
                  <c:v>344.25400000000002</c:v>
                </c:pt>
                <c:pt idx="494">
                  <c:v>347.40100000000001</c:v>
                </c:pt>
                <c:pt idx="495">
                  <c:v>347.40100000000001</c:v>
                </c:pt>
                <c:pt idx="496">
                  <c:v>347.40100000000001</c:v>
                </c:pt>
                <c:pt idx="497">
                  <c:v>347.40100000000001</c:v>
                </c:pt>
                <c:pt idx="498">
                  <c:v>347.40100000000001</c:v>
                </c:pt>
                <c:pt idx="499">
                  <c:v>348</c:v>
                </c:pt>
                <c:pt idx="500">
                  <c:v>348</c:v>
                </c:pt>
                <c:pt idx="501">
                  <c:v>348</c:v>
                </c:pt>
                <c:pt idx="502">
                  <c:v>348</c:v>
                </c:pt>
                <c:pt idx="503">
                  <c:v>348</c:v>
                </c:pt>
                <c:pt idx="504">
                  <c:v>348</c:v>
                </c:pt>
                <c:pt idx="505">
                  <c:v>348</c:v>
                </c:pt>
                <c:pt idx="506">
                  <c:v>348.20699999999999</c:v>
                </c:pt>
                <c:pt idx="507">
                  <c:v>348.20699999999999</c:v>
                </c:pt>
                <c:pt idx="508">
                  <c:v>348.20699999999999</c:v>
                </c:pt>
                <c:pt idx="509">
                  <c:v>348.20699999999999</c:v>
                </c:pt>
                <c:pt idx="510">
                  <c:v>347.99599999999998</c:v>
                </c:pt>
                <c:pt idx="511">
                  <c:v>347.99599999999998</c:v>
                </c:pt>
                <c:pt idx="512">
                  <c:v>347.99599999999998</c:v>
                </c:pt>
                <c:pt idx="513">
                  <c:v>347.99599999999998</c:v>
                </c:pt>
                <c:pt idx="514">
                  <c:v>347.99599999999998</c:v>
                </c:pt>
                <c:pt idx="515">
                  <c:v>347.99599999999998</c:v>
                </c:pt>
                <c:pt idx="516">
                  <c:v>347.99599999999998</c:v>
                </c:pt>
                <c:pt idx="517">
                  <c:v>347.13600000000002</c:v>
                </c:pt>
                <c:pt idx="518">
                  <c:v>347.13600000000002</c:v>
                </c:pt>
                <c:pt idx="519">
                  <c:v>347.13600000000002</c:v>
                </c:pt>
                <c:pt idx="520">
                  <c:v>347.13600000000002</c:v>
                </c:pt>
                <c:pt idx="521">
                  <c:v>346.62099999999998</c:v>
                </c:pt>
                <c:pt idx="522">
                  <c:v>346.62099999999998</c:v>
                </c:pt>
                <c:pt idx="523">
                  <c:v>346.62099999999998</c:v>
                </c:pt>
                <c:pt idx="524">
                  <c:v>346.62099999999998</c:v>
                </c:pt>
                <c:pt idx="525">
                  <c:v>346.07</c:v>
                </c:pt>
                <c:pt idx="526">
                  <c:v>346.07</c:v>
                </c:pt>
                <c:pt idx="527">
                  <c:v>346.07</c:v>
                </c:pt>
                <c:pt idx="528">
                  <c:v>346.07</c:v>
                </c:pt>
                <c:pt idx="529">
                  <c:v>346.07</c:v>
                </c:pt>
                <c:pt idx="530">
                  <c:v>346.07</c:v>
                </c:pt>
                <c:pt idx="531">
                  <c:v>346.07</c:v>
                </c:pt>
                <c:pt idx="532">
                  <c:v>346.07</c:v>
                </c:pt>
                <c:pt idx="533">
                  <c:v>344.74299999999999</c:v>
                </c:pt>
                <c:pt idx="534">
                  <c:v>344.74299999999999</c:v>
                </c:pt>
                <c:pt idx="535">
                  <c:v>344.74299999999999</c:v>
                </c:pt>
                <c:pt idx="536">
                  <c:v>344.74299999999999</c:v>
                </c:pt>
                <c:pt idx="537">
                  <c:v>344.11</c:v>
                </c:pt>
                <c:pt idx="538">
                  <c:v>344.11</c:v>
                </c:pt>
                <c:pt idx="539">
                  <c:v>344.11</c:v>
                </c:pt>
                <c:pt idx="540">
                  <c:v>344.11</c:v>
                </c:pt>
                <c:pt idx="541">
                  <c:v>343.459</c:v>
                </c:pt>
                <c:pt idx="542">
                  <c:v>343.459</c:v>
                </c:pt>
                <c:pt idx="543">
                  <c:v>343.459</c:v>
                </c:pt>
                <c:pt idx="544">
                  <c:v>343.459</c:v>
                </c:pt>
                <c:pt idx="545">
                  <c:v>342.79599999999999</c:v>
                </c:pt>
                <c:pt idx="546">
                  <c:v>342.79599999999999</c:v>
                </c:pt>
                <c:pt idx="547">
                  <c:v>342.79599999999999</c:v>
                </c:pt>
                <c:pt idx="548">
                  <c:v>342.79599999999999</c:v>
                </c:pt>
                <c:pt idx="549">
                  <c:v>342.79599999999999</c:v>
                </c:pt>
                <c:pt idx="550">
                  <c:v>342.79599999999999</c:v>
                </c:pt>
                <c:pt idx="551">
                  <c:v>342.79599999999999</c:v>
                </c:pt>
                <c:pt idx="552">
                  <c:v>342.79599999999999</c:v>
                </c:pt>
                <c:pt idx="553">
                  <c:v>341.35399999999998</c:v>
                </c:pt>
                <c:pt idx="554">
                  <c:v>341.35399999999998</c:v>
                </c:pt>
                <c:pt idx="555">
                  <c:v>341.35399999999998</c:v>
                </c:pt>
                <c:pt idx="556">
                  <c:v>341.35399999999998</c:v>
                </c:pt>
                <c:pt idx="557">
                  <c:v>340.70400000000001</c:v>
                </c:pt>
                <c:pt idx="558">
                  <c:v>340.70400000000001</c:v>
                </c:pt>
                <c:pt idx="559">
                  <c:v>340.70400000000001</c:v>
                </c:pt>
                <c:pt idx="560">
                  <c:v>340.70400000000001</c:v>
                </c:pt>
                <c:pt idx="561">
                  <c:v>340.03699999999998</c:v>
                </c:pt>
                <c:pt idx="562">
                  <c:v>340.03699999999998</c:v>
                </c:pt>
                <c:pt idx="563">
                  <c:v>340.03699999999998</c:v>
                </c:pt>
                <c:pt idx="564">
                  <c:v>339.36599999999999</c:v>
                </c:pt>
                <c:pt idx="565">
                  <c:v>339.36599999999999</c:v>
                </c:pt>
                <c:pt idx="566">
                  <c:v>339.36599999999999</c:v>
                </c:pt>
                <c:pt idx="567">
                  <c:v>339.36599999999999</c:v>
                </c:pt>
                <c:pt idx="568">
                  <c:v>339.36599999999999</c:v>
                </c:pt>
                <c:pt idx="569">
                  <c:v>339.36599999999999</c:v>
                </c:pt>
                <c:pt idx="570">
                  <c:v>338.57900000000001</c:v>
                </c:pt>
                <c:pt idx="571">
                  <c:v>338.57900000000001</c:v>
                </c:pt>
                <c:pt idx="572">
                  <c:v>338.57900000000001</c:v>
                </c:pt>
                <c:pt idx="573">
                  <c:v>338.57900000000001</c:v>
                </c:pt>
                <c:pt idx="574">
                  <c:v>337.90300000000002</c:v>
                </c:pt>
                <c:pt idx="575">
                  <c:v>337.90300000000002</c:v>
                </c:pt>
                <c:pt idx="576">
                  <c:v>337.90300000000002</c:v>
                </c:pt>
                <c:pt idx="577">
                  <c:v>337.24799999999999</c:v>
                </c:pt>
                <c:pt idx="578">
                  <c:v>337.24799999999999</c:v>
                </c:pt>
                <c:pt idx="579">
                  <c:v>337.24799999999999</c:v>
                </c:pt>
                <c:pt idx="580">
                  <c:v>336.60399999999998</c:v>
                </c:pt>
                <c:pt idx="581">
                  <c:v>336.60399999999998</c:v>
                </c:pt>
                <c:pt idx="582">
                  <c:v>336.60399999999998</c:v>
                </c:pt>
                <c:pt idx="583">
                  <c:v>336.60399999999998</c:v>
                </c:pt>
                <c:pt idx="584">
                  <c:v>335.94600000000003</c:v>
                </c:pt>
                <c:pt idx="585">
                  <c:v>335.94600000000003</c:v>
                </c:pt>
                <c:pt idx="586">
                  <c:v>335.94600000000003</c:v>
                </c:pt>
                <c:pt idx="587">
                  <c:v>335.94600000000003</c:v>
                </c:pt>
                <c:pt idx="588">
                  <c:v>335.94600000000003</c:v>
                </c:pt>
                <c:pt idx="589">
                  <c:v>335.94600000000003</c:v>
                </c:pt>
                <c:pt idx="590">
                  <c:v>335.26600000000002</c:v>
                </c:pt>
                <c:pt idx="591">
                  <c:v>335.26600000000002</c:v>
                </c:pt>
                <c:pt idx="592">
                  <c:v>335.26600000000002</c:v>
                </c:pt>
                <c:pt idx="593">
                  <c:v>335.26600000000002</c:v>
                </c:pt>
                <c:pt idx="594">
                  <c:v>335.26600000000002</c:v>
                </c:pt>
                <c:pt idx="595">
                  <c:v>335.26600000000002</c:v>
                </c:pt>
                <c:pt idx="596">
                  <c:v>334.61200000000002</c:v>
                </c:pt>
                <c:pt idx="597">
                  <c:v>334.61200000000002</c:v>
                </c:pt>
                <c:pt idx="598">
                  <c:v>334.61200000000002</c:v>
                </c:pt>
                <c:pt idx="599">
                  <c:v>334.61200000000002</c:v>
                </c:pt>
                <c:pt idx="600">
                  <c:v>334.61200000000002</c:v>
                </c:pt>
                <c:pt idx="601">
                  <c:v>334.173</c:v>
                </c:pt>
                <c:pt idx="602">
                  <c:v>334.173</c:v>
                </c:pt>
                <c:pt idx="603">
                  <c:v>334.173</c:v>
                </c:pt>
                <c:pt idx="604">
                  <c:v>334.173</c:v>
                </c:pt>
                <c:pt idx="605">
                  <c:v>334.173</c:v>
                </c:pt>
                <c:pt idx="606">
                  <c:v>334.173</c:v>
                </c:pt>
                <c:pt idx="607">
                  <c:v>333.45499999999998</c:v>
                </c:pt>
                <c:pt idx="608">
                  <c:v>333.45499999999998</c:v>
                </c:pt>
                <c:pt idx="609">
                  <c:v>333.45499999999998</c:v>
                </c:pt>
                <c:pt idx="610">
                  <c:v>333.45499999999998</c:v>
                </c:pt>
                <c:pt idx="611">
                  <c:v>333.45499999999998</c:v>
                </c:pt>
                <c:pt idx="612">
                  <c:v>332.767</c:v>
                </c:pt>
                <c:pt idx="613">
                  <c:v>332.767</c:v>
                </c:pt>
                <c:pt idx="614">
                  <c:v>332.767</c:v>
                </c:pt>
                <c:pt idx="615">
                  <c:v>332.767</c:v>
                </c:pt>
                <c:pt idx="616">
                  <c:v>332.767</c:v>
                </c:pt>
                <c:pt idx="617">
                  <c:v>332.767</c:v>
                </c:pt>
                <c:pt idx="618">
                  <c:v>332.08800000000002</c:v>
                </c:pt>
                <c:pt idx="619">
                  <c:v>332.08800000000002</c:v>
                </c:pt>
                <c:pt idx="620">
                  <c:v>332.08800000000002</c:v>
                </c:pt>
                <c:pt idx="621">
                  <c:v>332.08800000000002</c:v>
                </c:pt>
                <c:pt idx="622">
                  <c:v>332.08800000000002</c:v>
                </c:pt>
                <c:pt idx="623">
                  <c:v>332.08800000000002</c:v>
                </c:pt>
                <c:pt idx="624">
                  <c:v>331.416</c:v>
                </c:pt>
                <c:pt idx="625">
                  <c:v>331.416</c:v>
                </c:pt>
                <c:pt idx="626">
                  <c:v>331.416</c:v>
                </c:pt>
                <c:pt idx="627">
                  <c:v>331.416</c:v>
                </c:pt>
                <c:pt idx="628">
                  <c:v>331.416</c:v>
                </c:pt>
                <c:pt idx="629">
                  <c:v>331.416</c:v>
                </c:pt>
                <c:pt idx="630">
                  <c:v>330.76499999999999</c:v>
                </c:pt>
                <c:pt idx="631">
                  <c:v>330.76499999999999</c:v>
                </c:pt>
                <c:pt idx="632">
                  <c:v>330.76499999999999</c:v>
                </c:pt>
                <c:pt idx="633">
                  <c:v>330.76499999999999</c:v>
                </c:pt>
                <c:pt idx="634">
                  <c:v>330.76499999999999</c:v>
                </c:pt>
                <c:pt idx="635">
                  <c:v>330.76499999999999</c:v>
                </c:pt>
                <c:pt idx="636">
                  <c:v>330.76499999999999</c:v>
                </c:pt>
                <c:pt idx="637">
                  <c:v>330.00200000000001</c:v>
                </c:pt>
                <c:pt idx="638">
                  <c:v>330.00200000000001</c:v>
                </c:pt>
                <c:pt idx="639">
                  <c:v>330.00200000000001</c:v>
                </c:pt>
                <c:pt idx="640">
                  <c:v>329.35300000000001</c:v>
                </c:pt>
                <c:pt idx="641">
                  <c:v>329.35300000000001</c:v>
                </c:pt>
                <c:pt idx="642">
                  <c:v>329.35300000000001</c:v>
                </c:pt>
                <c:pt idx="643">
                  <c:v>329.35300000000001</c:v>
                </c:pt>
                <c:pt idx="644">
                  <c:v>329.35300000000001</c:v>
                </c:pt>
                <c:pt idx="645">
                  <c:v>329.35300000000001</c:v>
                </c:pt>
                <c:pt idx="646">
                  <c:v>329.35300000000001</c:v>
                </c:pt>
                <c:pt idx="647">
                  <c:v>329.35300000000001</c:v>
                </c:pt>
                <c:pt idx="648">
                  <c:v>329.35300000000001</c:v>
                </c:pt>
                <c:pt idx="649">
                  <c:v>329.35300000000001</c:v>
                </c:pt>
                <c:pt idx="650">
                  <c:v>329.35300000000001</c:v>
                </c:pt>
                <c:pt idx="651">
                  <c:v>329.35300000000001</c:v>
                </c:pt>
                <c:pt idx="652">
                  <c:v>327.55599999999998</c:v>
                </c:pt>
                <c:pt idx="653">
                  <c:v>327.55599999999998</c:v>
                </c:pt>
                <c:pt idx="654">
                  <c:v>327.55599999999998</c:v>
                </c:pt>
                <c:pt idx="655">
                  <c:v>326.923</c:v>
                </c:pt>
                <c:pt idx="656">
                  <c:v>326.923</c:v>
                </c:pt>
                <c:pt idx="657">
                  <c:v>326.923</c:v>
                </c:pt>
                <c:pt idx="658">
                  <c:v>326.923</c:v>
                </c:pt>
                <c:pt idx="659">
                  <c:v>326.28899999999999</c:v>
                </c:pt>
                <c:pt idx="660">
                  <c:v>326.28899999999999</c:v>
                </c:pt>
                <c:pt idx="661">
                  <c:v>326.28899999999999</c:v>
                </c:pt>
                <c:pt idx="662">
                  <c:v>326.28899999999999</c:v>
                </c:pt>
                <c:pt idx="663">
                  <c:v>325.673</c:v>
                </c:pt>
                <c:pt idx="664">
                  <c:v>325.673</c:v>
                </c:pt>
                <c:pt idx="665">
                  <c:v>325.673</c:v>
                </c:pt>
                <c:pt idx="666">
                  <c:v>325.03699999999998</c:v>
                </c:pt>
                <c:pt idx="667">
                  <c:v>325.03699999999998</c:v>
                </c:pt>
                <c:pt idx="668">
                  <c:v>325.03699999999998</c:v>
                </c:pt>
                <c:pt idx="669">
                  <c:v>325.03699999999998</c:v>
                </c:pt>
                <c:pt idx="670">
                  <c:v>325.03699999999998</c:v>
                </c:pt>
                <c:pt idx="671">
                  <c:v>325.03699999999998</c:v>
                </c:pt>
                <c:pt idx="672">
                  <c:v>324.42</c:v>
                </c:pt>
                <c:pt idx="673">
                  <c:v>324.42</c:v>
                </c:pt>
                <c:pt idx="674">
                  <c:v>324.42</c:v>
                </c:pt>
                <c:pt idx="675">
                  <c:v>324.42</c:v>
                </c:pt>
                <c:pt idx="676">
                  <c:v>324.42</c:v>
                </c:pt>
                <c:pt idx="677">
                  <c:v>324.42</c:v>
                </c:pt>
                <c:pt idx="678">
                  <c:v>324.42</c:v>
                </c:pt>
                <c:pt idx="679">
                  <c:v>323.27300000000002</c:v>
                </c:pt>
                <c:pt idx="680">
                  <c:v>323.27300000000002</c:v>
                </c:pt>
                <c:pt idx="681">
                  <c:v>323.27300000000002</c:v>
                </c:pt>
                <c:pt idx="682">
                  <c:v>322.65699999999998</c:v>
                </c:pt>
                <c:pt idx="683">
                  <c:v>322.65699999999998</c:v>
                </c:pt>
                <c:pt idx="684">
                  <c:v>322.65699999999998</c:v>
                </c:pt>
                <c:pt idx="685">
                  <c:v>322.65699999999998</c:v>
                </c:pt>
                <c:pt idx="686">
                  <c:v>322.65699999999998</c:v>
                </c:pt>
                <c:pt idx="687">
                  <c:v>322.65699999999998</c:v>
                </c:pt>
                <c:pt idx="688">
                  <c:v>321.93700000000001</c:v>
                </c:pt>
                <c:pt idx="689">
                  <c:v>321.93700000000001</c:v>
                </c:pt>
                <c:pt idx="690">
                  <c:v>321.93700000000001</c:v>
                </c:pt>
                <c:pt idx="691">
                  <c:v>321.93700000000001</c:v>
                </c:pt>
                <c:pt idx="692">
                  <c:v>321.93700000000001</c:v>
                </c:pt>
                <c:pt idx="693">
                  <c:v>321.93700000000001</c:v>
                </c:pt>
                <c:pt idx="694">
                  <c:v>321.93700000000001</c:v>
                </c:pt>
                <c:pt idx="695">
                  <c:v>320.81</c:v>
                </c:pt>
                <c:pt idx="696">
                  <c:v>320.81</c:v>
                </c:pt>
                <c:pt idx="697">
                  <c:v>320.81</c:v>
                </c:pt>
                <c:pt idx="698">
                  <c:v>320.81</c:v>
                </c:pt>
                <c:pt idx="699">
                  <c:v>320.20800000000003</c:v>
                </c:pt>
                <c:pt idx="700">
                  <c:v>320.20800000000003</c:v>
                </c:pt>
                <c:pt idx="701">
                  <c:v>320.20800000000003</c:v>
                </c:pt>
                <c:pt idx="702">
                  <c:v>320.20800000000003</c:v>
                </c:pt>
                <c:pt idx="703">
                  <c:v>320.20800000000003</c:v>
                </c:pt>
                <c:pt idx="704">
                  <c:v>319.59199999999998</c:v>
                </c:pt>
                <c:pt idx="705">
                  <c:v>319.59199999999998</c:v>
                </c:pt>
                <c:pt idx="706">
                  <c:v>319.59199999999998</c:v>
                </c:pt>
                <c:pt idx="707">
                  <c:v>319.59199999999998</c:v>
                </c:pt>
                <c:pt idx="708">
                  <c:v>319.59199999999998</c:v>
                </c:pt>
                <c:pt idx="709">
                  <c:v>319.59199999999998</c:v>
                </c:pt>
                <c:pt idx="710">
                  <c:v>319.59199999999998</c:v>
                </c:pt>
                <c:pt idx="711">
                  <c:v>318.483</c:v>
                </c:pt>
                <c:pt idx="712">
                  <c:v>318.483</c:v>
                </c:pt>
                <c:pt idx="713">
                  <c:v>318.483</c:v>
                </c:pt>
                <c:pt idx="714">
                  <c:v>317.88099999999997</c:v>
                </c:pt>
                <c:pt idx="715">
                  <c:v>317.88099999999997</c:v>
                </c:pt>
                <c:pt idx="716">
                  <c:v>317.88099999999997</c:v>
                </c:pt>
                <c:pt idx="717">
                  <c:v>317.88099999999997</c:v>
                </c:pt>
                <c:pt idx="718">
                  <c:v>317.88099999999997</c:v>
                </c:pt>
                <c:pt idx="719">
                  <c:v>317.24</c:v>
                </c:pt>
                <c:pt idx="720">
                  <c:v>317.24</c:v>
                </c:pt>
                <c:pt idx="721">
                  <c:v>317.24</c:v>
                </c:pt>
                <c:pt idx="722">
                  <c:v>317.24</c:v>
                </c:pt>
                <c:pt idx="723">
                  <c:v>316.77999999999997</c:v>
                </c:pt>
                <c:pt idx="724">
                  <c:v>316.77999999999997</c:v>
                </c:pt>
                <c:pt idx="725">
                  <c:v>316.77999999999997</c:v>
                </c:pt>
                <c:pt idx="726">
                  <c:v>316.18099999999998</c:v>
                </c:pt>
                <c:pt idx="727">
                  <c:v>316.18099999999998</c:v>
                </c:pt>
                <c:pt idx="728">
                  <c:v>316.18099999999998</c:v>
                </c:pt>
                <c:pt idx="729">
                  <c:v>316.18099999999998</c:v>
                </c:pt>
                <c:pt idx="730">
                  <c:v>316.18099999999998</c:v>
                </c:pt>
                <c:pt idx="731">
                  <c:v>315.584</c:v>
                </c:pt>
                <c:pt idx="732">
                  <c:v>315.584</c:v>
                </c:pt>
                <c:pt idx="733">
                  <c:v>315.584</c:v>
                </c:pt>
                <c:pt idx="734">
                  <c:v>315.26600000000002</c:v>
                </c:pt>
                <c:pt idx="735">
                  <c:v>315.26600000000002</c:v>
                </c:pt>
                <c:pt idx="736">
                  <c:v>315.26600000000002</c:v>
                </c:pt>
                <c:pt idx="737">
                  <c:v>314.63900000000001</c:v>
                </c:pt>
                <c:pt idx="738">
                  <c:v>314.63900000000001</c:v>
                </c:pt>
                <c:pt idx="739">
                  <c:v>314.63900000000001</c:v>
                </c:pt>
                <c:pt idx="740">
                  <c:v>314.63900000000001</c:v>
                </c:pt>
                <c:pt idx="741">
                  <c:v>314.63900000000001</c:v>
                </c:pt>
                <c:pt idx="742">
                  <c:v>314.02300000000002</c:v>
                </c:pt>
                <c:pt idx="743">
                  <c:v>314.02300000000002</c:v>
                </c:pt>
                <c:pt idx="744">
                  <c:v>314.02300000000002</c:v>
                </c:pt>
                <c:pt idx="745">
                  <c:v>314.02300000000002</c:v>
                </c:pt>
                <c:pt idx="746">
                  <c:v>313.52699999999999</c:v>
                </c:pt>
                <c:pt idx="747">
                  <c:v>313.52699999999999</c:v>
                </c:pt>
                <c:pt idx="748">
                  <c:v>313.52699999999999</c:v>
                </c:pt>
                <c:pt idx="749">
                  <c:v>312.92500000000001</c:v>
                </c:pt>
                <c:pt idx="750">
                  <c:v>312.92500000000001</c:v>
                </c:pt>
                <c:pt idx="751">
                  <c:v>312.92500000000001</c:v>
                </c:pt>
                <c:pt idx="752">
                  <c:v>312.92500000000001</c:v>
                </c:pt>
                <c:pt idx="753">
                  <c:v>312.92500000000001</c:v>
                </c:pt>
                <c:pt idx="754">
                  <c:v>312.92500000000001</c:v>
                </c:pt>
                <c:pt idx="755">
                  <c:v>312.92500000000001</c:v>
                </c:pt>
                <c:pt idx="756">
                  <c:v>311.83600000000001</c:v>
                </c:pt>
                <c:pt idx="757">
                  <c:v>311.83600000000001</c:v>
                </c:pt>
                <c:pt idx="758">
                  <c:v>311.83600000000001</c:v>
                </c:pt>
                <c:pt idx="759">
                  <c:v>311.24900000000002</c:v>
                </c:pt>
                <c:pt idx="760">
                  <c:v>311.24900000000002</c:v>
                </c:pt>
                <c:pt idx="761">
                  <c:v>311.24900000000002</c:v>
                </c:pt>
                <c:pt idx="762">
                  <c:v>311.24900000000002</c:v>
                </c:pt>
                <c:pt idx="763">
                  <c:v>311.24900000000002</c:v>
                </c:pt>
                <c:pt idx="764">
                  <c:v>311.24900000000002</c:v>
                </c:pt>
                <c:pt idx="765">
                  <c:v>311.24900000000002</c:v>
                </c:pt>
                <c:pt idx="766">
                  <c:v>311.24900000000002</c:v>
                </c:pt>
                <c:pt idx="767">
                  <c:v>310.17899999999997</c:v>
                </c:pt>
                <c:pt idx="768">
                  <c:v>310.17899999999997</c:v>
                </c:pt>
                <c:pt idx="769">
                  <c:v>310.17899999999997</c:v>
                </c:pt>
                <c:pt idx="770">
                  <c:v>310.17899999999997</c:v>
                </c:pt>
                <c:pt idx="771">
                  <c:v>310.17899999999997</c:v>
                </c:pt>
                <c:pt idx="772">
                  <c:v>310.17899999999997</c:v>
                </c:pt>
                <c:pt idx="773">
                  <c:v>310.17899999999997</c:v>
                </c:pt>
                <c:pt idx="774">
                  <c:v>309.13299999999998</c:v>
                </c:pt>
                <c:pt idx="775">
                  <c:v>309.13299999999998</c:v>
                </c:pt>
                <c:pt idx="776">
                  <c:v>309.13299999999998</c:v>
                </c:pt>
                <c:pt idx="777">
                  <c:v>309.13299999999998</c:v>
                </c:pt>
                <c:pt idx="778">
                  <c:v>308.57799999999997</c:v>
                </c:pt>
                <c:pt idx="779">
                  <c:v>308.57799999999997</c:v>
                </c:pt>
                <c:pt idx="780">
                  <c:v>308.57799999999997</c:v>
                </c:pt>
                <c:pt idx="781">
                  <c:v>308.57799999999997</c:v>
                </c:pt>
                <c:pt idx="782">
                  <c:v>308.00700000000001</c:v>
                </c:pt>
                <c:pt idx="783">
                  <c:v>308.00700000000001</c:v>
                </c:pt>
                <c:pt idx="784">
                  <c:v>308.00700000000001</c:v>
                </c:pt>
                <c:pt idx="785">
                  <c:v>308.00700000000001</c:v>
                </c:pt>
                <c:pt idx="786">
                  <c:v>307.53500000000003</c:v>
                </c:pt>
                <c:pt idx="787">
                  <c:v>307.53500000000003</c:v>
                </c:pt>
                <c:pt idx="788">
                  <c:v>307.53500000000003</c:v>
                </c:pt>
                <c:pt idx="789">
                  <c:v>306.96499999999997</c:v>
                </c:pt>
                <c:pt idx="790">
                  <c:v>306.96499999999997</c:v>
                </c:pt>
                <c:pt idx="791">
                  <c:v>306.96499999999997</c:v>
                </c:pt>
                <c:pt idx="792">
                  <c:v>306.96499999999997</c:v>
                </c:pt>
                <c:pt idx="793">
                  <c:v>306.96499999999997</c:v>
                </c:pt>
                <c:pt idx="794">
                  <c:v>306.96499999999997</c:v>
                </c:pt>
                <c:pt idx="795">
                  <c:v>306.96499999999997</c:v>
                </c:pt>
                <c:pt idx="796">
                  <c:v>305.96699999999998</c:v>
                </c:pt>
                <c:pt idx="797">
                  <c:v>305.96699999999998</c:v>
                </c:pt>
                <c:pt idx="798">
                  <c:v>305.96699999999998</c:v>
                </c:pt>
                <c:pt idx="799">
                  <c:v>305.96699999999998</c:v>
                </c:pt>
                <c:pt idx="800">
                  <c:v>305.96699999999998</c:v>
                </c:pt>
                <c:pt idx="801">
                  <c:v>305.96699999999998</c:v>
                </c:pt>
                <c:pt idx="802">
                  <c:v>305.96699999999998</c:v>
                </c:pt>
                <c:pt idx="803">
                  <c:v>304.95299999999997</c:v>
                </c:pt>
                <c:pt idx="804">
                  <c:v>304.95299999999997</c:v>
                </c:pt>
                <c:pt idx="805">
                  <c:v>304.95299999999997</c:v>
                </c:pt>
                <c:pt idx="806">
                  <c:v>304.95299999999997</c:v>
                </c:pt>
                <c:pt idx="807">
                  <c:v>304.95299999999997</c:v>
                </c:pt>
                <c:pt idx="808">
                  <c:v>304.95299999999997</c:v>
                </c:pt>
                <c:pt idx="809">
                  <c:v>304.95299999999997</c:v>
                </c:pt>
                <c:pt idx="810">
                  <c:v>303.93099999999998</c:v>
                </c:pt>
                <c:pt idx="811">
                  <c:v>303.93099999999998</c:v>
                </c:pt>
                <c:pt idx="812">
                  <c:v>303.93099999999998</c:v>
                </c:pt>
                <c:pt idx="813">
                  <c:v>303.93099999999998</c:v>
                </c:pt>
                <c:pt idx="814">
                  <c:v>303.46699999999998</c:v>
                </c:pt>
                <c:pt idx="815">
                  <c:v>303.46699999999998</c:v>
                </c:pt>
                <c:pt idx="816">
                  <c:v>303.46699999999998</c:v>
                </c:pt>
                <c:pt idx="817">
                  <c:v>302.92899999999997</c:v>
                </c:pt>
                <c:pt idx="818">
                  <c:v>302.92899999999997</c:v>
                </c:pt>
                <c:pt idx="819">
                  <c:v>302.92899999999997</c:v>
                </c:pt>
                <c:pt idx="820">
                  <c:v>302.92899999999997</c:v>
                </c:pt>
                <c:pt idx="821">
                  <c:v>302.47000000000003</c:v>
                </c:pt>
                <c:pt idx="822">
                  <c:v>302.47000000000003</c:v>
                </c:pt>
                <c:pt idx="823">
                  <c:v>302.47000000000003</c:v>
                </c:pt>
                <c:pt idx="824">
                  <c:v>302.47000000000003</c:v>
                </c:pt>
                <c:pt idx="825">
                  <c:v>301.92</c:v>
                </c:pt>
                <c:pt idx="826">
                  <c:v>301.92</c:v>
                </c:pt>
                <c:pt idx="827">
                  <c:v>301.92</c:v>
                </c:pt>
                <c:pt idx="828">
                  <c:v>301.48200000000003</c:v>
                </c:pt>
                <c:pt idx="829">
                  <c:v>301.48200000000003</c:v>
                </c:pt>
                <c:pt idx="830">
                  <c:v>301.48200000000003</c:v>
                </c:pt>
                <c:pt idx="831">
                  <c:v>301.48200000000003</c:v>
                </c:pt>
                <c:pt idx="832">
                  <c:v>301.48200000000003</c:v>
                </c:pt>
                <c:pt idx="833">
                  <c:v>301.48200000000003</c:v>
                </c:pt>
                <c:pt idx="834">
                  <c:v>301.48200000000003</c:v>
                </c:pt>
                <c:pt idx="835">
                  <c:v>300.50099999999998</c:v>
                </c:pt>
                <c:pt idx="836">
                  <c:v>300.50099999999998</c:v>
                </c:pt>
                <c:pt idx="837">
                  <c:v>300.50099999999998</c:v>
                </c:pt>
                <c:pt idx="838">
                  <c:v>300.50099999999998</c:v>
                </c:pt>
                <c:pt idx="839">
                  <c:v>300.04599999999999</c:v>
                </c:pt>
                <c:pt idx="840">
                  <c:v>300.04599999999999</c:v>
                </c:pt>
                <c:pt idx="841">
                  <c:v>300.04599999999999</c:v>
                </c:pt>
                <c:pt idx="842">
                  <c:v>300.04599999999999</c:v>
                </c:pt>
                <c:pt idx="843">
                  <c:v>299.512</c:v>
                </c:pt>
                <c:pt idx="844">
                  <c:v>299.512</c:v>
                </c:pt>
                <c:pt idx="845">
                  <c:v>299.512</c:v>
                </c:pt>
                <c:pt idx="846">
                  <c:v>299.06099999999998</c:v>
                </c:pt>
                <c:pt idx="847">
                  <c:v>299.06099999999998</c:v>
                </c:pt>
                <c:pt idx="848">
                  <c:v>299.06099999999998</c:v>
                </c:pt>
                <c:pt idx="849">
                  <c:v>299.06099999999998</c:v>
                </c:pt>
                <c:pt idx="850">
                  <c:v>299.06099999999998</c:v>
                </c:pt>
                <c:pt idx="851">
                  <c:v>299.06099999999998</c:v>
                </c:pt>
                <c:pt idx="852">
                  <c:v>298.22500000000002</c:v>
                </c:pt>
                <c:pt idx="853">
                  <c:v>298.22500000000002</c:v>
                </c:pt>
                <c:pt idx="854">
                  <c:v>298.22500000000002</c:v>
                </c:pt>
                <c:pt idx="855">
                  <c:v>297.75700000000001</c:v>
                </c:pt>
                <c:pt idx="856">
                  <c:v>297.75700000000001</c:v>
                </c:pt>
                <c:pt idx="857">
                  <c:v>297.75700000000001</c:v>
                </c:pt>
                <c:pt idx="858">
                  <c:v>297.75700000000001</c:v>
                </c:pt>
                <c:pt idx="859">
                  <c:v>297.75700000000001</c:v>
                </c:pt>
                <c:pt idx="860">
                  <c:v>297.75700000000001</c:v>
                </c:pt>
                <c:pt idx="861">
                  <c:v>297.75700000000001</c:v>
                </c:pt>
                <c:pt idx="862">
                  <c:v>296.73899999999998</c:v>
                </c:pt>
                <c:pt idx="863">
                  <c:v>296.73899999999998</c:v>
                </c:pt>
                <c:pt idx="864">
                  <c:v>296.73899999999998</c:v>
                </c:pt>
                <c:pt idx="865">
                  <c:v>296.73899999999998</c:v>
                </c:pt>
                <c:pt idx="866">
                  <c:v>296.30399999999997</c:v>
                </c:pt>
                <c:pt idx="867">
                  <c:v>296.30399999999997</c:v>
                </c:pt>
                <c:pt idx="868">
                  <c:v>296.30399999999997</c:v>
                </c:pt>
                <c:pt idx="869">
                  <c:v>296.30399999999997</c:v>
                </c:pt>
                <c:pt idx="870">
                  <c:v>296.30399999999997</c:v>
                </c:pt>
                <c:pt idx="871">
                  <c:v>296.30399999999997</c:v>
                </c:pt>
                <c:pt idx="872">
                  <c:v>296.30399999999997</c:v>
                </c:pt>
                <c:pt idx="873">
                  <c:v>295.3</c:v>
                </c:pt>
                <c:pt idx="874">
                  <c:v>295.3</c:v>
                </c:pt>
                <c:pt idx="875">
                  <c:v>295.3</c:v>
                </c:pt>
                <c:pt idx="876">
                  <c:v>294.88</c:v>
                </c:pt>
                <c:pt idx="877">
                  <c:v>294.88</c:v>
                </c:pt>
                <c:pt idx="878">
                  <c:v>294.88</c:v>
                </c:pt>
                <c:pt idx="879">
                  <c:v>294.88</c:v>
                </c:pt>
                <c:pt idx="880">
                  <c:v>294.88</c:v>
                </c:pt>
                <c:pt idx="881">
                  <c:v>294.88</c:v>
                </c:pt>
                <c:pt idx="882">
                  <c:v>294.88</c:v>
                </c:pt>
                <c:pt idx="883">
                  <c:v>294.88</c:v>
                </c:pt>
                <c:pt idx="884">
                  <c:v>293.928</c:v>
                </c:pt>
                <c:pt idx="885">
                  <c:v>293.928</c:v>
                </c:pt>
                <c:pt idx="886">
                  <c:v>293.928</c:v>
                </c:pt>
                <c:pt idx="887">
                  <c:v>293.50099999999998</c:v>
                </c:pt>
                <c:pt idx="888">
                  <c:v>293.50099999999998</c:v>
                </c:pt>
                <c:pt idx="889">
                  <c:v>293.50099999999998</c:v>
                </c:pt>
                <c:pt idx="890">
                  <c:v>293.08</c:v>
                </c:pt>
                <c:pt idx="891">
                  <c:v>293.08</c:v>
                </c:pt>
                <c:pt idx="892">
                  <c:v>293.08</c:v>
                </c:pt>
                <c:pt idx="893">
                  <c:v>293.08</c:v>
                </c:pt>
                <c:pt idx="894">
                  <c:v>293.08</c:v>
                </c:pt>
                <c:pt idx="895">
                  <c:v>293.08</c:v>
                </c:pt>
                <c:pt idx="896">
                  <c:v>292.137</c:v>
                </c:pt>
                <c:pt idx="897">
                  <c:v>292.137</c:v>
                </c:pt>
                <c:pt idx="898">
                  <c:v>292.137</c:v>
                </c:pt>
                <c:pt idx="899">
                  <c:v>291.70499999999998</c:v>
                </c:pt>
                <c:pt idx="900">
                  <c:v>291.70499999999998</c:v>
                </c:pt>
                <c:pt idx="901">
                  <c:v>291.70499999999998</c:v>
                </c:pt>
                <c:pt idx="902">
                  <c:v>291.27600000000001</c:v>
                </c:pt>
                <c:pt idx="903">
                  <c:v>291.27600000000001</c:v>
                </c:pt>
                <c:pt idx="904">
                  <c:v>291.27600000000001</c:v>
                </c:pt>
                <c:pt idx="905">
                  <c:v>291.27600000000001</c:v>
                </c:pt>
                <c:pt idx="906">
                  <c:v>291.27600000000001</c:v>
                </c:pt>
                <c:pt idx="907">
                  <c:v>291.27600000000001</c:v>
                </c:pt>
                <c:pt idx="908">
                  <c:v>291.27600000000001</c:v>
                </c:pt>
                <c:pt idx="909">
                  <c:v>290.34500000000003</c:v>
                </c:pt>
                <c:pt idx="910">
                  <c:v>290.34500000000003</c:v>
                </c:pt>
                <c:pt idx="911">
                  <c:v>289.928</c:v>
                </c:pt>
                <c:pt idx="912">
                  <c:v>289.928</c:v>
                </c:pt>
                <c:pt idx="913">
                  <c:v>289.928</c:v>
                </c:pt>
                <c:pt idx="914">
                  <c:v>289.928</c:v>
                </c:pt>
                <c:pt idx="915">
                  <c:v>289.517</c:v>
                </c:pt>
                <c:pt idx="916">
                  <c:v>289.517</c:v>
                </c:pt>
                <c:pt idx="917">
                  <c:v>289.517</c:v>
                </c:pt>
                <c:pt idx="918">
                  <c:v>289.09899999999999</c:v>
                </c:pt>
                <c:pt idx="919">
                  <c:v>289.09899999999999</c:v>
                </c:pt>
                <c:pt idx="920">
                  <c:v>289.09899999999999</c:v>
                </c:pt>
                <c:pt idx="921">
                  <c:v>289.09899999999999</c:v>
                </c:pt>
                <c:pt idx="922">
                  <c:v>289.09899999999999</c:v>
                </c:pt>
                <c:pt idx="923">
                  <c:v>289.09899999999999</c:v>
                </c:pt>
                <c:pt idx="924">
                  <c:v>289.09899999999999</c:v>
                </c:pt>
                <c:pt idx="925">
                  <c:v>288.17399999999998</c:v>
                </c:pt>
                <c:pt idx="926">
                  <c:v>288.17399999999998</c:v>
                </c:pt>
                <c:pt idx="927">
                  <c:v>287.75599999999997</c:v>
                </c:pt>
                <c:pt idx="928">
                  <c:v>287.75599999999997</c:v>
                </c:pt>
                <c:pt idx="929">
                  <c:v>287.75599999999997</c:v>
                </c:pt>
                <c:pt idx="930">
                  <c:v>287.75599999999997</c:v>
                </c:pt>
                <c:pt idx="931">
                  <c:v>287.34199999999998</c:v>
                </c:pt>
                <c:pt idx="932">
                  <c:v>287.34199999999998</c:v>
                </c:pt>
                <c:pt idx="933">
                  <c:v>287.34199999999998</c:v>
                </c:pt>
                <c:pt idx="934">
                  <c:v>287.34199999999998</c:v>
                </c:pt>
                <c:pt idx="935">
                  <c:v>286.84699999999998</c:v>
                </c:pt>
                <c:pt idx="936">
                  <c:v>286.84699999999998</c:v>
                </c:pt>
                <c:pt idx="937">
                  <c:v>286.84699999999998</c:v>
                </c:pt>
                <c:pt idx="938">
                  <c:v>286.452</c:v>
                </c:pt>
                <c:pt idx="939">
                  <c:v>286.452</c:v>
                </c:pt>
                <c:pt idx="940">
                  <c:v>286.452</c:v>
                </c:pt>
                <c:pt idx="941">
                  <c:v>286.06</c:v>
                </c:pt>
                <c:pt idx="942">
                  <c:v>286.06</c:v>
                </c:pt>
                <c:pt idx="943">
                  <c:v>286.06</c:v>
                </c:pt>
                <c:pt idx="944">
                  <c:v>285.64699999999999</c:v>
                </c:pt>
                <c:pt idx="945">
                  <c:v>285.64699999999999</c:v>
                </c:pt>
                <c:pt idx="946">
                  <c:v>285.64699999999999</c:v>
                </c:pt>
                <c:pt idx="947">
                  <c:v>285.238</c:v>
                </c:pt>
                <c:pt idx="948">
                  <c:v>285.238</c:v>
                </c:pt>
                <c:pt idx="949">
                  <c:v>285.238</c:v>
                </c:pt>
                <c:pt idx="950">
                  <c:v>285.238</c:v>
                </c:pt>
                <c:pt idx="951">
                  <c:v>285.238</c:v>
                </c:pt>
                <c:pt idx="952">
                  <c:v>285.238</c:v>
                </c:pt>
                <c:pt idx="953">
                  <c:v>285.238</c:v>
                </c:pt>
                <c:pt idx="954">
                  <c:v>284.351</c:v>
                </c:pt>
                <c:pt idx="955">
                  <c:v>284.351</c:v>
                </c:pt>
                <c:pt idx="956">
                  <c:v>284.351</c:v>
                </c:pt>
                <c:pt idx="957">
                  <c:v>284.351</c:v>
                </c:pt>
                <c:pt idx="958">
                  <c:v>283.95</c:v>
                </c:pt>
                <c:pt idx="959">
                  <c:v>283.95</c:v>
                </c:pt>
                <c:pt idx="960">
                  <c:v>283.95</c:v>
                </c:pt>
                <c:pt idx="961">
                  <c:v>283.64600000000002</c:v>
                </c:pt>
                <c:pt idx="962">
                  <c:v>283.64600000000002</c:v>
                </c:pt>
                <c:pt idx="963">
                  <c:v>283.64600000000002</c:v>
                </c:pt>
                <c:pt idx="964">
                  <c:v>283.30900000000003</c:v>
                </c:pt>
                <c:pt idx="965">
                  <c:v>283.30900000000003</c:v>
                </c:pt>
                <c:pt idx="966">
                  <c:v>283.30900000000003</c:v>
                </c:pt>
                <c:pt idx="967">
                  <c:v>283.30900000000003</c:v>
                </c:pt>
                <c:pt idx="968">
                  <c:v>282.94</c:v>
                </c:pt>
                <c:pt idx="969">
                  <c:v>282.94</c:v>
                </c:pt>
                <c:pt idx="970">
                  <c:v>282.94</c:v>
                </c:pt>
                <c:pt idx="971">
                  <c:v>282.58100000000002</c:v>
                </c:pt>
                <c:pt idx="972">
                  <c:v>282.58100000000002</c:v>
                </c:pt>
                <c:pt idx="973">
                  <c:v>282.58100000000002</c:v>
                </c:pt>
                <c:pt idx="974">
                  <c:v>282.226</c:v>
                </c:pt>
                <c:pt idx="975">
                  <c:v>282.226</c:v>
                </c:pt>
                <c:pt idx="976">
                  <c:v>282.226</c:v>
                </c:pt>
                <c:pt idx="977">
                  <c:v>282.226</c:v>
                </c:pt>
                <c:pt idx="978">
                  <c:v>281.91000000000003</c:v>
                </c:pt>
                <c:pt idx="979">
                  <c:v>281.91000000000003</c:v>
                </c:pt>
                <c:pt idx="980">
                  <c:v>281.91000000000003</c:v>
                </c:pt>
                <c:pt idx="981">
                  <c:v>281.57100000000003</c:v>
                </c:pt>
                <c:pt idx="982">
                  <c:v>281.57100000000003</c:v>
                </c:pt>
                <c:pt idx="983">
                  <c:v>281.57100000000003</c:v>
                </c:pt>
                <c:pt idx="984">
                  <c:v>281.262</c:v>
                </c:pt>
                <c:pt idx="985">
                  <c:v>281.262</c:v>
                </c:pt>
                <c:pt idx="986">
                  <c:v>281.262</c:v>
                </c:pt>
                <c:pt idx="987">
                  <c:v>281.262</c:v>
                </c:pt>
                <c:pt idx="988">
                  <c:v>281.262</c:v>
                </c:pt>
                <c:pt idx="989">
                  <c:v>281.262</c:v>
                </c:pt>
                <c:pt idx="990">
                  <c:v>281.262</c:v>
                </c:pt>
                <c:pt idx="991">
                  <c:v>281.262</c:v>
                </c:pt>
                <c:pt idx="992">
                  <c:v>281.262</c:v>
                </c:pt>
                <c:pt idx="993">
                  <c:v>281.262</c:v>
                </c:pt>
                <c:pt idx="994">
                  <c:v>281.262</c:v>
                </c:pt>
                <c:pt idx="995">
                  <c:v>281.262</c:v>
                </c:pt>
                <c:pt idx="996">
                  <c:v>281.262</c:v>
                </c:pt>
                <c:pt idx="997">
                  <c:v>281.262</c:v>
                </c:pt>
                <c:pt idx="998">
                  <c:v>281.262</c:v>
                </c:pt>
                <c:pt idx="999">
                  <c:v>281.262</c:v>
                </c:pt>
                <c:pt idx="1000">
                  <c:v>281.262</c:v>
                </c:pt>
                <c:pt idx="1001">
                  <c:v>279.678</c:v>
                </c:pt>
                <c:pt idx="1002">
                  <c:v>279.678</c:v>
                </c:pt>
                <c:pt idx="1003">
                  <c:v>279.678</c:v>
                </c:pt>
                <c:pt idx="1004">
                  <c:v>279.678</c:v>
                </c:pt>
                <c:pt idx="1005">
                  <c:v>279.39600000000002</c:v>
                </c:pt>
                <c:pt idx="1006">
                  <c:v>279.39600000000002</c:v>
                </c:pt>
                <c:pt idx="1007">
                  <c:v>279.39600000000002</c:v>
                </c:pt>
                <c:pt idx="1008">
                  <c:v>279.39600000000002</c:v>
                </c:pt>
                <c:pt idx="1009">
                  <c:v>279.09100000000001</c:v>
                </c:pt>
                <c:pt idx="1010">
                  <c:v>279.09100000000001</c:v>
                </c:pt>
                <c:pt idx="1011">
                  <c:v>279.09100000000001</c:v>
                </c:pt>
                <c:pt idx="1012">
                  <c:v>278.80799999999999</c:v>
                </c:pt>
                <c:pt idx="1013">
                  <c:v>278.80799999999999</c:v>
                </c:pt>
                <c:pt idx="1014">
                  <c:v>278.80799999999999</c:v>
                </c:pt>
                <c:pt idx="1015">
                  <c:v>278.536</c:v>
                </c:pt>
                <c:pt idx="1016">
                  <c:v>278.536</c:v>
                </c:pt>
                <c:pt idx="1017">
                  <c:v>278.536</c:v>
                </c:pt>
                <c:pt idx="1018">
                  <c:v>278.536</c:v>
                </c:pt>
                <c:pt idx="1019">
                  <c:v>278.23099999999999</c:v>
                </c:pt>
                <c:pt idx="1020">
                  <c:v>278.23099999999999</c:v>
                </c:pt>
                <c:pt idx="1021">
                  <c:v>278.23099999999999</c:v>
                </c:pt>
                <c:pt idx="1022">
                  <c:v>278.23099999999999</c:v>
                </c:pt>
                <c:pt idx="1023">
                  <c:v>277.95100000000002</c:v>
                </c:pt>
                <c:pt idx="1024">
                  <c:v>277.95100000000002</c:v>
                </c:pt>
                <c:pt idx="1025">
                  <c:v>277.95100000000002</c:v>
                </c:pt>
                <c:pt idx="1026">
                  <c:v>277.95100000000002</c:v>
                </c:pt>
                <c:pt idx="1027">
                  <c:v>277.66500000000002</c:v>
                </c:pt>
                <c:pt idx="1028">
                  <c:v>277.66500000000002</c:v>
                </c:pt>
                <c:pt idx="1029">
                  <c:v>277.66500000000002</c:v>
                </c:pt>
                <c:pt idx="1030">
                  <c:v>277.66500000000002</c:v>
                </c:pt>
                <c:pt idx="1031">
                  <c:v>277.37799999999999</c:v>
                </c:pt>
                <c:pt idx="1032">
                  <c:v>277.37799999999999</c:v>
                </c:pt>
                <c:pt idx="1033">
                  <c:v>277.37799999999999</c:v>
                </c:pt>
                <c:pt idx="1034">
                  <c:v>277.37799999999999</c:v>
                </c:pt>
                <c:pt idx="1035">
                  <c:v>277.11799999999999</c:v>
                </c:pt>
                <c:pt idx="1036">
                  <c:v>277.11799999999999</c:v>
                </c:pt>
                <c:pt idx="1037">
                  <c:v>277.11799999999999</c:v>
                </c:pt>
                <c:pt idx="1038">
                  <c:v>277.11799999999999</c:v>
                </c:pt>
                <c:pt idx="1039">
                  <c:v>276.81299999999999</c:v>
                </c:pt>
                <c:pt idx="1040">
                  <c:v>276.81299999999999</c:v>
                </c:pt>
                <c:pt idx="1041">
                  <c:v>276.81299999999999</c:v>
                </c:pt>
                <c:pt idx="1042">
                  <c:v>276.81299999999999</c:v>
                </c:pt>
                <c:pt idx="1043">
                  <c:v>276.54300000000001</c:v>
                </c:pt>
                <c:pt idx="1044">
                  <c:v>276.54300000000001</c:v>
                </c:pt>
                <c:pt idx="1045">
                  <c:v>276.54300000000001</c:v>
                </c:pt>
                <c:pt idx="1046">
                  <c:v>276.54300000000001</c:v>
                </c:pt>
                <c:pt idx="1047">
                  <c:v>276.26499999999999</c:v>
                </c:pt>
                <c:pt idx="1048">
                  <c:v>276.26499999999999</c:v>
                </c:pt>
                <c:pt idx="1049">
                  <c:v>276.26499999999999</c:v>
                </c:pt>
                <c:pt idx="1050">
                  <c:v>275.97500000000002</c:v>
                </c:pt>
                <c:pt idx="1051">
                  <c:v>275.97500000000002</c:v>
                </c:pt>
                <c:pt idx="1052">
                  <c:v>275.97500000000002</c:v>
                </c:pt>
                <c:pt idx="1053">
                  <c:v>275.72300000000001</c:v>
                </c:pt>
                <c:pt idx="1054">
                  <c:v>275.72300000000001</c:v>
                </c:pt>
                <c:pt idx="1055">
                  <c:v>275.72300000000001</c:v>
                </c:pt>
                <c:pt idx="1056">
                  <c:v>275.42500000000001</c:v>
                </c:pt>
                <c:pt idx="1057">
                  <c:v>275.42500000000001</c:v>
                </c:pt>
                <c:pt idx="1058">
                  <c:v>275.42500000000001</c:v>
                </c:pt>
                <c:pt idx="1059">
                  <c:v>275.42500000000001</c:v>
                </c:pt>
                <c:pt idx="1060">
                  <c:v>275.15100000000001</c:v>
                </c:pt>
                <c:pt idx="1061">
                  <c:v>275.15100000000001</c:v>
                </c:pt>
                <c:pt idx="1062">
                  <c:v>275.15100000000001</c:v>
                </c:pt>
                <c:pt idx="1063">
                  <c:v>274.88099999999997</c:v>
                </c:pt>
                <c:pt idx="1064">
                  <c:v>274.88099999999997</c:v>
                </c:pt>
                <c:pt idx="1065">
                  <c:v>274.88099999999997</c:v>
                </c:pt>
                <c:pt idx="1066">
                  <c:v>274.88099999999997</c:v>
                </c:pt>
                <c:pt idx="1067">
                  <c:v>274.59800000000001</c:v>
                </c:pt>
                <c:pt idx="1068">
                  <c:v>274.59800000000001</c:v>
                </c:pt>
                <c:pt idx="1069">
                  <c:v>274.59800000000001</c:v>
                </c:pt>
                <c:pt idx="1070">
                  <c:v>274.33999999999997</c:v>
                </c:pt>
                <c:pt idx="1071">
                  <c:v>274.33999999999997</c:v>
                </c:pt>
                <c:pt idx="1072">
                  <c:v>274.33999999999997</c:v>
                </c:pt>
                <c:pt idx="1073">
                  <c:v>274.05</c:v>
                </c:pt>
                <c:pt idx="1074">
                  <c:v>274.05</c:v>
                </c:pt>
                <c:pt idx="1075">
                  <c:v>274.05</c:v>
                </c:pt>
                <c:pt idx="1076">
                  <c:v>273.77199999999999</c:v>
                </c:pt>
                <c:pt idx="1077">
                  <c:v>273.77199999999999</c:v>
                </c:pt>
                <c:pt idx="1078">
                  <c:v>273.77199999999999</c:v>
                </c:pt>
                <c:pt idx="1079">
                  <c:v>273.77199999999999</c:v>
                </c:pt>
                <c:pt idx="1080">
                  <c:v>273.505</c:v>
                </c:pt>
                <c:pt idx="1081">
                  <c:v>273.505</c:v>
                </c:pt>
                <c:pt idx="1082">
                  <c:v>273.505</c:v>
                </c:pt>
                <c:pt idx="1083">
                  <c:v>273.505</c:v>
                </c:pt>
                <c:pt idx="1084">
                  <c:v>273.22399999999999</c:v>
                </c:pt>
                <c:pt idx="1085">
                  <c:v>273.22399999999999</c:v>
                </c:pt>
                <c:pt idx="1086">
                  <c:v>273.07299999999998</c:v>
                </c:pt>
                <c:pt idx="1087">
                  <c:v>273.07299999999998</c:v>
                </c:pt>
                <c:pt idx="1088">
                  <c:v>273.07299999999998</c:v>
                </c:pt>
                <c:pt idx="1089">
                  <c:v>273.07299999999998</c:v>
                </c:pt>
                <c:pt idx="1090">
                  <c:v>273.07299999999998</c:v>
                </c:pt>
                <c:pt idx="1091">
                  <c:v>273.07299999999998</c:v>
                </c:pt>
                <c:pt idx="1092">
                  <c:v>273.07299999999998</c:v>
                </c:pt>
                <c:pt idx="1093">
                  <c:v>273.07299999999998</c:v>
                </c:pt>
                <c:pt idx="1094">
                  <c:v>273.07299999999998</c:v>
                </c:pt>
                <c:pt idx="1095">
                  <c:v>273.07299999999998</c:v>
                </c:pt>
                <c:pt idx="1096">
                  <c:v>272.26400000000001</c:v>
                </c:pt>
                <c:pt idx="1097">
                  <c:v>272.26400000000001</c:v>
                </c:pt>
                <c:pt idx="1098">
                  <c:v>272.26400000000001</c:v>
                </c:pt>
                <c:pt idx="1099">
                  <c:v>271.97899999999998</c:v>
                </c:pt>
                <c:pt idx="1100">
                  <c:v>271.97899999999998</c:v>
                </c:pt>
                <c:pt idx="1101">
                  <c:v>271.97899999999998</c:v>
                </c:pt>
                <c:pt idx="1102">
                  <c:v>271.721</c:v>
                </c:pt>
                <c:pt idx="1103">
                  <c:v>271.721</c:v>
                </c:pt>
                <c:pt idx="1104">
                  <c:v>271.721</c:v>
                </c:pt>
                <c:pt idx="1105">
                  <c:v>271.43099999999998</c:v>
                </c:pt>
                <c:pt idx="1106">
                  <c:v>271.43099999999998</c:v>
                </c:pt>
                <c:pt idx="1107">
                  <c:v>271.43099999999998</c:v>
                </c:pt>
                <c:pt idx="1108">
                  <c:v>271.43099999999998</c:v>
                </c:pt>
                <c:pt idx="1109">
                  <c:v>271.166</c:v>
                </c:pt>
                <c:pt idx="1110">
                  <c:v>271.166</c:v>
                </c:pt>
                <c:pt idx="1111">
                  <c:v>271.166</c:v>
                </c:pt>
                <c:pt idx="1112">
                  <c:v>271.166</c:v>
                </c:pt>
                <c:pt idx="1113">
                  <c:v>270.89299999999997</c:v>
                </c:pt>
                <c:pt idx="1114">
                  <c:v>270.89299999999997</c:v>
                </c:pt>
                <c:pt idx="1115">
                  <c:v>270.89299999999997</c:v>
                </c:pt>
                <c:pt idx="1116">
                  <c:v>270.89299999999997</c:v>
                </c:pt>
                <c:pt idx="1117">
                  <c:v>270.89299999999997</c:v>
                </c:pt>
                <c:pt idx="1118">
                  <c:v>270.89299999999997</c:v>
                </c:pt>
                <c:pt idx="1119">
                  <c:v>270.89299999999997</c:v>
                </c:pt>
                <c:pt idx="1120">
                  <c:v>270.89299999999997</c:v>
                </c:pt>
                <c:pt idx="1121">
                  <c:v>270.89299999999997</c:v>
                </c:pt>
                <c:pt idx="1122">
                  <c:v>270.89299999999997</c:v>
                </c:pt>
                <c:pt idx="1123">
                  <c:v>270.14400000000001</c:v>
                </c:pt>
                <c:pt idx="1124">
                  <c:v>270.14400000000001</c:v>
                </c:pt>
                <c:pt idx="1125">
                  <c:v>270.14400000000001</c:v>
                </c:pt>
                <c:pt idx="1126">
                  <c:v>269.90600000000001</c:v>
                </c:pt>
                <c:pt idx="1127">
                  <c:v>269.90600000000001</c:v>
                </c:pt>
                <c:pt idx="1128">
                  <c:v>269.62400000000002</c:v>
                </c:pt>
                <c:pt idx="1129">
                  <c:v>269.62400000000002</c:v>
                </c:pt>
                <c:pt idx="1130">
                  <c:v>269.62400000000002</c:v>
                </c:pt>
                <c:pt idx="1131">
                  <c:v>269.363</c:v>
                </c:pt>
                <c:pt idx="1132">
                  <c:v>269.363</c:v>
                </c:pt>
                <c:pt idx="1133">
                  <c:v>269.363</c:v>
                </c:pt>
                <c:pt idx="1134">
                  <c:v>269.363</c:v>
                </c:pt>
                <c:pt idx="1135">
                  <c:v>269.10599999999999</c:v>
                </c:pt>
                <c:pt idx="1136">
                  <c:v>269.10599999999999</c:v>
                </c:pt>
                <c:pt idx="1137">
                  <c:v>269.10599999999999</c:v>
                </c:pt>
                <c:pt idx="1138">
                  <c:v>269.10599999999999</c:v>
                </c:pt>
                <c:pt idx="1139">
                  <c:v>269.10599999999999</c:v>
                </c:pt>
                <c:pt idx="1140">
                  <c:v>268.64299999999997</c:v>
                </c:pt>
                <c:pt idx="1141">
                  <c:v>268.64299999999997</c:v>
                </c:pt>
                <c:pt idx="1142">
                  <c:v>268.64299999999997</c:v>
                </c:pt>
                <c:pt idx="1143">
                  <c:v>268.64299999999997</c:v>
                </c:pt>
                <c:pt idx="1144">
                  <c:v>268.37099999999998</c:v>
                </c:pt>
                <c:pt idx="1145">
                  <c:v>268.37099999999998</c:v>
                </c:pt>
                <c:pt idx="1146">
                  <c:v>268.37099999999998</c:v>
                </c:pt>
                <c:pt idx="1147">
                  <c:v>268.13200000000001</c:v>
                </c:pt>
                <c:pt idx="1148">
                  <c:v>268.13200000000001</c:v>
                </c:pt>
                <c:pt idx="1149">
                  <c:v>268.13200000000001</c:v>
                </c:pt>
                <c:pt idx="1150">
                  <c:v>267.86099999999999</c:v>
                </c:pt>
                <c:pt idx="1151">
                  <c:v>267.86099999999999</c:v>
                </c:pt>
                <c:pt idx="1152">
                  <c:v>267.86099999999999</c:v>
                </c:pt>
                <c:pt idx="1153">
                  <c:v>267.86099999999999</c:v>
                </c:pt>
                <c:pt idx="1154">
                  <c:v>267.86099999999999</c:v>
                </c:pt>
                <c:pt idx="1155">
                  <c:v>267.61099999999999</c:v>
                </c:pt>
                <c:pt idx="1156">
                  <c:v>267.61099999999999</c:v>
                </c:pt>
                <c:pt idx="1157">
                  <c:v>267.61099999999999</c:v>
                </c:pt>
                <c:pt idx="1158">
                  <c:v>267.61099999999999</c:v>
                </c:pt>
                <c:pt idx="1159">
                  <c:v>267.61099999999999</c:v>
                </c:pt>
                <c:pt idx="1160">
                  <c:v>267.15199999999999</c:v>
                </c:pt>
                <c:pt idx="1161">
                  <c:v>267.15199999999999</c:v>
                </c:pt>
                <c:pt idx="1162">
                  <c:v>267.15199999999999</c:v>
                </c:pt>
                <c:pt idx="1163">
                  <c:v>266.91000000000003</c:v>
                </c:pt>
                <c:pt idx="1164">
                  <c:v>266.91000000000003</c:v>
                </c:pt>
                <c:pt idx="1165">
                  <c:v>266.64499999999998</c:v>
                </c:pt>
                <c:pt idx="1166">
                  <c:v>266.64499999999998</c:v>
                </c:pt>
                <c:pt idx="1167">
                  <c:v>266.64499999999998</c:v>
                </c:pt>
                <c:pt idx="1168">
                  <c:v>266.64499999999998</c:v>
                </c:pt>
                <c:pt idx="1169">
                  <c:v>266.64499999999998</c:v>
                </c:pt>
                <c:pt idx="1170">
                  <c:v>266.411</c:v>
                </c:pt>
                <c:pt idx="1171">
                  <c:v>266.411</c:v>
                </c:pt>
                <c:pt idx="1172">
                  <c:v>266.411</c:v>
                </c:pt>
                <c:pt idx="1173">
                  <c:v>266.411</c:v>
                </c:pt>
                <c:pt idx="1174">
                  <c:v>266.411</c:v>
                </c:pt>
                <c:pt idx="1175">
                  <c:v>265.94600000000003</c:v>
                </c:pt>
                <c:pt idx="1176">
                  <c:v>265.94600000000003</c:v>
                </c:pt>
                <c:pt idx="1177">
                  <c:v>265.94600000000003</c:v>
                </c:pt>
                <c:pt idx="1178">
                  <c:v>265.69</c:v>
                </c:pt>
                <c:pt idx="1179">
                  <c:v>265.69</c:v>
                </c:pt>
                <c:pt idx="1180">
                  <c:v>265.69</c:v>
                </c:pt>
                <c:pt idx="1181">
                  <c:v>265.44200000000001</c:v>
                </c:pt>
                <c:pt idx="1182">
                  <c:v>265.44200000000001</c:v>
                </c:pt>
                <c:pt idx="1183">
                  <c:v>265.44200000000001</c:v>
                </c:pt>
                <c:pt idx="1184">
                  <c:v>265.44200000000001</c:v>
                </c:pt>
                <c:pt idx="1185">
                  <c:v>265.20299999999997</c:v>
                </c:pt>
                <c:pt idx="1186">
                  <c:v>265.20299999999997</c:v>
                </c:pt>
                <c:pt idx="1187">
                  <c:v>264.995</c:v>
                </c:pt>
                <c:pt idx="1188">
                  <c:v>264.995</c:v>
                </c:pt>
                <c:pt idx="1189">
                  <c:v>264.995</c:v>
                </c:pt>
                <c:pt idx="1190">
                  <c:v>264.995</c:v>
                </c:pt>
                <c:pt idx="1191">
                  <c:v>264.76400000000001</c:v>
                </c:pt>
                <c:pt idx="1192">
                  <c:v>264.76400000000001</c:v>
                </c:pt>
                <c:pt idx="1193">
                  <c:v>264.50099999999998</c:v>
                </c:pt>
                <c:pt idx="1194">
                  <c:v>264.50099999999998</c:v>
                </c:pt>
                <c:pt idx="1195">
                  <c:v>264.50099999999998</c:v>
                </c:pt>
                <c:pt idx="1196">
                  <c:v>264.50099999999998</c:v>
                </c:pt>
                <c:pt idx="1197">
                  <c:v>264.50099999999998</c:v>
                </c:pt>
                <c:pt idx="1198">
                  <c:v>264.267</c:v>
                </c:pt>
                <c:pt idx="1199">
                  <c:v>264.267</c:v>
                </c:pt>
                <c:pt idx="1200">
                  <c:v>264.267</c:v>
                </c:pt>
                <c:pt idx="1201">
                  <c:v>264.267</c:v>
                </c:pt>
                <c:pt idx="1202">
                  <c:v>264.267</c:v>
                </c:pt>
                <c:pt idx="1203">
                  <c:v>264.267</c:v>
                </c:pt>
                <c:pt idx="1204">
                  <c:v>263.84100000000001</c:v>
                </c:pt>
                <c:pt idx="1205">
                  <c:v>263.68099999999998</c:v>
                </c:pt>
                <c:pt idx="1206">
                  <c:v>263.68099999999998</c:v>
                </c:pt>
                <c:pt idx="1207">
                  <c:v>263.68099999999998</c:v>
                </c:pt>
                <c:pt idx="1208">
                  <c:v>263.68099999999998</c:v>
                </c:pt>
                <c:pt idx="1209">
                  <c:v>263.68099999999998</c:v>
                </c:pt>
                <c:pt idx="1210">
                  <c:v>263.46699999999998</c:v>
                </c:pt>
                <c:pt idx="1211">
                  <c:v>263.28899999999999</c:v>
                </c:pt>
                <c:pt idx="1212">
                  <c:v>263.28899999999999</c:v>
                </c:pt>
                <c:pt idx="1213">
                  <c:v>263.28899999999999</c:v>
                </c:pt>
                <c:pt idx="1214">
                  <c:v>263.28899999999999</c:v>
                </c:pt>
                <c:pt idx="1215">
                  <c:v>263.06900000000002</c:v>
                </c:pt>
                <c:pt idx="1216">
                  <c:v>263.06900000000002</c:v>
                </c:pt>
                <c:pt idx="1217">
                  <c:v>263.06900000000002</c:v>
                </c:pt>
                <c:pt idx="1218">
                  <c:v>262.88799999999998</c:v>
                </c:pt>
                <c:pt idx="1219">
                  <c:v>262.88799999999998</c:v>
                </c:pt>
                <c:pt idx="1220">
                  <c:v>262.88799999999998</c:v>
                </c:pt>
                <c:pt idx="1221">
                  <c:v>262.88799999999998</c:v>
                </c:pt>
                <c:pt idx="1222">
                  <c:v>262.88799999999998</c:v>
                </c:pt>
                <c:pt idx="1223">
                  <c:v>262.88799999999998</c:v>
                </c:pt>
                <c:pt idx="1224">
                  <c:v>262.88799999999998</c:v>
                </c:pt>
                <c:pt idx="1225">
                  <c:v>262.524</c:v>
                </c:pt>
                <c:pt idx="1226">
                  <c:v>262.524</c:v>
                </c:pt>
                <c:pt idx="1227">
                  <c:v>262.524</c:v>
                </c:pt>
                <c:pt idx="1228">
                  <c:v>262.34300000000002</c:v>
                </c:pt>
                <c:pt idx="1229">
                  <c:v>262.34300000000002</c:v>
                </c:pt>
                <c:pt idx="1230">
                  <c:v>262.34300000000002</c:v>
                </c:pt>
                <c:pt idx="1231">
                  <c:v>262.34300000000002</c:v>
                </c:pt>
                <c:pt idx="1232">
                  <c:v>262.14999999999998</c:v>
                </c:pt>
                <c:pt idx="1233">
                  <c:v>262.14999999999998</c:v>
                </c:pt>
                <c:pt idx="1234">
                  <c:v>262.14999999999998</c:v>
                </c:pt>
                <c:pt idx="1235">
                  <c:v>262.14999999999998</c:v>
                </c:pt>
                <c:pt idx="1236">
                  <c:v>262.14999999999998</c:v>
                </c:pt>
                <c:pt idx="1237">
                  <c:v>262.14999999999998</c:v>
                </c:pt>
                <c:pt idx="1238">
                  <c:v>261.83100000000002</c:v>
                </c:pt>
                <c:pt idx="1239">
                  <c:v>261.661</c:v>
                </c:pt>
                <c:pt idx="1240">
                  <c:v>261.661</c:v>
                </c:pt>
                <c:pt idx="1241">
                  <c:v>261.661</c:v>
                </c:pt>
                <c:pt idx="1242">
                  <c:v>261.661</c:v>
                </c:pt>
                <c:pt idx="1243">
                  <c:v>261.661</c:v>
                </c:pt>
                <c:pt idx="1244">
                  <c:v>261.49</c:v>
                </c:pt>
                <c:pt idx="1245">
                  <c:v>261.49</c:v>
                </c:pt>
                <c:pt idx="1246">
                  <c:v>261.339</c:v>
                </c:pt>
                <c:pt idx="1247">
                  <c:v>261.339</c:v>
                </c:pt>
                <c:pt idx="1248">
                  <c:v>261.339</c:v>
                </c:pt>
                <c:pt idx="1249">
                  <c:v>261.18900000000002</c:v>
                </c:pt>
                <c:pt idx="1250">
                  <c:v>261.18900000000002</c:v>
                </c:pt>
                <c:pt idx="1251">
                  <c:v>261.18900000000002</c:v>
                </c:pt>
                <c:pt idx="1252">
                  <c:v>261.18900000000002</c:v>
                </c:pt>
                <c:pt idx="1253">
                  <c:v>260.99599999999998</c:v>
                </c:pt>
                <c:pt idx="1254">
                  <c:v>260.99599999999998</c:v>
                </c:pt>
                <c:pt idx="1255">
                  <c:v>260.99599999999998</c:v>
                </c:pt>
                <c:pt idx="1256">
                  <c:v>260.99599999999998</c:v>
                </c:pt>
                <c:pt idx="1257">
                  <c:v>260.99599999999998</c:v>
                </c:pt>
                <c:pt idx="1258">
                  <c:v>260.99599999999998</c:v>
                </c:pt>
                <c:pt idx="1259">
                  <c:v>260.71600000000001</c:v>
                </c:pt>
                <c:pt idx="1260">
                  <c:v>260.71600000000001</c:v>
                </c:pt>
                <c:pt idx="1261">
                  <c:v>260.52300000000002</c:v>
                </c:pt>
                <c:pt idx="1262">
                  <c:v>260.52300000000002</c:v>
                </c:pt>
                <c:pt idx="1263">
                  <c:v>260.52300000000002</c:v>
                </c:pt>
                <c:pt idx="1264">
                  <c:v>260.52300000000002</c:v>
                </c:pt>
                <c:pt idx="1265">
                  <c:v>260.52300000000002</c:v>
                </c:pt>
                <c:pt idx="1266">
                  <c:v>260.52300000000002</c:v>
                </c:pt>
                <c:pt idx="1267">
                  <c:v>260.52300000000002</c:v>
                </c:pt>
                <c:pt idx="1268">
                  <c:v>260.52300000000002</c:v>
                </c:pt>
                <c:pt idx="1269">
                  <c:v>260.22899999999998</c:v>
                </c:pt>
                <c:pt idx="1270">
                  <c:v>260.05399999999997</c:v>
                </c:pt>
                <c:pt idx="1271">
                  <c:v>260.05399999999997</c:v>
                </c:pt>
                <c:pt idx="1272">
                  <c:v>260.05399999999997</c:v>
                </c:pt>
                <c:pt idx="1273">
                  <c:v>260.05399999999997</c:v>
                </c:pt>
                <c:pt idx="1274">
                  <c:v>260.05399999999997</c:v>
                </c:pt>
                <c:pt idx="1275">
                  <c:v>259.91899999999998</c:v>
                </c:pt>
                <c:pt idx="1276">
                  <c:v>259.91899999999998</c:v>
                </c:pt>
                <c:pt idx="1277">
                  <c:v>259.91899999999998</c:v>
                </c:pt>
                <c:pt idx="1278">
                  <c:v>259.75799999999998</c:v>
                </c:pt>
                <c:pt idx="1279">
                  <c:v>259.75799999999998</c:v>
                </c:pt>
                <c:pt idx="1280">
                  <c:v>259.59899999999999</c:v>
                </c:pt>
                <c:pt idx="1281">
                  <c:v>259.59899999999999</c:v>
                </c:pt>
                <c:pt idx="1282">
                  <c:v>259.59899999999999</c:v>
                </c:pt>
                <c:pt idx="1283">
                  <c:v>259.59899999999999</c:v>
                </c:pt>
                <c:pt idx="1284">
                  <c:v>259.59899999999999</c:v>
                </c:pt>
                <c:pt idx="1285">
                  <c:v>259.44499999999999</c:v>
                </c:pt>
                <c:pt idx="1286">
                  <c:v>259.44499999999999</c:v>
                </c:pt>
                <c:pt idx="1287">
                  <c:v>259.298</c:v>
                </c:pt>
                <c:pt idx="1288">
                  <c:v>259.298</c:v>
                </c:pt>
                <c:pt idx="1289">
                  <c:v>259.15100000000001</c:v>
                </c:pt>
                <c:pt idx="1290">
                  <c:v>259.15100000000001</c:v>
                </c:pt>
                <c:pt idx="1291">
                  <c:v>259.15100000000001</c:v>
                </c:pt>
                <c:pt idx="1292">
                  <c:v>259.15100000000001</c:v>
                </c:pt>
                <c:pt idx="1293">
                  <c:v>259.15100000000001</c:v>
                </c:pt>
                <c:pt idx="1294">
                  <c:v>258.98099999999999</c:v>
                </c:pt>
                <c:pt idx="1295">
                  <c:v>258.98099999999999</c:v>
                </c:pt>
                <c:pt idx="1296">
                  <c:v>258.84399999999999</c:v>
                </c:pt>
                <c:pt idx="1297">
                  <c:v>258.84399999999999</c:v>
                </c:pt>
                <c:pt idx="1298">
                  <c:v>258.84399999999999</c:v>
                </c:pt>
                <c:pt idx="1299">
                  <c:v>258.70999999999998</c:v>
                </c:pt>
                <c:pt idx="1300">
                  <c:v>258.70999999999998</c:v>
                </c:pt>
                <c:pt idx="1301">
                  <c:v>258.70999999999998</c:v>
                </c:pt>
                <c:pt idx="1302">
                  <c:v>258.70999999999998</c:v>
                </c:pt>
                <c:pt idx="1303">
                  <c:v>258.70999999999998</c:v>
                </c:pt>
                <c:pt idx="1304">
                  <c:v>258.524</c:v>
                </c:pt>
                <c:pt idx="1305">
                  <c:v>258.524</c:v>
                </c:pt>
                <c:pt idx="1306">
                  <c:v>258.399</c:v>
                </c:pt>
                <c:pt idx="1307">
                  <c:v>258.399</c:v>
                </c:pt>
                <c:pt idx="1308">
                  <c:v>258.255</c:v>
                </c:pt>
                <c:pt idx="1309">
                  <c:v>258.255</c:v>
                </c:pt>
                <c:pt idx="1310">
                  <c:v>258.255</c:v>
                </c:pt>
                <c:pt idx="1311">
                  <c:v>258.255</c:v>
                </c:pt>
                <c:pt idx="1312">
                  <c:v>258.255</c:v>
                </c:pt>
                <c:pt idx="1313">
                  <c:v>258.07299999999998</c:v>
                </c:pt>
                <c:pt idx="1314">
                  <c:v>258.07299999999998</c:v>
                </c:pt>
                <c:pt idx="1315">
                  <c:v>258.07299999999998</c:v>
                </c:pt>
                <c:pt idx="1316">
                  <c:v>257.95800000000003</c:v>
                </c:pt>
                <c:pt idx="1317">
                  <c:v>257.79599999999999</c:v>
                </c:pt>
                <c:pt idx="1318">
                  <c:v>257.79599999999999</c:v>
                </c:pt>
                <c:pt idx="1319">
                  <c:v>257.79599999999999</c:v>
                </c:pt>
                <c:pt idx="1320">
                  <c:v>257.79599999999999</c:v>
                </c:pt>
                <c:pt idx="1321">
                  <c:v>257.79599999999999</c:v>
                </c:pt>
                <c:pt idx="1322">
                  <c:v>257.79599999999999</c:v>
                </c:pt>
                <c:pt idx="1323">
                  <c:v>257.79599999999999</c:v>
                </c:pt>
                <c:pt idx="1324">
                  <c:v>257.79599999999999</c:v>
                </c:pt>
                <c:pt idx="1325">
                  <c:v>257.57299999999998</c:v>
                </c:pt>
                <c:pt idx="1326">
                  <c:v>257.57299999999998</c:v>
                </c:pt>
                <c:pt idx="1327">
                  <c:v>257.38200000000001</c:v>
                </c:pt>
                <c:pt idx="1328">
                  <c:v>257.38200000000001</c:v>
                </c:pt>
                <c:pt idx="1329">
                  <c:v>257.38200000000001</c:v>
                </c:pt>
                <c:pt idx="1330">
                  <c:v>257.38200000000001</c:v>
                </c:pt>
                <c:pt idx="1331">
                  <c:v>257.38200000000001</c:v>
                </c:pt>
                <c:pt idx="1332">
                  <c:v>257.38200000000001</c:v>
                </c:pt>
                <c:pt idx="1333">
                  <c:v>257.38200000000001</c:v>
                </c:pt>
                <c:pt idx="1334">
                  <c:v>257.11500000000001</c:v>
                </c:pt>
                <c:pt idx="1335">
                  <c:v>257.11500000000001</c:v>
                </c:pt>
                <c:pt idx="1336">
                  <c:v>257.11500000000001</c:v>
                </c:pt>
                <c:pt idx="1337">
                  <c:v>257.11500000000001</c:v>
                </c:pt>
                <c:pt idx="1338">
                  <c:v>257.11500000000001</c:v>
                </c:pt>
                <c:pt idx="1339">
                  <c:v>256.92200000000003</c:v>
                </c:pt>
                <c:pt idx="1340">
                  <c:v>256.8</c:v>
                </c:pt>
                <c:pt idx="1341">
                  <c:v>256.8</c:v>
                </c:pt>
                <c:pt idx="1342">
                  <c:v>256.64999999999998</c:v>
                </c:pt>
                <c:pt idx="1343">
                  <c:v>256.64999999999998</c:v>
                </c:pt>
                <c:pt idx="1344">
                  <c:v>256.64999999999998</c:v>
                </c:pt>
                <c:pt idx="1345">
                  <c:v>256.64999999999998</c:v>
                </c:pt>
                <c:pt idx="1346">
                  <c:v>256.64999999999998</c:v>
                </c:pt>
                <c:pt idx="1347">
                  <c:v>256.47399999999999</c:v>
                </c:pt>
                <c:pt idx="1348">
                  <c:v>256.47399999999999</c:v>
                </c:pt>
                <c:pt idx="1349">
                  <c:v>256.47399999999999</c:v>
                </c:pt>
                <c:pt idx="1350">
                  <c:v>256.47399999999999</c:v>
                </c:pt>
                <c:pt idx="1351">
                  <c:v>256.36200000000002</c:v>
                </c:pt>
                <c:pt idx="1352">
                  <c:v>256.36200000000002</c:v>
                </c:pt>
                <c:pt idx="1353">
                  <c:v>256.20400000000001</c:v>
                </c:pt>
                <c:pt idx="1354">
                  <c:v>256.20400000000001</c:v>
                </c:pt>
                <c:pt idx="1355">
                  <c:v>256.20400000000001</c:v>
                </c:pt>
                <c:pt idx="1356">
                  <c:v>256.20400000000001</c:v>
                </c:pt>
                <c:pt idx="1357">
                  <c:v>256.20400000000001</c:v>
                </c:pt>
                <c:pt idx="1358">
                  <c:v>256.20400000000001</c:v>
                </c:pt>
                <c:pt idx="1359">
                  <c:v>255.93600000000001</c:v>
                </c:pt>
                <c:pt idx="1360">
                  <c:v>255.93600000000001</c:v>
                </c:pt>
                <c:pt idx="1361">
                  <c:v>255.93600000000001</c:v>
                </c:pt>
                <c:pt idx="1362">
                  <c:v>255.93600000000001</c:v>
                </c:pt>
                <c:pt idx="1363">
                  <c:v>255.93600000000001</c:v>
                </c:pt>
                <c:pt idx="1364">
                  <c:v>255.76</c:v>
                </c:pt>
                <c:pt idx="1365">
                  <c:v>255.76</c:v>
                </c:pt>
                <c:pt idx="1366">
                  <c:v>255.76</c:v>
                </c:pt>
                <c:pt idx="1367">
                  <c:v>255.512</c:v>
                </c:pt>
                <c:pt idx="1368">
                  <c:v>255.512</c:v>
                </c:pt>
                <c:pt idx="1369">
                  <c:v>255.512</c:v>
                </c:pt>
                <c:pt idx="1370">
                  <c:v>255.512</c:v>
                </c:pt>
                <c:pt idx="1371">
                  <c:v>255.512</c:v>
                </c:pt>
                <c:pt idx="1372">
                  <c:v>255.512</c:v>
                </c:pt>
                <c:pt idx="1373">
                  <c:v>255.512</c:v>
                </c:pt>
                <c:pt idx="1374">
                  <c:v>255.512</c:v>
                </c:pt>
                <c:pt idx="1375">
                  <c:v>255.21100000000001</c:v>
                </c:pt>
                <c:pt idx="1376">
                  <c:v>255.21100000000001</c:v>
                </c:pt>
                <c:pt idx="1377">
                  <c:v>255.21100000000001</c:v>
                </c:pt>
                <c:pt idx="1378">
                  <c:v>255.21100000000001</c:v>
                </c:pt>
                <c:pt idx="1379">
                  <c:v>255.21100000000001</c:v>
                </c:pt>
                <c:pt idx="1380">
                  <c:v>255.07499999999999</c:v>
                </c:pt>
                <c:pt idx="1381">
                  <c:v>255.07499999999999</c:v>
                </c:pt>
                <c:pt idx="1382">
                  <c:v>255.07499999999999</c:v>
                </c:pt>
                <c:pt idx="1383">
                  <c:v>254.792</c:v>
                </c:pt>
                <c:pt idx="1384">
                  <c:v>254.792</c:v>
                </c:pt>
                <c:pt idx="1385">
                  <c:v>254.792</c:v>
                </c:pt>
                <c:pt idx="1386">
                  <c:v>254.792</c:v>
                </c:pt>
                <c:pt idx="1387">
                  <c:v>254.792</c:v>
                </c:pt>
                <c:pt idx="1388">
                  <c:v>254.792</c:v>
                </c:pt>
                <c:pt idx="1389">
                  <c:v>254.792</c:v>
                </c:pt>
                <c:pt idx="1390">
                  <c:v>254.511</c:v>
                </c:pt>
                <c:pt idx="1391">
                  <c:v>254.511</c:v>
                </c:pt>
                <c:pt idx="1392">
                  <c:v>254.511</c:v>
                </c:pt>
                <c:pt idx="1393">
                  <c:v>254.511</c:v>
                </c:pt>
                <c:pt idx="1394">
                  <c:v>254.511</c:v>
                </c:pt>
                <c:pt idx="1395">
                  <c:v>254.37799999999999</c:v>
                </c:pt>
                <c:pt idx="1396">
                  <c:v>254.37799999999999</c:v>
                </c:pt>
                <c:pt idx="1397">
                  <c:v>254.37799999999999</c:v>
                </c:pt>
                <c:pt idx="1398">
                  <c:v>254.37799999999999</c:v>
                </c:pt>
                <c:pt idx="1399">
                  <c:v>254.255</c:v>
                </c:pt>
                <c:pt idx="1400">
                  <c:v>254.255</c:v>
                </c:pt>
                <c:pt idx="1401">
                  <c:v>253.989</c:v>
                </c:pt>
                <c:pt idx="1402">
                  <c:v>253.989</c:v>
                </c:pt>
                <c:pt idx="1403">
                  <c:v>253.83199999999999</c:v>
                </c:pt>
                <c:pt idx="1404">
                  <c:v>253.83199999999999</c:v>
                </c:pt>
                <c:pt idx="1405">
                  <c:v>253.83199999999999</c:v>
                </c:pt>
                <c:pt idx="1406">
                  <c:v>253.83199999999999</c:v>
                </c:pt>
                <c:pt idx="1407">
                  <c:v>253.83199999999999</c:v>
                </c:pt>
                <c:pt idx="1408">
                  <c:v>253.83199999999999</c:v>
                </c:pt>
                <c:pt idx="1409">
                  <c:v>253.83199999999999</c:v>
                </c:pt>
                <c:pt idx="1410">
                  <c:v>253.83199999999999</c:v>
                </c:pt>
                <c:pt idx="1411">
                  <c:v>253.83199999999999</c:v>
                </c:pt>
                <c:pt idx="1412">
                  <c:v>253.83199999999999</c:v>
                </c:pt>
                <c:pt idx="1413">
                  <c:v>253.58</c:v>
                </c:pt>
                <c:pt idx="1414">
                  <c:v>253.58</c:v>
                </c:pt>
                <c:pt idx="1415">
                  <c:v>253.58</c:v>
                </c:pt>
                <c:pt idx="1416">
                  <c:v>253.58</c:v>
                </c:pt>
                <c:pt idx="1417">
                  <c:v>253.58</c:v>
                </c:pt>
                <c:pt idx="1418">
                  <c:v>253.42</c:v>
                </c:pt>
                <c:pt idx="1419">
                  <c:v>253.42</c:v>
                </c:pt>
                <c:pt idx="1420">
                  <c:v>253.42</c:v>
                </c:pt>
                <c:pt idx="1421">
                  <c:v>253.42</c:v>
                </c:pt>
                <c:pt idx="1422">
                  <c:v>253.29900000000001</c:v>
                </c:pt>
                <c:pt idx="1423">
                  <c:v>253.29900000000001</c:v>
                </c:pt>
                <c:pt idx="1424">
                  <c:v>253.03899999999999</c:v>
                </c:pt>
                <c:pt idx="1425">
                  <c:v>252.886</c:v>
                </c:pt>
                <c:pt idx="1426">
                  <c:v>252.886</c:v>
                </c:pt>
                <c:pt idx="1427">
                  <c:v>252.886</c:v>
                </c:pt>
                <c:pt idx="1428">
                  <c:v>252.886</c:v>
                </c:pt>
                <c:pt idx="1429">
                  <c:v>252.886</c:v>
                </c:pt>
                <c:pt idx="1430">
                  <c:v>252.886</c:v>
                </c:pt>
                <c:pt idx="1431">
                  <c:v>252.886</c:v>
                </c:pt>
                <c:pt idx="1432">
                  <c:v>252.886</c:v>
                </c:pt>
                <c:pt idx="1433">
                  <c:v>252.886</c:v>
                </c:pt>
                <c:pt idx="1434">
                  <c:v>252.63399999999999</c:v>
                </c:pt>
                <c:pt idx="1435">
                  <c:v>252.63399999999999</c:v>
                </c:pt>
                <c:pt idx="1436">
                  <c:v>252.63399999999999</c:v>
                </c:pt>
                <c:pt idx="1437">
                  <c:v>252.63399999999999</c:v>
                </c:pt>
                <c:pt idx="1438">
                  <c:v>252.63399999999999</c:v>
                </c:pt>
                <c:pt idx="1439">
                  <c:v>252.63399999999999</c:v>
                </c:pt>
                <c:pt idx="1440">
                  <c:v>252.63399999999999</c:v>
                </c:pt>
                <c:pt idx="1441">
                  <c:v>252.63399999999999</c:v>
                </c:pt>
                <c:pt idx="1442">
                  <c:v>252.63399999999999</c:v>
                </c:pt>
                <c:pt idx="1443">
                  <c:v>252.4</c:v>
                </c:pt>
                <c:pt idx="1444">
                  <c:v>252.4</c:v>
                </c:pt>
                <c:pt idx="1445">
                  <c:v>252.4</c:v>
                </c:pt>
                <c:pt idx="1446">
                  <c:v>252.4</c:v>
                </c:pt>
                <c:pt idx="1447">
                  <c:v>252.4</c:v>
                </c:pt>
                <c:pt idx="1448">
                  <c:v>252.22399999999999</c:v>
                </c:pt>
                <c:pt idx="1449">
                  <c:v>252.22399999999999</c:v>
                </c:pt>
                <c:pt idx="1450">
                  <c:v>252.22399999999999</c:v>
                </c:pt>
                <c:pt idx="1451">
                  <c:v>252.16499999999999</c:v>
                </c:pt>
                <c:pt idx="1452">
                  <c:v>252.16499999999999</c:v>
                </c:pt>
                <c:pt idx="1453">
                  <c:v>252.16499999999999</c:v>
                </c:pt>
                <c:pt idx="1454">
                  <c:v>252.16499999999999</c:v>
                </c:pt>
                <c:pt idx="1455">
                  <c:v>252.16499999999999</c:v>
                </c:pt>
                <c:pt idx="1456">
                  <c:v>252.042</c:v>
                </c:pt>
                <c:pt idx="1457">
                  <c:v>252.042</c:v>
                </c:pt>
                <c:pt idx="1458">
                  <c:v>252.042</c:v>
                </c:pt>
                <c:pt idx="1459">
                  <c:v>252.042</c:v>
                </c:pt>
                <c:pt idx="1460">
                  <c:v>251.964</c:v>
                </c:pt>
                <c:pt idx="1461">
                  <c:v>251.964</c:v>
                </c:pt>
                <c:pt idx="1462">
                  <c:v>251.964</c:v>
                </c:pt>
                <c:pt idx="1463">
                  <c:v>251.964</c:v>
                </c:pt>
                <c:pt idx="1464">
                  <c:v>251.964</c:v>
                </c:pt>
                <c:pt idx="1465">
                  <c:v>251.809</c:v>
                </c:pt>
                <c:pt idx="1466">
                  <c:v>251.809</c:v>
                </c:pt>
                <c:pt idx="1467">
                  <c:v>251.809</c:v>
                </c:pt>
                <c:pt idx="1468">
                  <c:v>251.809</c:v>
                </c:pt>
                <c:pt idx="1469">
                  <c:v>251.70400000000001</c:v>
                </c:pt>
                <c:pt idx="1470">
                  <c:v>251.70400000000001</c:v>
                </c:pt>
                <c:pt idx="1471">
                  <c:v>251.70400000000001</c:v>
                </c:pt>
                <c:pt idx="1472">
                  <c:v>251.70400000000001</c:v>
                </c:pt>
                <c:pt idx="1473">
                  <c:v>251.70400000000001</c:v>
                </c:pt>
                <c:pt idx="1474">
                  <c:v>251.59899999999999</c:v>
                </c:pt>
                <c:pt idx="1475">
                  <c:v>251.59899999999999</c:v>
                </c:pt>
                <c:pt idx="1476">
                  <c:v>251.59899999999999</c:v>
                </c:pt>
                <c:pt idx="1477">
                  <c:v>251.59899999999999</c:v>
                </c:pt>
                <c:pt idx="1478">
                  <c:v>251.53299999999999</c:v>
                </c:pt>
                <c:pt idx="1479">
                  <c:v>251.53299999999999</c:v>
                </c:pt>
                <c:pt idx="1480">
                  <c:v>251.53299999999999</c:v>
                </c:pt>
                <c:pt idx="1481">
                  <c:v>251.53299999999999</c:v>
                </c:pt>
                <c:pt idx="1482">
                  <c:v>251.53299999999999</c:v>
                </c:pt>
                <c:pt idx="1483">
                  <c:v>251.40299999999999</c:v>
                </c:pt>
                <c:pt idx="1484">
                  <c:v>251.40299999999999</c:v>
                </c:pt>
                <c:pt idx="1485">
                  <c:v>251.40299999999999</c:v>
                </c:pt>
                <c:pt idx="1486">
                  <c:v>251.40299999999999</c:v>
                </c:pt>
                <c:pt idx="1487">
                  <c:v>251.30500000000001</c:v>
                </c:pt>
                <c:pt idx="1488">
                  <c:v>251.30500000000001</c:v>
                </c:pt>
                <c:pt idx="1489">
                  <c:v>251.30500000000001</c:v>
                </c:pt>
                <c:pt idx="1490">
                  <c:v>251.30500000000001</c:v>
                </c:pt>
                <c:pt idx="1491">
                  <c:v>251.30500000000001</c:v>
                </c:pt>
                <c:pt idx="1492">
                  <c:v>251.20500000000001</c:v>
                </c:pt>
                <c:pt idx="1493">
                  <c:v>251.20500000000001</c:v>
                </c:pt>
                <c:pt idx="1494">
                  <c:v>251.20500000000001</c:v>
                </c:pt>
                <c:pt idx="1495">
                  <c:v>251.20500000000001</c:v>
                </c:pt>
                <c:pt idx="1496">
                  <c:v>251.142</c:v>
                </c:pt>
                <c:pt idx="1497">
                  <c:v>251.142</c:v>
                </c:pt>
                <c:pt idx="1498">
                  <c:v>251.142</c:v>
                </c:pt>
                <c:pt idx="1499">
                  <c:v>251.142</c:v>
                </c:pt>
                <c:pt idx="1500">
                  <c:v>251.142</c:v>
                </c:pt>
                <c:pt idx="1501">
                  <c:v>251.05099999999999</c:v>
                </c:pt>
                <c:pt idx="1502">
                  <c:v>251.05099999999999</c:v>
                </c:pt>
                <c:pt idx="1503">
                  <c:v>251.05099999999999</c:v>
                </c:pt>
                <c:pt idx="1504">
                  <c:v>251.05099999999999</c:v>
                </c:pt>
                <c:pt idx="1505">
                  <c:v>250.947</c:v>
                </c:pt>
                <c:pt idx="1506">
                  <c:v>250.947</c:v>
                </c:pt>
                <c:pt idx="1507">
                  <c:v>250.947</c:v>
                </c:pt>
                <c:pt idx="1508">
                  <c:v>250.947</c:v>
                </c:pt>
                <c:pt idx="1509">
                  <c:v>250.947</c:v>
                </c:pt>
                <c:pt idx="1510">
                  <c:v>250.84299999999999</c:v>
                </c:pt>
                <c:pt idx="1511">
                  <c:v>250.84299999999999</c:v>
                </c:pt>
                <c:pt idx="1512">
                  <c:v>250.84299999999999</c:v>
                </c:pt>
                <c:pt idx="1513">
                  <c:v>250.84299999999999</c:v>
                </c:pt>
                <c:pt idx="1514">
                  <c:v>250.77699999999999</c:v>
                </c:pt>
                <c:pt idx="1515">
                  <c:v>250.77699999999999</c:v>
                </c:pt>
                <c:pt idx="1516">
                  <c:v>250.77699999999999</c:v>
                </c:pt>
                <c:pt idx="1517">
                  <c:v>250.77699999999999</c:v>
                </c:pt>
                <c:pt idx="1518">
                  <c:v>250.77699999999999</c:v>
                </c:pt>
                <c:pt idx="1519">
                  <c:v>250.71100000000001</c:v>
                </c:pt>
                <c:pt idx="1520">
                  <c:v>250.71100000000001</c:v>
                </c:pt>
                <c:pt idx="1521">
                  <c:v>250.71100000000001</c:v>
                </c:pt>
                <c:pt idx="1522">
                  <c:v>250.71100000000001</c:v>
                </c:pt>
                <c:pt idx="1523">
                  <c:v>250.6</c:v>
                </c:pt>
                <c:pt idx="1524">
                  <c:v>250.6</c:v>
                </c:pt>
                <c:pt idx="1525">
                  <c:v>250.6</c:v>
                </c:pt>
                <c:pt idx="1526">
                  <c:v>250.6</c:v>
                </c:pt>
                <c:pt idx="1527">
                  <c:v>250.6</c:v>
                </c:pt>
                <c:pt idx="1528">
                  <c:v>250.489</c:v>
                </c:pt>
                <c:pt idx="1529">
                  <c:v>250.489</c:v>
                </c:pt>
                <c:pt idx="1530">
                  <c:v>250.489</c:v>
                </c:pt>
                <c:pt idx="1531">
                  <c:v>250.489</c:v>
                </c:pt>
                <c:pt idx="1532">
                  <c:v>250.41900000000001</c:v>
                </c:pt>
                <c:pt idx="1533">
                  <c:v>250.41900000000001</c:v>
                </c:pt>
                <c:pt idx="1534">
                  <c:v>250.41900000000001</c:v>
                </c:pt>
                <c:pt idx="1535">
                  <c:v>250.41900000000001</c:v>
                </c:pt>
                <c:pt idx="1536">
                  <c:v>250.41900000000001</c:v>
                </c:pt>
                <c:pt idx="1537">
                  <c:v>250.35</c:v>
                </c:pt>
                <c:pt idx="1538">
                  <c:v>250.35</c:v>
                </c:pt>
                <c:pt idx="1539">
                  <c:v>250.35</c:v>
                </c:pt>
                <c:pt idx="1540">
                  <c:v>250.35</c:v>
                </c:pt>
                <c:pt idx="1541">
                  <c:v>250.26900000000001</c:v>
                </c:pt>
                <c:pt idx="1542">
                  <c:v>250.26900000000001</c:v>
                </c:pt>
                <c:pt idx="1543">
                  <c:v>250.26900000000001</c:v>
                </c:pt>
                <c:pt idx="1544">
                  <c:v>250.26900000000001</c:v>
                </c:pt>
                <c:pt idx="1545">
                  <c:v>250.26900000000001</c:v>
                </c:pt>
                <c:pt idx="1546">
                  <c:v>250.148</c:v>
                </c:pt>
                <c:pt idx="1547">
                  <c:v>250.148</c:v>
                </c:pt>
                <c:pt idx="1548">
                  <c:v>250.148</c:v>
                </c:pt>
                <c:pt idx="1549">
                  <c:v>250.148</c:v>
                </c:pt>
                <c:pt idx="1550">
                  <c:v>250.06800000000001</c:v>
                </c:pt>
                <c:pt idx="1551">
                  <c:v>250.06800000000001</c:v>
                </c:pt>
                <c:pt idx="1552">
                  <c:v>250.06800000000001</c:v>
                </c:pt>
                <c:pt idx="1553">
                  <c:v>250.06800000000001</c:v>
                </c:pt>
                <c:pt idx="1554">
                  <c:v>250.06800000000001</c:v>
                </c:pt>
                <c:pt idx="1555">
                  <c:v>249.99600000000001</c:v>
                </c:pt>
                <c:pt idx="1556">
                  <c:v>249.99600000000001</c:v>
                </c:pt>
                <c:pt idx="1557">
                  <c:v>249.99600000000001</c:v>
                </c:pt>
                <c:pt idx="1558">
                  <c:v>249.99600000000001</c:v>
                </c:pt>
                <c:pt idx="1559">
                  <c:v>249.94800000000001</c:v>
                </c:pt>
                <c:pt idx="1560">
                  <c:v>249.94800000000001</c:v>
                </c:pt>
                <c:pt idx="1561">
                  <c:v>249.94800000000001</c:v>
                </c:pt>
                <c:pt idx="1562">
                  <c:v>249.94800000000001</c:v>
                </c:pt>
                <c:pt idx="1563">
                  <c:v>249.94800000000001</c:v>
                </c:pt>
                <c:pt idx="1564">
                  <c:v>249.816</c:v>
                </c:pt>
                <c:pt idx="1565">
                  <c:v>249.816</c:v>
                </c:pt>
                <c:pt idx="1566">
                  <c:v>249.816</c:v>
                </c:pt>
                <c:pt idx="1567">
                  <c:v>249.816</c:v>
                </c:pt>
                <c:pt idx="1568">
                  <c:v>249.732</c:v>
                </c:pt>
                <c:pt idx="1569">
                  <c:v>249.732</c:v>
                </c:pt>
                <c:pt idx="1570">
                  <c:v>249.732</c:v>
                </c:pt>
                <c:pt idx="1571">
                  <c:v>249.732</c:v>
                </c:pt>
                <c:pt idx="1572">
                  <c:v>249.732</c:v>
                </c:pt>
                <c:pt idx="1573">
                  <c:v>249.648</c:v>
                </c:pt>
                <c:pt idx="1574">
                  <c:v>249.648</c:v>
                </c:pt>
                <c:pt idx="1575">
                  <c:v>249.648</c:v>
                </c:pt>
                <c:pt idx="1576">
                  <c:v>249.648</c:v>
                </c:pt>
                <c:pt idx="1577">
                  <c:v>249.595</c:v>
                </c:pt>
                <c:pt idx="1578">
                  <c:v>249.595</c:v>
                </c:pt>
                <c:pt idx="1579">
                  <c:v>249.595</c:v>
                </c:pt>
                <c:pt idx="1580">
                  <c:v>249.595</c:v>
                </c:pt>
                <c:pt idx="1581">
                  <c:v>249.595</c:v>
                </c:pt>
                <c:pt idx="1582">
                  <c:v>249.49</c:v>
                </c:pt>
                <c:pt idx="1583">
                  <c:v>249.49</c:v>
                </c:pt>
                <c:pt idx="1584">
                  <c:v>249.49</c:v>
                </c:pt>
                <c:pt idx="1585">
                  <c:v>249.49</c:v>
                </c:pt>
                <c:pt idx="1586">
                  <c:v>249.398</c:v>
                </c:pt>
                <c:pt idx="1587">
                  <c:v>249.398</c:v>
                </c:pt>
                <c:pt idx="1588">
                  <c:v>249.398</c:v>
                </c:pt>
                <c:pt idx="1589">
                  <c:v>249.398</c:v>
                </c:pt>
                <c:pt idx="1590">
                  <c:v>249.398</c:v>
                </c:pt>
                <c:pt idx="1591">
                  <c:v>249.30500000000001</c:v>
                </c:pt>
                <c:pt idx="1592">
                  <c:v>249.30500000000001</c:v>
                </c:pt>
                <c:pt idx="1593">
                  <c:v>249.30500000000001</c:v>
                </c:pt>
                <c:pt idx="1594">
                  <c:v>249.30500000000001</c:v>
                </c:pt>
                <c:pt idx="1595">
                  <c:v>249.24700000000001</c:v>
                </c:pt>
                <c:pt idx="1596">
                  <c:v>249.24700000000001</c:v>
                </c:pt>
                <c:pt idx="1597">
                  <c:v>249.24700000000001</c:v>
                </c:pt>
                <c:pt idx="1598">
                  <c:v>249.24700000000001</c:v>
                </c:pt>
                <c:pt idx="1599">
                  <c:v>249.24700000000001</c:v>
                </c:pt>
                <c:pt idx="1600">
                  <c:v>249.17</c:v>
                </c:pt>
                <c:pt idx="1601">
                  <c:v>249.17</c:v>
                </c:pt>
                <c:pt idx="1602">
                  <c:v>249.17</c:v>
                </c:pt>
                <c:pt idx="1603">
                  <c:v>249.17</c:v>
                </c:pt>
                <c:pt idx="1604">
                  <c:v>249.06800000000001</c:v>
                </c:pt>
                <c:pt idx="1605">
                  <c:v>249.06800000000001</c:v>
                </c:pt>
                <c:pt idx="1606">
                  <c:v>249.06800000000001</c:v>
                </c:pt>
                <c:pt idx="1607">
                  <c:v>249.06800000000001</c:v>
                </c:pt>
                <c:pt idx="1608">
                  <c:v>249.06800000000001</c:v>
                </c:pt>
                <c:pt idx="1609">
                  <c:v>248.96600000000001</c:v>
                </c:pt>
                <c:pt idx="1610">
                  <c:v>248.96600000000001</c:v>
                </c:pt>
                <c:pt idx="1611">
                  <c:v>248.96600000000001</c:v>
                </c:pt>
                <c:pt idx="1612">
                  <c:v>248.96600000000001</c:v>
                </c:pt>
                <c:pt idx="1613">
                  <c:v>248.90299999999999</c:v>
                </c:pt>
                <c:pt idx="1614">
                  <c:v>248.90299999999999</c:v>
                </c:pt>
                <c:pt idx="1615">
                  <c:v>248.90299999999999</c:v>
                </c:pt>
                <c:pt idx="1616">
                  <c:v>248.90299999999999</c:v>
                </c:pt>
                <c:pt idx="1617">
                  <c:v>248.90299999999999</c:v>
                </c:pt>
                <c:pt idx="1618">
                  <c:v>248.83799999999999</c:v>
                </c:pt>
                <c:pt idx="1619">
                  <c:v>248.83799999999999</c:v>
                </c:pt>
                <c:pt idx="1620">
                  <c:v>248.83799999999999</c:v>
                </c:pt>
                <c:pt idx="1621">
                  <c:v>248.83799999999999</c:v>
                </c:pt>
                <c:pt idx="1622">
                  <c:v>248.75299999999999</c:v>
                </c:pt>
                <c:pt idx="1623">
                  <c:v>248.75299999999999</c:v>
                </c:pt>
                <c:pt idx="1624">
                  <c:v>248.75299999999999</c:v>
                </c:pt>
                <c:pt idx="1625">
                  <c:v>248.75299999999999</c:v>
                </c:pt>
                <c:pt idx="1626">
                  <c:v>248.75299999999999</c:v>
                </c:pt>
                <c:pt idx="1627">
                  <c:v>248.63900000000001</c:v>
                </c:pt>
                <c:pt idx="1628">
                  <c:v>248.63900000000001</c:v>
                </c:pt>
                <c:pt idx="1629">
                  <c:v>248.63900000000001</c:v>
                </c:pt>
                <c:pt idx="1630">
                  <c:v>248.601</c:v>
                </c:pt>
                <c:pt idx="1631">
                  <c:v>248.601</c:v>
                </c:pt>
                <c:pt idx="1632">
                  <c:v>248.601</c:v>
                </c:pt>
                <c:pt idx="1633">
                  <c:v>248.601</c:v>
                </c:pt>
                <c:pt idx="1634">
                  <c:v>248.601</c:v>
                </c:pt>
                <c:pt idx="1635">
                  <c:v>248.601</c:v>
                </c:pt>
                <c:pt idx="1636">
                  <c:v>248.601</c:v>
                </c:pt>
                <c:pt idx="1637">
                  <c:v>248.601</c:v>
                </c:pt>
                <c:pt idx="1638">
                  <c:v>248.601</c:v>
                </c:pt>
                <c:pt idx="1639">
                  <c:v>248.471</c:v>
                </c:pt>
                <c:pt idx="1640">
                  <c:v>248.471</c:v>
                </c:pt>
                <c:pt idx="1641">
                  <c:v>248.471</c:v>
                </c:pt>
                <c:pt idx="1642">
                  <c:v>248.471</c:v>
                </c:pt>
                <c:pt idx="1643">
                  <c:v>248.471</c:v>
                </c:pt>
                <c:pt idx="1644">
                  <c:v>248.471</c:v>
                </c:pt>
                <c:pt idx="1645">
                  <c:v>248.471</c:v>
                </c:pt>
                <c:pt idx="1646">
                  <c:v>248.471</c:v>
                </c:pt>
                <c:pt idx="1647">
                  <c:v>248.471</c:v>
                </c:pt>
                <c:pt idx="1648">
                  <c:v>248.25800000000001</c:v>
                </c:pt>
                <c:pt idx="1649">
                  <c:v>248.25800000000001</c:v>
                </c:pt>
                <c:pt idx="1650">
                  <c:v>248.25800000000001</c:v>
                </c:pt>
                <c:pt idx="1651">
                  <c:v>248.25800000000001</c:v>
                </c:pt>
                <c:pt idx="1652">
                  <c:v>248.25800000000001</c:v>
                </c:pt>
                <c:pt idx="1653">
                  <c:v>248.25800000000001</c:v>
                </c:pt>
                <c:pt idx="1654">
                  <c:v>248.25800000000001</c:v>
                </c:pt>
                <c:pt idx="1655">
                  <c:v>248.25800000000001</c:v>
                </c:pt>
                <c:pt idx="1656">
                  <c:v>248.25800000000001</c:v>
                </c:pt>
                <c:pt idx="1657">
                  <c:v>248.11799999999999</c:v>
                </c:pt>
                <c:pt idx="1658">
                  <c:v>248.11799999999999</c:v>
                </c:pt>
                <c:pt idx="1659">
                  <c:v>248.11799999999999</c:v>
                </c:pt>
                <c:pt idx="1660">
                  <c:v>248.11799999999999</c:v>
                </c:pt>
                <c:pt idx="1661">
                  <c:v>248.11799999999999</c:v>
                </c:pt>
                <c:pt idx="1662">
                  <c:v>248.11799999999999</c:v>
                </c:pt>
                <c:pt idx="1663">
                  <c:v>248.11799999999999</c:v>
                </c:pt>
                <c:pt idx="1664">
                  <c:v>247.52600000000001</c:v>
                </c:pt>
                <c:pt idx="1665">
                  <c:v>247.45400000000001</c:v>
                </c:pt>
                <c:pt idx="1666">
                  <c:v>247.45400000000001</c:v>
                </c:pt>
                <c:pt idx="1667">
                  <c:v>247.45400000000001</c:v>
                </c:pt>
                <c:pt idx="1668">
                  <c:v>247.45400000000001</c:v>
                </c:pt>
                <c:pt idx="1669">
                  <c:v>247.45400000000001</c:v>
                </c:pt>
                <c:pt idx="1670">
                  <c:v>247.38499999999999</c:v>
                </c:pt>
                <c:pt idx="1671">
                  <c:v>247.38499999999999</c:v>
                </c:pt>
                <c:pt idx="1672">
                  <c:v>247.38499999999999</c:v>
                </c:pt>
                <c:pt idx="1673">
                  <c:v>247.38499999999999</c:v>
                </c:pt>
                <c:pt idx="1674">
                  <c:v>247.34</c:v>
                </c:pt>
                <c:pt idx="1675">
                  <c:v>247.34</c:v>
                </c:pt>
                <c:pt idx="1676">
                  <c:v>247.34</c:v>
                </c:pt>
                <c:pt idx="1677">
                  <c:v>247.34</c:v>
                </c:pt>
                <c:pt idx="1678">
                  <c:v>247.34</c:v>
                </c:pt>
                <c:pt idx="1679">
                  <c:v>247.34</c:v>
                </c:pt>
                <c:pt idx="1680">
                  <c:v>247.34</c:v>
                </c:pt>
                <c:pt idx="1681">
                  <c:v>247.34</c:v>
                </c:pt>
                <c:pt idx="1682">
                  <c:v>247.34</c:v>
                </c:pt>
                <c:pt idx="1683">
                  <c:v>247.13800000000001</c:v>
                </c:pt>
                <c:pt idx="1684">
                  <c:v>247.13800000000001</c:v>
                </c:pt>
                <c:pt idx="1685">
                  <c:v>247.13800000000001</c:v>
                </c:pt>
                <c:pt idx="1686">
                  <c:v>247.13800000000001</c:v>
                </c:pt>
                <c:pt idx="1687">
                  <c:v>247.13800000000001</c:v>
                </c:pt>
                <c:pt idx="1688">
                  <c:v>247.13800000000001</c:v>
                </c:pt>
                <c:pt idx="1689">
                  <c:v>247.13800000000001</c:v>
                </c:pt>
                <c:pt idx="1690">
                  <c:v>247.13800000000001</c:v>
                </c:pt>
                <c:pt idx="1691">
                  <c:v>247.13800000000001</c:v>
                </c:pt>
                <c:pt idx="1692">
                  <c:v>247.006</c:v>
                </c:pt>
                <c:pt idx="1693">
                  <c:v>246.68199999999999</c:v>
                </c:pt>
                <c:pt idx="1694">
                  <c:v>246.68199999999999</c:v>
                </c:pt>
                <c:pt idx="1695">
                  <c:v>246.68199999999999</c:v>
                </c:pt>
                <c:pt idx="1696">
                  <c:v>246.68199999999999</c:v>
                </c:pt>
                <c:pt idx="1697">
                  <c:v>246.68199999999999</c:v>
                </c:pt>
                <c:pt idx="1698">
                  <c:v>246.62100000000001</c:v>
                </c:pt>
                <c:pt idx="1699">
                  <c:v>246.62100000000001</c:v>
                </c:pt>
                <c:pt idx="1700">
                  <c:v>246.62100000000001</c:v>
                </c:pt>
                <c:pt idx="1701">
                  <c:v>246.62100000000001</c:v>
                </c:pt>
                <c:pt idx="1702">
                  <c:v>246.55600000000001</c:v>
                </c:pt>
                <c:pt idx="1703">
                  <c:v>246.55600000000001</c:v>
                </c:pt>
                <c:pt idx="1704">
                  <c:v>246.55600000000001</c:v>
                </c:pt>
                <c:pt idx="1705">
                  <c:v>246.55600000000001</c:v>
                </c:pt>
                <c:pt idx="1706">
                  <c:v>246.55600000000001</c:v>
                </c:pt>
                <c:pt idx="1707">
                  <c:v>246.55600000000001</c:v>
                </c:pt>
                <c:pt idx="1708">
                  <c:v>246.55600000000001</c:v>
                </c:pt>
                <c:pt idx="1709">
                  <c:v>246.55600000000001</c:v>
                </c:pt>
                <c:pt idx="1710">
                  <c:v>246.55600000000001</c:v>
                </c:pt>
                <c:pt idx="1711">
                  <c:v>246.369</c:v>
                </c:pt>
                <c:pt idx="1712">
                  <c:v>246.369</c:v>
                </c:pt>
                <c:pt idx="1713">
                  <c:v>246.369</c:v>
                </c:pt>
                <c:pt idx="1714">
                  <c:v>246.369</c:v>
                </c:pt>
                <c:pt idx="1715">
                  <c:v>246.369</c:v>
                </c:pt>
                <c:pt idx="1716">
                  <c:v>246.06700000000001</c:v>
                </c:pt>
                <c:pt idx="1717">
                  <c:v>246.06700000000001</c:v>
                </c:pt>
                <c:pt idx="1718">
                  <c:v>246.06700000000001</c:v>
                </c:pt>
                <c:pt idx="1719">
                  <c:v>245.99600000000001</c:v>
                </c:pt>
                <c:pt idx="1720">
                  <c:v>245.99600000000001</c:v>
                </c:pt>
                <c:pt idx="1721">
                  <c:v>245.99600000000001</c:v>
                </c:pt>
                <c:pt idx="1722">
                  <c:v>245.99600000000001</c:v>
                </c:pt>
                <c:pt idx="1723">
                  <c:v>245.99600000000001</c:v>
                </c:pt>
                <c:pt idx="1724">
                  <c:v>245.92599999999999</c:v>
                </c:pt>
                <c:pt idx="1725">
                  <c:v>245.92599999999999</c:v>
                </c:pt>
                <c:pt idx="1726">
                  <c:v>245.92599999999999</c:v>
                </c:pt>
                <c:pt idx="1727">
                  <c:v>245.92599999999999</c:v>
                </c:pt>
                <c:pt idx="1728">
                  <c:v>245.88200000000001</c:v>
                </c:pt>
                <c:pt idx="1729">
                  <c:v>245.88200000000001</c:v>
                </c:pt>
                <c:pt idx="1730">
                  <c:v>245.88200000000001</c:v>
                </c:pt>
                <c:pt idx="1731">
                  <c:v>245.88200000000001</c:v>
                </c:pt>
                <c:pt idx="1732">
                  <c:v>245.88200000000001</c:v>
                </c:pt>
                <c:pt idx="1733">
                  <c:v>245.88200000000001</c:v>
                </c:pt>
                <c:pt idx="1734">
                  <c:v>245.88200000000001</c:v>
                </c:pt>
                <c:pt idx="1735">
                  <c:v>245.88200000000001</c:v>
                </c:pt>
                <c:pt idx="1736">
                  <c:v>245.566</c:v>
                </c:pt>
                <c:pt idx="1737">
                  <c:v>245.566</c:v>
                </c:pt>
                <c:pt idx="1738">
                  <c:v>245.566</c:v>
                </c:pt>
                <c:pt idx="1739">
                  <c:v>245.53200000000001</c:v>
                </c:pt>
                <c:pt idx="1740">
                  <c:v>245.53200000000001</c:v>
                </c:pt>
                <c:pt idx="1741">
                  <c:v>245.53200000000001</c:v>
                </c:pt>
                <c:pt idx="1742">
                  <c:v>245.53200000000001</c:v>
                </c:pt>
                <c:pt idx="1743">
                  <c:v>245.489</c:v>
                </c:pt>
                <c:pt idx="1744">
                  <c:v>245.489</c:v>
                </c:pt>
                <c:pt idx="1745">
                  <c:v>245.489</c:v>
                </c:pt>
                <c:pt idx="1746">
                  <c:v>245.489</c:v>
                </c:pt>
                <c:pt idx="1747">
                  <c:v>245.489</c:v>
                </c:pt>
                <c:pt idx="1748">
                  <c:v>245.489</c:v>
                </c:pt>
                <c:pt idx="1749">
                  <c:v>245.489</c:v>
                </c:pt>
                <c:pt idx="1750">
                  <c:v>245.489</c:v>
                </c:pt>
                <c:pt idx="1751">
                  <c:v>245.489</c:v>
                </c:pt>
                <c:pt idx="1752">
                  <c:v>245.33600000000001</c:v>
                </c:pt>
                <c:pt idx="1753">
                  <c:v>245.33600000000001</c:v>
                </c:pt>
                <c:pt idx="1754">
                  <c:v>245.33600000000001</c:v>
                </c:pt>
                <c:pt idx="1755">
                  <c:v>245.14599999999999</c:v>
                </c:pt>
                <c:pt idx="1756">
                  <c:v>245.14599999999999</c:v>
                </c:pt>
                <c:pt idx="1757">
                  <c:v>245.14599999999999</c:v>
                </c:pt>
                <c:pt idx="1758">
                  <c:v>245.14599999999999</c:v>
                </c:pt>
                <c:pt idx="1759">
                  <c:v>245.11199999999999</c:v>
                </c:pt>
                <c:pt idx="1760">
                  <c:v>245.11199999999999</c:v>
                </c:pt>
                <c:pt idx="1761">
                  <c:v>245.11199999999999</c:v>
                </c:pt>
                <c:pt idx="1762">
                  <c:v>245.11199999999999</c:v>
                </c:pt>
                <c:pt idx="1763">
                  <c:v>245.11199999999999</c:v>
                </c:pt>
                <c:pt idx="1764">
                  <c:v>245.07900000000001</c:v>
                </c:pt>
                <c:pt idx="1765">
                  <c:v>245.07900000000001</c:v>
                </c:pt>
                <c:pt idx="1766">
                  <c:v>245.07900000000001</c:v>
                </c:pt>
                <c:pt idx="1767">
                  <c:v>245.07900000000001</c:v>
                </c:pt>
                <c:pt idx="1768">
                  <c:v>245.05799999999999</c:v>
                </c:pt>
                <c:pt idx="1769">
                  <c:v>245.05799999999999</c:v>
                </c:pt>
                <c:pt idx="1770">
                  <c:v>245.05799999999999</c:v>
                </c:pt>
                <c:pt idx="1771">
                  <c:v>245.05799999999999</c:v>
                </c:pt>
                <c:pt idx="1772">
                  <c:v>245.05799999999999</c:v>
                </c:pt>
                <c:pt idx="1773">
                  <c:v>244.87700000000001</c:v>
                </c:pt>
                <c:pt idx="1774">
                  <c:v>244.87700000000001</c:v>
                </c:pt>
                <c:pt idx="1775">
                  <c:v>244.87700000000001</c:v>
                </c:pt>
                <c:pt idx="1776">
                  <c:v>244.87700000000001</c:v>
                </c:pt>
                <c:pt idx="1777">
                  <c:v>244.827</c:v>
                </c:pt>
                <c:pt idx="1778">
                  <c:v>244.827</c:v>
                </c:pt>
                <c:pt idx="1779">
                  <c:v>244.827</c:v>
                </c:pt>
                <c:pt idx="1780">
                  <c:v>244.827</c:v>
                </c:pt>
                <c:pt idx="1781">
                  <c:v>244.827</c:v>
                </c:pt>
                <c:pt idx="1782">
                  <c:v>244.827</c:v>
                </c:pt>
                <c:pt idx="1783">
                  <c:v>244.827</c:v>
                </c:pt>
                <c:pt idx="1784">
                  <c:v>244.827</c:v>
                </c:pt>
                <c:pt idx="1785">
                  <c:v>244.827</c:v>
                </c:pt>
                <c:pt idx="1786">
                  <c:v>244.745</c:v>
                </c:pt>
                <c:pt idx="1787">
                  <c:v>244.745</c:v>
                </c:pt>
                <c:pt idx="1788">
                  <c:v>244.745</c:v>
                </c:pt>
                <c:pt idx="1789">
                  <c:v>244.745</c:v>
                </c:pt>
                <c:pt idx="1790">
                  <c:v>244.745</c:v>
                </c:pt>
                <c:pt idx="1791">
                  <c:v>244.67699999999999</c:v>
                </c:pt>
                <c:pt idx="1792">
                  <c:v>244.67699999999999</c:v>
                </c:pt>
                <c:pt idx="1793">
                  <c:v>244.67699999999999</c:v>
                </c:pt>
                <c:pt idx="1794">
                  <c:v>244.67699999999999</c:v>
                </c:pt>
                <c:pt idx="1795">
                  <c:v>244.643</c:v>
                </c:pt>
                <c:pt idx="1796">
                  <c:v>244.643</c:v>
                </c:pt>
                <c:pt idx="1797">
                  <c:v>244.643</c:v>
                </c:pt>
                <c:pt idx="1798">
                  <c:v>244.643</c:v>
                </c:pt>
                <c:pt idx="1799">
                  <c:v>244.57</c:v>
                </c:pt>
                <c:pt idx="1800">
                  <c:v>244.57</c:v>
                </c:pt>
                <c:pt idx="1801">
                  <c:v>244.57</c:v>
                </c:pt>
                <c:pt idx="1802">
                  <c:v>244.57</c:v>
                </c:pt>
                <c:pt idx="1803">
                  <c:v>244.57</c:v>
                </c:pt>
                <c:pt idx="1804">
                  <c:v>244.57</c:v>
                </c:pt>
                <c:pt idx="1805">
                  <c:v>244.57</c:v>
                </c:pt>
                <c:pt idx="1806">
                  <c:v>244.57</c:v>
                </c:pt>
                <c:pt idx="1807">
                  <c:v>244.404</c:v>
                </c:pt>
                <c:pt idx="1808">
                  <c:v>244.375</c:v>
                </c:pt>
                <c:pt idx="1809">
                  <c:v>244.375</c:v>
                </c:pt>
                <c:pt idx="1810">
                  <c:v>244.375</c:v>
                </c:pt>
                <c:pt idx="1811">
                  <c:v>244.375</c:v>
                </c:pt>
                <c:pt idx="1812">
                  <c:v>244.375</c:v>
                </c:pt>
                <c:pt idx="1813">
                  <c:v>244.346</c:v>
                </c:pt>
                <c:pt idx="1814">
                  <c:v>244.346</c:v>
                </c:pt>
                <c:pt idx="1815">
                  <c:v>244.346</c:v>
                </c:pt>
                <c:pt idx="1816">
                  <c:v>244.346</c:v>
                </c:pt>
                <c:pt idx="1817">
                  <c:v>244.328</c:v>
                </c:pt>
                <c:pt idx="1818">
                  <c:v>244.328</c:v>
                </c:pt>
                <c:pt idx="1819">
                  <c:v>244.328</c:v>
                </c:pt>
                <c:pt idx="1820">
                  <c:v>244.328</c:v>
                </c:pt>
                <c:pt idx="1821">
                  <c:v>244.328</c:v>
                </c:pt>
                <c:pt idx="1822">
                  <c:v>244.20099999999999</c:v>
                </c:pt>
                <c:pt idx="1823">
                  <c:v>244.20099999999999</c:v>
                </c:pt>
                <c:pt idx="1824">
                  <c:v>244.20099999999999</c:v>
                </c:pt>
                <c:pt idx="1825">
                  <c:v>244.20099999999999</c:v>
                </c:pt>
                <c:pt idx="1826">
                  <c:v>244.20099999999999</c:v>
                </c:pt>
                <c:pt idx="1827">
                  <c:v>244.13</c:v>
                </c:pt>
                <c:pt idx="1828">
                  <c:v>244.13</c:v>
                </c:pt>
                <c:pt idx="1829">
                  <c:v>244.13</c:v>
                </c:pt>
                <c:pt idx="1830">
                  <c:v>244.13</c:v>
                </c:pt>
                <c:pt idx="1831">
                  <c:v>244.08600000000001</c:v>
                </c:pt>
                <c:pt idx="1832">
                  <c:v>244.08600000000001</c:v>
                </c:pt>
                <c:pt idx="1833">
                  <c:v>244.08600000000001</c:v>
                </c:pt>
                <c:pt idx="1834">
                  <c:v>244.08600000000001</c:v>
                </c:pt>
                <c:pt idx="1835">
                  <c:v>244.08600000000001</c:v>
                </c:pt>
                <c:pt idx="1836">
                  <c:v>244.08600000000001</c:v>
                </c:pt>
                <c:pt idx="1837">
                  <c:v>244.08600000000001</c:v>
                </c:pt>
                <c:pt idx="1838">
                  <c:v>243.99</c:v>
                </c:pt>
                <c:pt idx="1839">
                  <c:v>243.99</c:v>
                </c:pt>
                <c:pt idx="1840">
                  <c:v>243.99</c:v>
                </c:pt>
                <c:pt idx="1841">
                  <c:v>243.96700000000001</c:v>
                </c:pt>
                <c:pt idx="1842">
                  <c:v>243.96700000000001</c:v>
                </c:pt>
                <c:pt idx="1843">
                  <c:v>243.96700000000001</c:v>
                </c:pt>
                <c:pt idx="1844">
                  <c:v>243.96700000000001</c:v>
                </c:pt>
                <c:pt idx="1845">
                  <c:v>243.953</c:v>
                </c:pt>
                <c:pt idx="1846">
                  <c:v>243.953</c:v>
                </c:pt>
                <c:pt idx="1847">
                  <c:v>243.953</c:v>
                </c:pt>
                <c:pt idx="1848">
                  <c:v>243.953</c:v>
                </c:pt>
                <c:pt idx="1849">
                  <c:v>243.953</c:v>
                </c:pt>
                <c:pt idx="1850">
                  <c:v>243.953</c:v>
                </c:pt>
                <c:pt idx="1851">
                  <c:v>243.953</c:v>
                </c:pt>
                <c:pt idx="1852">
                  <c:v>243.953</c:v>
                </c:pt>
                <c:pt idx="1853">
                  <c:v>243.773</c:v>
                </c:pt>
                <c:pt idx="1854">
                  <c:v>243.773</c:v>
                </c:pt>
                <c:pt idx="1855">
                  <c:v>243.72800000000001</c:v>
                </c:pt>
                <c:pt idx="1856">
                  <c:v>243.72800000000001</c:v>
                </c:pt>
                <c:pt idx="1857">
                  <c:v>243.72800000000001</c:v>
                </c:pt>
                <c:pt idx="1858">
                  <c:v>243.709</c:v>
                </c:pt>
                <c:pt idx="1859">
                  <c:v>243.709</c:v>
                </c:pt>
                <c:pt idx="1860">
                  <c:v>243.709</c:v>
                </c:pt>
                <c:pt idx="1861">
                  <c:v>243.709</c:v>
                </c:pt>
                <c:pt idx="1862">
                  <c:v>243.709</c:v>
                </c:pt>
                <c:pt idx="1863">
                  <c:v>243.709</c:v>
                </c:pt>
                <c:pt idx="1864">
                  <c:v>243.709</c:v>
                </c:pt>
                <c:pt idx="1865">
                  <c:v>243.709</c:v>
                </c:pt>
                <c:pt idx="1866">
                  <c:v>243.62299999999999</c:v>
                </c:pt>
                <c:pt idx="1867">
                  <c:v>243.62299999999999</c:v>
                </c:pt>
                <c:pt idx="1868">
                  <c:v>243.60300000000001</c:v>
                </c:pt>
                <c:pt idx="1869">
                  <c:v>243.60300000000001</c:v>
                </c:pt>
                <c:pt idx="1870">
                  <c:v>243.60300000000001</c:v>
                </c:pt>
                <c:pt idx="1871">
                  <c:v>243.60300000000001</c:v>
                </c:pt>
                <c:pt idx="1872">
                  <c:v>243.59</c:v>
                </c:pt>
                <c:pt idx="1873">
                  <c:v>243.59</c:v>
                </c:pt>
                <c:pt idx="1874">
                  <c:v>243.59</c:v>
                </c:pt>
                <c:pt idx="1875">
                  <c:v>243.59</c:v>
                </c:pt>
                <c:pt idx="1876">
                  <c:v>243.59</c:v>
                </c:pt>
                <c:pt idx="1877">
                  <c:v>243.59</c:v>
                </c:pt>
                <c:pt idx="1878">
                  <c:v>243.59</c:v>
                </c:pt>
                <c:pt idx="1879">
                  <c:v>243.39099999999999</c:v>
                </c:pt>
                <c:pt idx="1880">
                  <c:v>243.39099999999999</c:v>
                </c:pt>
                <c:pt idx="1881">
                  <c:v>243.39099999999999</c:v>
                </c:pt>
                <c:pt idx="1882">
                  <c:v>243.39099999999999</c:v>
                </c:pt>
                <c:pt idx="1883">
                  <c:v>243.345</c:v>
                </c:pt>
                <c:pt idx="1884">
                  <c:v>243.345</c:v>
                </c:pt>
                <c:pt idx="1885">
                  <c:v>243.345</c:v>
                </c:pt>
                <c:pt idx="1886">
                  <c:v>243.345</c:v>
                </c:pt>
                <c:pt idx="1887">
                  <c:v>243.31399999999999</c:v>
                </c:pt>
                <c:pt idx="1888">
                  <c:v>243.31399999999999</c:v>
                </c:pt>
                <c:pt idx="1889">
                  <c:v>243.31399999999999</c:v>
                </c:pt>
                <c:pt idx="1890">
                  <c:v>243.31399999999999</c:v>
                </c:pt>
                <c:pt idx="1891">
                  <c:v>243.31399999999999</c:v>
                </c:pt>
                <c:pt idx="1892">
                  <c:v>243.25899999999999</c:v>
                </c:pt>
                <c:pt idx="1893">
                  <c:v>243.25899999999999</c:v>
                </c:pt>
                <c:pt idx="1894">
                  <c:v>243.244</c:v>
                </c:pt>
                <c:pt idx="1895">
                  <c:v>243.244</c:v>
                </c:pt>
                <c:pt idx="1896">
                  <c:v>243.244</c:v>
                </c:pt>
                <c:pt idx="1897">
                  <c:v>243.244</c:v>
                </c:pt>
                <c:pt idx="1898">
                  <c:v>243.233</c:v>
                </c:pt>
                <c:pt idx="1899">
                  <c:v>243.233</c:v>
                </c:pt>
                <c:pt idx="1900">
                  <c:v>243.233</c:v>
                </c:pt>
                <c:pt idx="1901">
                  <c:v>243.233</c:v>
                </c:pt>
                <c:pt idx="1902">
                  <c:v>243.233</c:v>
                </c:pt>
                <c:pt idx="1903">
                  <c:v>243.233</c:v>
                </c:pt>
                <c:pt idx="1904">
                  <c:v>243.233</c:v>
                </c:pt>
                <c:pt idx="1905">
                  <c:v>243.05799999999999</c:v>
                </c:pt>
                <c:pt idx="1906">
                  <c:v>243.05799999999999</c:v>
                </c:pt>
                <c:pt idx="1907">
                  <c:v>243.05799999999999</c:v>
                </c:pt>
                <c:pt idx="1908">
                  <c:v>243.05799999999999</c:v>
                </c:pt>
                <c:pt idx="1909">
                  <c:v>243.05799999999999</c:v>
                </c:pt>
                <c:pt idx="1910">
                  <c:v>243.005</c:v>
                </c:pt>
                <c:pt idx="1911">
                  <c:v>243.005</c:v>
                </c:pt>
                <c:pt idx="1912">
                  <c:v>243.005</c:v>
                </c:pt>
                <c:pt idx="1913">
                  <c:v>243.005</c:v>
                </c:pt>
                <c:pt idx="1914">
                  <c:v>242.97200000000001</c:v>
                </c:pt>
                <c:pt idx="1915">
                  <c:v>242.97200000000001</c:v>
                </c:pt>
                <c:pt idx="1916">
                  <c:v>242.97200000000001</c:v>
                </c:pt>
                <c:pt idx="1917">
                  <c:v>242.917</c:v>
                </c:pt>
                <c:pt idx="1918">
                  <c:v>242.917</c:v>
                </c:pt>
                <c:pt idx="1919">
                  <c:v>242.917</c:v>
                </c:pt>
                <c:pt idx="1920">
                  <c:v>242.917</c:v>
                </c:pt>
                <c:pt idx="1921">
                  <c:v>242.899</c:v>
                </c:pt>
                <c:pt idx="1922">
                  <c:v>242.899</c:v>
                </c:pt>
                <c:pt idx="1923">
                  <c:v>242.899</c:v>
                </c:pt>
                <c:pt idx="1924">
                  <c:v>242.899</c:v>
                </c:pt>
                <c:pt idx="1925">
                  <c:v>242.899</c:v>
                </c:pt>
                <c:pt idx="1926">
                  <c:v>242.899</c:v>
                </c:pt>
                <c:pt idx="1927">
                  <c:v>242.899</c:v>
                </c:pt>
                <c:pt idx="1928">
                  <c:v>242.899</c:v>
                </c:pt>
                <c:pt idx="1929">
                  <c:v>242.899</c:v>
                </c:pt>
                <c:pt idx="1930">
                  <c:v>242.82</c:v>
                </c:pt>
                <c:pt idx="1931">
                  <c:v>242.82</c:v>
                </c:pt>
                <c:pt idx="1932">
                  <c:v>242.82</c:v>
                </c:pt>
                <c:pt idx="1933">
                  <c:v>242.74100000000001</c:v>
                </c:pt>
                <c:pt idx="1934">
                  <c:v>242.74100000000001</c:v>
                </c:pt>
                <c:pt idx="1935">
                  <c:v>242.74100000000001</c:v>
                </c:pt>
                <c:pt idx="1936">
                  <c:v>242.74100000000001</c:v>
                </c:pt>
                <c:pt idx="1937">
                  <c:v>242.691</c:v>
                </c:pt>
                <c:pt idx="1938">
                  <c:v>242.691</c:v>
                </c:pt>
                <c:pt idx="1939">
                  <c:v>242.691</c:v>
                </c:pt>
                <c:pt idx="1940">
                  <c:v>242.691</c:v>
                </c:pt>
                <c:pt idx="1941">
                  <c:v>242.60900000000001</c:v>
                </c:pt>
                <c:pt idx="1942">
                  <c:v>242.60900000000001</c:v>
                </c:pt>
                <c:pt idx="1943">
                  <c:v>242.60900000000001</c:v>
                </c:pt>
                <c:pt idx="1944">
                  <c:v>242.583</c:v>
                </c:pt>
                <c:pt idx="1945">
                  <c:v>242.583</c:v>
                </c:pt>
                <c:pt idx="1946">
                  <c:v>242.583</c:v>
                </c:pt>
                <c:pt idx="1947">
                  <c:v>242.583</c:v>
                </c:pt>
                <c:pt idx="1948">
                  <c:v>242.583</c:v>
                </c:pt>
                <c:pt idx="1949">
                  <c:v>242.583</c:v>
                </c:pt>
                <c:pt idx="1950">
                  <c:v>242.583</c:v>
                </c:pt>
                <c:pt idx="1951">
                  <c:v>242.583</c:v>
                </c:pt>
                <c:pt idx="1952">
                  <c:v>242.583</c:v>
                </c:pt>
                <c:pt idx="1953">
                  <c:v>242.52799999999999</c:v>
                </c:pt>
                <c:pt idx="1954">
                  <c:v>242.52799999999999</c:v>
                </c:pt>
                <c:pt idx="1955">
                  <c:v>242.52799999999999</c:v>
                </c:pt>
                <c:pt idx="1956">
                  <c:v>242.51499999999999</c:v>
                </c:pt>
                <c:pt idx="1957">
                  <c:v>242.51499999999999</c:v>
                </c:pt>
                <c:pt idx="1958">
                  <c:v>242.51499999999999</c:v>
                </c:pt>
                <c:pt idx="1959">
                  <c:v>242.51499999999999</c:v>
                </c:pt>
                <c:pt idx="1960">
                  <c:v>242.45699999999999</c:v>
                </c:pt>
                <c:pt idx="1961">
                  <c:v>242.45699999999999</c:v>
                </c:pt>
                <c:pt idx="1962">
                  <c:v>242.45699999999999</c:v>
                </c:pt>
                <c:pt idx="1963">
                  <c:v>242.45699999999999</c:v>
                </c:pt>
                <c:pt idx="1964">
                  <c:v>242.33199999999999</c:v>
                </c:pt>
                <c:pt idx="1965">
                  <c:v>242.33199999999999</c:v>
                </c:pt>
                <c:pt idx="1966">
                  <c:v>242.33199999999999</c:v>
                </c:pt>
                <c:pt idx="1967">
                  <c:v>242.292</c:v>
                </c:pt>
                <c:pt idx="1968">
                  <c:v>242.292</c:v>
                </c:pt>
                <c:pt idx="1969">
                  <c:v>242.292</c:v>
                </c:pt>
                <c:pt idx="1970">
                  <c:v>242.292</c:v>
                </c:pt>
                <c:pt idx="1971">
                  <c:v>242.292</c:v>
                </c:pt>
                <c:pt idx="1972">
                  <c:v>242.292</c:v>
                </c:pt>
                <c:pt idx="1973">
                  <c:v>242.292</c:v>
                </c:pt>
                <c:pt idx="1974">
                  <c:v>242.292</c:v>
                </c:pt>
                <c:pt idx="1975">
                  <c:v>242.221</c:v>
                </c:pt>
                <c:pt idx="1976">
                  <c:v>242.221</c:v>
                </c:pt>
                <c:pt idx="1977">
                  <c:v>242.221</c:v>
                </c:pt>
                <c:pt idx="1978">
                  <c:v>242.221</c:v>
                </c:pt>
                <c:pt idx="1979">
                  <c:v>242.221</c:v>
                </c:pt>
                <c:pt idx="1980">
                  <c:v>242.19800000000001</c:v>
                </c:pt>
                <c:pt idx="1981">
                  <c:v>242.19800000000001</c:v>
                </c:pt>
                <c:pt idx="1982">
                  <c:v>242.19800000000001</c:v>
                </c:pt>
                <c:pt idx="1983">
                  <c:v>242.19800000000001</c:v>
                </c:pt>
                <c:pt idx="1984">
                  <c:v>242.18100000000001</c:v>
                </c:pt>
                <c:pt idx="1985">
                  <c:v>242.18100000000001</c:v>
                </c:pt>
                <c:pt idx="1986">
                  <c:v>242.17099999999999</c:v>
                </c:pt>
                <c:pt idx="1987">
                  <c:v>242.15899999999999</c:v>
                </c:pt>
                <c:pt idx="1988">
                  <c:v>242.15899999999999</c:v>
                </c:pt>
                <c:pt idx="1989">
                  <c:v>242.15899999999999</c:v>
                </c:pt>
                <c:pt idx="1990">
                  <c:v>242.15899999999999</c:v>
                </c:pt>
                <c:pt idx="1991">
                  <c:v>242.15100000000001</c:v>
                </c:pt>
                <c:pt idx="1992">
                  <c:v>242.15100000000001</c:v>
                </c:pt>
                <c:pt idx="1993">
                  <c:v>242.15100000000001</c:v>
                </c:pt>
                <c:pt idx="1994">
                  <c:v>242.15100000000001</c:v>
                </c:pt>
                <c:pt idx="1995">
                  <c:v>242.15100000000001</c:v>
                </c:pt>
                <c:pt idx="1996">
                  <c:v>242.15100000000001</c:v>
                </c:pt>
                <c:pt idx="1997">
                  <c:v>242.08199999999999</c:v>
                </c:pt>
                <c:pt idx="1998">
                  <c:v>242.023</c:v>
                </c:pt>
                <c:pt idx="1999">
                  <c:v>242.023</c:v>
                </c:pt>
                <c:pt idx="2000">
                  <c:v>242.023</c:v>
                </c:pt>
                <c:pt idx="2001">
                  <c:v>242.023</c:v>
                </c:pt>
                <c:pt idx="2002">
                  <c:v>242.023</c:v>
                </c:pt>
                <c:pt idx="2003">
                  <c:v>242.023</c:v>
                </c:pt>
                <c:pt idx="2004">
                  <c:v>242.023</c:v>
                </c:pt>
                <c:pt idx="2005">
                  <c:v>242.023</c:v>
                </c:pt>
                <c:pt idx="2006">
                  <c:v>242.023</c:v>
                </c:pt>
                <c:pt idx="2007">
                  <c:v>241.898</c:v>
                </c:pt>
                <c:pt idx="2008">
                  <c:v>241.898</c:v>
                </c:pt>
                <c:pt idx="2009">
                  <c:v>241.898</c:v>
                </c:pt>
                <c:pt idx="2010">
                  <c:v>241.869</c:v>
                </c:pt>
                <c:pt idx="2011">
                  <c:v>241.869</c:v>
                </c:pt>
                <c:pt idx="2012">
                  <c:v>241.869</c:v>
                </c:pt>
                <c:pt idx="2013">
                  <c:v>241.869</c:v>
                </c:pt>
                <c:pt idx="2014">
                  <c:v>241.85</c:v>
                </c:pt>
                <c:pt idx="2015">
                  <c:v>241.85</c:v>
                </c:pt>
                <c:pt idx="2016">
                  <c:v>241.85</c:v>
                </c:pt>
                <c:pt idx="2017">
                  <c:v>241.81899999999999</c:v>
                </c:pt>
                <c:pt idx="2018">
                  <c:v>241.81899999999999</c:v>
                </c:pt>
                <c:pt idx="2019">
                  <c:v>241.81899999999999</c:v>
                </c:pt>
                <c:pt idx="2020">
                  <c:v>241.81899999999999</c:v>
                </c:pt>
                <c:pt idx="2021">
                  <c:v>241.809</c:v>
                </c:pt>
                <c:pt idx="2022">
                  <c:v>241.809</c:v>
                </c:pt>
                <c:pt idx="2023">
                  <c:v>241.809</c:v>
                </c:pt>
                <c:pt idx="2024">
                  <c:v>241.809</c:v>
                </c:pt>
                <c:pt idx="2025">
                  <c:v>241.809</c:v>
                </c:pt>
                <c:pt idx="2026">
                  <c:v>241.809</c:v>
                </c:pt>
                <c:pt idx="2027">
                  <c:v>241.79400000000001</c:v>
                </c:pt>
                <c:pt idx="2028">
                  <c:v>241.78800000000001</c:v>
                </c:pt>
                <c:pt idx="2029">
                  <c:v>241.78800000000001</c:v>
                </c:pt>
                <c:pt idx="2030">
                  <c:v>241.78800000000001</c:v>
                </c:pt>
                <c:pt idx="2031">
                  <c:v>241.78800000000001</c:v>
                </c:pt>
                <c:pt idx="2032">
                  <c:v>241.78800000000001</c:v>
                </c:pt>
                <c:pt idx="2033">
                  <c:v>241.78800000000001</c:v>
                </c:pt>
                <c:pt idx="2034">
                  <c:v>241.78800000000001</c:v>
                </c:pt>
                <c:pt idx="2035">
                  <c:v>241.78800000000001</c:v>
                </c:pt>
                <c:pt idx="2036">
                  <c:v>241.78800000000001</c:v>
                </c:pt>
                <c:pt idx="2037">
                  <c:v>241.77799999999999</c:v>
                </c:pt>
                <c:pt idx="2038">
                  <c:v>241.77799999999999</c:v>
                </c:pt>
                <c:pt idx="2039">
                  <c:v>241.77799999999999</c:v>
                </c:pt>
                <c:pt idx="2040">
                  <c:v>241.703</c:v>
                </c:pt>
                <c:pt idx="2041">
                  <c:v>241.703</c:v>
                </c:pt>
                <c:pt idx="2042">
                  <c:v>241.703</c:v>
                </c:pt>
                <c:pt idx="2043">
                  <c:v>241.703</c:v>
                </c:pt>
                <c:pt idx="2044">
                  <c:v>241.65</c:v>
                </c:pt>
                <c:pt idx="2045">
                  <c:v>241.65</c:v>
                </c:pt>
                <c:pt idx="2046">
                  <c:v>241.607</c:v>
                </c:pt>
                <c:pt idx="2047">
                  <c:v>241.56399999999999</c:v>
                </c:pt>
                <c:pt idx="2048">
                  <c:v>241.56399999999999</c:v>
                </c:pt>
                <c:pt idx="2049">
                  <c:v>241.56399999999999</c:v>
                </c:pt>
                <c:pt idx="2050">
                  <c:v>241.56399999999999</c:v>
                </c:pt>
                <c:pt idx="2051">
                  <c:v>241.53299999999999</c:v>
                </c:pt>
                <c:pt idx="2052">
                  <c:v>241.53299999999999</c:v>
                </c:pt>
                <c:pt idx="2053">
                  <c:v>241.53299999999999</c:v>
                </c:pt>
                <c:pt idx="2054">
                  <c:v>241.53299999999999</c:v>
                </c:pt>
                <c:pt idx="2055">
                  <c:v>241.49199999999999</c:v>
                </c:pt>
                <c:pt idx="2056">
                  <c:v>241.49199999999999</c:v>
                </c:pt>
                <c:pt idx="2057">
                  <c:v>241.49199999999999</c:v>
                </c:pt>
                <c:pt idx="2058">
                  <c:v>241.47800000000001</c:v>
                </c:pt>
                <c:pt idx="2059">
                  <c:v>241.47800000000001</c:v>
                </c:pt>
                <c:pt idx="2060">
                  <c:v>241.47800000000001</c:v>
                </c:pt>
                <c:pt idx="2061">
                  <c:v>241.47800000000001</c:v>
                </c:pt>
                <c:pt idx="2062">
                  <c:v>241.47800000000001</c:v>
                </c:pt>
                <c:pt idx="2063">
                  <c:v>241.47800000000001</c:v>
                </c:pt>
                <c:pt idx="2064">
                  <c:v>241.47800000000001</c:v>
                </c:pt>
                <c:pt idx="2065">
                  <c:v>241.45500000000001</c:v>
                </c:pt>
                <c:pt idx="2066">
                  <c:v>241.44800000000001</c:v>
                </c:pt>
                <c:pt idx="2067">
                  <c:v>241.44800000000001</c:v>
                </c:pt>
                <c:pt idx="2068">
                  <c:v>241.44800000000001</c:v>
                </c:pt>
                <c:pt idx="2069">
                  <c:v>241.44800000000001</c:v>
                </c:pt>
                <c:pt idx="2070">
                  <c:v>241.44800000000001</c:v>
                </c:pt>
                <c:pt idx="2071">
                  <c:v>241.44800000000001</c:v>
                </c:pt>
                <c:pt idx="2072">
                  <c:v>241.44800000000001</c:v>
                </c:pt>
                <c:pt idx="2073">
                  <c:v>241.44800000000001</c:v>
                </c:pt>
                <c:pt idx="2074">
                  <c:v>241.44800000000001</c:v>
                </c:pt>
                <c:pt idx="2075">
                  <c:v>241.43299999999999</c:v>
                </c:pt>
                <c:pt idx="2076">
                  <c:v>241.43299999999999</c:v>
                </c:pt>
                <c:pt idx="2077">
                  <c:v>241.43299999999999</c:v>
                </c:pt>
                <c:pt idx="2078">
                  <c:v>241.429</c:v>
                </c:pt>
                <c:pt idx="2079">
                  <c:v>241.429</c:v>
                </c:pt>
                <c:pt idx="2080">
                  <c:v>241.429</c:v>
                </c:pt>
                <c:pt idx="2081">
                  <c:v>241.429</c:v>
                </c:pt>
                <c:pt idx="2082">
                  <c:v>241.42699999999999</c:v>
                </c:pt>
                <c:pt idx="2083">
                  <c:v>241.42699999999999</c:v>
                </c:pt>
                <c:pt idx="2084">
                  <c:v>241.399</c:v>
                </c:pt>
                <c:pt idx="2085">
                  <c:v>241.399</c:v>
                </c:pt>
                <c:pt idx="2086">
                  <c:v>241.32400000000001</c:v>
                </c:pt>
                <c:pt idx="2087">
                  <c:v>241.32400000000001</c:v>
                </c:pt>
                <c:pt idx="2088">
                  <c:v>241.32400000000001</c:v>
                </c:pt>
                <c:pt idx="2089">
                  <c:v>241.298</c:v>
                </c:pt>
                <c:pt idx="2090">
                  <c:v>241.298</c:v>
                </c:pt>
                <c:pt idx="2091">
                  <c:v>241.298</c:v>
                </c:pt>
                <c:pt idx="2092">
                  <c:v>241.256</c:v>
                </c:pt>
                <c:pt idx="2093">
                  <c:v>241.21</c:v>
                </c:pt>
                <c:pt idx="2094">
                  <c:v>241.21</c:v>
                </c:pt>
                <c:pt idx="2095">
                  <c:v>241.21</c:v>
                </c:pt>
                <c:pt idx="2096">
                  <c:v>241.21</c:v>
                </c:pt>
                <c:pt idx="2097">
                  <c:v>241.18700000000001</c:v>
                </c:pt>
                <c:pt idx="2098">
                  <c:v>241.18700000000001</c:v>
                </c:pt>
                <c:pt idx="2099">
                  <c:v>241.18700000000001</c:v>
                </c:pt>
                <c:pt idx="2100">
                  <c:v>241.18700000000001</c:v>
                </c:pt>
                <c:pt idx="2101">
                  <c:v>241.18700000000001</c:v>
                </c:pt>
                <c:pt idx="2102">
                  <c:v>241.142</c:v>
                </c:pt>
                <c:pt idx="2103">
                  <c:v>241.142</c:v>
                </c:pt>
                <c:pt idx="2104">
                  <c:v>241.142</c:v>
                </c:pt>
                <c:pt idx="2105">
                  <c:v>241.12899999999999</c:v>
                </c:pt>
                <c:pt idx="2106">
                  <c:v>241.12899999999999</c:v>
                </c:pt>
                <c:pt idx="2107">
                  <c:v>241.12899999999999</c:v>
                </c:pt>
                <c:pt idx="2108">
                  <c:v>241.12899999999999</c:v>
                </c:pt>
                <c:pt idx="2109">
                  <c:v>241.12899999999999</c:v>
                </c:pt>
                <c:pt idx="2110">
                  <c:v>241.12899999999999</c:v>
                </c:pt>
                <c:pt idx="2111">
                  <c:v>241.12899999999999</c:v>
                </c:pt>
                <c:pt idx="2112">
                  <c:v>241.10599999999999</c:v>
                </c:pt>
                <c:pt idx="2113">
                  <c:v>241.10599999999999</c:v>
                </c:pt>
                <c:pt idx="2114">
                  <c:v>241.09700000000001</c:v>
                </c:pt>
                <c:pt idx="2115">
                  <c:v>241.09700000000001</c:v>
                </c:pt>
                <c:pt idx="2116">
                  <c:v>241.09700000000001</c:v>
                </c:pt>
                <c:pt idx="2117">
                  <c:v>241.09700000000001</c:v>
                </c:pt>
                <c:pt idx="2118">
                  <c:v>241.09100000000001</c:v>
                </c:pt>
                <c:pt idx="2119">
                  <c:v>241.09100000000001</c:v>
                </c:pt>
                <c:pt idx="2120">
                  <c:v>241.09100000000001</c:v>
                </c:pt>
                <c:pt idx="2121">
                  <c:v>241.08699999999999</c:v>
                </c:pt>
                <c:pt idx="2122">
                  <c:v>241.083</c:v>
                </c:pt>
                <c:pt idx="2123">
                  <c:v>241.083</c:v>
                </c:pt>
                <c:pt idx="2124">
                  <c:v>241.083</c:v>
                </c:pt>
                <c:pt idx="2125">
                  <c:v>241.083</c:v>
                </c:pt>
                <c:pt idx="2126">
                  <c:v>241.08</c:v>
                </c:pt>
                <c:pt idx="2127">
                  <c:v>241.08</c:v>
                </c:pt>
                <c:pt idx="2128">
                  <c:v>241.08</c:v>
                </c:pt>
                <c:pt idx="2129">
                  <c:v>241.08</c:v>
                </c:pt>
                <c:pt idx="2130">
                  <c:v>241.08</c:v>
                </c:pt>
                <c:pt idx="2131">
                  <c:v>241.042</c:v>
                </c:pt>
                <c:pt idx="2132">
                  <c:v>241.042</c:v>
                </c:pt>
                <c:pt idx="2133">
                  <c:v>241.042</c:v>
                </c:pt>
                <c:pt idx="2134">
                  <c:v>241.042</c:v>
                </c:pt>
                <c:pt idx="2135">
                  <c:v>240.96899999999999</c:v>
                </c:pt>
                <c:pt idx="2136">
                  <c:v>240.96899999999999</c:v>
                </c:pt>
                <c:pt idx="2137">
                  <c:v>240.96899999999999</c:v>
                </c:pt>
                <c:pt idx="2138">
                  <c:v>240.96899999999999</c:v>
                </c:pt>
                <c:pt idx="2139">
                  <c:v>240.922</c:v>
                </c:pt>
                <c:pt idx="2140">
                  <c:v>240.922</c:v>
                </c:pt>
                <c:pt idx="2141">
                  <c:v>240.876</c:v>
                </c:pt>
                <c:pt idx="2142">
                  <c:v>240.876</c:v>
                </c:pt>
                <c:pt idx="2143">
                  <c:v>240.876</c:v>
                </c:pt>
                <c:pt idx="2144">
                  <c:v>240.84700000000001</c:v>
                </c:pt>
                <c:pt idx="2145">
                  <c:v>240.84700000000001</c:v>
                </c:pt>
                <c:pt idx="2146">
                  <c:v>240.84700000000001</c:v>
                </c:pt>
                <c:pt idx="2147">
                  <c:v>240.84700000000001</c:v>
                </c:pt>
                <c:pt idx="2148">
                  <c:v>240.84700000000001</c:v>
                </c:pt>
                <c:pt idx="2149">
                  <c:v>240.84700000000001</c:v>
                </c:pt>
                <c:pt idx="2150">
                  <c:v>240.84700000000001</c:v>
                </c:pt>
                <c:pt idx="2151">
                  <c:v>240.8</c:v>
                </c:pt>
                <c:pt idx="2152">
                  <c:v>240.785</c:v>
                </c:pt>
                <c:pt idx="2153">
                  <c:v>240.785</c:v>
                </c:pt>
                <c:pt idx="2154">
                  <c:v>240.785</c:v>
                </c:pt>
                <c:pt idx="2155">
                  <c:v>240.785</c:v>
                </c:pt>
                <c:pt idx="2156">
                  <c:v>240.785</c:v>
                </c:pt>
                <c:pt idx="2157">
                  <c:v>240.785</c:v>
                </c:pt>
                <c:pt idx="2158">
                  <c:v>240.785</c:v>
                </c:pt>
                <c:pt idx="2159">
                  <c:v>240.785</c:v>
                </c:pt>
                <c:pt idx="2160">
                  <c:v>240.785</c:v>
                </c:pt>
                <c:pt idx="2161">
                  <c:v>240.75299999999999</c:v>
                </c:pt>
                <c:pt idx="2162">
                  <c:v>240.75299999999999</c:v>
                </c:pt>
                <c:pt idx="2163">
                  <c:v>240.75299999999999</c:v>
                </c:pt>
                <c:pt idx="2164">
                  <c:v>240.75299999999999</c:v>
                </c:pt>
                <c:pt idx="2165">
                  <c:v>240.745</c:v>
                </c:pt>
                <c:pt idx="2166">
                  <c:v>240.745</c:v>
                </c:pt>
                <c:pt idx="2167">
                  <c:v>240.745</c:v>
                </c:pt>
                <c:pt idx="2168">
                  <c:v>240.745</c:v>
                </c:pt>
                <c:pt idx="2169">
                  <c:v>240.74</c:v>
                </c:pt>
                <c:pt idx="2170">
                  <c:v>240.73599999999999</c:v>
                </c:pt>
                <c:pt idx="2171">
                  <c:v>240.73599999999999</c:v>
                </c:pt>
                <c:pt idx="2172">
                  <c:v>240.73599999999999</c:v>
                </c:pt>
                <c:pt idx="2173">
                  <c:v>240.733</c:v>
                </c:pt>
                <c:pt idx="2174">
                  <c:v>240.733</c:v>
                </c:pt>
                <c:pt idx="2175">
                  <c:v>240.733</c:v>
                </c:pt>
                <c:pt idx="2176">
                  <c:v>240.733</c:v>
                </c:pt>
                <c:pt idx="2177">
                  <c:v>240.73</c:v>
                </c:pt>
                <c:pt idx="2178">
                  <c:v>240.73</c:v>
                </c:pt>
                <c:pt idx="2179">
                  <c:v>240.72800000000001</c:v>
                </c:pt>
                <c:pt idx="2180">
                  <c:v>240.72800000000001</c:v>
                </c:pt>
                <c:pt idx="2181">
                  <c:v>240.726</c:v>
                </c:pt>
                <c:pt idx="2182">
                  <c:v>240.726</c:v>
                </c:pt>
                <c:pt idx="2183">
                  <c:v>240.726</c:v>
                </c:pt>
                <c:pt idx="2184">
                  <c:v>240.726</c:v>
                </c:pt>
                <c:pt idx="2185">
                  <c:v>240.66800000000001</c:v>
                </c:pt>
                <c:pt idx="2186">
                  <c:v>240.66800000000001</c:v>
                </c:pt>
                <c:pt idx="2187">
                  <c:v>240.66800000000001</c:v>
                </c:pt>
                <c:pt idx="2188">
                  <c:v>240.613</c:v>
                </c:pt>
                <c:pt idx="2189">
                  <c:v>240.613</c:v>
                </c:pt>
                <c:pt idx="2190">
                  <c:v>240.55799999999999</c:v>
                </c:pt>
                <c:pt idx="2191">
                  <c:v>240.55799999999999</c:v>
                </c:pt>
                <c:pt idx="2192">
                  <c:v>240.55799999999999</c:v>
                </c:pt>
                <c:pt idx="2193">
                  <c:v>240.55799999999999</c:v>
                </c:pt>
                <c:pt idx="2194">
                  <c:v>240.524</c:v>
                </c:pt>
                <c:pt idx="2195">
                  <c:v>240.524</c:v>
                </c:pt>
                <c:pt idx="2196">
                  <c:v>240.524</c:v>
                </c:pt>
                <c:pt idx="2197">
                  <c:v>240.49600000000001</c:v>
                </c:pt>
                <c:pt idx="2198">
                  <c:v>240.46799999999999</c:v>
                </c:pt>
                <c:pt idx="2199">
                  <c:v>240.46799999999999</c:v>
                </c:pt>
                <c:pt idx="2200">
                  <c:v>240.46799999999999</c:v>
                </c:pt>
                <c:pt idx="2201">
                  <c:v>240.46799999999999</c:v>
                </c:pt>
                <c:pt idx="2202">
                  <c:v>240.45</c:v>
                </c:pt>
                <c:pt idx="2203">
                  <c:v>240.45</c:v>
                </c:pt>
                <c:pt idx="2204">
                  <c:v>240.45</c:v>
                </c:pt>
                <c:pt idx="2205">
                  <c:v>240.43600000000001</c:v>
                </c:pt>
                <c:pt idx="2206">
                  <c:v>240.42699999999999</c:v>
                </c:pt>
                <c:pt idx="2207">
                  <c:v>240.42699999999999</c:v>
                </c:pt>
                <c:pt idx="2208">
                  <c:v>240.42699999999999</c:v>
                </c:pt>
                <c:pt idx="2209">
                  <c:v>240.42699999999999</c:v>
                </c:pt>
                <c:pt idx="2210">
                  <c:v>240.417</c:v>
                </c:pt>
                <c:pt idx="2211">
                  <c:v>240.417</c:v>
                </c:pt>
                <c:pt idx="2212">
                  <c:v>240.417</c:v>
                </c:pt>
                <c:pt idx="2213">
                  <c:v>240.40799999999999</c:v>
                </c:pt>
                <c:pt idx="2214">
                  <c:v>240.4</c:v>
                </c:pt>
                <c:pt idx="2215">
                  <c:v>240.4</c:v>
                </c:pt>
                <c:pt idx="2216">
                  <c:v>240.4</c:v>
                </c:pt>
                <c:pt idx="2217">
                  <c:v>240.4</c:v>
                </c:pt>
                <c:pt idx="2218">
                  <c:v>240.39500000000001</c:v>
                </c:pt>
                <c:pt idx="2219">
                  <c:v>240.39500000000001</c:v>
                </c:pt>
                <c:pt idx="2220">
                  <c:v>240.39500000000001</c:v>
                </c:pt>
                <c:pt idx="2221">
                  <c:v>240.39</c:v>
                </c:pt>
                <c:pt idx="2222">
                  <c:v>240.386</c:v>
                </c:pt>
                <c:pt idx="2223">
                  <c:v>240.386</c:v>
                </c:pt>
                <c:pt idx="2224">
                  <c:v>240.386</c:v>
                </c:pt>
                <c:pt idx="2225">
                  <c:v>240.386</c:v>
                </c:pt>
                <c:pt idx="2226">
                  <c:v>240.38399999999999</c:v>
                </c:pt>
                <c:pt idx="2227">
                  <c:v>240.38399999999999</c:v>
                </c:pt>
                <c:pt idx="2228">
                  <c:v>240.38399999999999</c:v>
                </c:pt>
                <c:pt idx="2229">
                  <c:v>240.38399999999999</c:v>
                </c:pt>
                <c:pt idx="2230">
                  <c:v>240.38399999999999</c:v>
                </c:pt>
                <c:pt idx="2231">
                  <c:v>240.38</c:v>
                </c:pt>
                <c:pt idx="2232">
                  <c:v>240.38</c:v>
                </c:pt>
                <c:pt idx="2233">
                  <c:v>240.38</c:v>
                </c:pt>
                <c:pt idx="2234">
                  <c:v>240.38</c:v>
                </c:pt>
                <c:pt idx="2235">
                  <c:v>240.37799999999999</c:v>
                </c:pt>
                <c:pt idx="2236">
                  <c:v>240.37799999999999</c:v>
                </c:pt>
                <c:pt idx="2237">
                  <c:v>240.37799999999999</c:v>
                </c:pt>
                <c:pt idx="2238">
                  <c:v>240.37799999999999</c:v>
                </c:pt>
                <c:pt idx="2239">
                  <c:v>240.37799999999999</c:v>
                </c:pt>
                <c:pt idx="2240">
                  <c:v>240.38499999999999</c:v>
                </c:pt>
                <c:pt idx="2241">
                  <c:v>240.38499999999999</c:v>
                </c:pt>
                <c:pt idx="2242">
                  <c:v>240.38499999999999</c:v>
                </c:pt>
                <c:pt idx="2243">
                  <c:v>240.447</c:v>
                </c:pt>
                <c:pt idx="2244">
                  <c:v>240.447</c:v>
                </c:pt>
                <c:pt idx="2245">
                  <c:v>240.447</c:v>
                </c:pt>
                <c:pt idx="2246">
                  <c:v>240.447</c:v>
                </c:pt>
                <c:pt idx="2247">
                  <c:v>240.447</c:v>
                </c:pt>
                <c:pt idx="2248">
                  <c:v>240.447</c:v>
                </c:pt>
                <c:pt idx="2249">
                  <c:v>240.547</c:v>
                </c:pt>
                <c:pt idx="2250">
                  <c:v>240.547</c:v>
                </c:pt>
                <c:pt idx="2251">
                  <c:v>240.57900000000001</c:v>
                </c:pt>
                <c:pt idx="2252">
                  <c:v>240.57900000000001</c:v>
                </c:pt>
                <c:pt idx="2253">
                  <c:v>240.57900000000001</c:v>
                </c:pt>
                <c:pt idx="2254">
                  <c:v>240.57900000000001</c:v>
                </c:pt>
                <c:pt idx="2255">
                  <c:v>240.57900000000001</c:v>
                </c:pt>
                <c:pt idx="2256">
                  <c:v>240.57900000000001</c:v>
                </c:pt>
                <c:pt idx="2257">
                  <c:v>240.57900000000001</c:v>
                </c:pt>
                <c:pt idx="2258">
                  <c:v>240.57900000000001</c:v>
                </c:pt>
                <c:pt idx="2259">
                  <c:v>240.64699999999999</c:v>
                </c:pt>
                <c:pt idx="2260">
                  <c:v>240.64699999999999</c:v>
                </c:pt>
                <c:pt idx="2261">
                  <c:v>240.64699999999999</c:v>
                </c:pt>
                <c:pt idx="2262">
                  <c:v>240.64699999999999</c:v>
                </c:pt>
                <c:pt idx="2263">
                  <c:v>240.64699999999999</c:v>
                </c:pt>
                <c:pt idx="2264">
                  <c:v>240.64699999999999</c:v>
                </c:pt>
                <c:pt idx="2265">
                  <c:v>240.64699999999999</c:v>
                </c:pt>
                <c:pt idx="2266">
                  <c:v>240.64699999999999</c:v>
                </c:pt>
                <c:pt idx="2267">
                  <c:v>240.64699999999999</c:v>
                </c:pt>
                <c:pt idx="2268">
                  <c:v>240.68199999999999</c:v>
                </c:pt>
                <c:pt idx="2269">
                  <c:v>240.68199999999999</c:v>
                </c:pt>
                <c:pt idx="2270">
                  <c:v>240.68199999999999</c:v>
                </c:pt>
                <c:pt idx="2271">
                  <c:v>240.68199999999999</c:v>
                </c:pt>
                <c:pt idx="2272">
                  <c:v>240.69</c:v>
                </c:pt>
                <c:pt idx="2273">
                  <c:v>240.69</c:v>
                </c:pt>
                <c:pt idx="2274">
                  <c:v>240.69</c:v>
                </c:pt>
                <c:pt idx="2275">
                  <c:v>240.69</c:v>
                </c:pt>
                <c:pt idx="2276">
                  <c:v>240.696</c:v>
                </c:pt>
                <c:pt idx="2277">
                  <c:v>240.7</c:v>
                </c:pt>
                <c:pt idx="2278">
                  <c:v>240.7</c:v>
                </c:pt>
                <c:pt idx="2279">
                  <c:v>240.7</c:v>
                </c:pt>
                <c:pt idx="2280">
                  <c:v>240.70400000000001</c:v>
                </c:pt>
                <c:pt idx="2281">
                  <c:v>240.70400000000001</c:v>
                </c:pt>
                <c:pt idx="2282">
                  <c:v>240.70400000000001</c:v>
                </c:pt>
                <c:pt idx="2283">
                  <c:v>240.70400000000001</c:v>
                </c:pt>
                <c:pt idx="2284">
                  <c:v>240.708</c:v>
                </c:pt>
                <c:pt idx="2285">
                  <c:v>240.708</c:v>
                </c:pt>
                <c:pt idx="2286">
                  <c:v>240.708</c:v>
                </c:pt>
                <c:pt idx="2287">
                  <c:v>240.71</c:v>
                </c:pt>
                <c:pt idx="2288">
                  <c:v>240.71199999999999</c:v>
                </c:pt>
                <c:pt idx="2289">
                  <c:v>240.71199999999999</c:v>
                </c:pt>
                <c:pt idx="2290">
                  <c:v>240.71199999999999</c:v>
                </c:pt>
                <c:pt idx="2291">
                  <c:v>240.71199999999999</c:v>
                </c:pt>
                <c:pt idx="2292">
                  <c:v>240.71299999999999</c:v>
                </c:pt>
                <c:pt idx="2293">
                  <c:v>240.71299999999999</c:v>
                </c:pt>
                <c:pt idx="2294">
                  <c:v>240.71299999999999</c:v>
                </c:pt>
                <c:pt idx="2295">
                  <c:v>240.71299999999999</c:v>
                </c:pt>
                <c:pt idx="2296">
                  <c:v>240.71600000000001</c:v>
                </c:pt>
                <c:pt idx="2297">
                  <c:v>240.71600000000001</c:v>
                </c:pt>
                <c:pt idx="2298">
                  <c:v>240.71600000000001</c:v>
                </c:pt>
                <c:pt idx="2299">
                  <c:v>240.71600000000001</c:v>
                </c:pt>
                <c:pt idx="2300">
                  <c:v>240.71600000000001</c:v>
                </c:pt>
                <c:pt idx="2301">
                  <c:v>240.71600000000001</c:v>
                </c:pt>
                <c:pt idx="2302">
                  <c:v>240.71600000000001</c:v>
                </c:pt>
                <c:pt idx="2303">
                  <c:v>240.71600000000001</c:v>
                </c:pt>
                <c:pt idx="2304">
                  <c:v>240.71600000000001</c:v>
                </c:pt>
                <c:pt idx="2305">
                  <c:v>240.71700000000001</c:v>
                </c:pt>
                <c:pt idx="2306">
                  <c:v>240.71700000000001</c:v>
                </c:pt>
                <c:pt idx="2307">
                  <c:v>240.71700000000001</c:v>
                </c:pt>
                <c:pt idx="2308">
                  <c:v>240.71799999999999</c:v>
                </c:pt>
                <c:pt idx="2309">
                  <c:v>240.71799999999999</c:v>
                </c:pt>
                <c:pt idx="2310">
                  <c:v>240.71799999999999</c:v>
                </c:pt>
                <c:pt idx="2311">
                  <c:v>240.71799999999999</c:v>
                </c:pt>
                <c:pt idx="2312">
                  <c:v>240.71799999999999</c:v>
                </c:pt>
                <c:pt idx="2313">
                  <c:v>240.71799999999999</c:v>
                </c:pt>
                <c:pt idx="2314">
                  <c:v>240.71799999999999</c:v>
                </c:pt>
                <c:pt idx="2315">
                  <c:v>240.715</c:v>
                </c:pt>
                <c:pt idx="2316">
                  <c:v>240.715</c:v>
                </c:pt>
                <c:pt idx="2317">
                  <c:v>240.71799999999999</c:v>
                </c:pt>
                <c:pt idx="2318">
                  <c:v>240.71799999999999</c:v>
                </c:pt>
                <c:pt idx="2319">
                  <c:v>240.71799999999999</c:v>
                </c:pt>
                <c:pt idx="2320">
                  <c:v>240.71799999999999</c:v>
                </c:pt>
                <c:pt idx="2321">
                  <c:v>240.71899999999999</c:v>
                </c:pt>
                <c:pt idx="2322">
                  <c:v>240.71899999999999</c:v>
                </c:pt>
                <c:pt idx="2323">
                  <c:v>240.71899999999999</c:v>
                </c:pt>
                <c:pt idx="2324">
                  <c:v>240.71899999999999</c:v>
                </c:pt>
                <c:pt idx="2325">
                  <c:v>240.71899999999999</c:v>
                </c:pt>
                <c:pt idx="2326">
                  <c:v>240.71899999999999</c:v>
                </c:pt>
                <c:pt idx="2327">
                  <c:v>240.71899999999999</c:v>
                </c:pt>
                <c:pt idx="2328">
                  <c:v>240.71899999999999</c:v>
                </c:pt>
                <c:pt idx="2329">
                  <c:v>240.71899999999999</c:v>
                </c:pt>
                <c:pt idx="2330">
                  <c:v>240.71899999999999</c:v>
                </c:pt>
                <c:pt idx="2331">
                  <c:v>240.71899999999999</c:v>
                </c:pt>
                <c:pt idx="2332">
                  <c:v>240.71899999999999</c:v>
                </c:pt>
                <c:pt idx="2333">
                  <c:v>240.71899999999999</c:v>
                </c:pt>
                <c:pt idx="2334">
                  <c:v>240.71899999999999</c:v>
                </c:pt>
                <c:pt idx="2335">
                  <c:v>240.71899999999999</c:v>
                </c:pt>
                <c:pt idx="2336">
                  <c:v>240.71899999999999</c:v>
                </c:pt>
                <c:pt idx="2337">
                  <c:v>240.71899999999999</c:v>
                </c:pt>
                <c:pt idx="2338">
                  <c:v>240.715</c:v>
                </c:pt>
                <c:pt idx="2339">
                  <c:v>240.715</c:v>
                </c:pt>
                <c:pt idx="2340">
                  <c:v>240.715</c:v>
                </c:pt>
                <c:pt idx="2341">
                  <c:v>240.715</c:v>
                </c:pt>
                <c:pt idx="2342">
                  <c:v>240.715</c:v>
                </c:pt>
                <c:pt idx="2343">
                  <c:v>240.715</c:v>
                </c:pt>
                <c:pt idx="2344">
                  <c:v>240.71899999999999</c:v>
                </c:pt>
                <c:pt idx="2345">
                  <c:v>240.71899999999999</c:v>
                </c:pt>
                <c:pt idx="2346">
                  <c:v>240.71899999999999</c:v>
                </c:pt>
                <c:pt idx="2347">
                  <c:v>240.71899999999999</c:v>
                </c:pt>
                <c:pt idx="2348">
                  <c:v>240.71899999999999</c:v>
                </c:pt>
                <c:pt idx="2349">
                  <c:v>240.71899999999999</c:v>
                </c:pt>
                <c:pt idx="2350">
                  <c:v>240.71899999999999</c:v>
                </c:pt>
                <c:pt idx="2351">
                  <c:v>240.71899999999999</c:v>
                </c:pt>
                <c:pt idx="2352">
                  <c:v>240.71899999999999</c:v>
                </c:pt>
                <c:pt idx="2353">
                  <c:v>240.84200000000001</c:v>
                </c:pt>
                <c:pt idx="2354">
                  <c:v>240.88399999999999</c:v>
                </c:pt>
                <c:pt idx="2355">
                  <c:v>240.88399999999999</c:v>
                </c:pt>
                <c:pt idx="2356">
                  <c:v>240.88399999999999</c:v>
                </c:pt>
                <c:pt idx="2357">
                  <c:v>240.88399999999999</c:v>
                </c:pt>
                <c:pt idx="2358">
                  <c:v>240.88399999999999</c:v>
                </c:pt>
                <c:pt idx="2359">
                  <c:v>240.88399999999999</c:v>
                </c:pt>
                <c:pt idx="2360">
                  <c:v>240.88399999999999</c:v>
                </c:pt>
                <c:pt idx="2361">
                  <c:v>240.88399999999999</c:v>
                </c:pt>
                <c:pt idx="2362">
                  <c:v>240.88399999999999</c:v>
                </c:pt>
                <c:pt idx="2363">
                  <c:v>240.97399999999999</c:v>
                </c:pt>
                <c:pt idx="2364">
                  <c:v>240.97399999999999</c:v>
                </c:pt>
                <c:pt idx="2365">
                  <c:v>240.97399999999999</c:v>
                </c:pt>
                <c:pt idx="2366">
                  <c:v>240.97399999999999</c:v>
                </c:pt>
                <c:pt idx="2367">
                  <c:v>240.995</c:v>
                </c:pt>
                <c:pt idx="2368">
                  <c:v>240.995</c:v>
                </c:pt>
                <c:pt idx="2369">
                  <c:v>240.995</c:v>
                </c:pt>
                <c:pt idx="2370">
                  <c:v>240.995</c:v>
                </c:pt>
                <c:pt idx="2371">
                  <c:v>241.00800000000001</c:v>
                </c:pt>
                <c:pt idx="2372">
                  <c:v>241.00800000000001</c:v>
                </c:pt>
                <c:pt idx="2373">
                  <c:v>241.01900000000001</c:v>
                </c:pt>
                <c:pt idx="2374">
                  <c:v>241.01900000000001</c:v>
                </c:pt>
                <c:pt idx="2375">
                  <c:v>241.029</c:v>
                </c:pt>
                <c:pt idx="2376">
                  <c:v>241.029</c:v>
                </c:pt>
                <c:pt idx="2377">
                  <c:v>241.029</c:v>
                </c:pt>
                <c:pt idx="2378">
                  <c:v>241.029</c:v>
                </c:pt>
                <c:pt idx="2379">
                  <c:v>241.03700000000001</c:v>
                </c:pt>
                <c:pt idx="2380">
                  <c:v>241.03700000000001</c:v>
                </c:pt>
                <c:pt idx="2381">
                  <c:v>241.03700000000001</c:v>
                </c:pt>
                <c:pt idx="2382">
                  <c:v>241.03700000000001</c:v>
                </c:pt>
                <c:pt idx="2383">
                  <c:v>241.048</c:v>
                </c:pt>
                <c:pt idx="2384">
                  <c:v>241.048</c:v>
                </c:pt>
                <c:pt idx="2385">
                  <c:v>241.048</c:v>
                </c:pt>
                <c:pt idx="2386">
                  <c:v>241.048</c:v>
                </c:pt>
                <c:pt idx="2387">
                  <c:v>241.05199999999999</c:v>
                </c:pt>
                <c:pt idx="2388">
                  <c:v>241.05199999999999</c:v>
                </c:pt>
                <c:pt idx="2389">
                  <c:v>241.05199999999999</c:v>
                </c:pt>
                <c:pt idx="2390">
                  <c:v>241.05199999999999</c:v>
                </c:pt>
                <c:pt idx="2391">
                  <c:v>241.05199999999999</c:v>
                </c:pt>
                <c:pt idx="2392">
                  <c:v>241.05199999999999</c:v>
                </c:pt>
                <c:pt idx="2393">
                  <c:v>241.05799999999999</c:v>
                </c:pt>
                <c:pt idx="2394">
                  <c:v>241.06</c:v>
                </c:pt>
                <c:pt idx="2395">
                  <c:v>241.06</c:v>
                </c:pt>
                <c:pt idx="2396">
                  <c:v>241.06</c:v>
                </c:pt>
                <c:pt idx="2397">
                  <c:v>241.06</c:v>
                </c:pt>
                <c:pt idx="2398">
                  <c:v>241.06</c:v>
                </c:pt>
                <c:pt idx="2399">
                  <c:v>241.06</c:v>
                </c:pt>
                <c:pt idx="2400">
                  <c:v>241.06</c:v>
                </c:pt>
                <c:pt idx="2401">
                  <c:v>241.06</c:v>
                </c:pt>
                <c:pt idx="2402">
                  <c:v>241.06299999999999</c:v>
                </c:pt>
                <c:pt idx="2403">
                  <c:v>241.06299999999999</c:v>
                </c:pt>
                <c:pt idx="2404">
                  <c:v>241.06299999999999</c:v>
                </c:pt>
                <c:pt idx="2405">
                  <c:v>241.06299999999999</c:v>
                </c:pt>
                <c:pt idx="2406">
                  <c:v>241.06299999999999</c:v>
                </c:pt>
                <c:pt idx="2407">
                  <c:v>241.06399999999999</c:v>
                </c:pt>
                <c:pt idx="2408">
                  <c:v>241.06399999999999</c:v>
                </c:pt>
                <c:pt idx="2409">
                  <c:v>241.06399999999999</c:v>
                </c:pt>
                <c:pt idx="2410">
                  <c:v>241.06399999999999</c:v>
                </c:pt>
                <c:pt idx="2411">
                  <c:v>241.065</c:v>
                </c:pt>
                <c:pt idx="2412">
                  <c:v>241.066</c:v>
                </c:pt>
                <c:pt idx="2413">
                  <c:v>241.066</c:v>
                </c:pt>
                <c:pt idx="2414">
                  <c:v>241.066</c:v>
                </c:pt>
                <c:pt idx="2415">
                  <c:v>241.066</c:v>
                </c:pt>
                <c:pt idx="2416">
                  <c:v>241.066</c:v>
                </c:pt>
                <c:pt idx="2417">
                  <c:v>241.066</c:v>
                </c:pt>
                <c:pt idx="2418">
                  <c:v>241.066</c:v>
                </c:pt>
                <c:pt idx="2419">
                  <c:v>241.066</c:v>
                </c:pt>
                <c:pt idx="2420">
                  <c:v>241.066</c:v>
                </c:pt>
                <c:pt idx="2421">
                  <c:v>241.06700000000001</c:v>
                </c:pt>
                <c:pt idx="2422">
                  <c:v>241.06700000000001</c:v>
                </c:pt>
                <c:pt idx="2423">
                  <c:v>241.06700000000001</c:v>
                </c:pt>
                <c:pt idx="2424">
                  <c:v>241.06700000000001</c:v>
                </c:pt>
                <c:pt idx="2425">
                  <c:v>241.06700000000001</c:v>
                </c:pt>
                <c:pt idx="2426">
                  <c:v>241.06700000000001</c:v>
                </c:pt>
                <c:pt idx="2427">
                  <c:v>241.06700000000001</c:v>
                </c:pt>
                <c:pt idx="2428">
                  <c:v>241.06700000000001</c:v>
                </c:pt>
                <c:pt idx="2429">
                  <c:v>241.06700000000001</c:v>
                </c:pt>
                <c:pt idx="2430">
                  <c:v>241.06700000000001</c:v>
                </c:pt>
                <c:pt idx="2431">
                  <c:v>241.06700000000001</c:v>
                </c:pt>
                <c:pt idx="2432">
                  <c:v>241.06700000000001</c:v>
                </c:pt>
                <c:pt idx="2433">
                  <c:v>241.06700000000001</c:v>
                </c:pt>
                <c:pt idx="2434">
                  <c:v>241.06700000000001</c:v>
                </c:pt>
                <c:pt idx="2435">
                  <c:v>241.06700000000001</c:v>
                </c:pt>
                <c:pt idx="2436">
                  <c:v>241.06700000000001</c:v>
                </c:pt>
                <c:pt idx="2437">
                  <c:v>241.06700000000001</c:v>
                </c:pt>
                <c:pt idx="2438">
                  <c:v>241.06700000000001</c:v>
                </c:pt>
                <c:pt idx="2439">
                  <c:v>241.06700000000001</c:v>
                </c:pt>
                <c:pt idx="2440">
                  <c:v>241.06700000000001</c:v>
                </c:pt>
                <c:pt idx="2441">
                  <c:v>241.06700000000001</c:v>
                </c:pt>
                <c:pt idx="2442">
                  <c:v>241.06700000000001</c:v>
                </c:pt>
                <c:pt idx="2443">
                  <c:v>241.06700000000001</c:v>
                </c:pt>
                <c:pt idx="2444">
                  <c:v>241.06700000000001</c:v>
                </c:pt>
                <c:pt idx="2445">
                  <c:v>241.06700000000001</c:v>
                </c:pt>
                <c:pt idx="2446">
                  <c:v>241.06700000000001</c:v>
                </c:pt>
                <c:pt idx="2447">
                  <c:v>241.06700000000001</c:v>
                </c:pt>
                <c:pt idx="2448">
                  <c:v>241.06700000000001</c:v>
                </c:pt>
                <c:pt idx="2449">
                  <c:v>241.06700000000001</c:v>
                </c:pt>
                <c:pt idx="2450">
                  <c:v>241.06700000000001</c:v>
                </c:pt>
                <c:pt idx="2451">
                  <c:v>241.06800000000001</c:v>
                </c:pt>
                <c:pt idx="2452">
                  <c:v>241.06800000000001</c:v>
                </c:pt>
                <c:pt idx="2453">
                  <c:v>241.06800000000001</c:v>
                </c:pt>
                <c:pt idx="2454">
                  <c:v>241.06800000000001</c:v>
                </c:pt>
                <c:pt idx="2455">
                  <c:v>241.06800000000001</c:v>
                </c:pt>
                <c:pt idx="2456">
                  <c:v>241.06800000000001</c:v>
                </c:pt>
                <c:pt idx="2457">
                  <c:v>241.06800000000001</c:v>
                </c:pt>
                <c:pt idx="2458">
                  <c:v>241.06800000000001</c:v>
                </c:pt>
                <c:pt idx="2459">
                  <c:v>241.197</c:v>
                </c:pt>
                <c:pt idx="2460">
                  <c:v>241.197</c:v>
                </c:pt>
                <c:pt idx="2461">
                  <c:v>241.197</c:v>
                </c:pt>
                <c:pt idx="2462">
                  <c:v>241.197</c:v>
                </c:pt>
                <c:pt idx="2463">
                  <c:v>241.24700000000001</c:v>
                </c:pt>
                <c:pt idx="2464">
                  <c:v>241.24700000000001</c:v>
                </c:pt>
                <c:pt idx="2465">
                  <c:v>241.24700000000001</c:v>
                </c:pt>
                <c:pt idx="2466">
                  <c:v>241.24700000000001</c:v>
                </c:pt>
                <c:pt idx="2467">
                  <c:v>241.27799999999999</c:v>
                </c:pt>
                <c:pt idx="2468">
                  <c:v>241.304</c:v>
                </c:pt>
                <c:pt idx="2469">
                  <c:v>241.304</c:v>
                </c:pt>
                <c:pt idx="2470">
                  <c:v>241.304</c:v>
                </c:pt>
                <c:pt idx="2471">
                  <c:v>241.33</c:v>
                </c:pt>
                <c:pt idx="2472">
                  <c:v>241.33</c:v>
                </c:pt>
                <c:pt idx="2473">
                  <c:v>241.33</c:v>
                </c:pt>
                <c:pt idx="2474">
                  <c:v>241.33</c:v>
                </c:pt>
                <c:pt idx="2475">
                  <c:v>241.346</c:v>
                </c:pt>
                <c:pt idx="2476">
                  <c:v>241.346</c:v>
                </c:pt>
                <c:pt idx="2477">
                  <c:v>241.346</c:v>
                </c:pt>
                <c:pt idx="2478">
                  <c:v>241.37200000000001</c:v>
                </c:pt>
                <c:pt idx="2479">
                  <c:v>241.37200000000001</c:v>
                </c:pt>
                <c:pt idx="2480">
                  <c:v>241.37200000000001</c:v>
                </c:pt>
                <c:pt idx="2481">
                  <c:v>241.37200000000001</c:v>
                </c:pt>
                <c:pt idx="2482">
                  <c:v>241.37799999999999</c:v>
                </c:pt>
                <c:pt idx="2483">
                  <c:v>241.37799999999999</c:v>
                </c:pt>
                <c:pt idx="2484">
                  <c:v>241.37799999999999</c:v>
                </c:pt>
                <c:pt idx="2485">
                  <c:v>241.37799999999999</c:v>
                </c:pt>
                <c:pt idx="2486">
                  <c:v>241.37799999999999</c:v>
                </c:pt>
                <c:pt idx="2487">
                  <c:v>241.39400000000001</c:v>
                </c:pt>
                <c:pt idx="2488">
                  <c:v>241.39400000000001</c:v>
                </c:pt>
                <c:pt idx="2489">
                  <c:v>241.398</c:v>
                </c:pt>
                <c:pt idx="2490">
                  <c:v>241.398</c:v>
                </c:pt>
                <c:pt idx="2491">
                  <c:v>241.398</c:v>
                </c:pt>
                <c:pt idx="2492">
                  <c:v>241.398</c:v>
                </c:pt>
                <c:pt idx="2493">
                  <c:v>241.398</c:v>
                </c:pt>
                <c:pt idx="2494">
                  <c:v>241.398</c:v>
                </c:pt>
                <c:pt idx="2495">
                  <c:v>241.398</c:v>
                </c:pt>
                <c:pt idx="2496">
                  <c:v>241.40700000000001</c:v>
                </c:pt>
                <c:pt idx="2497">
                  <c:v>241.40700000000001</c:v>
                </c:pt>
                <c:pt idx="2498">
                  <c:v>241.40700000000001</c:v>
                </c:pt>
                <c:pt idx="2499">
                  <c:v>241.40700000000001</c:v>
                </c:pt>
                <c:pt idx="2500">
                  <c:v>241.40700000000001</c:v>
                </c:pt>
                <c:pt idx="2501">
                  <c:v>241.40700000000001</c:v>
                </c:pt>
                <c:pt idx="2502">
                  <c:v>241.40700000000001</c:v>
                </c:pt>
                <c:pt idx="2503">
                  <c:v>241.40700000000001</c:v>
                </c:pt>
                <c:pt idx="2504">
                  <c:v>241.40700000000001</c:v>
                </c:pt>
                <c:pt idx="2505">
                  <c:v>241.41200000000001</c:v>
                </c:pt>
                <c:pt idx="2506">
                  <c:v>241.41200000000001</c:v>
                </c:pt>
                <c:pt idx="2507">
                  <c:v>241.41200000000001</c:v>
                </c:pt>
                <c:pt idx="2508">
                  <c:v>241.41200000000001</c:v>
                </c:pt>
                <c:pt idx="2509">
                  <c:v>241.41300000000001</c:v>
                </c:pt>
                <c:pt idx="2510">
                  <c:v>241.41300000000001</c:v>
                </c:pt>
                <c:pt idx="2511">
                  <c:v>241.41300000000001</c:v>
                </c:pt>
                <c:pt idx="2512">
                  <c:v>241.41300000000001</c:v>
                </c:pt>
                <c:pt idx="2513">
                  <c:v>241.41399999999999</c:v>
                </c:pt>
                <c:pt idx="2514">
                  <c:v>241.41399999999999</c:v>
                </c:pt>
                <c:pt idx="2515">
                  <c:v>241.41399999999999</c:v>
                </c:pt>
                <c:pt idx="2516">
                  <c:v>241.41499999999999</c:v>
                </c:pt>
                <c:pt idx="2517">
                  <c:v>241.41499999999999</c:v>
                </c:pt>
                <c:pt idx="2518">
                  <c:v>241.41499999999999</c:v>
                </c:pt>
                <c:pt idx="2519">
                  <c:v>241.41499999999999</c:v>
                </c:pt>
                <c:pt idx="2520">
                  <c:v>241.41499999999999</c:v>
                </c:pt>
                <c:pt idx="2521">
                  <c:v>241.41499999999999</c:v>
                </c:pt>
                <c:pt idx="2522">
                  <c:v>241.41499999999999</c:v>
                </c:pt>
                <c:pt idx="2523">
                  <c:v>241.41499999999999</c:v>
                </c:pt>
                <c:pt idx="2524">
                  <c:v>241.416</c:v>
                </c:pt>
                <c:pt idx="2525">
                  <c:v>241.416</c:v>
                </c:pt>
                <c:pt idx="2526">
                  <c:v>241.416</c:v>
                </c:pt>
                <c:pt idx="2527">
                  <c:v>241.416</c:v>
                </c:pt>
                <c:pt idx="2528">
                  <c:v>241.416</c:v>
                </c:pt>
                <c:pt idx="2529">
                  <c:v>241.416</c:v>
                </c:pt>
                <c:pt idx="2530">
                  <c:v>241.416</c:v>
                </c:pt>
                <c:pt idx="2531">
                  <c:v>241.416</c:v>
                </c:pt>
                <c:pt idx="2532">
                  <c:v>241.416</c:v>
                </c:pt>
                <c:pt idx="2533">
                  <c:v>241.416</c:v>
                </c:pt>
                <c:pt idx="2534">
                  <c:v>241.416</c:v>
                </c:pt>
                <c:pt idx="2535">
                  <c:v>241.416</c:v>
                </c:pt>
                <c:pt idx="2536">
                  <c:v>241.416</c:v>
                </c:pt>
                <c:pt idx="2537">
                  <c:v>241.416</c:v>
                </c:pt>
                <c:pt idx="2538">
                  <c:v>241.416</c:v>
                </c:pt>
                <c:pt idx="2539">
                  <c:v>241.416</c:v>
                </c:pt>
                <c:pt idx="2540">
                  <c:v>241.416</c:v>
                </c:pt>
                <c:pt idx="2541">
                  <c:v>241.416</c:v>
                </c:pt>
                <c:pt idx="2542">
                  <c:v>241.58699999999999</c:v>
                </c:pt>
                <c:pt idx="2543">
                  <c:v>241.58699999999999</c:v>
                </c:pt>
                <c:pt idx="2544">
                  <c:v>241.58699999999999</c:v>
                </c:pt>
                <c:pt idx="2545">
                  <c:v>241.58699999999999</c:v>
                </c:pt>
                <c:pt idx="2546">
                  <c:v>241.62700000000001</c:v>
                </c:pt>
                <c:pt idx="2547">
                  <c:v>241.62700000000001</c:v>
                </c:pt>
                <c:pt idx="2548">
                  <c:v>241.62700000000001</c:v>
                </c:pt>
                <c:pt idx="2549">
                  <c:v>241.62700000000001</c:v>
                </c:pt>
                <c:pt idx="2550">
                  <c:v>241.65299999999999</c:v>
                </c:pt>
                <c:pt idx="2551">
                  <c:v>241.65299999999999</c:v>
                </c:pt>
                <c:pt idx="2552">
                  <c:v>241.67400000000001</c:v>
                </c:pt>
                <c:pt idx="2553">
                  <c:v>241.67400000000001</c:v>
                </c:pt>
                <c:pt idx="2554">
                  <c:v>241.68799999999999</c:v>
                </c:pt>
                <c:pt idx="2555">
                  <c:v>241.68799999999999</c:v>
                </c:pt>
                <c:pt idx="2556">
                  <c:v>241.68799999999999</c:v>
                </c:pt>
                <c:pt idx="2557">
                  <c:v>241.68799999999999</c:v>
                </c:pt>
                <c:pt idx="2558">
                  <c:v>241.702</c:v>
                </c:pt>
                <c:pt idx="2559">
                  <c:v>241.702</c:v>
                </c:pt>
                <c:pt idx="2560">
                  <c:v>241.702</c:v>
                </c:pt>
                <c:pt idx="2561">
                  <c:v>241.702</c:v>
                </c:pt>
                <c:pt idx="2562">
                  <c:v>241.72</c:v>
                </c:pt>
                <c:pt idx="2563">
                  <c:v>241.72</c:v>
                </c:pt>
                <c:pt idx="2564">
                  <c:v>241.72</c:v>
                </c:pt>
                <c:pt idx="2565">
                  <c:v>241.73400000000001</c:v>
                </c:pt>
                <c:pt idx="2566">
                  <c:v>241.73400000000001</c:v>
                </c:pt>
                <c:pt idx="2567">
                  <c:v>241.73400000000001</c:v>
                </c:pt>
                <c:pt idx="2568">
                  <c:v>241.73400000000001</c:v>
                </c:pt>
                <c:pt idx="2569">
                  <c:v>241.73400000000001</c:v>
                </c:pt>
                <c:pt idx="2570">
                  <c:v>241.73400000000001</c:v>
                </c:pt>
                <c:pt idx="2571">
                  <c:v>241.73400000000001</c:v>
                </c:pt>
                <c:pt idx="2572">
                  <c:v>241.751</c:v>
                </c:pt>
                <c:pt idx="2573">
                  <c:v>241.751</c:v>
                </c:pt>
                <c:pt idx="2574">
                  <c:v>241.751</c:v>
                </c:pt>
                <c:pt idx="2575">
                  <c:v>241.751</c:v>
                </c:pt>
                <c:pt idx="2576">
                  <c:v>241.751</c:v>
                </c:pt>
                <c:pt idx="2577">
                  <c:v>241.755</c:v>
                </c:pt>
                <c:pt idx="2578">
                  <c:v>241.755</c:v>
                </c:pt>
                <c:pt idx="2579">
                  <c:v>241.755</c:v>
                </c:pt>
                <c:pt idx="2580">
                  <c:v>241.755</c:v>
                </c:pt>
                <c:pt idx="2581">
                  <c:v>241.75700000000001</c:v>
                </c:pt>
                <c:pt idx="2582">
                  <c:v>241.75899999999999</c:v>
                </c:pt>
                <c:pt idx="2583">
                  <c:v>241.75899999999999</c:v>
                </c:pt>
                <c:pt idx="2584">
                  <c:v>241.76</c:v>
                </c:pt>
                <c:pt idx="2585">
                  <c:v>241.76</c:v>
                </c:pt>
                <c:pt idx="2586">
                  <c:v>241.76</c:v>
                </c:pt>
                <c:pt idx="2587">
                  <c:v>241.76</c:v>
                </c:pt>
                <c:pt idx="2588">
                  <c:v>241.762</c:v>
                </c:pt>
                <c:pt idx="2589">
                  <c:v>241.762</c:v>
                </c:pt>
                <c:pt idx="2590">
                  <c:v>241.762</c:v>
                </c:pt>
                <c:pt idx="2591">
                  <c:v>241.762</c:v>
                </c:pt>
                <c:pt idx="2592">
                  <c:v>241.76300000000001</c:v>
                </c:pt>
                <c:pt idx="2593">
                  <c:v>241.76300000000001</c:v>
                </c:pt>
                <c:pt idx="2594">
                  <c:v>241.76300000000001</c:v>
                </c:pt>
                <c:pt idx="2595">
                  <c:v>241.76400000000001</c:v>
                </c:pt>
                <c:pt idx="2596">
                  <c:v>241.76400000000001</c:v>
                </c:pt>
                <c:pt idx="2597">
                  <c:v>241.76400000000001</c:v>
                </c:pt>
                <c:pt idx="2598">
                  <c:v>241.76400000000001</c:v>
                </c:pt>
                <c:pt idx="2599">
                  <c:v>241.76400000000001</c:v>
                </c:pt>
                <c:pt idx="2600">
                  <c:v>241.76400000000001</c:v>
                </c:pt>
                <c:pt idx="2601">
                  <c:v>241.76400000000001</c:v>
                </c:pt>
                <c:pt idx="2602">
                  <c:v>241.76499999999999</c:v>
                </c:pt>
                <c:pt idx="2603">
                  <c:v>241.76499999999999</c:v>
                </c:pt>
                <c:pt idx="2604">
                  <c:v>241.76499999999999</c:v>
                </c:pt>
                <c:pt idx="2605">
                  <c:v>241.76499999999999</c:v>
                </c:pt>
                <c:pt idx="2606">
                  <c:v>241.76499999999999</c:v>
                </c:pt>
                <c:pt idx="2607">
                  <c:v>241.76599999999999</c:v>
                </c:pt>
                <c:pt idx="2608">
                  <c:v>241.76599999999999</c:v>
                </c:pt>
                <c:pt idx="2609">
                  <c:v>241.76599999999999</c:v>
                </c:pt>
                <c:pt idx="2610">
                  <c:v>241.76599999999999</c:v>
                </c:pt>
                <c:pt idx="2611">
                  <c:v>241.76599999999999</c:v>
                </c:pt>
                <c:pt idx="2612">
                  <c:v>241.76599999999999</c:v>
                </c:pt>
                <c:pt idx="2613">
                  <c:v>241.76599999999999</c:v>
                </c:pt>
                <c:pt idx="2614">
                  <c:v>241.76599999999999</c:v>
                </c:pt>
                <c:pt idx="2615">
                  <c:v>241.76599999999999</c:v>
                </c:pt>
                <c:pt idx="2616">
                  <c:v>241.76599999999999</c:v>
                </c:pt>
                <c:pt idx="2617">
                  <c:v>241.76599999999999</c:v>
                </c:pt>
                <c:pt idx="2618">
                  <c:v>241.76</c:v>
                </c:pt>
                <c:pt idx="2619">
                  <c:v>241.76</c:v>
                </c:pt>
                <c:pt idx="2620">
                  <c:v>241.76</c:v>
                </c:pt>
                <c:pt idx="2621">
                  <c:v>241.76</c:v>
                </c:pt>
                <c:pt idx="2622">
                  <c:v>241.767</c:v>
                </c:pt>
                <c:pt idx="2623">
                  <c:v>241.767</c:v>
                </c:pt>
                <c:pt idx="2624">
                  <c:v>241.767</c:v>
                </c:pt>
                <c:pt idx="2625">
                  <c:v>241.81700000000001</c:v>
                </c:pt>
                <c:pt idx="2626">
                  <c:v>241.81700000000001</c:v>
                </c:pt>
                <c:pt idx="2627">
                  <c:v>241.81700000000001</c:v>
                </c:pt>
                <c:pt idx="2628">
                  <c:v>241.81700000000001</c:v>
                </c:pt>
                <c:pt idx="2629">
                  <c:v>241.81700000000001</c:v>
                </c:pt>
                <c:pt idx="2630">
                  <c:v>241.81700000000001</c:v>
                </c:pt>
                <c:pt idx="2631">
                  <c:v>241.81700000000001</c:v>
                </c:pt>
                <c:pt idx="2632">
                  <c:v>241.81700000000001</c:v>
                </c:pt>
                <c:pt idx="2633">
                  <c:v>241.94900000000001</c:v>
                </c:pt>
                <c:pt idx="2634">
                  <c:v>241.94900000000001</c:v>
                </c:pt>
                <c:pt idx="2635">
                  <c:v>241.94900000000001</c:v>
                </c:pt>
                <c:pt idx="2636">
                  <c:v>241.94900000000001</c:v>
                </c:pt>
                <c:pt idx="2637">
                  <c:v>241.999</c:v>
                </c:pt>
                <c:pt idx="2638">
                  <c:v>241.999</c:v>
                </c:pt>
                <c:pt idx="2639">
                  <c:v>241.999</c:v>
                </c:pt>
                <c:pt idx="2640">
                  <c:v>241.999</c:v>
                </c:pt>
                <c:pt idx="2641">
                  <c:v>242.018</c:v>
                </c:pt>
                <c:pt idx="2642">
                  <c:v>242.018</c:v>
                </c:pt>
                <c:pt idx="2643">
                  <c:v>242.03899999999999</c:v>
                </c:pt>
                <c:pt idx="2644">
                  <c:v>242.05699999999999</c:v>
                </c:pt>
                <c:pt idx="2645">
                  <c:v>242.05699999999999</c:v>
                </c:pt>
                <c:pt idx="2646">
                  <c:v>242.05699999999999</c:v>
                </c:pt>
                <c:pt idx="2647">
                  <c:v>242.05699999999999</c:v>
                </c:pt>
                <c:pt idx="2648">
                  <c:v>242.06899999999999</c:v>
                </c:pt>
                <c:pt idx="2649">
                  <c:v>242.06899999999999</c:v>
                </c:pt>
                <c:pt idx="2650">
                  <c:v>242.06899999999999</c:v>
                </c:pt>
                <c:pt idx="2651">
                  <c:v>242.06899999999999</c:v>
                </c:pt>
                <c:pt idx="2652">
                  <c:v>242.06899999999999</c:v>
                </c:pt>
                <c:pt idx="2653">
                  <c:v>242.06899999999999</c:v>
                </c:pt>
                <c:pt idx="2654">
                  <c:v>242.08699999999999</c:v>
                </c:pt>
                <c:pt idx="2655">
                  <c:v>242.08699999999999</c:v>
                </c:pt>
                <c:pt idx="2656">
                  <c:v>242.08699999999999</c:v>
                </c:pt>
                <c:pt idx="2657">
                  <c:v>242.095</c:v>
                </c:pt>
                <c:pt idx="2658">
                  <c:v>242.095</c:v>
                </c:pt>
                <c:pt idx="2659">
                  <c:v>242.095</c:v>
                </c:pt>
                <c:pt idx="2660">
                  <c:v>242.095</c:v>
                </c:pt>
                <c:pt idx="2661">
                  <c:v>242.09899999999999</c:v>
                </c:pt>
                <c:pt idx="2662">
                  <c:v>242.09899999999999</c:v>
                </c:pt>
                <c:pt idx="2663">
                  <c:v>242.09899999999999</c:v>
                </c:pt>
                <c:pt idx="2664">
                  <c:v>242.09899999999999</c:v>
                </c:pt>
                <c:pt idx="2665">
                  <c:v>242.10599999999999</c:v>
                </c:pt>
                <c:pt idx="2666">
                  <c:v>242.10599999999999</c:v>
                </c:pt>
                <c:pt idx="2667">
                  <c:v>242.107</c:v>
                </c:pt>
                <c:pt idx="2668">
                  <c:v>242.107</c:v>
                </c:pt>
                <c:pt idx="2669">
                  <c:v>242.107</c:v>
                </c:pt>
                <c:pt idx="2670">
                  <c:v>242.107</c:v>
                </c:pt>
                <c:pt idx="2671">
                  <c:v>242.107</c:v>
                </c:pt>
                <c:pt idx="2672">
                  <c:v>242.107</c:v>
                </c:pt>
                <c:pt idx="2673">
                  <c:v>242.107</c:v>
                </c:pt>
                <c:pt idx="2674">
                  <c:v>242.11099999999999</c:v>
                </c:pt>
                <c:pt idx="2675">
                  <c:v>242.11199999999999</c:v>
                </c:pt>
                <c:pt idx="2676">
                  <c:v>242.11199999999999</c:v>
                </c:pt>
                <c:pt idx="2677">
                  <c:v>242.11199999999999</c:v>
                </c:pt>
                <c:pt idx="2678">
                  <c:v>242.11199999999999</c:v>
                </c:pt>
                <c:pt idx="2679">
                  <c:v>242.11199999999999</c:v>
                </c:pt>
                <c:pt idx="2680">
                  <c:v>242.11199999999999</c:v>
                </c:pt>
                <c:pt idx="2681">
                  <c:v>242.11199999999999</c:v>
                </c:pt>
                <c:pt idx="2682">
                  <c:v>242.11199999999999</c:v>
                </c:pt>
                <c:pt idx="2683">
                  <c:v>242.11199999999999</c:v>
                </c:pt>
                <c:pt idx="2684">
                  <c:v>242.11600000000001</c:v>
                </c:pt>
                <c:pt idx="2685">
                  <c:v>242.11600000000001</c:v>
                </c:pt>
                <c:pt idx="2686">
                  <c:v>242.11600000000001</c:v>
                </c:pt>
                <c:pt idx="2687">
                  <c:v>242.11600000000001</c:v>
                </c:pt>
                <c:pt idx="2688">
                  <c:v>242.11600000000001</c:v>
                </c:pt>
                <c:pt idx="2689">
                  <c:v>242.11600000000001</c:v>
                </c:pt>
                <c:pt idx="2690">
                  <c:v>242.11600000000001</c:v>
                </c:pt>
                <c:pt idx="2691">
                  <c:v>242.11699999999999</c:v>
                </c:pt>
                <c:pt idx="2692">
                  <c:v>242.11699999999999</c:v>
                </c:pt>
                <c:pt idx="2693">
                  <c:v>242.11699999999999</c:v>
                </c:pt>
                <c:pt idx="2694">
                  <c:v>242.11699999999999</c:v>
                </c:pt>
                <c:pt idx="2695">
                  <c:v>242.11199999999999</c:v>
                </c:pt>
                <c:pt idx="2696">
                  <c:v>242.11199999999999</c:v>
                </c:pt>
                <c:pt idx="2697">
                  <c:v>242.11199999999999</c:v>
                </c:pt>
                <c:pt idx="2698">
                  <c:v>242.11799999999999</c:v>
                </c:pt>
                <c:pt idx="2699">
                  <c:v>242.11799999999999</c:v>
                </c:pt>
                <c:pt idx="2700">
                  <c:v>242.11799999999999</c:v>
                </c:pt>
                <c:pt idx="2701">
                  <c:v>242.11799999999999</c:v>
                </c:pt>
                <c:pt idx="2702">
                  <c:v>242.11799999999999</c:v>
                </c:pt>
                <c:pt idx="2703">
                  <c:v>242.11799999999999</c:v>
                </c:pt>
                <c:pt idx="2704">
                  <c:v>242.11799999999999</c:v>
                </c:pt>
                <c:pt idx="2705">
                  <c:v>242.11799999999999</c:v>
                </c:pt>
                <c:pt idx="2706">
                  <c:v>242.11799999999999</c:v>
                </c:pt>
                <c:pt idx="2707">
                  <c:v>242.11799999999999</c:v>
                </c:pt>
                <c:pt idx="2708">
                  <c:v>242.11799999999999</c:v>
                </c:pt>
                <c:pt idx="2709">
                  <c:v>242.11799999999999</c:v>
                </c:pt>
                <c:pt idx="2710">
                  <c:v>242.11799999999999</c:v>
                </c:pt>
                <c:pt idx="2711">
                  <c:v>242.11799999999999</c:v>
                </c:pt>
                <c:pt idx="2712">
                  <c:v>242.11799999999999</c:v>
                </c:pt>
                <c:pt idx="2713">
                  <c:v>242.11799999999999</c:v>
                </c:pt>
                <c:pt idx="2714">
                  <c:v>242.11799999999999</c:v>
                </c:pt>
                <c:pt idx="2715">
                  <c:v>242.11799999999999</c:v>
                </c:pt>
                <c:pt idx="2716">
                  <c:v>242.11799999999999</c:v>
                </c:pt>
                <c:pt idx="2717">
                  <c:v>242.11799999999999</c:v>
                </c:pt>
                <c:pt idx="2718">
                  <c:v>242.11799999999999</c:v>
                </c:pt>
                <c:pt idx="2719">
                  <c:v>242.11799999999999</c:v>
                </c:pt>
                <c:pt idx="2720">
                  <c:v>242.11799999999999</c:v>
                </c:pt>
                <c:pt idx="2721">
                  <c:v>242.11799999999999</c:v>
                </c:pt>
                <c:pt idx="2722">
                  <c:v>242.11799999999999</c:v>
                </c:pt>
                <c:pt idx="2723">
                  <c:v>242.11799999999999</c:v>
                </c:pt>
                <c:pt idx="2724">
                  <c:v>242.11799999999999</c:v>
                </c:pt>
                <c:pt idx="2725">
                  <c:v>242.11799999999999</c:v>
                </c:pt>
                <c:pt idx="2726">
                  <c:v>242.11799999999999</c:v>
                </c:pt>
                <c:pt idx="2727">
                  <c:v>242.11500000000001</c:v>
                </c:pt>
                <c:pt idx="2728">
                  <c:v>242.11500000000001</c:v>
                </c:pt>
                <c:pt idx="2729">
                  <c:v>242.11799999999999</c:v>
                </c:pt>
                <c:pt idx="2730">
                  <c:v>242.11799999999999</c:v>
                </c:pt>
                <c:pt idx="2731">
                  <c:v>242.11799999999999</c:v>
                </c:pt>
                <c:pt idx="2732">
                  <c:v>242.11799999999999</c:v>
                </c:pt>
                <c:pt idx="2733">
                  <c:v>242.11799999999999</c:v>
                </c:pt>
                <c:pt idx="2734">
                  <c:v>242.11799999999999</c:v>
                </c:pt>
                <c:pt idx="2735">
                  <c:v>242.11799999999999</c:v>
                </c:pt>
                <c:pt idx="2736">
                  <c:v>242.11799999999999</c:v>
                </c:pt>
                <c:pt idx="2737">
                  <c:v>242.11799999999999</c:v>
                </c:pt>
                <c:pt idx="2738">
                  <c:v>242.119</c:v>
                </c:pt>
                <c:pt idx="2739">
                  <c:v>242.119</c:v>
                </c:pt>
                <c:pt idx="2740">
                  <c:v>242.119</c:v>
                </c:pt>
                <c:pt idx="2741">
                  <c:v>242.119</c:v>
                </c:pt>
                <c:pt idx="2742">
                  <c:v>242.119</c:v>
                </c:pt>
                <c:pt idx="2743">
                  <c:v>242.119</c:v>
                </c:pt>
                <c:pt idx="2744">
                  <c:v>242.119</c:v>
                </c:pt>
                <c:pt idx="2745">
                  <c:v>242.11699999999999</c:v>
                </c:pt>
                <c:pt idx="2746">
                  <c:v>242.11699999999999</c:v>
                </c:pt>
                <c:pt idx="2747">
                  <c:v>242.11699999999999</c:v>
                </c:pt>
                <c:pt idx="2748">
                  <c:v>242.11799999999999</c:v>
                </c:pt>
                <c:pt idx="2749">
                  <c:v>242.11799999999999</c:v>
                </c:pt>
                <c:pt idx="2750">
                  <c:v>242.11799999999999</c:v>
                </c:pt>
                <c:pt idx="2751">
                  <c:v>242.11799999999999</c:v>
                </c:pt>
                <c:pt idx="2752">
                  <c:v>242.11799999999999</c:v>
                </c:pt>
                <c:pt idx="2753">
                  <c:v>242.11799999999999</c:v>
                </c:pt>
                <c:pt idx="2754">
                  <c:v>242.11799999999999</c:v>
                </c:pt>
                <c:pt idx="2755">
                  <c:v>242.11799999999999</c:v>
                </c:pt>
                <c:pt idx="2756">
                  <c:v>242.11799999999999</c:v>
                </c:pt>
                <c:pt idx="2757">
                  <c:v>242.11799999999999</c:v>
                </c:pt>
                <c:pt idx="2758">
                  <c:v>242.11799999999999</c:v>
                </c:pt>
                <c:pt idx="2759">
                  <c:v>242.11500000000001</c:v>
                </c:pt>
                <c:pt idx="2760">
                  <c:v>242.11500000000001</c:v>
                </c:pt>
                <c:pt idx="2761">
                  <c:v>242.11500000000001</c:v>
                </c:pt>
                <c:pt idx="2762">
                  <c:v>242.11500000000001</c:v>
                </c:pt>
                <c:pt idx="2763">
                  <c:v>242.11500000000001</c:v>
                </c:pt>
                <c:pt idx="2764">
                  <c:v>242.11799999999999</c:v>
                </c:pt>
                <c:pt idx="2765">
                  <c:v>242.11799999999999</c:v>
                </c:pt>
                <c:pt idx="2766">
                  <c:v>242.11799999999999</c:v>
                </c:pt>
                <c:pt idx="2767">
                  <c:v>242.11799999999999</c:v>
                </c:pt>
                <c:pt idx="2768">
                  <c:v>242.11799999999999</c:v>
                </c:pt>
                <c:pt idx="2769">
                  <c:v>242.11799999999999</c:v>
                </c:pt>
                <c:pt idx="2770">
                  <c:v>242.11799999999999</c:v>
                </c:pt>
                <c:pt idx="2771">
                  <c:v>242.11799999999999</c:v>
                </c:pt>
                <c:pt idx="2772">
                  <c:v>242.11799999999999</c:v>
                </c:pt>
                <c:pt idx="2773">
                  <c:v>242.11799999999999</c:v>
                </c:pt>
                <c:pt idx="2774">
                  <c:v>242.11799999999999</c:v>
                </c:pt>
                <c:pt idx="2775">
                  <c:v>242.11799999999999</c:v>
                </c:pt>
                <c:pt idx="2776">
                  <c:v>242.11799999999999</c:v>
                </c:pt>
                <c:pt idx="2777">
                  <c:v>242.11799999999999</c:v>
                </c:pt>
                <c:pt idx="2778">
                  <c:v>242.11799999999999</c:v>
                </c:pt>
                <c:pt idx="2779">
                  <c:v>242.11799999999999</c:v>
                </c:pt>
                <c:pt idx="2780">
                  <c:v>242.11799999999999</c:v>
                </c:pt>
                <c:pt idx="2781">
                  <c:v>242.11799999999999</c:v>
                </c:pt>
                <c:pt idx="2782">
                  <c:v>242.11799999999999</c:v>
                </c:pt>
                <c:pt idx="2783">
                  <c:v>242.11799999999999</c:v>
                </c:pt>
                <c:pt idx="2784">
                  <c:v>242.11799999999999</c:v>
                </c:pt>
                <c:pt idx="2785">
                  <c:v>242.11799999999999</c:v>
                </c:pt>
                <c:pt idx="2786">
                  <c:v>242.11799999999999</c:v>
                </c:pt>
                <c:pt idx="2787">
                  <c:v>242.11799999999999</c:v>
                </c:pt>
                <c:pt idx="2788">
                  <c:v>242.11799999999999</c:v>
                </c:pt>
                <c:pt idx="2789">
                  <c:v>242.11799999999999</c:v>
                </c:pt>
                <c:pt idx="2790">
                  <c:v>242.25399999999999</c:v>
                </c:pt>
                <c:pt idx="2791">
                  <c:v>242.25399999999999</c:v>
                </c:pt>
                <c:pt idx="2792">
                  <c:v>242.25399999999999</c:v>
                </c:pt>
                <c:pt idx="2793">
                  <c:v>242.25399999999999</c:v>
                </c:pt>
                <c:pt idx="2794">
                  <c:v>242.291</c:v>
                </c:pt>
                <c:pt idx="2795">
                  <c:v>242.291</c:v>
                </c:pt>
                <c:pt idx="2796">
                  <c:v>242.291</c:v>
                </c:pt>
                <c:pt idx="2797">
                  <c:v>242.291</c:v>
                </c:pt>
                <c:pt idx="2798">
                  <c:v>242.291</c:v>
                </c:pt>
                <c:pt idx="2799">
                  <c:v>242.291</c:v>
                </c:pt>
                <c:pt idx="2800">
                  <c:v>242.291</c:v>
                </c:pt>
                <c:pt idx="2801">
                  <c:v>242.38</c:v>
                </c:pt>
                <c:pt idx="2802">
                  <c:v>242.38</c:v>
                </c:pt>
                <c:pt idx="2803">
                  <c:v>242.38</c:v>
                </c:pt>
                <c:pt idx="2804">
                  <c:v>242.38</c:v>
                </c:pt>
                <c:pt idx="2805">
                  <c:v>242.38</c:v>
                </c:pt>
                <c:pt idx="2806">
                  <c:v>242.4</c:v>
                </c:pt>
                <c:pt idx="2807">
                  <c:v>242.4</c:v>
                </c:pt>
                <c:pt idx="2808">
                  <c:v>242.4</c:v>
                </c:pt>
                <c:pt idx="2809">
                  <c:v>242.4</c:v>
                </c:pt>
                <c:pt idx="2810">
                  <c:v>242.41300000000001</c:v>
                </c:pt>
                <c:pt idx="2811">
                  <c:v>242.41300000000001</c:v>
                </c:pt>
                <c:pt idx="2812">
                  <c:v>242.434</c:v>
                </c:pt>
                <c:pt idx="2813">
                  <c:v>242.434</c:v>
                </c:pt>
                <c:pt idx="2814">
                  <c:v>242.434</c:v>
                </c:pt>
                <c:pt idx="2815">
                  <c:v>242.434</c:v>
                </c:pt>
                <c:pt idx="2816">
                  <c:v>242.441</c:v>
                </c:pt>
                <c:pt idx="2817">
                  <c:v>242.441</c:v>
                </c:pt>
                <c:pt idx="2818">
                  <c:v>242.441</c:v>
                </c:pt>
                <c:pt idx="2819">
                  <c:v>242.441</c:v>
                </c:pt>
                <c:pt idx="2820">
                  <c:v>242.441</c:v>
                </c:pt>
                <c:pt idx="2821">
                  <c:v>242.441</c:v>
                </c:pt>
                <c:pt idx="2822">
                  <c:v>242.441</c:v>
                </c:pt>
                <c:pt idx="2823">
                  <c:v>242.45500000000001</c:v>
                </c:pt>
                <c:pt idx="2824">
                  <c:v>242.45500000000001</c:v>
                </c:pt>
                <c:pt idx="2825">
                  <c:v>242.45500000000001</c:v>
                </c:pt>
                <c:pt idx="2826">
                  <c:v>242.45500000000001</c:v>
                </c:pt>
                <c:pt idx="2827">
                  <c:v>242.45500000000001</c:v>
                </c:pt>
                <c:pt idx="2828">
                  <c:v>242.459</c:v>
                </c:pt>
                <c:pt idx="2829">
                  <c:v>242.459</c:v>
                </c:pt>
                <c:pt idx="2830">
                  <c:v>242.459</c:v>
                </c:pt>
                <c:pt idx="2831">
                  <c:v>242.459</c:v>
                </c:pt>
                <c:pt idx="2832">
                  <c:v>242.46100000000001</c:v>
                </c:pt>
                <c:pt idx="2833">
                  <c:v>242.46100000000001</c:v>
                </c:pt>
                <c:pt idx="2834">
                  <c:v>242.46100000000001</c:v>
                </c:pt>
                <c:pt idx="2835">
                  <c:v>242.46100000000001</c:v>
                </c:pt>
                <c:pt idx="2836">
                  <c:v>242.46100000000001</c:v>
                </c:pt>
                <c:pt idx="2837">
                  <c:v>242.46100000000001</c:v>
                </c:pt>
                <c:pt idx="2838">
                  <c:v>242.465</c:v>
                </c:pt>
                <c:pt idx="2839">
                  <c:v>242.465</c:v>
                </c:pt>
                <c:pt idx="2840">
                  <c:v>242.465</c:v>
                </c:pt>
                <c:pt idx="2841">
                  <c:v>242.465</c:v>
                </c:pt>
                <c:pt idx="2842">
                  <c:v>242.465</c:v>
                </c:pt>
                <c:pt idx="2843">
                  <c:v>242.465</c:v>
                </c:pt>
                <c:pt idx="2844">
                  <c:v>242.465</c:v>
                </c:pt>
                <c:pt idx="2845">
                  <c:v>242.465</c:v>
                </c:pt>
                <c:pt idx="2846">
                  <c:v>242.46600000000001</c:v>
                </c:pt>
                <c:pt idx="2847">
                  <c:v>242.46600000000001</c:v>
                </c:pt>
                <c:pt idx="2848">
                  <c:v>242.46600000000001</c:v>
                </c:pt>
                <c:pt idx="2849">
                  <c:v>242.46600000000001</c:v>
                </c:pt>
                <c:pt idx="2850">
                  <c:v>242.46799999999999</c:v>
                </c:pt>
                <c:pt idx="2851">
                  <c:v>242.46799999999999</c:v>
                </c:pt>
                <c:pt idx="2852">
                  <c:v>242.46799999999999</c:v>
                </c:pt>
                <c:pt idx="2853">
                  <c:v>242.46799999999999</c:v>
                </c:pt>
                <c:pt idx="2854">
                  <c:v>242.46899999999999</c:v>
                </c:pt>
                <c:pt idx="2855">
                  <c:v>242.46899999999999</c:v>
                </c:pt>
                <c:pt idx="2856">
                  <c:v>242.46899999999999</c:v>
                </c:pt>
                <c:pt idx="2857">
                  <c:v>242.46899999999999</c:v>
                </c:pt>
                <c:pt idx="2858">
                  <c:v>242.46899999999999</c:v>
                </c:pt>
                <c:pt idx="2859">
                  <c:v>242.46899999999999</c:v>
                </c:pt>
                <c:pt idx="2860">
                  <c:v>242.46899999999999</c:v>
                </c:pt>
                <c:pt idx="2861">
                  <c:v>242.46899999999999</c:v>
                </c:pt>
                <c:pt idx="2862">
                  <c:v>242.465</c:v>
                </c:pt>
                <c:pt idx="2863">
                  <c:v>242.465</c:v>
                </c:pt>
                <c:pt idx="2864">
                  <c:v>242.465</c:v>
                </c:pt>
                <c:pt idx="2865">
                  <c:v>242.465</c:v>
                </c:pt>
                <c:pt idx="2866">
                  <c:v>242.47</c:v>
                </c:pt>
                <c:pt idx="2867">
                  <c:v>242.47</c:v>
                </c:pt>
                <c:pt idx="2868">
                  <c:v>242.47</c:v>
                </c:pt>
                <c:pt idx="2869">
                  <c:v>242.47</c:v>
                </c:pt>
                <c:pt idx="2870">
                  <c:v>242.47</c:v>
                </c:pt>
                <c:pt idx="2871">
                  <c:v>242.47</c:v>
                </c:pt>
                <c:pt idx="2872">
                  <c:v>242.47</c:v>
                </c:pt>
                <c:pt idx="2873">
                  <c:v>242.47</c:v>
                </c:pt>
                <c:pt idx="2874">
                  <c:v>242.47</c:v>
                </c:pt>
                <c:pt idx="2875">
                  <c:v>242.47</c:v>
                </c:pt>
                <c:pt idx="2876">
                  <c:v>242.47</c:v>
                </c:pt>
                <c:pt idx="2877">
                  <c:v>242.47</c:v>
                </c:pt>
                <c:pt idx="2878">
                  <c:v>242.47</c:v>
                </c:pt>
                <c:pt idx="2879">
                  <c:v>242.47</c:v>
                </c:pt>
                <c:pt idx="2880">
                  <c:v>242.47</c:v>
                </c:pt>
                <c:pt idx="2881">
                  <c:v>242.47</c:v>
                </c:pt>
                <c:pt idx="2882">
                  <c:v>242.47</c:v>
                </c:pt>
                <c:pt idx="2883">
                  <c:v>242.47</c:v>
                </c:pt>
                <c:pt idx="2884">
                  <c:v>242.47</c:v>
                </c:pt>
                <c:pt idx="2885">
                  <c:v>242.47</c:v>
                </c:pt>
                <c:pt idx="2886">
                  <c:v>242.47</c:v>
                </c:pt>
                <c:pt idx="2887">
                  <c:v>242.47</c:v>
                </c:pt>
                <c:pt idx="2888">
                  <c:v>242.47</c:v>
                </c:pt>
                <c:pt idx="2889">
                  <c:v>242.47</c:v>
                </c:pt>
                <c:pt idx="2890">
                  <c:v>242.47</c:v>
                </c:pt>
                <c:pt idx="2891">
                  <c:v>242.47</c:v>
                </c:pt>
                <c:pt idx="2892">
                  <c:v>242.47</c:v>
                </c:pt>
                <c:pt idx="2893">
                  <c:v>242.47</c:v>
                </c:pt>
                <c:pt idx="2894">
                  <c:v>242.47</c:v>
                </c:pt>
                <c:pt idx="2895">
                  <c:v>242.47</c:v>
                </c:pt>
                <c:pt idx="2896">
                  <c:v>242.47</c:v>
                </c:pt>
                <c:pt idx="2897">
                  <c:v>242.47</c:v>
                </c:pt>
                <c:pt idx="2898">
                  <c:v>242.47</c:v>
                </c:pt>
                <c:pt idx="2899">
                  <c:v>242.47</c:v>
                </c:pt>
                <c:pt idx="2900">
                  <c:v>242.464</c:v>
                </c:pt>
                <c:pt idx="2901">
                  <c:v>242.464</c:v>
                </c:pt>
                <c:pt idx="2902">
                  <c:v>242.464</c:v>
                </c:pt>
                <c:pt idx="2903">
                  <c:v>242.464</c:v>
                </c:pt>
                <c:pt idx="2904">
                  <c:v>242.464</c:v>
                </c:pt>
                <c:pt idx="2905">
                  <c:v>242.46600000000001</c:v>
                </c:pt>
                <c:pt idx="2906">
                  <c:v>242.46600000000001</c:v>
                </c:pt>
                <c:pt idx="2907">
                  <c:v>242.46600000000001</c:v>
                </c:pt>
                <c:pt idx="2908">
                  <c:v>242.46700000000001</c:v>
                </c:pt>
                <c:pt idx="2909">
                  <c:v>242.46700000000001</c:v>
                </c:pt>
                <c:pt idx="2910">
                  <c:v>242.46700000000001</c:v>
                </c:pt>
                <c:pt idx="2911">
                  <c:v>242.46700000000001</c:v>
                </c:pt>
                <c:pt idx="2912">
                  <c:v>242.46199999999999</c:v>
                </c:pt>
                <c:pt idx="2913">
                  <c:v>242.46199999999999</c:v>
                </c:pt>
                <c:pt idx="2914">
                  <c:v>242.46199999999999</c:v>
                </c:pt>
                <c:pt idx="2915">
                  <c:v>242.46199999999999</c:v>
                </c:pt>
                <c:pt idx="2916">
                  <c:v>242.46199999999999</c:v>
                </c:pt>
                <c:pt idx="2917">
                  <c:v>242.46899999999999</c:v>
                </c:pt>
                <c:pt idx="2918">
                  <c:v>242.46899999999999</c:v>
                </c:pt>
                <c:pt idx="2919">
                  <c:v>242.46899999999999</c:v>
                </c:pt>
                <c:pt idx="2920">
                  <c:v>242.46899999999999</c:v>
                </c:pt>
                <c:pt idx="2921">
                  <c:v>242.46899999999999</c:v>
                </c:pt>
                <c:pt idx="2922">
                  <c:v>242.46899999999999</c:v>
                </c:pt>
                <c:pt idx="2923">
                  <c:v>242.46899999999999</c:v>
                </c:pt>
                <c:pt idx="2924">
                  <c:v>242.46899999999999</c:v>
                </c:pt>
                <c:pt idx="2925">
                  <c:v>242.46899999999999</c:v>
                </c:pt>
                <c:pt idx="2926">
                  <c:v>242.46899999999999</c:v>
                </c:pt>
                <c:pt idx="2927">
                  <c:v>242.46899999999999</c:v>
                </c:pt>
                <c:pt idx="2928">
                  <c:v>242.47</c:v>
                </c:pt>
                <c:pt idx="2929">
                  <c:v>242.47</c:v>
                </c:pt>
                <c:pt idx="2930">
                  <c:v>242.47</c:v>
                </c:pt>
                <c:pt idx="2931">
                  <c:v>242.47</c:v>
                </c:pt>
                <c:pt idx="2932">
                  <c:v>242.47</c:v>
                </c:pt>
                <c:pt idx="2933">
                  <c:v>242.47</c:v>
                </c:pt>
                <c:pt idx="2934">
                  <c:v>242.47</c:v>
                </c:pt>
                <c:pt idx="2935">
                  <c:v>242.47</c:v>
                </c:pt>
                <c:pt idx="2936">
                  <c:v>242.47</c:v>
                </c:pt>
                <c:pt idx="2937">
                  <c:v>242.47</c:v>
                </c:pt>
                <c:pt idx="2938">
                  <c:v>242.47</c:v>
                </c:pt>
                <c:pt idx="2939">
                  <c:v>242.47</c:v>
                </c:pt>
                <c:pt idx="2940">
                  <c:v>242.47</c:v>
                </c:pt>
                <c:pt idx="2941">
                  <c:v>242.47</c:v>
                </c:pt>
                <c:pt idx="2942">
                  <c:v>242.47</c:v>
                </c:pt>
                <c:pt idx="2943">
                  <c:v>242.47</c:v>
                </c:pt>
                <c:pt idx="2944">
                  <c:v>242.47</c:v>
                </c:pt>
                <c:pt idx="2945">
                  <c:v>242.47</c:v>
                </c:pt>
                <c:pt idx="2946">
                  <c:v>242.47</c:v>
                </c:pt>
                <c:pt idx="2947">
                  <c:v>242.47</c:v>
                </c:pt>
                <c:pt idx="2948">
                  <c:v>242.47</c:v>
                </c:pt>
                <c:pt idx="2949">
                  <c:v>242.47</c:v>
                </c:pt>
                <c:pt idx="2950">
                  <c:v>242.47</c:v>
                </c:pt>
                <c:pt idx="2951">
                  <c:v>242.47</c:v>
                </c:pt>
                <c:pt idx="2952">
                  <c:v>242.46600000000001</c:v>
                </c:pt>
                <c:pt idx="2953">
                  <c:v>242.46600000000001</c:v>
                </c:pt>
                <c:pt idx="2954">
                  <c:v>242.46600000000001</c:v>
                </c:pt>
                <c:pt idx="2955">
                  <c:v>242.46600000000001</c:v>
                </c:pt>
                <c:pt idx="2956">
                  <c:v>242.46600000000001</c:v>
                </c:pt>
                <c:pt idx="2957">
                  <c:v>242.46600000000001</c:v>
                </c:pt>
                <c:pt idx="2958">
                  <c:v>242.46600000000001</c:v>
                </c:pt>
                <c:pt idx="2959">
                  <c:v>242.46600000000001</c:v>
                </c:pt>
                <c:pt idx="2960">
                  <c:v>242.46600000000001</c:v>
                </c:pt>
                <c:pt idx="2961">
                  <c:v>242.595</c:v>
                </c:pt>
                <c:pt idx="2962">
                  <c:v>242.595</c:v>
                </c:pt>
                <c:pt idx="2963">
                  <c:v>242.637</c:v>
                </c:pt>
                <c:pt idx="2964">
                  <c:v>242.679</c:v>
                </c:pt>
                <c:pt idx="2965">
                  <c:v>242.679</c:v>
                </c:pt>
                <c:pt idx="2966">
                  <c:v>242.679</c:v>
                </c:pt>
                <c:pt idx="2967">
                  <c:v>242.679</c:v>
                </c:pt>
                <c:pt idx="2968">
                  <c:v>242.70599999999999</c:v>
                </c:pt>
                <c:pt idx="2969">
                  <c:v>242.70599999999999</c:v>
                </c:pt>
                <c:pt idx="2970">
                  <c:v>242.70599999999999</c:v>
                </c:pt>
                <c:pt idx="2971">
                  <c:v>242.70599999999999</c:v>
                </c:pt>
                <c:pt idx="2972">
                  <c:v>242.70599999999999</c:v>
                </c:pt>
                <c:pt idx="2973">
                  <c:v>242.70599999999999</c:v>
                </c:pt>
                <c:pt idx="2974">
                  <c:v>242.70599999999999</c:v>
                </c:pt>
                <c:pt idx="2975">
                  <c:v>242.70599999999999</c:v>
                </c:pt>
                <c:pt idx="2976">
                  <c:v>242.76400000000001</c:v>
                </c:pt>
                <c:pt idx="2977">
                  <c:v>242.76400000000001</c:v>
                </c:pt>
                <c:pt idx="2978">
                  <c:v>242.76400000000001</c:v>
                </c:pt>
                <c:pt idx="2979">
                  <c:v>242.76400000000001</c:v>
                </c:pt>
                <c:pt idx="2980">
                  <c:v>242.77699999999999</c:v>
                </c:pt>
                <c:pt idx="2981">
                  <c:v>242.77699999999999</c:v>
                </c:pt>
                <c:pt idx="2982">
                  <c:v>242.77699999999999</c:v>
                </c:pt>
                <c:pt idx="2983">
                  <c:v>242.77699999999999</c:v>
                </c:pt>
                <c:pt idx="2984">
                  <c:v>242.786</c:v>
                </c:pt>
                <c:pt idx="2985">
                  <c:v>242.786</c:v>
                </c:pt>
                <c:pt idx="2986">
                  <c:v>242.786</c:v>
                </c:pt>
                <c:pt idx="2987">
                  <c:v>242.786</c:v>
                </c:pt>
                <c:pt idx="2988">
                  <c:v>242.786</c:v>
                </c:pt>
                <c:pt idx="2989">
                  <c:v>242.8</c:v>
                </c:pt>
                <c:pt idx="2990">
                  <c:v>242.8</c:v>
                </c:pt>
                <c:pt idx="2991">
                  <c:v>242.804</c:v>
                </c:pt>
                <c:pt idx="2992">
                  <c:v>242.804</c:v>
                </c:pt>
                <c:pt idx="2993">
                  <c:v>242.804</c:v>
                </c:pt>
                <c:pt idx="2994">
                  <c:v>242.804</c:v>
                </c:pt>
                <c:pt idx="2995">
                  <c:v>242.804</c:v>
                </c:pt>
                <c:pt idx="2996">
                  <c:v>242.804</c:v>
                </c:pt>
                <c:pt idx="2997">
                  <c:v>242.804</c:v>
                </c:pt>
                <c:pt idx="2998">
                  <c:v>242.804</c:v>
                </c:pt>
                <c:pt idx="2999">
                  <c:v>242.804</c:v>
                </c:pt>
                <c:pt idx="3000">
                  <c:v>242.81100000000001</c:v>
                </c:pt>
                <c:pt idx="3001">
                  <c:v>242.81299999999999</c:v>
                </c:pt>
                <c:pt idx="3002">
                  <c:v>242.816</c:v>
                </c:pt>
                <c:pt idx="3003">
                  <c:v>242.816</c:v>
                </c:pt>
                <c:pt idx="3004">
                  <c:v>242.816</c:v>
                </c:pt>
                <c:pt idx="3005">
                  <c:v>242.816</c:v>
                </c:pt>
                <c:pt idx="3006">
                  <c:v>242.81700000000001</c:v>
                </c:pt>
                <c:pt idx="3007">
                  <c:v>242.81700000000001</c:v>
                </c:pt>
                <c:pt idx="3008">
                  <c:v>242.81700000000001</c:v>
                </c:pt>
                <c:pt idx="3009">
                  <c:v>242.81700000000001</c:v>
                </c:pt>
                <c:pt idx="3010">
                  <c:v>242.81700000000001</c:v>
                </c:pt>
                <c:pt idx="3011">
                  <c:v>242.81700000000001</c:v>
                </c:pt>
                <c:pt idx="3012">
                  <c:v>242.81700000000001</c:v>
                </c:pt>
                <c:pt idx="3013">
                  <c:v>242.82</c:v>
                </c:pt>
                <c:pt idx="3014">
                  <c:v>242.82</c:v>
                </c:pt>
                <c:pt idx="3015">
                  <c:v>242.82</c:v>
                </c:pt>
                <c:pt idx="3016">
                  <c:v>242.82</c:v>
                </c:pt>
                <c:pt idx="3017">
                  <c:v>242.821</c:v>
                </c:pt>
                <c:pt idx="3018">
                  <c:v>242.821</c:v>
                </c:pt>
                <c:pt idx="3019">
                  <c:v>242.821</c:v>
                </c:pt>
                <c:pt idx="3020">
                  <c:v>242.821</c:v>
                </c:pt>
                <c:pt idx="3021">
                  <c:v>242.821</c:v>
                </c:pt>
                <c:pt idx="3022">
                  <c:v>242.821</c:v>
                </c:pt>
                <c:pt idx="3023">
                  <c:v>242.821</c:v>
                </c:pt>
                <c:pt idx="3024">
                  <c:v>242.822</c:v>
                </c:pt>
                <c:pt idx="3025">
                  <c:v>242.822</c:v>
                </c:pt>
                <c:pt idx="3026">
                  <c:v>242.822</c:v>
                </c:pt>
                <c:pt idx="3027">
                  <c:v>242.822</c:v>
                </c:pt>
                <c:pt idx="3028">
                  <c:v>242.822</c:v>
                </c:pt>
                <c:pt idx="3029">
                  <c:v>242.822</c:v>
                </c:pt>
                <c:pt idx="3030">
                  <c:v>242.822</c:v>
                </c:pt>
                <c:pt idx="3031">
                  <c:v>242.822</c:v>
                </c:pt>
                <c:pt idx="3032">
                  <c:v>242.822</c:v>
                </c:pt>
                <c:pt idx="3033">
                  <c:v>242.822</c:v>
                </c:pt>
                <c:pt idx="3034">
                  <c:v>242.822</c:v>
                </c:pt>
                <c:pt idx="3035">
                  <c:v>242.822</c:v>
                </c:pt>
                <c:pt idx="3036">
                  <c:v>242.82300000000001</c:v>
                </c:pt>
                <c:pt idx="3037">
                  <c:v>242.82300000000001</c:v>
                </c:pt>
                <c:pt idx="3038">
                  <c:v>242.82300000000001</c:v>
                </c:pt>
                <c:pt idx="3039">
                  <c:v>242.822</c:v>
                </c:pt>
                <c:pt idx="3040">
                  <c:v>242.822</c:v>
                </c:pt>
                <c:pt idx="3041">
                  <c:v>242.822</c:v>
                </c:pt>
                <c:pt idx="3042">
                  <c:v>242.822</c:v>
                </c:pt>
                <c:pt idx="3043">
                  <c:v>242.82300000000001</c:v>
                </c:pt>
                <c:pt idx="3044">
                  <c:v>242.82300000000001</c:v>
                </c:pt>
                <c:pt idx="3045">
                  <c:v>242.82300000000001</c:v>
                </c:pt>
                <c:pt idx="3046">
                  <c:v>242.82300000000001</c:v>
                </c:pt>
                <c:pt idx="3047">
                  <c:v>242.82300000000001</c:v>
                </c:pt>
                <c:pt idx="3048">
                  <c:v>242.82300000000001</c:v>
                </c:pt>
                <c:pt idx="3049">
                  <c:v>242.82400000000001</c:v>
                </c:pt>
                <c:pt idx="3050">
                  <c:v>242.82400000000001</c:v>
                </c:pt>
                <c:pt idx="3051">
                  <c:v>242.82400000000001</c:v>
                </c:pt>
                <c:pt idx="3052">
                  <c:v>242.82400000000001</c:v>
                </c:pt>
                <c:pt idx="3053">
                  <c:v>242.82400000000001</c:v>
                </c:pt>
                <c:pt idx="3054">
                  <c:v>242.82400000000001</c:v>
                </c:pt>
                <c:pt idx="3055">
                  <c:v>242.82400000000001</c:v>
                </c:pt>
                <c:pt idx="3056">
                  <c:v>242.82400000000001</c:v>
                </c:pt>
                <c:pt idx="3057">
                  <c:v>242.82400000000001</c:v>
                </c:pt>
                <c:pt idx="3058">
                  <c:v>242.82400000000001</c:v>
                </c:pt>
                <c:pt idx="3059">
                  <c:v>242.82400000000001</c:v>
                </c:pt>
                <c:pt idx="3060">
                  <c:v>242.82300000000001</c:v>
                </c:pt>
                <c:pt idx="3061">
                  <c:v>242.82300000000001</c:v>
                </c:pt>
                <c:pt idx="3062">
                  <c:v>242.82300000000001</c:v>
                </c:pt>
                <c:pt idx="3063">
                  <c:v>242.82300000000001</c:v>
                </c:pt>
                <c:pt idx="3064">
                  <c:v>242.82400000000001</c:v>
                </c:pt>
                <c:pt idx="3065">
                  <c:v>242.82400000000001</c:v>
                </c:pt>
                <c:pt idx="3066">
                  <c:v>242.82400000000001</c:v>
                </c:pt>
                <c:pt idx="3067">
                  <c:v>242.82400000000001</c:v>
                </c:pt>
                <c:pt idx="3068">
                  <c:v>242.82400000000001</c:v>
                </c:pt>
                <c:pt idx="3069">
                  <c:v>242.82400000000001</c:v>
                </c:pt>
                <c:pt idx="3070">
                  <c:v>242.82400000000001</c:v>
                </c:pt>
                <c:pt idx="3071">
                  <c:v>242.82400000000001</c:v>
                </c:pt>
                <c:pt idx="3072">
                  <c:v>242.82400000000001</c:v>
                </c:pt>
                <c:pt idx="3073">
                  <c:v>242.82400000000001</c:v>
                </c:pt>
                <c:pt idx="3074">
                  <c:v>242.82400000000001</c:v>
                </c:pt>
                <c:pt idx="3075">
                  <c:v>242.82400000000001</c:v>
                </c:pt>
                <c:pt idx="3076">
                  <c:v>242.82400000000001</c:v>
                </c:pt>
                <c:pt idx="3077">
                  <c:v>242.82400000000001</c:v>
                </c:pt>
                <c:pt idx="3078">
                  <c:v>242.82400000000001</c:v>
                </c:pt>
                <c:pt idx="3079">
                  <c:v>242.82400000000001</c:v>
                </c:pt>
                <c:pt idx="3080">
                  <c:v>242.88900000000001</c:v>
                </c:pt>
                <c:pt idx="3081">
                  <c:v>242.88900000000001</c:v>
                </c:pt>
                <c:pt idx="3082">
                  <c:v>242.88900000000001</c:v>
                </c:pt>
                <c:pt idx="3083">
                  <c:v>242.88900000000001</c:v>
                </c:pt>
                <c:pt idx="3084">
                  <c:v>242.88900000000001</c:v>
                </c:pt>
                <c:pt idx="3085">
                  <c:v>242.995</c:v>
                </c:pt>
                <c:pt idx="3086">
                  <c:v>243.02600000000001</c:v>
                </c:pt>
                <c:pt idx="3087">
                  <c:v>243.02600000000001</c:v>
                </c:pt>
                <c:pt idx="3088">
                  <c:v>243.02600000000001</c:v>
                </c:pt>
                <c:pt idx="3089">
                  <c:v>243.02600000000001</c:v>
                </c:pt>
                <c:pt idx="3090">
                  <c:v>243.02600000000001</c:v>
                </c:pt>
                <c:pt idx="3091">
                  <c:v>243.06299999999999</c:v>
                </c:pt>
                <c:pt idx="3092">
                  <c:v>243.06299999999999</c:v>
                </c:pt>
                <c:pt idx="3093">
                  <c:v>243.06299999999999</c:v>
                </c:pt>
                <c:pt idx="3094">
                  <c:v>243.06299999999999</c:v>
                </c:pt>
                <c:pt idx="3095">
                  <c:v>243.08500000000001</c:v>
                </c:pt>
                <c:pt idx="3096">
                  <c:v>243.08500000000001</c:v>
                </c:pt>
                <c:pt idx="3097">
                  <c:v>243.08500000000001</c:v>
                </c:pt>
                <c:pt idx="3098">
                  <c:v>243.119</c:v>
                </c:pt>
                <c:pt idx="3099">
                  <c:v>243.119</c:v>
                </c:pt>
                <c:pt idx="3100">
                  <c:v>243.119</c:v>
                </c:pt>
                <c:pt idx="3101">
                  <c:v>243.13</c:v>
                </c:pt>
                <c:pt idx="3102">
                  <c:v>243.13</c:v>
                </c:pt>
                <c:pt idx="3103">
                  <c:v>243.13</c:v>
                </c:pt>
                <c:pt idx="3104">
                  <c:v>243.13</c:v>
                </c:pt>
                <c:pt idx="3105">
                  <c:v>243.13</c:v>
                </c:pt>
                <c:pt idx="3106">
                  <c:v>243.13</c:v>
                </c:pt>
                <c:pt idx="3107">
                  <c:v>243.13</c:v>
                </c:pt>
                <c:pt idx="3108">
                  <c:v>243.13</c:v>
                </c:pt>
                <c:pt idx="3109">
                  <c:v>243.13</c:v>
                </c:pt>
                <c:pt idx="3110">
                  <c:v>243.148</c:v>
                </c:pt>
                <c:pt idx="3111">
                  <c:v>243.15299999999999</c:v>
                </c:pt>
                <c:pt idx="3112">
                  <c:v>243.15899999999999</c:v>
                </c:pt>
                <c:pt idx="3113">
                  <c:v>243.15899999999999</c:v>
                </c:pt>
                <c:pt idx="3114">
                  <c:v>243.15899999999999</c:v>
                </c:pt>
                <c:pt idx="3115">
                  <c:v>243.15899999999999</c:v>
                </c:pt>
                <c:pt idx="3116">
                  <c:v>243.16300000000001</c:v>
                </c:pt>
                <c:pt idx="3117">
                  <c:v>243.16300000000001</c:v>
                </c:pt>
                <c:pt idx="3118">
                  <c:v>243.16300000000001</c:v>
                </c:pt>
                <c:pt idx="3119">
                  <c:v>243.16300000000001</c:v>
                </c:pt>
                <c:pt idx="3120">
                  <c:v>243.16300000000001</c:v>
                </c:pt>
                <c:pt idx="3121">
                  <c:v>243.16300000000001</c:v>
                </c:pt>
                <c:pt idx="3122">
                  <c:v>243.16300000000001</c:v>
                </c:pt>
                <c:pt idx="3123">
                  <c:v>243.16300000000001</c:v>
                </c:pt>
                <c:pt idx="3124">
                  <c:v>243.17</c:v>
                </c:pt>
                <c:pt idx="3125">
                  <c:v>243.17</c:v>
                </c:pt>
                <c:pt idx="3126">
                  <c:v>243.17</c:v>
                </c:pt>
                <c:pt idx="3127">
                  <c:v>243.172</c:v>
                </c:pt>
                <c:pt idx="3128">
                  <c:v>243.172</c:v>
                </c:pt>
                <c:pt idx="3129">
                  <c:v>243.172</c:v>
                </c:pt>
                <c:pt idx="3130">
                  <c:v>243.172</c:v>
                </c:pt>
                <c:pt idx="3131">
                  <c:v>243.173</c:v>
                </c:pt>
                <c:pt idx="3132">
                  <c:v>243.173</c:v>
                </c:pt>
                <c:pt idx="3133">
                  <c:v>243.173</c:v>
                </c:pt>
                <c:pt idx="3134">
                  <c:v>243.173</c:v>
                </c:pt>
                <c:pt idx="3135">
                  <c:v>243.173</c:v>
                </c:pt>
                <c:pt idx="3136">
                  <c:v>243.17400000000001</c:v>
                </c:pt>
                <c:pt idx="3137">
                  <c:v>243.17500000000001</c:v>
                </c:pt>
                <c:pt idx="3138">
                  <c:v>243.17500000000001</c:v>
                </c:pt>
                <c:pt idx="3139">
                  <c:v>243.17500000000001</c:v>
                </c:pt>
                <c:pt idx="3140">
                  <c:v>243.17500000000001</c:v>
                </c:pt>
                <c:pt idx="3141">
                  <c:v>243.172</c:v>
                </c:pt>
                <c:pt idx="3142">
                  <c:v>243.172</c:v>
                </c:pt>
                <c:pt idx="3143">
                  <c:v>243.172</c:v>
                </c:pt>
                <c:pt idx="3144">
                  <c:v>243.172</c:v>
                </c:pt>
                <c:pt idx="3145">
                  <c:v>243.172</c:v>
                </c:pt>
                <c:pt idx="3146">
                  <c:v>243.172</c:v>
                </c:pt>
                <c:pt idx="3147">
                  <c:v>243.172</c:v>
                </c:pt>
                <c:pt idx="3148">
                  <c:v>243.172</c:v>
                </c:pt>
                <c:pt idx="3149">
                  <c:v>243.172</c:v>
                </c:pt>
                <c:pt idx="3150">
                  <c:v>243.16900000000001</c:v>
                </c:pt>
                <c:pt idx="3151">
                  <c:v>243.16900000000001</c:v>
                </c:pt>
                <c:pt idx="3152">
                  <c:v>243.17699999999999</c:v>
                </c:pt>
                <c:pt idx="3153">
                  <c:v>243.17699999999999</c:v>
                </c:pt>
                <c:pt idx="3154">
                  <c:v>243.17699999999999</c:v>
                </c:pt>
                <c:pt idx="3155">
                  <c:v>243.17699999999999</c:v>
                </c:pt>
                <c:pt idx="3156">
                  <c:v>243.19499999999999</c:v>
                </c:pt>
                <c:pt idx="3157">
                  <c:v>243.19499999999999</c:v>
                </c:pt>
                <c:pt idx="3158">
                  <c:v>243.19499999999999</c:v>
                </c:pt>
                <c:pt idx="3159">
                  <c:v>243.19499999999999</c:v>
                </c:pt>
                <c:pt idx="3160">
                  <c:v>243.19499999999999</c:v>
                </c:pt>
                <c:pt idx="3161">
                  <c:v>243.19499999999999</c:v>
                </c:pt>
                <c:pt idx="3162">
                  <c:v>243.19499999999999</c:v>
                </c:pt>
                <c:pt idx="3163">
                  <c:v>243.19499999999999</c:v>
                </c:pt>
                <c:pt idx="3164">
                  <c:v>243.36</c:v>
                </c:pt>
                <c:pt idx="3165">
                  <c:v>243.36</c:v>
                </c:pt>
                <c:pt idx="3166">
                  <c:v>243.36</c:v>
                </c:pt>
                <c:pt idx="3167">
                  <c:v>243.398</c:v>
                </c:pt>
                <c:pt idx="3168">
                  <c:v>243.398</c:v>
                </c:pt>
                <c:pt idx="3169">
                  <c:v>243.398</c:v>
                </c:pt>
                <c:pt idx="3170">
                  <c:v>243.398</c:v>
                </c:pt>
                <c:pt idx="3171">
                  <c:v>243.42400000000001</c:v>
                </c:pt>
                <c:pt idx="3172">
                  <c:v>243.42400000000001</c:v>
                </c:pt>
                <c:pt idx="3173">
                  <c:v>243.42400000000001</c:v>
                </c:pt>
                <c:pt idx="3174">
                  <c:v>243.42400000000001</c:v>
                </c:pt>
                <c:pt idx="3175">
                  <c:v>243.42400000000001</c:v>
                </c:pt>
                <c:pt idx="3176">
                  <c:v>243.42400000000001</c:v>
                </c:pt>
                <c:pt idx="3177">
                  <c:v>243.42400000000001</c:v>
                </c:pt>
                <c:pt idx="3178">
                  <c:v>243.42400000000001</c:v>
                </c:pt>
                <c:pt idx="3179">
                  <c:v>243.477</c:v>
                </c:pt>
                <c:pt idx="3180">
                  <c:v>243.477</c:v>
                </c:pt>
                <c:pt idx="3181">
                  <c:v>243.49</c:v>
                </c:pt>
                <c:pt idx="3182">
                  <c:v>243.49</c:v>
                </c:pt>
                <c:pt idx="3183">
                  <c:v>243.49</c:v>
                </c:pt>
                <c:pt idx="3184">
                  <c:v>243.49</c:v>
                </c:pt>
                <c:pt idx="3185">
                  <c:v>243.49799999999999</c:v>
                </c:pt>
                <c:pt idx="3186">
                  <c:v>243.49799999999999</c:v>
                </c:pt>
                <c:pt idx="3187">
                  <c:v>243.49799999999999</c:v>
                </c:pt>
                <c:pt idx="3188">
                  <c:v>243.49799999999999</c:v>
                </c:pt>
                <c:pt idx="3189">
                  <c:v>243.49799999999999</c:v>
                </c:pt>
                <c:pt idx="3190">
                  <c:v>243.49799999999999</c:v>
                </c:pt>
                <c:pt idx="3191">
                  <c:v>243.49799999999999</c:v>
                </c:pt>
                <c:pt idx="3192">
                  <c:v>243.49799999999999</c:v>
                </c:pt>
                <c:pt idx="3193">
                  <c:v>243.51499999999999</c:v>
                </c:pt>
                <c:pt idx="3194">
                  <c:v>243.51499999999999</c:v>
                </c:pt>
                <c:pt idx="3195">
                  <c:v>243.51900000000001</c:v>
                </c:pt>
                <c:pt idx="3196">
                  <c:v>243.51900000000001</c:v>
                </c:pt>
                <c:pt idx="3197">
                  <c:v>243.51900000000001</c:v>
                </c:pt>
                <c:pt idx="3198">
                  <c:v>243.51900000000001</c:v>
                </c:pt>
                <c:pt idx="3199">
                  <c:v>243.52199999999999</c:v>
                </c:pt>
                <c:pt idx="3200">
                  <c:v>243.52199999999999</c:v>
                </c:pt>
                <c:pt idx="3201">
                  <c:v>243.52199999999999</c:v>
                </c:pt>
                <c:pt idx="3202">
                  <c:v>243.52199999999999</c:v>
                </c:pt>
                <c:pt idx="3203">
                  <c:v>243.52199999999999</c:v>
                </c:pt>
                <c:pt idx="3204">
                  <c:v>243.52199999999999</c:v>
                </c:pt>
                <c:pt idx="3205">
                  <c:v>243.52199999999999</c:v>
                </c:pt>
                <c:pt idx="3206">
                  <c:v>243.52199999999999</c:v>
                </c:pt>
                <c:pt idx="3207">
                  <c:v>243.63399999999999</c:v>
                </c:pt>
                <c:pt idx="3208">
                  <c:v>243.63399999999999</c:v>
                </c:pt>
                <c:pt idx="3209">
                  <c:v>243.69200000000001</c:v>
                </c:pt>
                <c:pt idx="3210">
                  <c:v>243.69200000000001</c:v>
                </c:pt>
                <c:pt idx="3211">
                  <c:v>243.69200000000001</c:v>
                </c:pt>
                <c:pt idx="3212">
                  <c:v>243.69200000000001</c:v>
                </c:pt>
                <c:pt idx="3213">
                  <c:v>243.72900000000001</c:v>
                </c:pt>
                <c:pt idx="3214">
                  <c:v>243.72900000000001</c:v>
                </c:pt>
                <c:pt idx="3215">
                  <c:v>243.72900000000001</c:v>
                </c:pt>
                <c:pt idx="3216">
                  <c:v>243.72900000000001</c:v>
                </c:pt>
                <c:pt idx="3217">
                  <c:v>243.72900000000001</c:v>
                </c:pt>
                <c:pt idx="3218">
                  <c:v>243.72900000000001</c:v>
                </c:pt>
                <c:pt idx="3219">
                  <c:v>243.72900000000001</c:v>
                </c:pt>
                <c:pt idx="3220">
                  <c:v>243.72900000000001</c:v>
                </c:pt>
                <c:pt idx="3221">
                  <c:v>243.72900000000001</c:v>
                </c:pt>
                <c:pt idx="3222">
                  <c:v>243.78399999999999</c:v>
                </c:pt>
                <c:pt idx="3223">
                  <c:v>243.82599999999999</c:v>
                </c:pt>
                <c:pt idx="3224">
                  <c:v>243.82599999999999</c:v>
                </c:pt>
                <c:pt idx="3225">
                  <c:v>243.82599999999999</c:v>
                </c:pt>
                <c:pt idx="3226">
                  <c:v>243.82599999999999</c:v>
                </c:pt>
                <c:pt idx="3227">
                  <c:v>243.83799999999999</c:v>
                </c:pt>
                <c:pt idx="3228">
                  <c:v>243.83799999999999</c:v>
                </c:pt>
                <c:pt idx="3229">
                  <c:v>243.83799999999999</c:v>
                </c:pt>
                <c:pt idx="3230">
                  <c:v>243.83799999999999</c:v>
                </c:pt>
                <c:pt idx="3231">
                  <c:v>243.83799999999999</c:v>
                </c:pt>
                <c:pt idx="3232">
                  <c:v>243.83799999999999</c:v>
                </c:pt>
                <c:pt idx="3233">
                  <c:v>243.83799999999999</c:v>
                </c:pt>
                <c:pt idx="3234">
                  <c:v>243.83799999999999</c:v>
                </c:pt>
                <c:pt idx="3235">
                  <c:v>243.83799999999999</c:v>
                </c:pt>
                <c:pt idx="3236">
                  <c:v>243.857</c:v>
                </c:pt>
                <c:pt idx="3237">
                  <c:v>243.857</c:v>
                </c:pt>
                <c:pt idx="3238">
                  <c:v>243.869</c:v>
                </c:pt>
                <c:pt idx="3239">
                  <c:v>243.869</c:v>
                </c:pt>
                <c:pt idx="3240">
                  <c:v>243.869</c:v>
                </c:pt>
                <c:pt idx="3241">
                  <c:v>243.87299999999999</c:v>
                </c:pt>
                <c:pt idx="3242">
                  <c:v>243.87299999999999</c:v>
                </c:pt>
                <c:pt idx="3243">
                  <c:v>243.87299999999999</c:v>
                </c:pt>
                <c:pt idx="3244">
                  <c:v>243.87299999999999</c:v>
                </c:pt>
                <c:pt idx="3245">
                  <c:v>243.87299999999999</c:v>
                </c:pt>
                <c:pt idx="3246">
                  <c:v>243.87700000000001</c:v>
                </c:pt>
                <c:pt idx="3247">
                  <c:v>243.87700000000001</c:v>
                </c:pt>
                <c:pt idx="3248">
                  <c:v>243.87700000000001</c:v>
                </c:pt>
                <c:pt idx="3249">
                  <c:v>243.87899999999999</c:v>
                </c:pt>
                <c:pt idx="3250">
                  <c:v>243.87899999999999</c:v>
                </c:pt>
                <c:pt idx="3251">
                  <c:v>243.87899999999999</c:v>
                </c:pt>
                <c:pt idx="3252">
                  <c:v>243.90899999999999</c:v>
                </c:pt>
                <c:pt idx="3253">
                  <c:v>243.971</c:v>
                </c:pt>
                <c:pt idx="3254">
                  <c:v>243.971</c:v>
                </c:pt>
                <c:pt idx="3255">
                  <c:v>243.971</c:v>
                </c:pt>
                <c:pt idx="3256">
                  <c:v>243.971</c:v>
                </c:pt>
                <c:pt idx="3257">
                  <c:v>243.971</c:v>
                </c:pt>
                <c:pt idx="3258">
                  <c:v>244.03399999999999</c:v>
                </c:pt>
                <c:pt idx="3259">
                  <c:v>244.03399999999999</c:v>
                </c:pt>
                <c:pt idx="3260">
                  <c:v>244.03399999999999</c:v>
                </c:pt>
                <c:pt idx="3261">
                  <c:v>244.03399999999999</c:v>
                </c:pt>
                <c:pt idx="3262">
                  <c:v>244.07400000000001</c:v>
                </c:pt>
                <c:pt idx="3263">
                  <c:v>244.07400000000001</c:v>
                </c:pt>
                <c:pt idx="3264">
                  <c:v>244.07400000000001</c:v>
                </c:pt>
                <c:pt idx="3265">
                  <c:v>244.07400000000001</c:v>
                </c:pt>
                <c:pt idx="3266">
                  <c:v>244.07400000000001</c:v>
                </c:pt>
                <c:pt idx="3267">
                  <c:v>244.07400000000001</c:v>
                </c:pt>
                <c:pt idx="3268">
                  <c:v>244.15799999999999</c:v>
                </c:pt>
                <c:pt idx="3269">
                  <c:v>244.15799999999999</c:v>
                </c:pt>
                <c:pt idx="3270">
                  <c:v>244.15799999999999</c:v>
                </c:pt>
                <c:pt idx="3271">
                  <c:v>244.178</c:v>
                </c:pt>
                <c:pt idx="3272">
                  <c:v>244.178</c:v>
                </c:pt>
                <c:pt idx="3273">
                  <c:v>244.178</c:v>
                </c:pt>
                <c:pt idx="3274">
                  <c:v>244.178</c:v>
                </c:pt>
                <c:pt idx="3275">
                  <c:v>244.18700000000001</c:v>
                </c:pt>
                <c:pt idx="3276">
                  <c:v>244.18700000000001</c:v>
                </c:pt>
                <c:pt idx="3277">
                  <c:v>244.18700000000001</c:v>
                </c:pt>
                <c:pt idx="3278">
                  <c:v>244.18700000000001</c:v>
                </c:pt>
                <c:pt idx="3279">
                  <c:v>244.18700000000001</c:v>
                </c:pt>
                <c:pt idx="3280">
                  <c:v>244.18700000000001</c:v>
                </c:pt>
                <c:pt idx="3281">
                  <c:v>244.18700000000001</c:v>
                </c:pt>
                <c:pt idx="3282">
                  <c:v>244.18700000000001</c:v>
                </c:pt>
                <c:pt idx="3283">
                  <c:v>244.18700000000001</c:v>
                </c:pt>
                <c:pt idx="3284">
                  <c:v>244.22499999999999</c:v>
                </c:pt>
                <c:pt idx="3285">
                  <c:v>244.22499999999999</c:v>
                </c:pt>
                <c:pt idx="3286">
                  <c:v>244.22499999999999</c:v>
                </c:pt>
                <c:pt idx="3287">
                  <c:v>244.22499999999999</c:v>
                </c:pt>
                <c:pt idx="3288">
                  <c:v>244.22900000000001</c:v>
                </c:pt>
                <c:pt idx="3289">
                  <c:v>244.22900000000001</c:v>
                </c:pt>
                <c:pt idx="3290">
                  <c:v>244.22900000000001</c:v>
                </c:pt>
                <c:pt idx="3291">
                  <c:v>244.22900000000001</c:v>
                </c:pt>
                <c:pt idx="3292">
                  <c:v>244.22900000000001</c:v>
                </c:pt>
                <c:pt idx="3293">
                  <c:v>244.22900000000001</c:v>
                </c:pt>
                <c:pt idx="3294">
                  <c:v>244.22900000000001</c:v>
                </c:pt>
                <c:pt idx="3295">
                  <c:v>244.22900000000001</c:v>
                </c:pt>
                <c:pt idx="3296">
                  <c:v>244.22900000000001</c:v>
                </c:pt>
                <c:pt idx="3297">
                  <c:v>244.23500000000001</c:v>
                </c:pt>
                <c:pt idx="3298">
                  <c:v>244.23500000000001</c:v>
                </c:pt>
                <c:pt idx="3299">
                  <c:v>244.23500000000001</c:v>
                </c:pt>
                <c:pt idx="3300">
                  <c:v>244.239</c:v>
                </c:pt>
                <c:pt idx="3301">
                  <c:v>244.239</c:v>
                </c:pt>
                <c:pt idx="3302">
                  <c:v>244.239</c:v>
                </c:pt>
                <c:pt idx="3303">
                  <c:v>244.268</c:v>
                </c:pt>
                <c:pt idx="3304">
                  <c:v>244.268</c:v>
                </c:pt>
                <c:pt idx="3305">
                  <c:v>244.268</c:v>
                </c:pt>
                <c:pt idx="3306">
                  <c:v>244.268</c:v>
                </c:pt>
                <c:pt idx="3307">
                  <c:v>244.33</c:v>
                </c:pt>
                <c:pt idx="3308">
                  <c:v>244.33</c:v>
                </c:pt>
                <c:pt idx="3309">
                  <c:v>244.33</c:v>
                </c:pt>
                <c:pt idx="3310">
                  <c:v>244.33</c:v>
                </c:pt>
                <c:pt idx="3311">
                  <c:v>244.33</c:v>
                </c:pt>
                <c:pt idx="3312">
                  <c:v>244.33</c:v>
                </c:pt>
                <c:pt idx="3313">
                  <c:v>244.33</c:v>
                </c:pt>
                <c:pt idx="3314">
                  <c:v>244.33</c:v>
                </c:pt>
                <c:pt idx="3315">
                  <c:v>244.33</c:v>
                </c:pt>
                <c:pt idx="3316">
                  <c:v>244.49700000000001</c:v>
                </c:pt>
                <c:pt idx="3317">
                  <c:v>244.49700000000001</c:v>
                </c:pt>
                <c:pt idx="3318">
                  <c:v>244.49700000000001</c:v>
                </c:pt>
                <c:pt idx="3319">
                  <c:v>244.517</c:v>
                </c:pt>
                <c:pt idx="3320">
                  <c:v>244.517</c:v>
                </c:pt>
                <c:pt idx="3321">
                  <c:v>244.517</c:v>
                </c:pt>
                <c:pt idx="3322">
                  <c:v>244.517</c:v>
                </c:pt>
                <c:pt idx="3323">
                  <c:v>244.517</c:v>
                </c:pt>
                <c:pt idx="3324">
                  <c:v>244.53700000000001</c:v>
                </c:pt>
                <c:pt idx="3325">
                  <c:v>244.53700000000001</c:v>
                </c:pt>
                <c:pt idx="3326">
                  <c:v>244.53700000000001</c:v>
                </c:pt>
                <c:pt idx="3327">
                  <c:v>244.53700000000001</c:v>
                </c:pt>
                <c:pt idx="3328">
                  <c:v>244.54900000000001</c:v>
                </c:pt>
                <c:pt idx="3329">
                  <c:v>244.54900000000001</c:v>
                </c:pt>
                <c:pt idx="3330">
                  <c:v>244.54900000000001</c:v>
                </c:pt>
                <c:pt idx="3331">
                  <c:v>244.54900000000001</c:v>
                </c:pt>
                <c:pt idx="3332">
                  <c:v>244.577</c:v>
                </c:pt>
                <c:pt idx="3333">
                  <c:v>244.577</c:v>
                </c:pt>
                <c:pt idx="3334">
                  <c:v>244.577</c:v>
                </c:pt>
                <c:pt idx="3335">
                  <c:v>244.577</c:v>
                </c:pt>
                <c:pt idx="3336">
                  <c:v>244.577</c:v>
                </c:pt>
                <c:pt idx="3337">
                  <c:v>244.583</c:v>
                </c:pt>
                <c:pt idx="3338">
                  <c:v>244.583</c:v>
                </c:pt>
                <c:pt idx="3339">
                  <c:v>244.583</c:v>
                </c:pt>
                <c:pt idx="3340">
                  <c:v>244.583</c:v>
                </c:pt>
                <c:pt idx="3341">
                  <c:v>244.58699999999999</c:v>
                </c:pt>
                <c:pt idx="3342">
                  <c:v>244.58699999999999</c:v>
                </c:pt>
                <c:pt idx="3343">
                  <c:v>244.58699999999999</c:v>
                </c:pt>
                <c:pt idx="3344">
                  <c:v>244.58699999999999</c:v>
                </c:pt>
                <c:pt idx="3345">
                  <c:v>244.58699999999999</c:v>
                </c:pt>
                <c:pt idx="3346">
                  <c:v>244.58699999999999</c:v>
                </c:pt>
                <c:pt idx="3347">
                  <c:v>244.58699999999999</c:v>
                </c:pt>
                <c:pt idx="3348">
                  <c:v>244.58699999999999</c:v>
                </c:pt>
                <c:pt idx="3349">
                  <c:v>244.59899999999999</c:v>
                </c:pt>
                <c:pt idx="3350">
                  <c:v>244.59899999999999</c:v>
                </c:pt>
                <c:pt idx="3351">
                  <c:v>244.59899999999999</c:v>
                </c:pt>
                <c:pt idx="3352">
                  <c:v>244.59899999999999</c:v>
                </c:pt>
                <c:pt idx="3353">
                  <c:v>244.6</c:v>
                </c:pt>
                <c:pt idx="3354">
                  <c:v>244.6</c:v>
                </c:pt>
                <c:pt idx="3355">
                  <c:v>244.6</c:v>
                </c:pt>
                <c:pt idx="3356">
                  <c:v>244.6</c:v>
                </c:pt>
                <c:pt idx="3357">
                  <c:v>244.6</c:v>
                </c:pt>
                <c:pt idx="3358">
                  <c:v>244.6</c:v>
                </c:pt>
                <c:pt idx="3359">
                  <c:v>244.6</c:v>
                </c:pt>
                <c:pt idx="3360">
                  <c:v>244.6</c:v>
                </c:pt>
                <c:pt idx="3361">
                  <c:v>244.6</c:v>
                </c:pt>
                <c:pt idx="3362">
                  <c:v>244.691</c:v>
                </c:pt>
                <c:pt idx="3363">
                  <c:v>244.691</c:v>
                </c:pt>
                <c:pt idx="3364">
                  <c:v>244.809</c:v>
                </c:pt>
                <c:pt idx="3365">
                  <c:v>244.809</c:v>
                </c:pt>
                <c:pt idx="3366">
                  <c:v>244.809</c:v>
                </c:pt>
                <c:pt idx="3367">
                  <c:v>244.809</c:v>
                </c:pt>
                <c:pt idx="3368">
                  <c:v>244.809</c:v>
                </c:pt>
                <c:pt idx="3369">
                  <c:v>244.84399999999999</c:v>
                </c:pt>
                <c:pt idx="3370">
                  <c:v>244.84399999999999</c:v>
                </c:pt>
                <c:pt idx="3371">
                  <c:v>244.84399999999999</c:v>
                </c:pt>
                <c:pt idx="3372">
                  <c:v>244.84399999999999</c:v>
                </c:pt>
                <c:pt idx="3373">
                  <c:v>244.86600000000001</c:v>
                </c:pt>
                <c:pt idx="3374">
                  <c:v>244.86600000000001</c:v>
                </c:pt>
                <c:pt idx="3375">
                  <c:v>244.86600000000001</c:v>
                </c:pt>
                <c:pt idx="3376">
                  <c:v>244.86600000000001</c:v>
                </c:pt>
                <c:pt idx="3377">
                  <c:v>244.86600000000001</c:v>
                </c:pt>
                <c:pt idx="3378">
                  <c:v>244.86600000000001</c:v>
                </c:pt>
                <c:pt idx="3379">
                  <c:v>244.86600000000001</c:v>
                </c:pt>
                <c:pt idx="3380">
                  <c:v>244.86600000000001</c:v>
                </c:pt>
                <c:pt idx="3381">
                  <c:v>244.86600000000001</c:v>
                </c:pt>
                <c:pt idx="3382">
                  <c:v>244.90299999999999</c:v>
                </c:pt>
                <c:pt idx="3383">
                  <c:v>244.90299999999999</c:v>
                </c:pt>
                <c:pt idx="3384">
                  <c:v>244.92599999999999</c:v>
                </c:pt>
                <c:pt idx="3385">
                  <c:v>244.93299999999999</c:v>
                </c:pt>
                <c:pt idx="3386">
                  <c:v>244.93299999999999</c:v>
                </c:pt>
                <c:pt idx="3387">
                  <c:v>244.93299999999999</c:v>
                </c:pt>
                <c:pt idx="3388">
                  <c:v>244.93299999999999</c:v>
                </c:pt>
                <c:pt idx="3389">
                  <c:v>244.93299999999999</c:v>
                </c:pt>
                <c:pt idx="3390">
                  <c:v>244.93799999999999</c:v>
                </c:pt>
                <c:pt idx="3391">
                  <c:v>244.93799999999999</c:v>
                </c:pt>
                <c:pt idx="3392">
                  <c:v>244.93799999999999</c:v>
                </c:pt>
                <c:pt idx="3393">
                  <c:v>244.93799999999999</c:v>
                </c:pt>
                <c:pt idx="3394">
                  <c:v>244.94499999999999</c:v>
                </c:pt>
                <c:pt idx="3395">
                  <c:v>244.94499999999999</c:v>
                </c:pt>
                <c:pt idx="3396">
                  <c:v>244.94499999999999</c:v>
                </c:pt>
                <c:pt idx="3397">
                  <c:v>244.94499999999999</c:v>
                </c:pt>
                <c:pt idx="3398">
                  <c:v>244.94499999999999</c:v>
                </c:pt>
                <c:pt idx="3399">
                  <c:v>244.94499999999999</c:v>
                </c:pt>
                <c:pt idx="3400">
                  <c:v>244.94499999999999</c:v>
                </c:pt>
                <c:pt idx="3401">
                  <c:v>244.94499999999999</c:v>
                </c:pt>
                <c:pt idx="3402">
                  <c:v>244.94499999999999</c:v>
                </c:pt>
                <c:pt idx="3403">
                  <c:v>245.00700000000001</c:v>
                </c:pt>
                <c:pt idx="3404">
                  <c:v>245.00700000000001</c:v>
                </c:pt>
                <c:pt idx="3405">
                  <c:v>245.00700000000001</c:v>
                </c:pt>
                <c:pt idx="3406">
                  <c:v>245.00700000000001</c:v>
                </c:pt>
                <c:pt idx="3407">
                  <c:v>245.07599999999999</c:v>
                </c:pt>
                <c:pt idx="3408">
                  <c:v>245.07599999999999</c:v>
                </c:pt>
                <c:pt idx="3409">
                  <c:v>245.07599999999999</c:v>
                </c:pt>
                <c:pt idx="3410">
                  <c:v>245.07599999999999</c:v>
                </c:pt>
                <c:pt idx="3411">
                  <c:v>245.126</c:v>
                </c:pt>
                <c:pt idx="3412">
                  <c:v>245.126</c:v>
                </c:pt>
                <c:pt idx="3413">
                  <c:v>245.126</c:v>
                </c:pt>
                <c:pt idx="3414">
                  <c:v>245.126</c:v>
                </c:pt>
                <c:pt idx="3415">
                  <c:v>245.126</c:v>
                </c:pt>
                <c:pt idx="3416">
                  <c:v>245.126</c:v>
                </c:pt>
                <c:pt idx="3417">
                  <c:v>245.126</c:v>
                </c:pt>
                <c:pt idx="3418">
                  <c:v>245.126</c:v>
                </c:pt>
                <c:pt idx="3419">
                  <c:v>245.126</c:v>
                </c:pt>
                <c:pt idx="3420">
                  <c:v>245.2</c:v>
                </c:pt>
                <c:pt idx="3421">
                  <c:v>245.2</c:v>
                </c:pt>
                <c:pt idx="3422">
                  <c:v>245.2</c:v>
                </c:pt>
                <c:pt idx="3423">
                  <c:v>245.262</c:v>
                </c:pt>
                <c:pt idx="3424">
                  <c:v>245.262</c:v>
                </c:pt>
                <c:pt idx="3425">
                  <c:v>245.262</c:v>
                </c:pt>
                <c:pt idx="3426">
                  <c:v>245.27600000000001</c:v>
                </c:pt>
                <c:pt idx="3427">
                  <c:v>245.27600000000001</c:v>
                </c:pt>
                <c:pt idx="3428">
                  <c:v>245.27600000000001</c:v>
                </c:pt>
                <c:pt idx="3429">
                  <c:v>245.27600000000001</c:v>
                </c:pt>
                <c:pt idx="3430">
                  <c:v>245.285</c:v>
                </c:pt>
                <c:pt idx="3431">
                  <c:v>245.285</c:v>
                </c:pt>
                <c:pt idx="3432">
                  <c:v>245.285</c:v>
                </c:pt>
                <c:pt idx="3433">
                  <c:v>245.285</c:v>
                </c:pt>
                <c:pt idx="3434">
                  <c:v>245.285</c:v>
                </c:pt>
                <c:pt idx="3435">
                  <c:v>245.285</c:v>
                </c:pt>
                <c:pt idx="3436">
                  <c:v>245.285</c:v>
                </c:pt>
                <c:pt idx="3437">
                  <c:v>245.285</c:v>
                </c:pt>
                <c:pt idx="3438">
                  <c:v>245.285</c:v>
                </c:pt>
                <c:pt idx="3439">
                  <c:v>245.3</c:v>
                </c:pt>
                <c:pt idx="3440">
                  <c:v>245.3</c:v>
                </c:pt>
                <c:pt idx="3441">
                  <c:v>245.3</c:v>
                </c:pt>
                <c:pt idx="3442">
                  <c:v>245.31299999999999</c:v>
                </c:pt>
                <c:pt idx="3443">
                  <c:v>245.31299999999999</c:v>
                </c:pt>
                <c:pt idx="3444">
                  <c:v>245.31299999999999</c:v>
                </c:pt>
                <c:pt idx="3445">
                  <c:v>245.31299999999999</c:v>
                </c:pt>
                <c:pt idx="3446">
                  <c:v>245.315</c:v>
                </c:pt>
                <c:pt idx="3447">
                  <c:v>245.315</c:v>
                </c:pt>
                <c:pt idx="3448">
                  <c:v>245.315</c:v>
                </c:pt>
                <c:pt idx="3449">
                  <c:v>245.315</c:v>
                </c:pt>
                <c:pt idx="3450">
                  <c:v>245.315</c:v>
                </c:pt>
                <c:pt idx="3451">
                  <c:v>245.31800000000001</c:v>
                </c:pt>
                <c:pt idx="3452">
                  <c:v>245.31800000000001</c:v>
                </c:pt>
                <c:pt idx="3453">
                  <c:v>245.31800000000001</c:v>
                </c:pt>
                <c:pt idx="3454">
                  <c:v>245.31800000000001</c:v>
                </c:pt>
                <c:pt idx="3455">
                  <c:v>245.36199999999999</c:v>
                </c:pt>
                <c:pt idx="3456">
                  <c:v>245.36199999999999</c:v>
                </c:pt>
                <c:pt idx="3457">
                  <c:v>245.36199999999999</c:v>
                </c:pt>
                <c:pt idx="3458">
                  <c:v>245.36199999999999</c:v>
                </c:pt>
                <c:pt idx="3459">
                  <c:v>245.36199999999999</c:v>
                </c:pt>
                <c:pt idx="3460">
                  <c:v>245.36199999999999</c:v>
                </c:pt>
                <c:pt idx="3461">
                  <c:v>245.36199999999999</c:v>
                </c:pt>
                <c:pt idx="3462">
                  <c:v>245.36199999999999</c:v>
                </c:pt>
                <c:pt idx="3463">
                  <c:v>245.55799999999999</c:v>
                </c:pt>
                <c:pt idx="3464">
                  <c:v>245.58199999999999</c:v>
                </c:pt>
                <c:pt idx="3465">
                  <c:v>245.58199999999999</c:v>
                </c:pt>
                <c:pt idx="3466">
                  <c:v>245.58199999999999</c:v>
                </c:pt>
                <c:pt idx="3467">
                  <c:v>245.58199999999999</c:v>
                </c:pt>
                <c:pt idx="3468">
                  <c:v>245.58199999999999</c:v>
                </c:pt>
                <c:pt idx="3469">
                  <c:v>245.60599999999999</c:v>
                </c:pt>
                <c:pt idx="3470">
                  <c:v>245.60599999999999</c:v>
                </c:pt>
                <c:pt idx="3471">
                  <c:v>245.60599999999999</c:v>
                </c:pt>
                <c:pt idx="3472">
                  <c:v>245.60599999999999</c:v>
                </c:pt>
                <c:pt idx="3473">
                  <c:v>245.62100000000001</c:v>
                </c:pt>
                <c:pt idx="3474">
                  <c:v>245.62100000000001</c:v>
                </c:pt>
                <c:pt idx="3475">
                  <c:v>245.62100000000001</c:v>
                </c:pt>
                <c:pt idx="3476">
                  <c:v>245.62100000000001</c:v>
                </c:pt>
                <c:pt idx="3477">
                  <c:v>245.63300000000001</c:v>
                </c:pt>
                <c:pt idx="3478">
                  <c:v>245.63300000000001</c:v>
                </c:pt>
                <c:pt idx="3479">
                  <c:v>245.63300000000001</c:v>
                </c:pt>
                <c:pt idx="3480">
                  <c:v>245.63300000000001</c:v>
                </c:pt>
                <c:pt idx="3481">
                  <c:v>245.64099999999999</c:v>
                </c:pt>
                <c:pt idx="3482">
                  <c:v>245.65799999999999</c:v>
                </c:pt>
                <c:pt idx="3483">
                  <c:v>245.66499999999999</c:v>
                </c:pt>
                <c:pt idx="3484">
                  <c:v>245.66499999999999</c:v>
                </c:pt>
                <c:pt idx="3485">
                  <c:v>245.66499999999999</c:v>
                </c:pt>
                <c:pt idx="3486">
                  <c:v>245.66499999999999</c:v>
                </c:pt>
                <c:pt idx="3487">
                  <c:v>245.66900000000001</c:v>
                </c:pt>
                <c:pt idx="3488">
                  <c:v>245.66900000000001</c:v>
                </c:pt>
                <c:pt idx="3489">
                  <c:v>245.66900000000001</c:v>
                </c:pt>
                <c:pt idx="3490">
                  <c:v>245.66900000000001</c:v>
                </c:pt>
                <c:pt idx="3491">
                  <c:v>245.66900000000001</c:v>
                </c:pt>
                <c:pt idx="3492">
                  <c:v>245.673</c:v>
                </c:pt>
                <c:pt idx="3493">
                  <c:v>245.673</c:v>
                </c:pt>
                <c:pt idx="3494">
                  <c:v>245.673</c:v>
                </c:pt>
                <c:pt idx="3495">
                  <c:v>245.673</c:v>
                </c:pt>
                <c:pt idx="3496">
                  <c:v>245.67500000000001</c:v>
                </c:pt>
                <c:pt idx="3497">
                  <c:v>245.67500000000001</c:v>
                </c:pt>
                <c:pt idx="3498">
                  <c:v>245.67500000000001</c:v>
                </c:pt>
                <c:pt idx="3499">
                  <c:v>245.67500000000001</c:v>
                </c:pt>
                <c:pt idx="3500">
                  <c:v>245.67500000000001</c:v>
                </c:pt>
                <c:pt idx="3501">
                  <c:v>245.67500000000001</c:v>
                </c:pt>
                <c:pt idx="3502">
                  <c:v>245.67500000000001</c:v>
                </c:pt>
                <c:pt idx="3503">
                  <c:v>245.84899999999999</c:v>
                </c:pt>
                <c:pt idx="3504">
                  <c:v>245.84899999999999</c:v>
                </c:pt>
                <c:pt idx="3505">
                  <c:v>245.89500000000001</c:v>
                </c:pt>
                <c:pt idx="3506">
                  <c:v>245.89500000000001</c:v>
                </c:pt>
                <c:pt idx="3507">
                  <c:v>245.89500000000001</c:v>
                </c:pt>
                <c:pt idx="3508">
                  <c:v>245.89500000000001</c:v>
                </c:pt>
                <c:pt idx="3509">
                  <c:v>245.923</c:v>
                </c:pt>
                <c:pt idx="3510">
                  <c:v>245.923</c:v>
                </c:pt>
                <c:pt idx="3511">
                  <c:v>245.923</c:v>
                </c:pt>
                <c:pt idx="3512">
                  <c:v>245.923</c:v>
                </c:pt>
                <c:pt idx="3513">
                  <c:v>245.923</c:v>
                </c:pt>
                <c:pt idx="3514">
                  <c:v>245.923</c:v>
                </c:pt>
                <c:pt idx="3515">
                  <c:v>245.923</c:v>
                </c:pt>
                <c:pt idx="3516">
                  <c:v>245.923</c:v>
                </c:pt>
                <c:pt idx="3517">
                  <c:v>245.923</c:v>
                </c:pt>
                <c:pt idx="3518">
                  <c:v>245.97</c:v>
                </c:pt>
                <c:pt idx="3519">
                  <c:v>245.97</c:v>
                </c:pt>
                <c:pt idx="3520">
                  <c:v>245.97</c:v>
                </c:pt>
                <c:pt idx="3521">
                  <c:v>245.97</c:v>
                </c:pt>
                <c:pt idx="3522">
                  <c:v>245.97</c:v>
                </c:pt>
                <c:pt idx="3523">
                  <c:v>245.97</c:v>
                </c:pt>
                <c:pt idx="3524">
                  <c:v>245.97</c:v>
                </c:pt>
                <c:pt idx="3525">
                  <c:v>246.018</c:v>
                </c:pt>
                <c:pt idx="3526">
                  <c:v>246.018</c:v>
                </c:pt>
                <c:pt idx="3527">
                  <c:v>246.02500000000001</c:v>
                </c:pt>
                <c:pt idx="3528">
                  <c:v>246.02500000000001</c:v>
                </c:pt>
                <c:pt idx="3529">
                  <c:v>246.02500000000001</c:v>
                </c:pt>
                <c:pt idx="3530">
                  <c:v>246.02500000000001</c:v>
                </c:pt>
                <c:pt idx="3531">
                  <c:v>246.03</c:v>
                </c:pt>
                <c:pt idx="3532">
                  <c:v>246.03</c:v>
                </c:pt>
                <c:pt idx="3533">
                  <c:v>246.03</c:v>
                </c:pt>
                <c:pt idx="3534">
                  <c:v>246.03</c:v>
                </c:pt>
                <c:pt idx="3535">
                  <c:v>246.03</c:v>
                </c:pt>
                <c:pt idx="3536">
                  <c:v>246.03399999999999</c:v>
                </c:pt>
                <c:pt idx="3537">
                  <c:v>246.03399999999999</c:v>
                </c:pt>
                <c:pt idx="3538">
                  <c:v>246.03399999999999</c:v>
                </c:pt>
                <c:pt idx="3539">
                  <c:v>246.03399999999999</c:v>
                </c:pt>
                <c:pt idx="3540">
                  <c:v>246.04599999999999</c:v>
                </c:pt>
                <c:pt idx="3541">
                  <c:v>246.04599999999999</c:v>
                </c:pt>
                <c:pt idx="3542">
                  <c:v>246.04599999999999</c:v>
                </c:pt>
                <c:pt idx="3543">
                  <c:v>246.04599999999999</c:v>
                </c:pt>
                <c:pt idx="3544">
                  <c:v>246.04599999999999</c:v>
                </c:pt>
                <c:pt idx="3545">
                  <c:v>246.04599999999999</c:v>
                </c:pt>
                <c:pt idx="3546">
                  <c:v>246.04599999999999</c:v>
                </c:pt>
                <c:pt idx="3547">
                  <c:v>246.04599999999999</c:v>
                </c:pt>
                <c:pt idx="3548">
                  <c:v>246.04599999999999</c:v>
                </c:pt>
                <c:pt idx="3549">
                  <c:v>246.29499999999999</c:v>
                </c:pt>
                <c:pt idx="3550">
                  <c:v>246.29499999999999</c:v>
                </c:pt>
                <c:pt idx="3551">
                  <c:v>246.29499999999999</c:v>
                </c:pt>
                <c:pt idx="3552">
                  <c:v>246.322</c:v>
                </c:pt>
                <c:pt idx="3553">
                  <c:v>246.322</c:v>
                </c:pt>
                <c:pt idx="3554">
                  <c:v>246.322</c:v>
                </c:pt>
                <c:pt idx="3555">
                  <c:v>246.322</c:v>
                </c:pt>
                <c:pt idx="3556">
                  <c:v>246.339</c:v>
                </c:pt>
                <c:pt idx="3557">
                  <c:v>246.339</c:v>
                </c:pt>
                <c:pt idx="3558">
                  <c:v>246.339</c:v>
                </c:pt>
                <c:pt idx="3559">
                  <c:v>246.339</c:v>
                </c:pt>
                <c:pt idx="3560">
                  <c:v>246.339</c:v>
                </c:pt>
                <c:pt idx="3561">
                  <c:v>246.35499999999999</c:v>
                </c:pt>
                <c:pt idx="3562">
                  <c:v>246.35499999999999</c:v>
                </c:pt>
                <c:pt idx="3563">
                  <c:v>246.35499999999999</c:v>
                </c:pt>
                <c:pt idx="3564">
                  <c:v>246.35499999999999</c:v>
                </c:pt>
                <c:pt idx="3565">
                  <c:v>246.36600000000001</c:v>
                </c:pt>
                <c:pt idx="3566">
                  <c:v>246.36600000000001</c:v>
                </c:pt>
                <c:pt idx="3567">
                  <c:v>246.36600000000001</c:v>
                </c:pt>
                <c:pt idx="3568">
                  <c:v>246.36600000000001</c:v>
                </c:pt>
                <c:pt idx="3569">
                  <c:v>246.36600000000001</c:v>
                </c:pt>
                <c:pt idx="3570">
                  <c:v>246.36600000000001</c:v>
                </c:pt>
                <c:pt idx="3571">
                  <c:v>246.36600000000001</c:v>
                </c:pt>
                <c:pt idx="3572">
                  <c:v>246.36600000000001</c:v>
                </c:pt>
                <c:pt idx="3573">
                  <c:v>246.399</c:v>
                </c:pt>
                <c:pt idx="3574">
                  <c:v>246.399</c:v>
                </c:pt>
                <c:pt idx="3575">
                  <c:v>246.40100000000001</c:v>
                </c:pt>
                <c:pt idx="3576">
                  <c:v>246.40100000000001</c:v>
                </c:pt>
                <c:pt idx="3577">
                  <c:v>246.40100000000001</c:v>
                </c:pt>
                <c:pt idx="3578">
                  <c:v>246.40100000000001</c:v>
                </c:pt>
                <c:pt idx="3579">
                  <c:v>246.40100000000001</c:v>
                </c:pt>
                <c:pt idx="3580">
                  <c:v>246.47200000000001</c:v>
                </c:pt>
                <c:pt idx="3581">
                  <c:v>246.47200000000001</c:v>
                </c:pt>
                <c:pt idx="3582">
                  <c:v>246.47200000000001</c:v>
                </c:pt>
                <c:pt idx="3583">
                  <c:v>246.47200000000001</c:v>
                </c:pt>
                <c:pt idx="3584">
                  <c:v>246.529</c:v>
                </c:pt>
                <c:pt idx="3585">
                  <c:v>246.529</c:v>
                </c:pt>
                <c:pt idx="3586">
                  <c:v>246.529</c:v>
                </c:pt>
                <c:pt idx="3587">
                  <c:v>246.529</c:v>
                </c:pt>
                <c:pt idx="3588">
                  <c:v>246.529</c:v>
                </c:pt>
                <c:pt idx="3589">
                  <c:v>246.529</c:v>
                </c:pt>
                <c:pt idx="3590">
                  <c:v>246.529</c:v>
                </c:pt>
                <c:pt idx="3591">
                  <c:v>246.529</c:v>
                </c:pt>
                <c:pt idx="3592">
                  <c:v>246.60400000000001</c:v>
                </c:pt>
                <c:pt idx="3593">
                  <c:v>246.60400000000001</c:v>
                </c:pt>
                <c:pt idx="3594">
                  <c:v>246.60400000000001</c:v>
                </c:pt>
                <c:pt idx="3595">
                  <c:v>246.60400000000001</c:v>
                </c:pt>
                <c:pt idx="3596">
                  <c:v>246.60400000000001</c:v>
                </c:pt>
                <c:pt idx="3597">
                  <c:v>246.60400000000001</c:v>
                </c:pt>
                <c:pt idx="3598">
                  <c:v>246.60400000000001</c:v>
                </c:pt>
                <c:pt idx="3599">
                  <c:v>246.72200000000001</c:v>
                </c:pt>
                <c:pt idx="3600">
                  <c:v>246.73500000000001</c:v>
                </c:pt>
                <c:pt idx="3601">
                  <c:v>246.73500000000001</c:v>
                </c:pt>
                <c:pt idx="3602">
                  <c:v>246.73500000000001</c:v>
                </c:pt>
                <c:pt idx="3603">
                  <c:v>246.73500000000001</c:v>
                </c:pt>
                <c:pt idx="3604">
                  <c:v>246.81100000000001</c:v>
                </c:pt>
                <c:pt idx="3605">
                  <c:v>246.81100000000001</c:v>
                </c:pt>
                <c:pt idx="3606">
                  <c:v>246.81100000000001</c:v>
                </c:pt>
                <c:pt idx="3607">
                  <c:v>246.81100000000001</c:v>
                </c:pt>
                <c:pt idx="3608">
                  <c:v>246.81100000000001</c:v>
                </c:pt>
                <c:pt idx="3609">
                  <c:v>246.886</c:v>
                </c:pt>
                <c:pt idx="3610">
                  <c:v>246.886</c:v>
                </c:pt>
                <c:pt idx="3611">
                  <c:v>246.886</c:v>
                </c:pt>
                <c:pt idx="3612">
                  <c:v>246.886</c:v>
                </c:pt>
                <c:pt idx="3613">
                  <c:v>246.934</c:v>
                </c:pt>
                <c:pt idx="3614">
                  <c:v>246.934</c:v>
                </c:pt>
                <c:pt idx="3615">
                  <c:v>246.934</c:v>
                </c:pt>
                <c:pt idx="3616">
                  <c:v>246.934</c:v>
                </c:pt>
                <c:pt idx="3617">
                  <c:v>246.934</c:v>
                </c:pt>
                <c:pt idx="3618">
                  <c:v>246.934</c:v>
                </c:pt>
                <c:pt idx="3619">
                  <c:v>246.934</c:v>
                </c:pt>
                <c:pt idx="3620">
                  <c:v>246.934</c:v>
                </c:pt>
                <c:pt idx="3621">
                  <c:v>246.934</c:v>
                </c:pt>
                <c:pt idx="3622">
                  <c:v>247.012</c:v>
                </c:pt>
                <c:pt idx="3623">
                  <c:v>247.012</c:v>
                </c:pt>
                <c:pt idx="3624">
                  <c:v>247.012</c:v>
                </c:pt>
                <c:pt idx="3625">
                  <c:v>247.012</c:v>
                </c:pt>
                <c:pt idx="3626">
                  <c:v>247.012</c:v>
                </c:pt>
                <c:pt idx="3627">
                  <c:v>247.012</c:v>
                </c:pt>
                <c:pt idx="3628">
                  <c:v>247.012</c:v>
                </c:pt>
                <c:pt idx="3629">
                  <c:v>247.012</c:v>
                </c:pt>
                <c:pt idx="3630">
                  <c:v>247.012</c:v>
                </c:pt>
                <c:pt idx="3631">
                  <c:v>247.06100000000001</c:v>
                </c:pt>
                <c:pt idx="3632">
                  <c:v>247.27099999999999</c:v>
                </c:pt>
                <c:pt idx="3633">
                  <c:v>247.316</c:v>
                </c:pt>
                <c:pt idx="3634">
                  <c:v>247.316</c:v>
                </c:pt>
                <c:pt idx="3635">
                  <c:v>247.316</c:v>
                </c:pt>
                <c:pt idx="3636">
                  <c:v>247.316</c:v>
                </c:pt>
                <c:pt idx="3637">
                  <c:v>247.316</c:v>
                </c:pt>
                <c:pt idx="3638">
                  <c:v>247.35900000000001</c:v>
                </c:pt>
                <c:pt idx="3639">
                  <c:v>247.35900000000001</c:v>
                </c:pt>
                <c:pt idx="3640">
                  <c:v>247.35900000000001</c:v>
                </c:pt>
                <c:pt idx="3641">
                  <c:v>247.35900000000001</c:v>
                </c:pt>
                <c:pt idx="3642">
                  <c:v>247.38800000000001</c:v>
                </c:pt>
                <c:pt idx="3643">
                  <c:v>247.38800000000001</c:v>
                </c:pt>
                <c:pt idx="3644">
                  <c:v>247.38800000000001</c:v>
                </c:pt>
                <c:pt idx="3645">
                  <c:v>247.38800000000001</c:v>
                </c:pt>
                <c:pt idx="3646">
                  <c:v>247.38800000000001</c:v>
                </c:pt>
                <c:pt idx="3647">
                  <c:v>247.416</c:v>
                </c:pt>
                <c:pt idx="3648">
                  <c:v>247.416</c:v>
                </c:pt>
                <c:pt idx="3649">
                  <c:v>247.416</c:v>
                </c:pt>
                <c:pt idx="3650">
                  <c:v>247.416</c:v>
                </c:pt>
                <c:pt idx="3651">
                  <c:v>247.434</c:v>
                </c:pt>
                <c:pt idx="3652">
                  <c:v>247.434</c:v>
                </c:pt>
                <c:pt idx="3653">
                  <c:v>247.434</c:v>
                </c:pt>
                <c:pt idx="3654">
                  <c:v>247.434</c:v>
                </c:pt>
                <c:pt idx="3655">
                  <c:v>247.434</c:v>
                </c:pt>
                <c:pt idx="3656">
                  <c:v>247.434</c:v>
                </c:pt>
                <c:pt idx="3657">
                  <c:v>247.434</c:v>
                </c:pt>
                <c:pt idx="3658">
                  <c:v>247.434</c:v>
                </c:pt>
                <c:pt idx="3659">
                  <c:v>247.434</c:v>
                </c:pt>
                <c:pt idx="3660">
                  <c:v>247.46199999999999</c:v>
                </c:pt>
                <c:pt idx="3661">
                  <c:v>247.46199999999999</c:v>
                </c:pt>
                <c:pt idx="3662">
                  <c:v>247.46199999999999</c:v>
                </c:pt>
                <c:pt idx="3663">
                  <c:v>247.46199999999999</c:v>
                </c:pt>
                <c:pt idx="3664">
                  <c:v>247.46199999999999</c:v>
                </c:pt>
                <c:pt idx="3665">
                  <c:v>247.46199999999999</c:v>
                </c:pt>
                <c:pt idx="3666">
                  <c:v>247.46199999999999</c:v>
                </c:pt>
                <c:pt idx="3667">
                  <c:v>247.46199999999999</c:v>
                </c:pt>
                <c:pt idx="3668">
                  <c:v>247.46199999999999</c:v>
                </c:pt>
                <c:pt idx="3669">
                  <c:v>247.566</c:v>
                </c:pt>
                <c:pt idx="3670">
                  <c:v>247.566</c:v>
                </c:pt>
                <c:pt idx="3671">
                  <c:v>247.566</c:v>
                </c:pt>
                <c:pt idx="3672">
                  <c:v>247.566</c:v>
                </c:pt>
                <c:pt idx="3673">
                  <c:v>247.566</c:v>
                </c:pt>
                <c:pt idx="3674">
                  <c:v>247.566</c:v>
                </c:pt>
                <c:pt idx="3675">
                  <c:v>247.566</c:v>
                </c:pt>
                <c:pt idx="3676">
                  <c:v>247.566</c:v>
                </c:pt>
                <c:pt idx="3677">
                  <c:v>247.566</c:v>
                </c:pt>
                <c:pt idx="3678">
                  <c:v>247.685</c:v>
                </c:pt>
                <c:pt idx="3679">
                  <c:v>248.00399999999999</c:v>
                </c:pt>
                <c:pt idx="3680">
                  <c:v>248.00399999999999</c:v>
                </c:pt>
                <c:pt idx="3681">
                  <c:v>248.00399999999999</c:v>
                </c:pt>
                <c:pt idx="3682">
                  <c:v>248.02799999999999</c:v>
                </c:pt>
                <c:pt idx="3683">
                  <c:v>248.02799999999999</c:v>
                </c:pt>
                <c:pt idx="3684">
                  <c:v>248.02799999999999</c:v>
                </c:pt>
                <c:pt idx="3685">
                  <c:v>248.02799999999999</c:v>
                </c:pt>
                <c:pt idx="3686">
                  <c:v>248.02799999999999</c:v>
                </c:pt>
                <c:pt idx="3687">
                  <c:v>248.078</c:v>
                </c:pt>
                <c:pt idx="3688">
                  <c:v>248.078</c:v>
                </c:pt>
                <c:pt idx="3689">
                  <c:v>248.078</c:v>
                </c:pt>
                <c:pt idx="3690">
                  <c:v>248.078</c:v>
                </c:pt>
                <c:pt idx="3691">
                  <c:v>248.11</c:v>
                </c:pt>
                <c:pt idx="3692">
                  <c:v>248.11</c:v>
                </c:pt>
                <c:pt idx="3693">
                  <c:v>248.11</c:v>
                </c:pt>
                <c:pt idx="3694">
                  <c:v>248.11</c:v>
                </c:pt>
                <c:pt idx="3695">
                  <c:v>248.11</c:v>
                </c:pt>
                <c:pt idx="3696">
                  <c:v>248.14099999999999</c:v>
                </c:pt>
                <c:pt idx="3697">
                  <c:v>248.14099999999999</c:v>
                </c:pt>
                <c:pt idx="3698">
                  <c:v>248.14099999999999</c:v>
                </c:pt>
                <c:pt idx="3699">
                  <c:v>248.14099999999999</c:v>
                </c:pt>
                <c:pt idx="3700">
                  <c:v>248.16</c:v>
                </c:pt>
                <c:pt idx="3701">
                  <c:v>248.16</c:v>
                </c:pt>
                <c:pt idx="3702">
                  <c:v>248.16</c:v>
                </c:pt>
                <c:pt idx="3703">
                  <c:v>248.16</c:v>
                </c:pt>
                <c:pt idx="3704">
                  <c:v>248.16</c:v>
                </c:pt>
                <c:pt idx="3705">
                  <c:v>248.18100000000001</c:v>
                </c:pt>
                <c:pt idx="3706">
                  <c:v>248.18100000000001</c:v>
                </c:pt>
                <c:pt idx="3707">
                  <c:v>248.18100000000001</c:v>
                </c:pt>
                <c:pt idx="3708">
                  <c:v>248.18100000000001</c:v>
                </c:pt>
                <c:pt idx="3709">
                  <c:v>248.19300000000001</c:v>
                </c:pt>
                <c:pt idx="3710">
                  <c:v>248.19300000000001</c:v>
                </c:pt>
                <c:pt idx="3711">
                  <c:v>248.19300000000001</c:v>
                </c:pt>
                <c:pt idx="3712">
                  <c:v>248.19300000000001</c:v>
                </c:pt>
                <c:pt idx="3713">
                  <c:v>248.19300000000001</c:v>
                </c:pt>
                <c:pt idx="3714">
                  <c:v>248.20599999999999</c:v>
                </c:pt>
                <c:pt idx="3715">
                  <c:v>248.20599999999999</c:v>
                </c:pt>
                <c:pt idx="3716">
                  <c:v>248.20599999999999</c:v>
                </c:pt>
                <c:pt idx="3717">
                  <c:v>248.20599999999999</c:v>
                </c:pt>
                <c:pt idx="3718">
                  <c:v>248.25299999999999</c:v>
                </c:pt>
                <c:pt idx="3719">
                  <c:v>248.25299999999999</c:v>
                </c:pt>
                <c:pt idx="3720">
                  <c:v>248.25299999999999</c:v>
                </c:pt>
                <c:pt idx="3721">
                  <c:v>248.25299999999999</c:v>
                </c:pt>
                <c:pt idx="3722">
                  <c:v>248.25299999999999</c:v>
                </c:pt>
                <c:pt idx="3723">
                  <c:v>248.34</c:v>
                </c:pt>
                <c:pt idx="3724">
                  <c:v>248.34</c:v>
                </c:pt>
                <c:pt idx="3725">
                  <c:v>248.34</c:v>
                </c:pt>
                <c:pt idx="3726">
                  <c:v>248.34</c:v>
                </c:pt>
                <c:pt idx="3727">
                  <c:v>248.392</c:v>
                </c:pt>
                <c:pt idx="3728">
                  <c:v>248.392</c:v>
                </c:pt>
                <c:pt idx="3729">
                  <c:v>248.392</c:v>
                </c:pt>
                <c:pt idx="3730">
                  <c:v>248.392</c:v>
                </c:pt>
                <c:pt idx="3731">
                  <c:v>248.392</c:v>
                </c:pt>
                <c:pt idx="3732">
                  <c:v>248.392</c:v>
                </c:pt>
                <c:pt idx="3733">
                  <c:v>248.392</c:v>
                </c:pt>
                <c:pt idx="3734">
                  <c:v>248.392</c:v>
                </c:pt>
                <c:pt idx="3735">
                  <c:v>248.392</c:v>
                </c:pt>
                <c:pt idx="3736">
                  <c:v>248.476</c:v>
                </c:pt>
                <c:pt idx="3737">
                  <c:v>248.476</c:v>
                </c:pt>
                <c:pt idx="3738">
                  <c:v>248.476</c:v>
                </c:pt>
                <c:pt idx="3739">
                  <c:v>248.476</c:v>
                </c:pt>
                <c:pt idx="3740">
                  <c:v>248.476</c:v>
                </c:pt>
                <c:pt idx="3741">
                  <c:v>248.476</c:v>
                </c:pt>
                <c:pt idx="3742">
                  <c:v>248.476</c:v>
                </c:pt>
                <c:pt idx="3743">
                  <c:v>248.476</c:v>
                </c:pt>
                <c:pt idx="3744">
                  <c:v>248.476</c:v>
                </c:pt>
                <c:pt idx="3745">
                  <c:v>248.529</c:v>
                </c:pt>
                <c:pt idx="3746">
                  <c:v>248.529</c:v>
                </c:pt>
                <c:pt idx="3747">
                  <c:v>248.529</c:v>
                </c:pt>
                <c:pt idx="3748">
                  <c:v>248.529</c:v>
                </c:pt>
                <c:pt idx="3749">
                  <c:v>248.529</c:v>
                </c:pt>
                <c:pt idx="3750">
                  <c:v>248.529</c:v>
                </c:pt>
                <c:pt idx="3751">
                  <c:v>248.529</c:v>
                </c:pt>
                <c:pt idx="3752">
                  <c:v>248.529</c:v>
                </c:pt>
                <c:pt idx="3753">
                  <c:v>248.529</c:v>
                </c:pt>
                <c:pt idx="3754">
                  <c:v>248.56200000000001</c:v>
                </c:pt>
                <c:pt idx="3755">
                  <c:v>248.56200000000001</c:v>
                </c:pt>
                <c:pt idx="3756">
                  <c:v>248.56200000000001</c:v>
                </c:pt>
                <c:pt idx="3757">
                  <c:v>248.56200000000001</c:v>
                </c:pt>
                <c:pt idx="3758">
                  <c:v>248.56200000000001</c:v>
                </c:pt>
                <c:pt idx="3759">
                  <c:v>248.56200000000001</c:v>
                </c:pt>
                <c:pt idx="3760">
                  <c:v>248.56200000000001</c:v>
                </c:pt>
                <c:pt idx="3761">
                  <c:v>248.56200000000001</c:v>
                </c:pt>
                <c:pt idx="3762">
                  <c:v>248.56200000000001</c:v>
                </c:pt>
                <c:pt idx="3763">
                  <c:v>248.583</c:v>
                </c:pt>
                <c:pt idx="3764">
                  <c:v>248.583</c:v>
                </c:pt>
                <c:pt idx="3765">
                  <c:v>248.583</c:v>
                </c:pt>
                <c:pt idx="3766">
                  <c:v>248.583</c:v>
                </c:pt>
                <c:pt idx="3767">
                  <c:v>248.583</c:v>
                </c:pt>
                <c:pt idx="3768">
                  <c:v>248.583</c:v>
                </c:pt>
                <c:pt idx="3769">
                  <c:v>248.583</c:v>
                </c:pt>
                <c:pt idx="3770">
                  <c:v>248.583</c:v>
                </c:pt>
                <c:pt idx="3771">
                  <c:v>248.583</c:v>
                </c:pt>
                <c:pt idx="3772">
                  <c:v>248.72200000000001</c:v>
                </c:pt>
                <c:pt idx="3773">
                  <c:v>248.72200000000001</c:v>
                </c:pt>
                <c:pt idx="3774">
                  <c:v>248.72200000000001</c:v>
                </c:pt>
                <c:pt idx="3775">
                  <c:v>248.72200000000001</c:v>
                </c:pt>
                <c:pt idx="3776">
                  <c:v>248.72200000000001</c:v>
                </c:pt>
                <c:pt idx="3777">
                  <c:v>248.72200000000001</c:v>
                </c:pt>
                <c:pt idx="3778">
                  <c:v>248.72200000000001</c:v>
                </c:pt>
                <c:pt idx="3779">
                  <c:v>248.72200000000001</c:v>
                </c:pt>
                <c:pt idx="3780">
                  <c:v>248.72200000000001</c:v>
                </c:pt>
                <c:pt idx="3781">
                  <c:v>248.821</c:v>
                </c:pt>
                <c:pt idx="3782">
                  <c:v>248.821</c:v>
                </c:pt>
                <c:pt idx="3783">
                  <c:v>248.821</c:v>
                </c:pt>
                <c:pt idx="3784">
                  <c:v>248.821</c:v>
                </c:pt>
                <c:pt idx="3785">
                  <c:v>248.821</c:v>
                </c:pt>
                <c:pt idx="3786">
                  <c:v>248.821</c:v>
                </c:pt>
                <c:pt idx="3787">
                  <c:v>248.821</c:v>
                </c:pt>
                <c:pt idx="3788">
                  <c:v>248.821</c:v>
                </c:pt>
                <c:pt idx="3789">
                  <c:v>248.821</c:v>
                </c:pt>
                <c:pt idx="3790">
                  <c:v>248.88300000000001</c:v>
                </c:pt>
                <c:pt idx="3791">
                  <c:v>248.88300000000001</c:v>
                </c:pt>
                <c:pt idx="3792">
                  <c:v>248.88300000000001</c:v>
                </c:pt>
                <c:pt idx="3793">
                  <c:v>248.88300000000001</c:v>
                </c:pt>
                <c:pt idx="3794">
                  <c:v>248.88300000000001</c:v>
                </c:pt>
                <c:pt idx="3795">
                  <c:v>248.88300000000001</c:v>
                </c:pt>
                <c:pt idx="3796">
                  <c:v>248.88300000000001</c:v>
                </c:pt>
                <c:pt idx="3797">
                  <c:v>248.88300000000001</c:v>
                </c:pt>
                <c:pt idx="3798">
                  <c:v>248.88300000000001</c:v>
                </c:pt>
                <c:pt idx="3799">
                  <c:v>248.923</c:v>
                </c:pt>
                <c:pt idx="3800">
                  <c:v>248.923</c:v>
                </c:pt>
                <c:pt idx="3801">
                  <c:v>248.923</c:v>
                </c:pt>
                <c:pt idx="3802">
                  <c:v>248.923</c:v>
                </c:pt>
                <c:pt idx="3803">
                  <c:v>248.923</c:v>
                </c:pt>
                <c:pt idx="3804">
                  <c:v>248.923</c:v>
                </c:pt>
                <c:pt idx="3805">
                  <c:v>248.923</c:v>
                </c:pt>
                <c:pt idx="3806">
                  <c:v>248.923</c:v>
                </c:pt>
                <c:pt idx="3807">
                  <c:v>248.923</c:v>
                </c:pt>
                <c:pt idx="3808">
                  <c:v>248.94800000000001</c:v>
                </c:pt>
                <c:pt idx="3809">
                  <c:v>248.94800000000001</c:v>
                </c:pt>
                <c:pt idx="3810">
                  <c:v>248.94800000000001</c:v>
                </c:pt>
                <c:pt idx="3811">
                  <c:v>248.94800000000001</c:v>
                </c:pt>
                <c:pt idx="3812">
                  <c:v>248.94800000000001</c:v>
                </c:pt>
                <c:pt idx="3813">
                  <c:v>248.94800000000001</c:v>
                </c:pt>
                <c:pt idx="3814">
                  <c:v>248.94800000000001</c:v>
                </c:pt>
                <c:pt idx="3815">
                  <c:v>248.94800000000001</c:v>
                </c:pt>
                <c:pt idx="3816">
                  <c:v>248.94800000000001</c:v>
                </c:pt>
                <c:pt idx="3817">
                  <c:v>249.00800000000001</c:v>
                </c:pt>
                <c:pt idx="3818">
                  <c:v>249.00800000000001</c:v>
                </c:pt>
                <c:pt idx="3819">
                  <c:v>249.00800000000001</c:v>
                </c:pt>
                <c:pt idx="3820">
                  <c:v>249.00800000000001</c:v>
                </c:pt>
                <c:pt idx="3821">
                  <c:v>249.00800000000001</c:v>
                </c:pt>
                <c:pt idx="3822">
                  <c:v>249.00800000000001</c:v>
                </c:pt>
                <c:pt idx="3823">
                  <c:v>249.00800000000001</c:v>
                </c:pt>
                <c:pt idx="3824">
                  <c:v>249.00800000000001</c:v>
                </c:pt>
                <c:pt idx="3825">
                  <c:v>249.00800000000001</c:v>
                </c:pt>
                <c:pt idx="3826">
                  <c:v>249.13900000000001</c:v>
                </c:pt>
                <c:pt idx="3827">
                  <c:v>249.13900000000001</c:v>
                </c:pt>
                <c:pt idx="3828">
                  <c:v>249.13900000000001</c:v>
                </c:pt>
                <c:pt idx="3829">
                  <c:v>249.13900000000001</c:v>
                </c:pt>
                <c:pt idx="3830">
                  <c:v>249.13900000000001</c:v>
                </c:pt>
                <c:pt idx="3831">
                  <c:v>249.13900000000001</c:v>
                </c:pt>
                <c:pt idx="3832">
                  <c:v>249.13900000000001</c:v>
                </c:pt>
                <c:pt idx="3833">
                  <c:v>249.13900000000001</c:v>
                </c:pt>
                <c:pt idx="3834">
                  <c:v>249.13900000000001</c:v>
                </c:pt>
                <c:pt idx="3835">
                  <c:v>249.22200000000001</c:v>
                </c:pt>
                <c:pt idx="3836">
                  <c:v>249.22200000000001</c:v>
                </c:pt>
                <c:pt idx="3837">
                  <c:v>249.22200000000001</c:v>
                </c:pt>
                <c:pt idx="3838">
                  <c:v>249.22200000000001</c:v>
                </c:pt>
                <c:pt idx="3839">
                  <c:v>249.22200000000001</c:v>
                </c:pt>
                <c:pt idx="3840">
                  <c:v>249.22200000000001</c:v>
                </c:pt>
                <c:pt idx="3841">
                  <c:v>249.22200000000001</c:v>
                </c:pt>
                <c:pt idx="3842">
                  <c:v>249.22200000000001</c:v>
                </c:pt>
                <c:pt idx="3843">
                  <c:v>249.22200000000001</c:v>
                </c:pt>
                <c:pt idx="3844">
                  <c:v>249.27799999999999</c:v>
                </c:pt>
                <c:pt idx="3845">
                  <c:v>249.27799999999999</c:v>
                </c:pt>
                <c:pt idx="3846">
                  <c:v>249.27799999999999</c:v>
                </c:pt>
                <c:pt idx="3847">
                  <c:v>249.27799999999999</c:v>
                </c:pt>
                <c:pt idx="3848">
                  <c:v>249.27799999999999</c:v>
                </c:pt>
                <c:pt idx="3849">
                  <c:v>249.27799999999999</c:v>
                </c:pt>
                <c:pt idx="3850">
                  <c:v>249.27799999999999</c:v>
                </c:pt>
                <c:pt idx="3851">
                  <c:v>249.27799999999999</c:v>
                </c:pt>
                <c:pt idx="3852">
                  <c:v>249.27799999999999</c:v>
                </c:pt>
                <c:pt idx="3853">
                  <c:v>249.309</c:v>
                </c:pt>
                <c:pt idx="3854">
                  <c:v>249.309</c:v>
                </c:pt>
                <c:pt idx="3855">
                  <c:v>249.309</c:v>
                </c:pt>
                <c:pt idx="3856">
                  <c:v>249.309</c:v>
                </c:pt>
                <c:pt idx="3857">
                  <c:v>249.309</c:v>
                </c:pt>
                <c:pt idx="3858">
                  <c:v>249.309</c:v>
                </c:pt>
                <c:pt idx="3859">
                  <c:v>249.309</c:v>
                </c:pt>
                <c:pt idx="3860">
                  <c:v>249.309</c:v>
                </c:pt>
                <c:pt idx="3861">
                  <c:v>249.327</c:v>
                </c:pt>
                <c:pt idx="3862">
                  <c:v>249.327</c:v>
                </c:pt>
                <c:pt idx="3863">
                  <c:v>249.327</c:v>
                </c:pt>
                <c:pt idx="3864">
                  <c:v>249.327</c:v>
                </c:pt>
                <c:pt idx="3865">
                  <c:v>249.327</c:v>
                </c:pt>
                <c:pt idx="3866">
                  <c:v>249.327</c:v>
                </c:pt>
                <c:pt idx="3867">
                  <c:v>249.327</c:v>
                </c:pt>
                <c:pt idx="3868">
                  <c:v>249.327</c:v>
                </c:pt>
                <c:pt idx="3869">
                  <c:v>249.327</c:v>
                </c:pt>
                <c:pt idx="3870">
                  <c:v>249.393</c:v>
                </c:pt>
                <c:pt idx="3871">
                  <c:v>249.393</c:v>
                </c:pt>
                <c:pt idx="3872">
                  <c:v>249.393</c:v>
                </c:pt>
                <c:pt idx="3873">
                  <c:v>249.393</c:v>
                </c:pt>
                <c:pt idx="3874">
                  <c:v>249.393</c:v>
                </c:pt>
                <c:pt idx="3875">
                  <c:v>249.393</c:v>
                </c:pt>
                <c:pt idx="3876">
                  <c:v>249.393</c:v>
                </c:pt>
                <c:pt idx="3877">
                  <c:v>249.393</c:v>
                </c:pt>
                <c:pt idx="3878">
                  <c:v>249.393</c:v>
                </c:pt>
                <c:pt idx="3879">
                  <c:v>249.52</c:v>
                </c:pt>
                <c:pt idx="3880">
                  <c:v>249.52</c:v>
                </c:pt>
                <c:pt idx="3881">
                  <c:v>249.52</c:v>
                </c:pt>
                <c:pt idx="3882">
                  <c:v>249.52</c:v>
                </c:pt>
                <c:pt idx="3883">
                  <c:v>249.52</c:v>
                </c:pt>
                <c:pt idx="3884">
                  <c:v>249.52</c:v>
                </c:pt>
                <c:pt idx="3885">
                  <c:v>249.52</c:v>
                </c:pt>
                <c:pt idx="3886">
                  <c:v>249.52</c:v>
                </c:pt>
                <c:pt idx="3887">
                  <c:v>249.52</c:v>
                </c:pt>
                <c:pt idx="3888">
                  <c:v>249.6</c:v>
                </c:pt>
                <c:pt idx="3889">
                  <c:v>249.6</c:v>
                </c:pt>
                <c:pt idx="3890">
                  <c:v>249.6</c:v>
                </c:pt>
                <c:pt idx="3891">
                  <c:v>249.6</c:v>
                </c:pt>
                <c:pt idx="3892">
                  <c:v>249.6</c:v>
                </c:pt>
                <c:pt idx="3893">
                  <c:v>249.6</c:v>
                </c:pt>
                <c:pt idx="3894">
                  <c:v>249.6</c:v>
                </c:pt>
                <c:pt idx="3895">
                  <c:v>249.6</c:v>
                </c:pt>
                <c:pt idx="3896">
                  <c:v>249.6</c:v>
                </c:pt>
                <c:pt idx="3897">
                  <c:v>249.65100000000001</c:v>
                </c:pt>
                <c:pt idx="3898">
                  <c:v>249.65100000000001</c:v>
                </c:pt>
                <c:pt idx="3899">
                  <c:v>249.65100000000001</c:v>
                </c:pt>
                <c:pt idx="3900">
                  <c:v>249.65100000000001</c:v>
                </c:pt>
                <c:pt idx="3901">
                  <c:v>249.65100000000001</c:v>
                </c:pt>
                <c:pt idx="3902">
                  <c:v>249.65100000000001</c:v>
                </c:pt>
                <c:pt idx="3903">
                  <c:v>249.65100000000001</c:v>
                </c:pt>
                <c:pt idx="3904">
                  <c:v>249.65100000000001</c:v>
                </c:pt>
                <c:pt idx="3905">
                  <c:v>249.65100000000001</c:v>
                </c:pt>
                <c:pt idx="3906">
                  <c:v>249.68299999999999</c:v>
                </c:pt>
                <c:pt idx="3907">
                  <c:v>249.68299999999999</c:v>
                </c:pt>
                <c:pt idx="3908">
                  <c:v>249.68299999999999</c:v>
                </c:pt>
                <c:pt idx="3909">
                  <c:v>249.68299999999999</c:v>
                </c:pt>
                <c:pt idx="3910">
                  <c:v>249.68299999999999</c:v>
                </c:pt>
                <c:pt idx="3911">
                  <c:v>249.68299999999999</c:v>
                </c:pt>
                <c:pt idx="3912">
                  <c:v>249.68299999999999</c:v>
                </c:pt>
                <c:pt idx="3913">
                  <c:v>249.68299999999999</c:v>
                </c:pt>
                <c:pt idx="3914">
                  <c:v>249.68299999999999</c:v>
                </c:pt>
                <c:pt idx="3915">
                  <c:v>249.702</c:v>
                </c:pt>
                <c:pt idx="3916">
                  <c:v>249.702</c:v>
                </c:pt>
                <c:pt idx="3917">
                  <c:v>249.702</c:v>
                </c:pt>
                <c:pt idx="3918">
                  <c:v>249.702</c:v>
                </c:pt>
                <c:pt idx="3919">
                  <c:v>249.702</c:v>
                </c:pt>
                <c:pt idx="3920">
                  <c:v>249.702</c:v>
                </c:pt>
                <c:pt idx="3921">
                  <c:v>249.702</c:v>
                </c:pt>
                <c:pt idx="3922">
                  <c:v>249.702</c:v>
                </c:pt>
                <c:pt idx="3923">
                  <c:v>249.702</c:v>
                </c:pt>
                <c:pt idx="3924">
                  <c:v>249.715</c:v>
                </c:pt>
                <c:pt idx="3925">
                  <c:v>249.715</c:v>
                </c:pt>
                <c:pt idx="3926">
                  <c:v>249.715</c:v>
                </c:pt>
                <c:pt idx="3927">
                  <c:v>249.715</c:v>
                </c:pt>
                <c:pt idx="3928">
                  <c:v>249.715</c:v>
                </c:pt>
                <c:pt idx="3929">
                  <c:v>249.715</c:v>
                </c:pt>
                <c:pt idx="3930">
                  <c:v>249.715</c:v>
                </c:pt>
                <c:pt idx="3931">
                  <c:v>249.715</c:v>
                </c:pt>
                <c:pt idx="3932">
                  <c:v>249.715</c:v>
                </c:pt>
                <c:pt idx="3933">
                  <c:v>249.77699999999999</c:v>
                </c:pt>
                <c:pt idx="3934">
                  <c:v>249.77699999999999</c:v>
                </c:pt>
                <c:pt idx="3935">
                  <c:v>249.77699999999999</c:v>
                </c:pt>
                <c:pt idx="3936">
                  <c:v>249.77699999999999</c:v>
                </c:pt>
                <c:pt idx="3937">
                  <c:v>249.77699999999999</c:v>
                </c:pt>
                <c:pt idx="3938">
                  <c:v>249.77699999999999</c:v>
                </c:pt>
                <c:pt idx="3939">
                  <c:v>249.77699999999999</c:v>
                </c:pt>
                <c:pt idx="3940">
                  <c:v>249.77699999999999</c:v>
                </c:pt>
                <c:pt idx="3941">
                  <c:v>249.77699999999999</c:v>
                </c:pt>
                <c:pt idx="3942">
                  <c:v>249.90100000000001</c:v>
                </c:pt>
                <c:pt idx="3943">
                  <c:v>249.90100000000001</c:v>
                </c:pt>
                <c:pt idx="3944">
                  <c:v>249.90100000000001</c:v>
                </c:pt>
                <c:pt idx="3945">
                  <c:v>249.90100000000001</c:v>
                </c:pt>
                <c:pt idx="3946">
                  <c:v>249.90100000000001</c:v>
                </c:pt>
                <c:pt idx="3947">
                  <c:v>249.90100000000001</c:v>
                </c:pt>
                <c:pt idx="3948">
                  <c:v>249.90100000000001</c:v>
                </c:pt>
                <c:pt idx="3949">
                  <c:v>249.90100000000001</c:v>
                </c:pt>
                <c:pt idx="3950">
                  <c:v>249.90100000000001</c:v>
                </c:pt>
                <c:pt idx="3951">
                  <c:v>249.97900000000001</c:v>
                </c:pt>
                <c:pt idx="3952">
                  <c:v>249.97900000000001</c:v>
                </c:pt>
                <c:pt idx="3953">
                  <c:v>249.97900000000001</c:v>
                </c:pt>
                <c:pt idx="3954">
                  <c:v>249.97900000000001</c:v>
                </c:pt>
                <c:pt idx="3955">
                  <c:v>249.97900000000001</c:v>
                </c:pt>
                <c:pt idx="3956">
                  <c:v>249.97900000000001</c:v>
                </c:pt>
                <c:pt idx="3957">
                  <c:v>249.97900000000001</c:v>
                </c:pt>
                <c:pt idx="3958">
                  <c:v>249.97900000000001</c:v>
                </c:pt>
                <c:pt idx="3959">
                  <c:v>249.97900000000001</c:v>
                </c:pt>
                <c:pt idx="3960">
                  <c:v>250.02799999999999</c:v>
                </c:pt>
                <c:pt idx="3961">
                  <c:v>250.02799999999999</c:v>
                </c:pt>
                <c:pt idx="3962">
                  <c:v>250.02799999999999</c:v>
                </c:pt>
                <c:pt idx="3963">
                  <c:v>250.02799999999999</c:v>
                </c:pt>
                <c:pt idx="3964">
                  <c:v>250.02799999999999</c:v>
                </c:pt>
                <c:pt idx="3965">
                  <c:v>250.02799999999999</c:v>
                </c:pt>
                <c:pt idx="3966">
                  <c:v>250.02799999999999</c:v>
                </c:pt>
                <c:pt idx="3967">
                  <c:v>250.02799999999999</c:v>
                </c:pt>
                <c:pt idx="3968">
                  <c:v>250.02799999999999</c:v>
                </c:pt>
                <c:pt idx="3969">
                  <c:v>250.059</c:v>
                </c:pt>
                <c:pt idx="3970">
                  <c:v>250.059</c:v>
                </c:pt>
                <c:pt idx="3971">
                  <c:v>250.059</c:v>
                </c:pt>
                <c:pt idx="3972">
                  <c:v>250.059</c:v>
                </c:pt>
                <c:pt idx="3973">
                  <c:v>250.059</c:v>
                </c:pt>
                <c:pt idx="3974">
                  <c:v>250.059</c:v>
                </c:pt>
                <c:pt idx="3975">
                  <c:v>250.059</c:v>
                </c:pt>
                <c:pt idx="3976">
                  <c:v>250.059</c:v>
                </c:pt>
                <c:pt idx="3977">
                  <c:v>250.059</c:v>
                </c:pt>
                <c:pt idx="3978">
                  <c:v>250.078</c:v>
                </c:pt>
                <c:pt idx="3979">
                  <c:v>250.078</c:v>
                </c:pt>
                <c:pt idx="3980">
                  <c:v>250.078</c:v>
                </c:pt>
                <c:pt idx="3981">
                  <c:v>250.078</c:v>
                </c:pt>
                <c:pt idx="3982">
                  <c:v>250.078</c:v>
                </c:pt>
                <c:pt idx="3983">
                  <c:v>250.078</c:v>
                </c:pt>
                <c:pt idx="3984">
                  <c:v>250.078</c:v>
                </c:pt>
                <c:pt idx="3985">
                  <c:v>250.078</c:v>
                </c:pt>
                <c:pt idx="3986">
                  <c:v>250.078</c:v>
                </c:pt>
                <c:pt idx="3987">
                  <c:v>250.09</c:v>
                </c:pt>
                <c:pt idx="3988">
                  <c:v>250.09</c:v>
                </c:pt>
                <c:pt idx="3989">
                  <c:v>250.09</c:v>
                </c:pt>
                <c:pt idx="3990">
                  <c:v>250.09</c:v>
                </c:pt>
                <c:pt idx="3991">
                  <c:v>250.09</c:v>
                </c:pt>
                <c:pt idx="3992">
                  <c:v>250.09</c:v>
                </c:pt>
                <c:pt idx="3993">
                  <c:v>250.09</c:v>
                </c:pt>
                <c:pt idx="3994">
                  <c:v>250.09</c:v>
                </c:pt>
                <c:pt idx="3995">
                  <c:v>250.09</c:v>
                </c:pt>
                <c:pt idx="3996">
                  <c:v>250.11699999999999</c:v>
                </c:pt>
                <c:pt idx="3997">
                  <c:v>250.11699999999999</c:v>
                </c:pt>
                <c:pt idx="3998">
                  <c:v>250.11699999999999</c:v>
                </c:pt>
                <c:pt idx="3999">
                  <c:v>250.11699999999999</c:v>
                </c:pt>
                <c:pt idx="4000">
                  <c:v>250.11699999999999</c:v>
                </c:pt>
                <c:pt idx="4001">
                  <c:v>250.11699999999999</c:v>
                </c:pt>
                <c:pt idx="4002">
                  <c:v>250.11699999999999</c:v>
                </c:pt>
                <c:pt idx="4003">
                  <c:v>250.11699999999999</c:v>
                </c:pt>
                <c:pt idx="4004">
                  <c:v>250.11699999999999</c:v>
                </c:pt>
                <c:pt idx="4005">
                  <c:v>250.25399999999999</c:v>
                </c:pt>
                <c:pt idx="4006">
                  <c:v>250.25399999999999</c:v>
                </c:pt>
                <c:pt idx="4007">
                  <c:v>250.25399999999999</c:v>
                </c:pt>
                <c:pt idx="4008">
                  <c:v>250.25399999999999</c:v>
                </c:pt>
                <c:pt idx="4009">
                  <c:v>250.25399999999999</c:v>
                </c:pt>
                <c:pt idx="4010">
                  <c:v>250.25399999999999</c:v>
                </c:pt>
                <c:pt idx="4011">
                  <c:v>250.25399999999999</c:v>
                </c:pt>
                <c:pt idx="4012">
                  <c:v>250.25399999999999</c:v>
                </c:pt>
                <c:pt idx="4013">
                  <c:v>250.25399999999999</c:v>
                </c:pt>
                <c:pt idx="4014">
                  <c:v>250.34</c:v>
                </c:pt>
                <c:pt idx="4015">
                  <c:v>250.34</c:v>
                </c:pt>
                <c:pt idx="4016">
                  <c:v>250.34</c:v>
                </c:pt>
                <c:pt idx="4017">
                  <c:v>250.34</c:v>
                </c:pt>
                <c:pt idx="4018">
                  <c:v>250.34</c:v>
                </c:pt>
                <c:pt idx="4019">
                  <c:v>250.34</c:v>
                </c:pt>
                <c:pt idx="4020">
                  <c:v>250.34</c:v>
                </c:pt>
                <c:pt idx="4021">
                  <c:v>250.34</c:v>
                </c:pt>
                <c:pt idx="4022">
                  <c:v>250.34</c:v>
                </c:pt>
                <c:pt idx="4023">
                  <c:v>250.39500000000001</c:v>
                </c:pt>
                <c:pt idx="4024">
                  <c:v>250.39500000000001</c:v>
                </c:pt>
                <c:pt idx="4025">
                  <c:v>250.39500000000001</c:v>
                </c:pt>
                <c:pt idx="4026">
                  <c:v>250.39500000000001</c:v>
                </c:pt>
                <c:pt idx="4027">
                  <c:v>250.39500000000001</c:v>
                </c:pt>
                <c:pt idx="4028">
                  <c:v>250.39500000000001</c:v>
                </c:pt>
                <c:pt idx="4029">
                  <c:v>250.39500000000001</c:v>
                </c:pt>
                <c:pt idx="4030">
                  <c:v>250.39500000000001</c:v>
                </c:pt>
                <c:pt idx="4031">
                  <c:v>250.39500000000001</c:v>
                </c:pt>
                <c:pt idx="4032">
                  <c:v>250.429</c:v>
                </c:pt>
                <c:pt idx="4033">
                  <c:v>250.429</c:v>
                </c:pt>
                <c:pt idx="4034">
                  <c:v>250.429</c:v>
                </c:pt>
                <c:pt idx="4035">
                  <c:v>250.429</c:v>
                </c:pt>
                <c:pt idx="4036">
                  <c:v>250.429</c:v>
                </c:pt>
                <c:pt idx="4037">
                  <c:v>250.429</c:v>
                </c:pt>
                <c:pt idx="4038">
                  <c:v>250.429</c:v>
                </c:pt>
                <c:pt idx="4039">
                  <c:v>250.429</c:v>
                </c:pt>
                <c:pt idx="4040">
                  <c:v>250.44399999999999</c:v>
                </c:pt>
                <c:pt idx="4041">
                  <c:v>250.44399999999999</c:v>
                </c:pt>
                <c:pt idx="4042">
                  <c:v>250.44399999999999</c:v>
                </c:pt>
                <c:pt idx="4043">
                  <c:v>250.44399999999999</c:v>
                </c:pt>
                <c:pt idx="4044">
                  <c:v>250.44399999999999</c:v>
                </c:pt>
                <c:pt idx="4045">
                  <c:v>250.44399999999999</c:v>
                </c:pt>
                <c:pt idx="4046">
                  <c:v>250.44399999999999</c:v>
                </c:pt>
                <c:pt idx="4047">
                  <c:v>250.44399999999999</c:v>
                </c:pt>
                <c:pt idx="4048">
                  <c:v>250.44399999999999</c:v>
                </c:pt>
                <c:pt idx="4049">
                  <c:v>250.46</c:v>
                </c:pt>
                <c:pt idx="4050">
                  <c:v>250.46</c:v>
                </c:pt>
                <c:pt idx="4051">
                  <c:v>250.46</c:v>
                </c:pt>
                <c:pt idx="4052">
                  <c:v>250.46</c:v>
                </c:pt>
                <c:pt idx="4053">
                  <c:v>250.46</c:v>
                </c:pt>
                <c:pt idx="4054">
                  <c:v>250.46</c:v>
                </c:pt>
                <c:pt idx="4055">
                  <c:v>250.46</c:v>
                </c:pt>
                <c:pt idx="4056">
                  <c:v>250.46</c:v>
                </c:pt>
                <c:pt idx="4057">
                  <c:v>250.46</c:v>
                </c:pt>
                <c:pt idx="4058">
                  <c:v>250.47</c:v>
                </c:pt>
                <c:pt idx="4059">
                  <c:v>250.47</c:v>
                </c:pt>
                <c:pt idx="4060">
                  <c:v>250.47</c:v>
                </c:pt>
                <c:pt idx="4061">
                  <c:v>250.47</c:v>
                </c:pt>
                <c:pt idx="4062">
                  <c:v>250.47</c:v>
                </c:pt>
                <c:pt idx="4063">
                  <c:v>250.47</c:v>
                </c:pt>
                <c:pt idx="4064">
                  <c:v>250.47</c:v>
                </c:pt>
                <c:pt idx="4065">
                  <c:v>250.47</c:v>
                </c:pt>
                <c:pt idx="4066">
                  <c:v>250.47</c:v>
                </c:pt>
                <c:pt idx="4067">
                  <c:v>250.56200000000001</c:v>
                </c:pt>
                <c:pt idx="4068">
                  <c:v>250.56200000000001</c:v>
                </c:pt>
                <c:pt idx="4069">
                  <c:v>250.56200000000001</c:v>
                </c:pt>
                <c:pt idx="4070">
                  <c:v>250.56200000000001</c:v>
                </c:pt>
                <c:pt idx="4071">
                  <c:v>250.56200000000001</c:v>
                </c:pt>
                <c:pt idx="4072">
                  <c:v>250.56200000000001</c:v>
                </c:pt>
                <c:pt idx="4073">
                  <c:v>250.56200000000001</c:v>
                </c:pt>
                <c:pt idx="4074">
                  <c:v>250.56200000000001</c:v>
                </c:pt>
                <c:pt idx="4075">
                  <c:v>250.56200000000001</c:v>
                </c:pt>
                <c:pt idx="4076">
                  <c:v>250.67400000000001</c:v>
                </c:pt>
                <c:pt idx="4077">
                  <c:v>250.67400000000001</c:v>
                </c:pt>
                <c:pt idx="4078">
                  <c:v>250.67400000000001</c:v>
                </c:pt>
                <c:pt idx="4079">
                  <c:v>250.67400000000001</c:v>
                </c:pt>
                <c:pt idx="4080">
                  <c:v>250.67400000000001</c:v>
                </c:pt>
                <c:pt idx="4081">
                  <c:v>250.67400000000001</c:v>
                </c:pt>
                <c:pt idx="4082">
                  <c:v>250.67400000000001</c:v>
                </c:pt>
                <c:pt idx="4083">
                  <c:v>250.67400000000001</c:v>
                </c:pt>
                <c:pt idx="4084">
                  <c:v>250.67400000000001</c:v>
                </c:pt>
                <c:pt idx="4085">
                  <c:v>250.745</c:v>
                </c:pt>
                <c:pt idx="4086">
                  <c:v>250.745</c:v>
                </c:pt>
                <c:pt idx="4087">
                  <c:v>250.745</c:v>
                </c:pt>
                <c:pt idx="4088">
                  <c:v>250.745</c:v>
                </c:pt>
                <c:pt idx="4089">
                  <c:v>250.745</c:v>
                </c:pt>
                <c:pt idx="4090">
                  <c:v>250.745</c:v>
                </c:pt>
                <c:pt idx="4091">
                  <c:v>250.745</c:v>
                </c:pt>
                <c:pt idx="4092">
                  <c:v>250.745</c:v>
                </c:pt>
                <c:pt idx="4093">
                  <c:v>250.745</c:v>
                </c:pt>
                <c:pt idx="4094">
                  <c:v>250.78899999999999</c:v>
                </c:pt>
                <c:pt idx="4095">
                  <c:v>250.78899999999999</c:v>
                </c:pt>
                <c:pt idx="4096">
                  <c:v>250.78899999999999</c:v>
                </c:pt>
                <c:pt idx="4097">
                  <c:v>250.78899999999999</c:v>
                </c:pt>
                <c:pt idx="4098">
                  <c:v>250.78899999999999</c:v>
                </c:pt>
                <c:pt idx="4099">
                  <c:v>250.78899999999999</c:v>
                </c:pt>
                <c:pt idx="4100">
                  <c:v>250.78899999999999</c:v>
                </c:pt>
                <c:pt idx="4101">
                  <c:v>250.78899999999999</c:v>
                </c:pt>
                <c:pt idx="4102">
                  <c:v>250.78899999999999</c:v>
                </c:pt>
                <c:pt idx="4103">
                  <c:v>250.81700000000001</c:v>
                </c:pt>
                <c:pt idx="4104">
                  <c:v>250.81700000000001</c:v>
                </c:pt>
                <c:pt idx="4105">
                  <c:v>250.81700000000001</c:v>
                </c:pt>
                <c:pt idx="4106">
                  <c:v>250.81700000000001</c:v>
                </c:pt>
                <c:pt idx="4107">
                  <c:v>250.81700000000001</c:v>
                </c:pt>
                <c:pt idx="4108">
                  <c:v>250.81700000000001</c:v>
                </c:pt>
                <c:pt idx="4109">
                  <c:v>250.81700000000001</c:v>
                </c:pt>
                <c:pt idx="4110">
                  <c:v>250.81700000000001</c:v>
                </c:pt>
                <c:pt idx="4111">
                  <c:v>250.81700000000001</c:v>
                </c:pt>
                <c:pt idx="4112">
                  <c:v>250.834</c:v>
                </c:pt>
                <c:pt idx="4113">
                  <c:v>250.834</c:v>
                </c:pt>
                <c:pt idx="4114">
                  <c:v>250.834</c:v>
                </c:pt>
                <c:pt idx="4115">
                  <c:v>250.834</c:v>
                </c:pt>
                <c:pt idx="4116">
                  <c:v>250.834</c:v>
                </c:pt>
                <c:pt idx="4117">
                  <c:v>250.834</c:v>
                </c:pt>
                <c:pt idx="4118">
                  <c:v>250.834</c:v>
                </c:pt>
                <c:pt idx="4119">
                  <c:v>250.834</c:v>
                </c:pt>
                <c:pt idx="4120">
                  <c:v>250.834</c:v>
                </c:pt>
                <c:pt idx="4121">
                  <c:v>250.845</c:v>
                </c:pt>
                <c:pt idx="4122">
                  <c:v>250.845</c:v>
                </c:pt>
                <c:pt idx="4123">
                  <c:v>250.845</c:v>
                </c:pt>
                <c:pt idx="4124">
                  <c:v>250.845</c:v>
                </c:pt>
                <c:pt idx="4125">
                  <c:v>250.845</c:v>
                </c:pt>
                <c:pt idx="4126">
                  <c:v>250.845</c:v>
                </c:pt>
                <c:pt idx="4127">
                  <c:v>250.845</c:v>
                </c:pt>
                <c:pt idx="4128">
                  <c:v>250.845</c:v>
                </c:pt>
                <c:pt idx="4129">
                  <c:v>250.845</c:v>
                </c:pt>
                <c:pt idx="4130">
                  <c:v>250.852</c:v>
                </c:pt>
                <c:pt idx="4131">
                  <c:v>250.852</c:v>
                </c:pt>
                <c:pt idx="4132">
                  <c:v>250.852</c:v>
                </c:pt>
                <c:pt idx="4133">
                  <c:v>250.852</c:v>
                </c:pt>
                <c:pt idx="4134">
                  <c:v>250.852</c:v>
                </c:pt>
                <c:pt idx="4135">
                  <c:v>250.852</c:v>
                </c:pt>
                <c:pt idx="4136">
                  <c:v>250.852</c:v>
                </c:pt>
                <c:pt idx="4137">
                  <c:v>250.852</c:v>
                </c:pt>
                <c:pt idx="4138">
                  <c:v>250.852</c:v>
                </c:pt>
                <c:pt idx="4139">
                  <c:v>250.95699999999999</c:v>
                </c:pt>
                <c:pt idx="4140">
                  <c:v>250.95699999999999</c:v>
                </c:pt>
                <c:pt idx="4141">
                  <c:v>250.95699999999999</c:v>
                </c:pt>
                <c:pt idx="4142">
                  <c:v>250.95699999999999</c:v>
                </c:pt>
                <c:pt idx="4143">
                  <c:v>250.95699999999999</c:v>
                </c:pt>
                <c:pt idx="4144">
                  <c:v>250.95699999999999</c:v>
                </c:pt>
                <c:pt idx="4145">
                  <c:v>250.95699999999999</c:v>
                </c:pt>
                <c:pt idx="4146">
                  <c:v>250.95699999999999</c:v>
                </c:pt>
                <c:pt idx="4147">
                  <c:v>250.95699999999999</c:v>
                </c:pt>
                <c:pt idx="4148">
                  <c:v>251.06200000000001</c:v>
                </c:pt>
                <c:pt idx="4149">
                  <c:v>251.06200000000001</c:v>
                </c:pt>
                <c:pt idx="4150">
                  <c:v>251.06200000000001</c:v>
                </c:pt>
                <c:pt idx="4151">
                  <c:v>251.06200000000001</c:v>
                </c:pt>
                <c:pt idx="4152">
                  <c:v>251.06200000000001</c:v>
                </c:pt>
                <c:pt idx="4153">
                  <c:v>251.06200000000001</c:v>
                </c:pt>
                <c:pt idx="4154">
                  <c:v>251.06200000000001</c:v>
                </c:pt>
                <c:pt idx="4155">
                  <c:v>251.06200000000001</c:v>
                </c:pt>
                <c:pt idx="4156">
                  <c:v>251.06200000000001</c:v>
                </c:pt>
                <c:pt idx="4157">
                  <c:v>251.12899999999999</c:v>
                </c:pt>
                <c:pt idx="4158">
                  <c:v>251.12899999999999</c:v>
                </c:pt>
                <c:pt idx="4159">
                  <c:v>251.12899999999999</c:v>
                </c:pt>
                <c:pt idx="4160">
                  <c:v>251.12899999999999</c:v>
                </c:pt>
                <c:pt idx="4161">
                  <c:v>251.12899999999999</c:v>
                </c:pt>
                <c:pt idx="4162">
                  <c:v>251.12899999999999</c:v>
                </c:pt>
                <c:pt idx="4163">
                  <c:v>251.12899999999999</c:v>
                </c:pt>
                <c:pt idx="4164">
                  <c:v>251.12899999999999</c:v>
                </c:pt>
                <c:pt idx="4165">
                  <c:v>251.12899999999999</c:v>
                </c:pt>
                <c:pt idx="4166">
                  <c:v>251.17099999999999</c:v>
                </c:pt>
                <c:pt idx="4167">
                  <c:v>251.17099999999999</c:v>
                </c:pt>
                <c:pt idx="4168">
                  <c:v>251.17099999999999</c:v>
                </c:pt>
                <c:pt idx="4169">
                  <c:v>251.17099999999999</c:v>
                </c:pt>
                <c:pt idx="4170">
                  <c:v>251.17099999999999</c:v>
                </c:pt>
                <c:pt idx="4171">
                  <c:v>251.17099999999999</c:v>
                </c:pt>
                <c:pt idx="4172">
                  <c:v>251.17099999999999</c:v>
                </c:pt>
                <c:pt idx="4173">
                  <c:v>251.17099999999999</c:v>
                </c:pt>
                <c:pt idx="4174">
                  <c:v>251.17099999999999</c:v>
                </c:pt>
                <c:pt idx="4175">
                  <c:v>251.19800000000001</c:v>
                </c:pt>
                <c:pt idx="4176">
                  <c:v>251.19800000000001</c:v>
                </c:pt>
                <c:pt idx="4177">
                  <c:v>251.19800000000001</c:v>
                </c:pt>
                <c:pt idx="4178">
                  <c:v>251.19800000000001</c:v>
                </c:pt>
                <c:pt idx="4179">
                  <c:v>251.19800000000001</c:v>
                </c:pt>
                <c:pt idx="4180">
                  <c:v>251.19800000000001</c:v>
                </c:pt>
                <c:pt idx="4181">
                  <c:v>251.19800000000001</c:v>
                </c:pt>
                <c:pt idx="4182">
                  <c:v>251.19800000000001</c:v>
                </c:pt>
                <c:pt idx="4183">
                  <c:v>251.19800000000001</c:v>
                </c:pt>
                <c:pt idx="4184">
                  <c:v>251.214</c:v>
                </c:pt>
                <c:pt idx="4185">
                  <c:v>251.214</c:v>
                </c:pt>
                <c:pt idx="4186">
                  <c:v>251.214</c:v>
                </c:pt>
                <c:pt idx="4187">
                  <c:v>251.214</c:v>
                </c:pt>
                <c:pt idx="4188">
                  <c:v>251.214</c:v>
                </c:pt>
                <c:pt idx="4189">
                  <c:v>251.214</c:v>
                </c:pt>
                <c:pt idx="4190">
                  <c:v>251.214</c:v>
                </c:pt>
                <c:pt idx="4191">
                  <c:v>251.214</c:v>
                </c:pt>
                <c:pt idx="4192">
                  <c:v>251.214</c:v>
                </c:pt>
                <c:pt idx="4193">
                  <c:v>251.22399999999999</c:v>
                </c:pt>
                <c:pt idx="4194">
                  <c:v>251.22399999999999</c:v>
                </c:pt>
                <c:pt idx="4195">
                  <c:v>251.22399999999999</c:v>
                </c:pt>
                <c:pt idx="4196">
                  <c:v>251.22399999999999</c:v>
                </c:pt>
                <c:pt idx="4197">
                  <c:v>251.22399999999999</c:v>
                </c:pt>
                <c:pt idx="4198">
                  <c:v>251.22399999999999</c:v>
                </c:pt>
                <c:pt idx="4199">
                  <c:v>251.22399999999999</c:v>
                </c:pt>
                <c:pt idx="4200">
                  <c:v>251.22399999999999</c:v>
                </c:pt>
                <c:pt idx="4201">
                  <c:v>251.22399999999999</c:v>
                </c:pt>
                <c:pt idx="4202">
                  <c:v>251.23099999999999</c:v>
                </c:pt>
                <c:pt idx="4203">
                  <c:v>251.23099999999999</c:v>
                </c:pt>
                <c:pt idx="4204">
                  <c:v>251.23099999999999</c:v>
                </c:pt>
                <c:pt idx="4205">
                  <c:v>251.23099999999999</c:v>
                </c:pt>
                <c:pt idx="4206">
                  <c:v>251.23099999999999</c:v>
                </c:pt>
                <c:pt idx="4207">
                  <c:v>251.23099999999999</c:v>
                </c:pt>
                <c:pt idx="4208">
                  <c:v>251.23099999999999</c:v>
                </c:pt>
                <c:pt idx="4209">
                  <c:v>251.23099999999999</c:v>
                </c:pt>
                <c:pt idx="4210">
                  <c:v>251.23099999999999</c:v>
                </c:pt>
                <c:pt idx="4211">
                  <c:v>251.31299999999999</c:v>
                </c:pt>
                <c:pt idx="4212">
                  <c:v>251.31299999999999</c:v>
                </c:pt>
                <c:pt idx="4213">
                  <c:v>251.31299999999999</c:v>
                </c:pt>
                <c:pt idx="4214">
                  <c:v>251.31299999999999</c:v>
                </c:pt>
                <c:pt idx="4215">
                  <c:v>251.31299999999999</c:v>
                </c:pt>
                <c:pt idx="4216">
                  <c:v>251.31299999999999</c:v>
                </c:pt>
                <c:pt idx="4217">
                  <c:v>251.31299999999999</c:v>
                </c:pt>
                <c:pt idx="4218">
                  <c:v>251.31299999999999</c:v>
                </c:pt>
                <c:pt idx="4219">
                  <c:v>251.40600000000001</c:v>
                </c:pt>
                <c:pt idx="4220">
                  <c:v>251.40600000000001</c:v>
                </c:pt>
                <c:pt idx="4221">
                  <c:v>251.40600000000001</c:v>
                </c:pt>
                <c:pt idx="4222">
                  <c:v>251.40600000000001</c:v>
                </c:pt>
                <c:pt idx="4223">
                  <c:v>251.40600000000001</c:v>
                </c:pt>
                <c:pt idx="4224">
                  <c:v>251.40600000000001</c:v>
                </c:pt>
                <c:pt idx="4225">
                  <c:v>251.40600000000001</c:v>
                </c:pt>
                <c:pt idx="4226">
                  <c:v>251.40600000000001</c:v>
                </c:pt>
                <c:pt idx="4227">
                  <c:v>251.40600000000001</c:v>
                </c:pt>
                <c:pt idx="4228">
                  <c:v>251.48599999999999</c:v>
                </c:pt>
                <c:pt idx="4229">
                  <c:v>251.48599999999999</c:v>
                </c:pt>
                <c:pt idx="4230">
                  <c:v>251.48599999999999</c:v>
                </c:pt>
                <c:pt idx="4231">
                  <c:v>251.48599999999999</c:v>
                </c:pt>
                <c:pt idx="4232">
                  <c:v>251.48599999999999</c:v>
                </c:pt>
                <c:pt idx="4233">
                  <c:v>251.517</c:v>
                </c:pt>
                <c:pt idx="4234">
                  <c:v>251.517</c:v>
                </c:pt>
                <c:pt idx="4235">
                  <c:v>251.517</c:v>
                </c:pt>
                <c:pt idx="4236">
                  <c:v>251.517</c:v>
                </c:pt>
                <c:pt idx="4237">
                  <c:v>251.536</c:v>
                </c:pt>
                <c:pt idx="4238">
                  <c:v>251.536</c:v>
                </c:pt>
                <c:pt idx="4239">
                  <c:v>251.536</c:v>
                </c:pt>
                <c:pt idx="4240">
                  <c:v>251.536</c:v>
                </c:pt>
                <c:pt idx="4241">
                  <c:v>251.536</c:v>
                </c:pt>
                <c:pt idx="4242">
                  <c:v>251.55500000000001</c:v>
                </c:pt>
                <c:pt idx="4243">
                  <c:v>251.55500000000001</c:v>
                </c:pt>
                <c:pt idx="4244">
                  <c:v>251.55500000000001</c:v>
                </c:pt>
                <c:pt idx="4245">
                  <c:v>251.55500000000001</c:v>
                </c:pt>
                <c:pt idx="4246">
                  <c:v>251.56800000000001</c:v>
                </c:pt>
                <c:pt idx="4247">
                  <c:v>251.56800000000001</c:v>
                </c:pt>
                <c:pt idx="4248">
                  <c:v>251.56800000000001</c:v>
                </c:pt>
                <c:pt idx="4249">
                  <c:v>251.56800000000001</c:v>
                </c:pt>
                <c:pt idx="4250">
                  <c:v>251.56800000000001</c:v>
                </c:pt>
                <c:pt idx="4251">
                  <c:v>251.58</c:v>
                </c:pt>
                <c:pt idx="4252">
                  <c:v>251.58</c:v>
                </c:pt>
                <c:pt idx="4253">
                  <c:v>251.58</c:v>
                </c:pt>
                <c:pt idx="4254">
                  <c:v>251.58</c:v>
                </c:pt>
                <c:pt idx="4255">
                  <c:v>251.58799999999999</c:v>
                </c:pt>
                <c:pt idx="4256">
                  <c:v>251.58799999999999</c:v>
                </c:pt>
                <c:pt idx="4257">
                  <c:v>251.58799999999999</c:v>
                </c:pt>
                <c:pt idx="4258">
                  <c:v>251.58799999999999</c:v>
                </c:pt>
                <c:pt idx="4259">
                  <c:v>251.608</c:v>
                </c:pt>
                <c:pt idx="4260">
                  <c:v>251.61099999999999</c:v>
                </c:pt>
                <c:pt idx="4261">
                  <c:v>251.61099999999999</c:v>
                </c:pt>
                <c:pt idx="4262">
                  <c:v>251.61099999999999</c:v>
                </c:pt>
                <c:pt idx="4263">
                  <c:v>251.61099999999999</c:v>
                </c:pt>
                <c:pt idx="4264">
                  <c:v>251.61099999999999</c:v>
                </c:pt>
                <c:pt idx="4265">
                  <c:v>251.61099999999999</c:v>
                </c:pt>
                <c:pt idx="4266">
                  <c:v>251.61099999999999</c:v>
                </c:pt>
                <c:pt idx="4267">
                  <c:v>251.61099999999999</c:v>
                </c:pt>
                <c:pt idx="4268">
                  <c:v>251.61099999999999</c:v>
                </c:pt>
                <c:pt idx="4269">
                  <c:v>251.70099999999999</c:v>
                </c:pt>
                <c:pt idx="4270">
                  <c:v>251.70099999999999</c:v>
                </c:pt>
                <c:pt idx="4271">
                  <c:v>251.70099999999999</c:v>
                </c:pt>
                <c:pt idx="4272">
                  <c:v>251.70099999999999</c:v>
                </c:pt>
                <c:pt idx="4273">
                  <c:v>251.70099999999999</c:v>
                </c:pt>
                <c:pt idx="4274">
                  <c:v>251.70099999999999</c:v>
                </c:pt>
                <c:pt idx="4275">
                  <c:v>251.70099999999999</c:v>
                </c:pt>
                <c:pt idx="4276">
                  <c:v>251.70099999999999</c:v>
                </c:pt>
                <c:pt idx="4277">
                  <c:v>251.70099999999999</c:v>
                </c:pt>
                <c:pt idx="4278">
                  <c:v>251.81200000000001</c:v>
                </c:pt>
                <c:pt idx="4279">
                  <c:v>251.81200000000001</c:v>
                </c:pt>
                <c:pt idx="4280">
                  <c:v>251.81200000000001</c:v>
                </c:pt>
                <c:pt idx="4281">
                  <c:v>251.81200000000001</c:v>
                </c:pt>
                <c:pt idx="4282">
                  <c:v>251.81200000000001</c:v>
                </c:pt>
                <c:pt idx="4283">
                  <c:v>251.85499999999999</c:v>
                </c:pt>
                <c:pt idx="4284">
                  <c:v>251.85499999999999</c:v>
                </c:pt>
                <c:pt idx="4285">
                  <c:v>251.85499999999999</c:v>
                </c:pt>
                <c:pt idx="4286">
                  <c:v>251.85499999999999</c:v>
                </c:pt>
                <c:pt idx="4287">
                  <c:v>251.88200000000001</c:v>
                </c:pt>
                <c:pt idx="4288">
                  <c:v>251.88200000000001</c:v>
                </c:pt>
                <c:pt idx="4289">
                  <c:v>251.88200000000001</c:v>
                </c:pt>
                <c:pt idx="4290">
                  <c:v>251.88200000000001</c:v>
                </c:pt>
                <c:pt idx="4291">
                  <c:v>251.88200000000001</c:v>
                </c:pt>
                <c:pt idx="4292">
                  <c:v>251.91</c:v>
                </c:pt>
                <c:pt idx="4293">
                  <c:v>251.91</c:v>
                </c:pt>
                <c:pt idx="4294">
                  <c:v>251.91</c:v>
                </c:pt>
                <c:pt idx="4295">
                  <c:v>251.91</c:v>
                </c:pt>
                <c:pt idx="4296">
                  <c:v>251.92699999999999</c:v>
                </c:pt>
                <c:pt idx="4297">
                  <c:v>251.92699999999999</c:v>
                </c:pt>
                <c:pt idx="4298">
                  <c:v>251.92699999999999</c:v>
                </c:pt>
                <c:pt idx="4299">
                  <c:v>251.92699999999999</c:v>
                </c:pt>
                <c:pt idx="4300">
                  <c:v>251.92699999999999</c:v>
                </c:pt>
                <c:pt idx="4301">
                  <c:v>251.94399999999999</c:v>
                </c:pt>
                <c:pt idx="4302">
                  <c:v>251.97200000000001</c:v>
                </c:pt>
                <c:pt idx="4303">
                  <c:v>251.97200000000001</c:v>
                </c:pt>
                <c:pt idx="4304">
                  <c:v>251.97200000000001</c:v>
                </c:pt>
                <c:pt idx="4305">
                  <c:v>251.97900000000001</c:v>
                </c:pt>
                <c:pt idx="4306">
                  <c:v>251.97900000000001</c:v>
                </c:pt>
                <c:pt idx="4307">
                  <c:v>251.97900000000001</c:v>
                </c:pt>
                <c:pt idx="4308">
                  <c:v>251.97900000000001</c:v>
                </c:pt>
                <c:pt idx="4309">
                  <c:v>251.97900000000001</c:v>
                </c:pt>
                <c:pt idx="4310">
                  <c:v>251.97900000000001</c:v>
                </c:pt>
                <c:pt idx="4311">
                  <c:v>251.97900000000001</c:v>
                </c:pt>
                <c:pt idx="4312">
                  <c:v>251.97900000000001</c:v>
                </c:pt>
                <c:pt idx="4313">
                  <c:v>251.97900000000001</c:v>
                </c:pt>
                <c:pt idx="4314">
                  <c:v>251.98699999999999</c:v>
                </c:pt>
                <c:pt idx="4315">
                  <c:v>251.98699999999999</c:v>
                </c:pt>
                <c:pt idx="4316">
                  <c:v>251.98699999999999</c:v>
                </c:pt>
                <c:pt idx="4317">
                  <c:v>251.98699999999999</c:v>
                </c:pt>
                <c:pt idx="4318">
                  <c:v>251.98699999999999</c:v>
                </c:pt>
                <c:pt idx="4319">
                  <c:v>251.98699999999999</c:v>
                </c:pt>
                <c:pt idx="4320">
                  <c:v>251.98699999999999</c:v>
                </c:pt>
                <c:pt idx="4321">
                  <c:v>251.98699999999999</c:v>
                </c:pt>
                <c:pt idx="4322">
                  <c:v>251.98699999999999</c:v>
                </c:pt>
                <c:pt idx="4323">
                  <c:v>251.99299999999999</c:v>
                </c:pt>
                <c:pt idx="4324">
                  <c:v>251.99299999999999</c:v>
                </c:pt>
                <c:pt idx="4325">
                  <c:v>251.99299999999999</c:v>
                </c:pt>
                <c:pt idx="4326">
                  <c:v>251.99299999999999</c:v>
                </c:pt>
                <c:pt idx="4327">
                  <c:v>251.99299999999999</c:v>
                </c:pt>
                <c:pt idx="4328">
                  <c:v>251.99299999999999</c:v>
                </c:pt>
                <c:pt idx="4329">
                  <c:v>251.99299999999999</c:v>
                </c:pt>
                <c:pt idx="4330">
                  <c:v>251.99299999999999</c:v>
                </c:pt>
                <c:pt idx="4331">
                  <c:v>251.99299999999999</c:v>
                </c:pt>
                <c:pt idx="4332">
                  <c:v>252.03399999999999</c:v>
                </c:pt>
                <c:pt idx="4333">
                  <c:v>252.03399999999999</c:v>
                </c:pt>
                <c:pt idx="4334">
                  <c:v>252.03399999999999</c:v>
                </c:pt>
                <c:pt idx="4335">
                  <c:v>252.03399999999999</c:v>
                </c:pt>
                <c:pt idx="4336">
                  <c:v>252.03399999999999</c:v>
                </c:pt>
                <c:pt idx="4337">
                  <c:v>252.113</c:v>
                </c:pt>
                <c:pt idx="4338">
                  <c:v>252.113</c:v>
                </c:pt>
                <c:pt idx="4339">
                  <c:v>252.113</c:v>
                </c:pt>
                <c:pt idx="4340">
                  <c:v>252.113</c:v>
                </c:pt>
                <c:pt idx="4341">
                  <c:v>252.16300000000001</c:v>
                </c:pt>
                <c:pt idx="4342">
                  <c:v>252.16300000000001</c:v>
                </c:pt>
                <c:pt idx="4343">
                  <c:v>252.16300000000001</c:v>
                </c:pt>
                <c:pt idx="4344">
                  <c:v>252.16300000000001</c:v>
                </c:pt>
                <c:pt idx="4345">
                  <c:v>252.16300000000001</c:v>
                </c:pt>
                <c:pt idx="4346">
                  <c:v>252.27699999999999</c:v>
                </c:pt>
                <c:pt idx="4347">
                  <c:v>252.30099999999999</c:v>
                </c:pt>
                <c:pt idx="4348">
                  <c:v>252.30099999999999</c:v>
                </c:pt>
                <c:pt idx="4349">
                  <c:v>252.30099999999999</c:v>
                </c:pt>
                <c:pt idx="4350">
                  <c:v>252.30099999999999</c:v>
                </c:pt>
                <c:pt idx="4351">
                  <c:v>252.30099999999999</c:v>
                </c:pt>
                <c:pt idx="4352">
                  <c:v>252.30099999999999</c:v>
                </c:pt>
                <c:pt idx="4353">
                  <c:v>252.30099999999999</c:v>
                </c:pt>
                <c:pt idx="4354">
                  <c:v>252.30099999999999</c:v>
                </c:pt>
                <c:pt idx="4355">
                  <c:v>252.32599999999999</c:v>
                </c:pt>
                <c:pt idx="4356">
                  <c:v>252.32599999999999</c:v>
                </c:pt>
                <c:pt idx="4357">
                  <c:v>252.32599999999999</c:v>
                </c:pt>
                <c:pt idx="4358">
                  <c:v>252.32599999999999</c:v>
                </c:pt>
                <c:pt idx="4359">
                  <c:v>252.32599999999999</c:v>
                </c:pt>
                <c:pt idx="4360">
                  <c:v>252.32599999999999</c:v>
                </c:pt>
                <c:pt idx="4361">
                  <c:v>252.32599999999999</c:v>
                </c:pt>
                <c:pt idx="4362">
                  <c:v>252.32599999999999</c:v>
                </c:pt>
                <c:pt idx="4363">
                  <c:v>252.32599999999999</c:v>
                </c:pt>
                <c:pt idx="4364">
                  <c:v>252.34700000000001</c:v>
                </c:pt>
                <c:pt idx="4365">
                  <c:v>252.34700000000001</c:v>
                </c:pt>
                <c:pt idx="4366">
                  <c:v>252.34700000000001</c:v>
                </c:pt>
                <c:pt idx="4367">
                  <c:v>252.34700000000001</c:v>
                </c:pt>
                <c:pt idx="4368">
                  <c:v>252.34700000000001</c:v>
                </c:pt>
                <c:pt idx="4369">
                  <c:v>252.35599999999999</c:v>
                </c:pt>
                <c:pt idx="4370">
                  <c:v>252.35599999999999</c:v>
                </c:pt>
                <c:pt idx="4371">
                  <c:v>252.35599999999999</c:v>
                </c:pt>
                <c:pt idx="4372">
                  <c:v>252.35599999999999</c:v>
                </c:pt>
                <c:pt idx="4373">
                  <c:v>252.36099999999999</c:v>
                </c:pt>
                <c:pt idx="4374">
                  <c:v>252.36099999999999</c:v>
                </c:pt>
                <c:pt idx="4375">
                  <c:v>252.36099999999999</c:v>
                </c:pt>
                <c:pt idx="4376">
                  <c:v>252.36099999999999</c:v>
                </c:pt>
                <c:pt idx="4377">
                  <c:v>252.36099999999999</c:v>
                </c:pt>
                <c:pt idx="4378">
                  <c:v>252.37299999999999</c:v>
                </c:pt>
                <c:pt idx="4379">
                  <c:v>252.37299999999999</c:v>
                </c:pt>
                <c:pt idx="4380">
                  <c:v>252.37299999999999</c:v>
                </c:pt>
                <c:pt idx="4381">
                  <c:v>252.37299999999999</c:v>
                </c:pt>
                <c:pt idx="4382">
                  <c:v>252.37299999999999</c:v>
                </c:pt>
                <c:pt idx="4383">
                  <c:v>252.37700000000001</c:v>
                </c:pt>
                <c:pt idx="4384">
                  <c:v>252.37700000000001</c:v>
                </c:pt>
                <c:pt idx="4385">
                  <c:v>252.37700000000001</c:v>
                </c:pt>
                <c:pt idx="4386">
                  <c:v>252.37700000000001</c:v>
                </c:pt>
                <c:pt idx="4387">
                  <c:v>252.37700000000001</c:v>
                </c:pt>
                <c:pt idx="4388">
                  <c:v>252.37700000000001</c:v>
                </c:pt>
                <c:pt idx="4389">
                  <c:v>252.37700000000001</c:v>
                </c:pt>
                <c:pt idx="4390">
                  <c:v>252.37700000000001</c:v>
                </c:pt>
                <c:pt idx="4391">
                  <c:v>252.37700000000001</c:v>
                </c:pt>
                <c:pt idx="4392">
                  <c:v>252.47300000000001</c:v>
                </c:pt>
                <c:pt idx="4393">
                  <c:v>252.47300000000001</c:v>
                </c:pt>
                <c:pt idx="4394">
                  <c:v>252.47300000000001</c:v>
                </c:pt>
                <c:pt idx="4395">
                  <c:v>252.47300000000001</c:v>
                </c:pt>
                <c:pt idx="4396">
                  <c:v>252.47300000000001</c:v>
                </c:pt>
                <c:pt idx="4397">
                  <c:v>252.54</c:v>
                </c:pt>
                <c:pt idx="4398">
                  <c:v>252.54</c:v>
                </c:pt>
                <c:pt idx="4399">
                  <c:v>252.54</c:v>
                </c:pt>
                <c:pt idx="4400">
                  <c:v>252.54</c:v>
                </c:pt>
                <c:pt idx="4401">
                  <c:v>252.58199999999999</c:v>
                </c:pt>
                <c:pt idx="4402">
                  <c:v>252.58199999999999</c:v>
                </c:pt>
                <c:pt idx="4403">
                  <c:v>252.58199999999999</c:v>
                </c:pt>
                <c:pt idx="4404">
                  <c:v>252.67599999999999</c:v>
                </c:pt>
                <c:pt idx="4405">
                  <c:v>252.67599999999999</c:v>
                </c:pt>
                <c:pt idx="4406">
                  <c:v>252.67599999999999</c:v>
                </c:pt>
                <c:pt idx="4407">
                  <c:v>252.67599999999999</c:v>
                </c:pt>
                <c:pt idx="4408">
                  <c:v>252.67599999999999</c:v>
                </c:pt>
                <c:pt idx="4409">
                  <c:v>252.697</c:v>
                </c:pt>
                <c:pt idx="4410">
                  <c:v>252.697</c:v>
                </c:pt>
                <c:pt idx="4411">
                  <c:v>252.697</c:v>
                </c:pt>
                <c:pt idx="4412">
                  <c:v>252.697</c:v>
                </c:pt>
                <c:pt idx="4413">
                  <c:v>252.697</c:v>
                </c:pt>
                <c:pt idx="4414">
                  <c:v>252.697</c:v>
                </c:pt>
                <c:pt idx="4415">
                  <c:v>252.697</c:v>
                </c:pt>
                <c:pt idx="4416">
                  <c:v>252.697</c:v>
                </c:pt>
                <c:pt idx="4417">
                  <c:v>252.697</c:v>
                </c:pt>
                <c:pt idx="4418">
                  <c:v>252.72300000000001</c:v>
                </c:pt>
                <c:pt idx="4419">
                  <c:v>252.72300000000001</c:v>
                </c:pt>
                <c:pt idx="4420">
                  <c:v>252.72300000000001</c:v>
                </c:pt>
                <c:pt idx="4421">
                  <c:v>252.72300000000001</c:v>
                </c:pt>
                <c:pt idx="4422">
                  <c:v>252.72300000000001</c:v>
                </c:pt>
                <c:pt idx="4423">
                  <c:v>252.733</c:v>
                </c:pt>
                <c:pt idx="4424">
                  <c:v>252.733</c:v>
                </c:pt>
                <c:pt idx="4425">
                  <c:v>252.733</c:v>
                </c:pt>
                <c:pt idx="4426">
                  <c:v>252.733</c:v>
                </c:pt>
                <c:pt idx="4427">
                  <c:v>252.745</c:v>
                </c:pt>
                <c:pt idx="4428">
                  <c:v>252.745</c:v>
                </c:pt>
                <c:pt idx="4429">
                  <c:v>252.75399999999999</c:v>
                </c:pt>
                <c:pt idx="4430">
                  <c:v>252.75399999999999</c:v>
                </c:pt>
                <c:pt idx="4431">
                  <c:v>252.75399999999999</c:v>
                </c:pt>
                <c:pt idx="4432">
                  <c:v>252.75399999999999</c:v>
                </c:pt>
                <c:pt idx="4433">
                  <c:v>252.75399999999999</c:v>
                </c:pt>
                <c:pt idx="4434">
                  <c:v>252.75399999999999</c:v>
                </c:pt>
                <c:pt idx="4435">
                  <c:v>252.75399999999999</c:v>
                </c:pt>
                <c:pt idx="4436">
                  <c:v>252.75399999999999</c:v>
                </c:pt>
                <c:pt idx="4437">
                  <c:v>252.75399999999999</c:v>
                </c:pt>
                <c:pt idx="4438">
                  <c:v>252.75800000000001</c:v>
                </c:pt>
                <c:pt idx="4439">
                  <c:v>252.75800000000001</c:v>
                </c:pt>
                <c:pt idx="4440">
                  <c:v>252.75800000000001</c:v>
                </c:pt>
                <c:pt idx="4441">
                  <c:v>252.75800000000001</c:v>
                </c:pt>
                <c:pt idx="4442">
                  <c:v>252.75800000000001</c:v>
                </c:pt>
                <c:pt idx="4443">
                  <c:v>252.76</c:v>
                </c:pt>
                <c:pt idx="4444">
                  <c:v>252.76</c:v>
                </c:pt>
                <c:pt idx="4445">
                  <c:v>252.76</c:v>
                </c:pt>
                <c:pt idx="4446">
                  <c:v>252.76</c:v>
                </c:pt>
                <c:pt idx="4447">
                  <c:v>252.761</c:v>
                </c:pt>
                <c:pt idx="4448">
                  <c:v>252.761</c:v>
                </c:pt>
                <c:pt idx="4449">
                  <c:v>252.761</c:v>
                </c:pt>
                <c:pt idx="4450">
                  <c:v>252.84200000000001</c:v>
                </c:pt>
                <c:pt idx="4451">
                  <c:v>252.91200000000001</c:v>
                </c:pt>
                <c:pt idx="4452">
                  <c:v>252.91200000000001</c:v>
                </c:pt>
                <c:pt idx="4453">
                  <c:v>252.91200000000001</c:v>
                </c:pt>
                <c:pt idx="4454">
                  <c:v>252.91200000000001</c:v>
                </c:pt>
                <c:pt idx="4455">
                  <c:v>252.91200000000001</c:v>
                </c:pt>
                <c:pt idx="4456">
                  <c:v>252.91200000000001</c:v>
                </c:pt>
                <c:pt idx="4457">
                  <c:v>252.91200000000001</c:v>
                </c:pt>
                <c:pt idx="4458">
                  <c:v>252.91200000000001</c:v>
                </c:pt>
                <c:pt idx="4459">
                  <c:v>252.91200000000001</c:v>
                </c:pt>
                <c:pt idx="4460">
                  <c:v>253</c:v>
                </c:pt>
                <c:pt idx="4461">
                  <c:v>253</c:v>
                </c:pt>
                <c:pt idx="4462">
                  <c:v>253</c:v>
                </c:pt>
                <c:pt idx="4463">
                  <c:v>253</c:v>
                </c:pt>
                <c:pt idx="4464">
                  <c:v>253</c:v>
                </c:pt>
                <c:pt idx="4465">
                  <c:v>253.03399999999999</c:v>
                </c:pt>
                <c:pt idx="4466">
                  <c:v>253.03399999999999</c:v>
                </c:pt>
                <c:pt idx="4467">
                  <c:v>253.03399999999999</c:v>
                </c:pt>
                <c:pt idx="4468">
                  <c:v>253.03399999999999</c:v>
                </c:pt>
                <c:pt idx="4469">
                  <c:v>253.05699999999999</c:v>
                </c:pt>
                <c:pt idx="4470">
                  <c:v>253.05699999999999</c:v>
                </c:pt>
                <c:pt idx="4471">
                  <c:v>253.05699999999999</c:v>
                </c:pt>
                <c:pt idx="4472">
                  <c:v>253.09200000000001</c:v>
                </c:pt>
                <c:pt idx="4473">
                  <c:v>253.09200000000001</c:v>
                </c:pt>
                <c:pt idx="4474">
                  <c:v>253.10499999999999</c:v>
                </c:pt>
                <c:pt idx="4475">
                  <c:v>253.10499999999999</c:v>
                </c:pt>
                <c:pt idx="4476">
                  <c:v>253.10499999999999</c:v>
                </c:pt>
                <c:pt idx="4477">
                  <c:v>253.10499999999999</c:v>
                </c:pt>
                <c:pt idx="4478">
                  <c:v>253.10499999999999</c:v>
                </c:pt>
                <c:pt idx="4479">
                  <c:v>253.10499999999999</c:v>
                </c:pt>
                <c:pt idx="4480">
                  <c:v>253.10499999999999</c:v>
                </c:pt>
                <c:pt idx="4481">
                  <c:v>253.10499999999999</c:v>
                </c:pt>
                <c:pt idx="4482">
                  <c:v>253.119</c:v>
                </c:pt>
                <c:pt idx="4483">
                  <c:v>253.119</c:v>
                </c:pt>
                <c:pt idx="4484">
                  <c:v>253.119</c:v>
                </c:pt>
                <c:pt idx="4485">
                  <c:v>253.119</c:v>
                </c:pt>
                <c:pt idx="4486">
                  <c:v>253.119</c:v>
                </c:pt>
                <c:pt idx="4487">
                  <c:v>253.126</c:v>
                </c:pt>
                <c:pt idx="4488">
                  <c:v>253.126</c:v>
                </c:pt>
                <c:pt idx="4489">
                  <c:v>253.126</c:v>
                </c:pt>
                <c:pt idx="4490">
                  <c:v>253.126</c:v>
                </c:pt>
                <c:pt idx="4491">
                  <c:v>253.13</c:v>
                </c:pt>
                <c:pt idx="4492">
                  <c:v>253.13</c:v>
                </c:pt>
                <c:pt idx="4493">
                  <c:v>253.13</c:v>
                </c:pt>
                <c:pt idx="4494">
                  <c:v>253.13</c:v>
                </c:pt>
                <c:pt idx="4495">
                  <c:v>253.14099999999999</c:v>
                </c:pt>
                <c:pt idx="4496">
                  <c:v>253.14099999999999</c:v>
                </c:pt>
                <c:pt idx="4497">
                  <c:v>253.14099999999999</c:v>
                </c:pt>
                <c:pt idx="4498">
                  <c:v>253.14099999999999</c:v>
                </c:pt>
                <c:pt idx="4499">
                  <c:v>253.14099999999999</c:v>
                </c:pt>
                <c:pt idx="4500">
                  <c:v>253.14099999999999</c:v>
                </c:pt>
                <c:pt idx="4501">
                  <c:v>253.14099999999999</c:v>
                </c:pt>
                <c:pt idx="4502">
                  <c:v>253.14099999999999</c:v>
                </c:pt>
                <c:pt idx="4503">
                  <c:v>253.14099999999999</c:v>
                </c:pt>
                <c:pt idx="4504">
                  <c:v>253.14500000000001</c:v>
                </c:pt>
                <c:pt idx="4505">
                  <c:v>253.14500000000001</c:v>
                </c:pt>
                <c:pt idx="4506">
                  <c:v>253.14500000000001</c:v>
                </c:pt>
                <c:pt idx="4507">
                  <c:v>253.14500000000001</c:v>
                </c:pt>
                <c:pt idx="4508">
                  <c:v>253.14500000000001</c:v>
                </c:pt>
                <c:pt idx="4509">
                  <c:v>253.233</c:v>
                </c:pt>
                <c:pt idx="4510">
                  <c:v>253.233</c:v>
                </c:pt>
                <c:pt idx="4511">
                  <c:v>253.233</c:v>
                </c:pt>
                <c:pt idx="4512">
                  <c:v>253.233</c:v>
                </c:pt>
                <c:pt idx="4513">
                  <c:v>253.28899999999999</c:v>
                </c:pt>
                <c:pt idx="4514">
                  <c:v>253.38</c:v>
                </c:pt>
                <c:pt idx="4515">
                  <c:v>253.38</c:v>
                </c:pt>
                <c:pt idx="4516">
                  <c:v>253.38</c:v>
                </c:pt>
                <c:pt idx="4517">
                  <c:v>253.38</c:v>
                </c:pt>
                <c:pt idx="4518">
                  <c:v>253.38</c:v>
                </c:pt>
                <c:pt idx="4519">
                  <c:v>253.38</c:v>
                </c:pt>
                <c:pt idx="4520">
                  <c:v>253.38</c:v>
                </c:pt>
                <c:pt idx="4521">
                  <c:v>253.38</c:v>
                </c:pt>
                <c:pt idx="4522">
                  <c:v>253.38</c:v>
                </c:pt>
                <c:pt idx="4523">
                  <c:v>253.44300000000001</c:v>
                </c:pt>
                <c:pt idx="4524">
                  <c:v>253.44300000000001</c:v>
                </c:pt>
                <c:pt idx="4525">
                  <c:v>253.44300000000001</c:v>
                </c:pt>
                <c:pt idx="4526">
                  <c:v>253.44300000000001</c:v>
                </c:pt>
                <c:pt idx="4527">
                  <c:v>253.44300000000001</c:v>
                </c:pt>
                <c:pt idx="4528">
                  <c:v>253.464</c:v>
                </c:pt>
                <c:pt idx="4529">
                  <c:v>253.464</c:v>
                </c:pt>
                <c:pt idx="4530">
                  <c:v>253.464</c:v>
                </c:pt>
                <c:pt idx="4531">
                  <c:v>253.464</c:v>
                </c:pt>
                <c:pt idx="4532">
                  <c:v>253.477</c:v>
                </c:pt>
                <c:pt idx="4533">
                  <c:v>253.499</c:v>
                </c:pt>
                <c:pt idx="4534">
                  <c:v>253.499</c:v>
                </c:pt>
                <c:pt idx="4535">
                  <c:v>253.499</c:v>
                </c:pt>
                <c:pt idx="4536">
                  <c:v>253.499</c:v>
                </c:pt>
                <c:pt idx="4537">
                  <c:v>253.50700000000001</c:v>
                </c:pt>
                <c:pt idx="4538">
                  <c:v>253.50700000000001</c:v>
                </c:pt>
                <c:pt idx="4539">
                  <c:v>253.50700000000001</c:v>
                </c:pt>
                <c:pt idx="4540">
                  <c:v>253.50700000000001</c:v>
                </c:pt>
                <c:pt idx="4541">
                  <c:v>253.50700000000001</c:v>
                </c:pt>
                <c:pt idx="4542">
                  <c:v>253.50700000000001</c:v>
                </c:pt>
                <c:pt idx="4543">
                  <c:v>253.50700000000001</c:v>
                </c:pt>
                <c:pt idx="4544">
                  <c:v>253.50700000000001</c:v>
                </c:pt>
                <c:pt idx="4545">
                  <c:v>253.50700000000001</c:v>
                </c:pt>
                <c:pt idx="4546">
                  <c:v>253.518</c:v>
                </c:pt>
                <c:pt idx="4547">
                  <c:v>253.518</c:v>
                </c:pt>
                <c:pt idx="4548">
                  <c:v>253.518</c:v>
                </c:pt>
                <c:pt idx="4549">
                  <c:v>253.518</c:v>
                </c:pt>
                <c:pt idx="4550">
                  <c:v>253.518</c:v>
                </c:pt>
                <c:pt idx="4551">
                  <c:v>253.52199999999999</c:v>
                </c:pt>
                <c:pt idx="4552">
                  <c:v>253.52699999999999</c:v>
                </c:pt>
                <c:pt idx="4553">
                  <c:v>253.52699999999999</c:v>
                </c:pt>
                <c:pt idx="4554">
                  <c:v>253.52699999999999</c:v>
                </c:pt>
                <c:pt idx="4555">
                  <c:v>253.52699999999999</c:v>
                </c:pt>
                <c:pt idx="4556">
                  <c:v>253.52699999999999</c:v>
                </c:pt>
                <c:pt idx="4557">
                  <c:v>253.52699999999999</c:v>
                </c:pt>
                <c:pt idx="4558">
                  <c:v>253.52699999999999</c:v>
                </c:pt>
                <c:pt idx="4559">
                  <c:v>253.52699999999999</c:v>
                </c:pt>
                <c:pt idx="4560">
                  <c:v>253.58500000000001</c:v>
                </c:pt>
                <c:pt idx="4561">
                  <c:v>253.58500000000001</c:v>
                </c:pt>
                <c:pt idx="4562">
                  <c:v>253.58500000000001</c:v>
                </c:pt>
                <c:pt idx="4563">
                  <c:v>253.58500000000001</c:v>
                </c:pt>
                <c:pt idx="4564">
                  <c:v>253.58500000000001</c:v>
                </c:pt>
                <c:pt idx="4565">
                  <c:v>253.661</c:v>
                </c:pt>
                <c:pt idx="4566">
                  <c:v>253.661</c:v>
                </c:pt>
                <c:pt idx="4567">
                  <c:v>253.661</c:v>
                </c:pt>
                <c:pt idx="4568">
                  <c:v>253.661</c:v>
                </c:pt>
                <c:pt idx="4569">
                  <c:v>253.71</c:v>
                </c:pt>
                <c:pt idx="4570">
                  <c:v>253.78800000000001</c:v>
                </c:pt>
                <c:pt idx="4571">
                  <c:v>253.78800000000001</c:v>
                </c:pt>
                <c:pt idx="4572">
                  <c:v>253.78800000000001</c:v>
                </c:pt>
                <c:pt idx="4573">
                  <c:v>253.78800000000001</c:v>
                </c:pt>
                <c:pt idx="4574">
                  <c:v>253.81899999999999</c:v>
                </c:pt>
                <c:pt idx="4575">
                  <c:v>253.81899999999999</c:v>
                </c:pt>
                <c:pt idx="4576">
                  <c:v>253.81899999999999</c:v>
                </c:pt>
                <c:pt idx="4577">
                  <c:v>253.81899999999999</c:v>
                </c:pt>
                <c:pt idx="4578">
                  <c:v>253.81899999999999</c:v>
                </c:pt>
                <c:pt idx="4579">
                  <c:v>253.81899999999999</c:v>
                </c:pt>
                <c:pt idx="4580">
                  <c:v>253.81899999999999</c:v>
                </c:pt>
                <c:pt idx="4581">
                  <c:v>253.81899999999999</c:v>
                </c:pt>
                <c:pt idx="4582">
                  <c:v>253.81899999999999</c:v>
                </c:pt>
                <c:pt idx="4583">
                  <c:v>253.857</c:v>
                </c:pt>
                <c:pt idx="4584">
                  <c:v>253.857</c:v>
                </c:pt>
                <c:pt idx="4585">
                  <c:v>253.857</c:v>
                </c:pt>
                <c:pt idx="4586">
                  <c:v>253.857</c:v>
                </c:pt>
                <c:pt idx="4587">
                  <c:v>253.87700000000001</c:v>
                </c:pt>
                <c:pt idx="4588">
                  <c:v>253.89</c:v>
                </c:pt>
                <c:pt idx="4589">
                  <c:v>253.89</c:v>
                </c:pt>
                <c:pt idx="4590">
                  <c:v>253.89</c:v>
                </c:pt>
                <c:pt idx="4591">
                  <c:v>253.89</c:v>
                </c:pt>
                <c:pt idx="4592">
                  <c:v>253.89</c:v>
                </c:pt>
                <c:pt idx="4593">
                  <c:v>253.89</c:v>
                </c:pt>
                <c:pt idx="4594">
                  <c:v>253.89</c:v>
                </c:pt>
                <c:pt idx="4595">
                  <c:v>253.89</c:v>
                </c:pt>
                <c:pt idx="4596">
                  <c:v>253.89</c:v>
                </c:pt>
                <c:pt idx="4597">
                  <c:v>253.90199999999999</c:v>
                </c:pt>
                <c:pt idx="4598">
                  <c:v>253.90199999999999</c:v>
                </c:pt>
                <c:pt idx="4599">
                  <c:v>253.90199999999999</c:v>
                </c:pt>
                <c:pt idx="4600">
                  <c:v>253.90199999999999</c:v>
                </c:pt>
                <c:pt idx="4601">
                  <c:v>253.905</c:v>
                </c:pt>
                <c:pt idx="4602">
                  <c:v>253.905</c:v>
                </c:pt>
                <c:pt idx="4603">
                  <c:v>253.905</c:v>
                </c:pt>
                <c:pt idx="4604">
                  <c:v>253.905</c:v>
                </c:pt>
                <c:pt idx="4605">
                  <c:v>253.91200000000001</c:v>
                </c:pt>
                <c:pt idx="4606">
                  <c:v>253.91200000000001</c:v>
                </c:pt>
                <c:pt idx="4607">
                  <c:v>253.91399999999999</c:v>
                </c:pt>
                <c:pt idx="4608">
                  <c:v>253.91399999999999</c:v>
                </c:pt>
                <c:pt idx="4609">
                  <c:v>253.91399999999999</c:v>
                </c:pt>
                <c:pt idx="4610">
                  <c:v>253.91399999999999</c:v>
                </c:pt>
                <c:pt idx="4611">
                  <c:v>253.91399999999999</c:v>
                </c:pt>
                <c:pt idx="4612">
                  <c:v>253.91399999999999</c:v>
                </c:pt>
                <c:pt idx="4613">
                  <c:v>253.91399999999999</c:v>
                </c:pt>
                <c:pt idx="4614">
                  <c:v>253.91399999999999</c:v>
                </c:pt>
                <c:pt idx="4615">
                  <c:v>253.91399999999999</c:v>
                </c:pt>
                <c:pt idx="4616">
                  <c:v>253.97200000000001</c:v>
                </c:pt>
                <c:pt idx="4617">
                  <c:v>253.97200000000001</c:v>
                </c:pt>
                <c:pt idx="4618">
                  <c:v>253.97200000000001</c:v>
                </c:pt>
                <c:pt idx="4619">
                  <c:v>253.97200000000001</c:v>
                </c:pt>
                <c:pt idx="4620">
                  <c:v>253.97200000000001</c:v>
                </c:pt>
                <c:pt idx="4621">
                  <c:v>254.14599999999999</c:v>
                </c:pt>
                <c:pt idx="4622">
                  <c:v>254.14599999999999</c:v>
                </c:pt>
                <c:pt idx="4623">
                  <c:v>254.14599999999999</c:v>
                </c:pt>
                <c:pt idx="4624">
                  <c:v>254.14599999999999</c:v>
                </c:pt>
                <c:pt idx="4625">
                  <c:v>254.14599999999999</c:v>
                </c:pt>
                <c:pt idx="4626">
                  <c:v>254.14599999999999</c:v>
                </c:pt>
                <c:pt idx="4627">
                  <c:v>254.14599999999999</c:v>
                </c:pt>
                <c:pt idx="4628">
                  <c:v>254.14599999999999</c:v>
                </c:pt>
                <c:pt idx="4629">
                  <c:v>254.14599999999999</c:v>
                </c:pt>
                <c:pt idx="4630">
                  <c:v>254.20599999999999</c:v>
                </c:pt>
                <c:pt idx="4631">
                  <c:v>254.20599999999999</c:v>
                </c:pt>
                <c:pt idx="4632">
                  <c:v>254.20599999999999</c:v>
                </c:pt>
                <c:pt idx="4633">
                  <c:v>254.20599999999999</c:v>
                </c:pt>
                <c:pt idx="4634">
                  <c:v>254.20599999999999</c:v>
                </c:pt>
                <c:pt idx="4635">
                  <c:v>254.22900000000001</c:v>
                </c:pt>
                <c:pt idx="4636">
                  <c:v>254.22900000000001</c:v>
                </c:pt>
                <c:pt idx="4637">
                  <c:v>254.25899999999999</c:v>
                </c:pt>
                <c:pt idx="4638">
                  <c:v>254.25899999999999</c:v>
                </c:pt>
                <c:pt idx="4639">
                  <c:v>254.25899999999999</c:v>
                </c:pt>
                <c:pt idx="4640">
                  <c:v>254.25899999999999</c:v>
                </c:pt>
                <c:pt idx="4641">
                  <c:v>254.25899999999999</c:v>
                </c:pt>
                <c:pt idx="4642">
                  <c:v>254.25899999999999</c:v>
                </c:pt>
                <c:pt idx="4643">
                  <c:v>254.25899999999999</c:v>
                </c:pt>
                <c:pt idx="4644">
                  <c:v>254.25899999999999</c:v>
                </c:pt>
                <c:pt idx="4645">
                  <c:v>254.274</c:v>
                </c:pt>
                <c:pt idx="4646">
                  <c:v>254.274</c:v>
                </c:pt>
                <c:pt idx="4647">
                  <c:v>254.274</c:v>
                </c:pt>
                <c:pt idx="4648">
                  <c:v>254.274</c:v>
                </c:pt>
                <c:pt idx="4649">
                  <c:v>254.274</c:v>
                </c:pt>
                <c:pt idx="4650">
                  <c:v>254.285</c:v>
                </c:pt>
                <c:pt idx="4651">
                  <c:v>254.285</c:v>
                </c:pt>
                <c:pt idx="4652">
                  <c:v>254.285</c:v>
                </c:pt>
                <c:pt idx="4653">
                  <c:v>254.29400000000001</c:v>
                </c:pt>
                <c:pt idx="4654">
                  <c:v>254.29400000000001</c:v>
                </c:pt>
                <c:pt idx="4655">
                  <c:v>254.29400000000001</c:v>
                </c:pt>
                <c:pt idx="4656">
                  <c:v>254.298</c:v>
                </c:pt>
                <c:pt idx="4657">
                  <c:v>254.298</c:v>
                </c:pt>
                <c:pt idx="4658">
                  <c:v>254.298</c:v>
                </c:pt>
                <c:pt idx="4659">
                  <c:v>254.298</c:v>
                </c:pt>
                <c:pt idx="4660">
                  <c:v>254.298</c:v>
                </c:pt>
                <c:pt idx="4661">
                  <c:v>254.298</c:v>
                </c:pt>
                <c:pt idx="4662">
                  <c:v>254.298</c:v>
                </c:pt>
                <c:pt idx="4663">
                  <c:v>254.298</c:v>
                </c:pt>
                <c:pt idx="4664">
                  <c:v>254.298</c:v>
                </c:pt>
                <c:pt idx="4665">
                  <c:v>254.30199999999999</c:v>
                </c:pt>
                <c:pt idx="4666">
                  <c:v>254.30199999999999</c:v>
                </c:pt>
                <c:pt idx="4667">
                  <c:v>254.30199999999999</c:v>
                </c:pt>
                <c:pt idx="4668">
                  <c:v>254.30199999999999</c:v>
                </c:pt>
                <c:pt idx="4669">
                  <c:v>254.30199999999999</c:v>
                </c:pt>
                <c:pt idx="4670">
                  <c:v>254.303</c:v>
                </c:pt>
                <c:pt idx="4671">
                  <c:v>254.36099999999999</c:v>
                </c:pt>
                <c:pt idx="4672">
                  <c:v>254.36099999999999</c:v>
                </c:pt>
                <c:pt idx="4673">
                  <c:v>254.36099999999999</c:v>
                </c:pt>
                <c:pt idx="4674">
                  <c:v>254.36099999999999</c:v>
                </c:pt>
                <c:pt idx="4675">
                  <c:v>254.36099999999999</c:v>
                </c:pt>
                <c:pt idx="4676">
                  <c:v>254.36099999999999</c:v>
                </c:pt>
                <c:pt idx="4677">
                  <c:v>254.36099999999999</c:v>
                </c:pt>
                <c:pt idx="4678">
                  <c:v>254.36099999999999</c:v>
                </c:pt>
                <c:pt idx="4679">
                  <c:v>254.36099999999999</c:v>
                </c:pt>
                <c:pt idx="4680">
                  <c:v>254.48599999999999</c:v>
                </c:pt>
                <c:pt idx="4681">
                  <c:v>254.48599999999999</c:v>
                </c:pt>
                <c:pt idx="4682">
                  <c:v>254.48599999999999</c:v>
                </c:pt>
                <c:pt idx="4683">
                  <c:v>254.48599999999999</c:v>
                </c:pt>
                <c:pt idx="4684">
                  <c:v>254.56399999999999</c:v>
                </c:pt>
                <c:pt idx="4685">
                  <c:v>254.56399999999999</c:v>
                </c:pt>
                <c:pt idx="4686">
                  <c:v>254.56399999999999</c:v>
                </c:pt>
                <c:pt idx="4687">
                  <c:v>254.56399999999999</c:v>
                </c:pt>
                <c:pt idx="4688">
                  <c:v>254.56399999999999</c:v>
                </c:pt>
                <c:pt idx="4689">
                  <c:v>254.56399999999999</c:v>
                </c:pt>
                <c:pt idx="4690">
                  <c:v>254.56399999999999</c:v>
                </c:pt>
                <c:pt idx="4691">
                  <c:v>254.61799999999999</c:v>
                </c:pt>
                <c:pt idx="4692">
                  <c:v>254.61799999999999</c:v>
                </c:pt>
                <c:pt idx="4693">
                  <c:v>254.61799999999999</c:v>
                </c:pt>
                <c:pt idx="4694">
                  <c:v>254.61799999999999</c:v>
                </c:pt>
                <c:pt idx="4695">
                  <c:v>254.61799999999999</c:v>
                </c:pt>
                <c:pt idx="4696">
                  <c:v>254.636</c:v>
                </c:pt>
                <c:pt idx="4697">
                  <c:v>254.636</c:v>
                </c:pt>
                <c:pt idx="4698">
                  <c:v>254.636</c:v>
                </c:pt>
                <c:pt idx="4699">
                  <c:v>254.636</c:v>
                </c:pt>
                <c:pt idx="4700">
                  <c:v>254.65899999999999</c:v>
                </c:pt>
                <c:pt idx="4701">
                  <c:v>254.65899999999999</c:v>
                </c:pt>
                <c:pt idx="4702">
                  <c:v>254.65899999999999</c:v>
                </c:pt>
                <c:pt idx="4703">
                  <c:v>254.65899999999999</c:v>
                </c:pt>
                <c:pt idx="4704">
                  <c:v>254.65899999999999</c:v>
                </c:pt>
                <c:pt idx="4705">
                  <c:v>254.65899999999999</c:v>
                </c:pt>
                <c:pt idx="4706">
                  <c:v>254.65899999999999</c:v>
                </c:pt>
                <c:pt idx="4707">
                  <c:v>254.666</c:v>
                </c:pt>
                <c:pt idx="4708">
                  <c:v>254.666</c:v>
                </c:pt>
                <c:pt idx="4709">
                  <c:v>254.666</c:v>
                </c:pt>
                <c:pt idx="4710">
                  <c:v>254.666</c:v>
                </c:pt>
                <c:pt idx="4711">
                  <c:v>254.666</c:v>
                </c:pt>
                <c:pt idx="4712">
                  <c:v>254.679</c:v>
                </c:pt>
                <c:pt idx="4713">
                  <c:v>254.679</c:v>
                </c:pt>
                <c:pt idx="4714">
                  <c:v>254.679</c:v>
                </c:pt>
                <c:pt idx="4715">
                  <c:v>254.679</c:v>
                </c:pt>
                <c:pt idx="4716">
                  <c:v>254.68700000000001</c:v>
                </c:pt>
                <c:pt idx="4717">
                  <c:v>254.68700000000001</c:v>
                </c:pt>
                <c:pt idx="4718">
                  <c:v>254.68700000000001</c:v>
                </c:pt>
                <c:pt idx="4719">
                  <c:v>254.68700000000001</c:v>
                </c:pt>
                <c:pt idx="4720">
                  <c:v>254.68700000000001</c:v>
                </c:pt>
                <c:pt idx="4721">
                  <c:v>254.68700000000001</c:v>
                </c:pt>
                <c:pt idx="4722">
                  <c:v>254.68700000000001</c:v>
                </c:pt>
                <c:pt idx="4723">
                  <c:v>254.69</c:v>
                </c:pt>
                <c:pt idx="4724">
                  <c:v>254.69</c:v>
                </c:pt>
                <c:pt idx="4725">
                  <c:v>254.69</c:v>
                </c:pt>
                <c:pt idx="4726">
                  <c:v>254.69</c:v>
                </c:pt>
                <c:pt idx="4727">
                  <c:v>254.69</c:v>
                </c:pt>
                <c:pt idx="4728">
                  <c:v>254.69200000000001</c:v>
                </c:pt>
                <c:pt idx="4729">
                  <c:v>254.69200000000001</c:v>
                </c:pt>
                <c:pt idx="4730">
                  <c:v>254.69200000000001</c:v>
                </c:pt>
                <c:pt idx="4731">
                  <c:v>254.69200000000001</c:v>
                </c:pt>
                <c:pt idx="4732">
                  <c:v>254.69399999999999</c:v>
                </c:pt>
                <c:pt idx="4733">
                  <c:v>254.69399999999999</c:v>
                </c:pt>
                <c:pt idx="4734">
                  <c:v>254.69399999999999</c:v>
                </c:pt>
                <c:pt idx="4735">
                  <c:v>254.69399999999999</c:v>
                </c:pt>
                <c:pt idx="4736">
                  <c:v>254.69399999999999</c:v>
                </c:pt>
                <c:pt idx="4737">
                  <c:v>254.69399999999999</c:v>
                </c:pt>
                <c:pt idx="4738">
                  <c:v>254.69399999999999</c:v>
                </c:pt>
                <c:pt idx="4739">
                  <c:v>254.696</c:v>
                </c:pt>
                <c:pt idx="4740">
                  <c:v>254.696</c:v>
                </c:pt>
                <c:pt idx="4741">
                  <c:v>254.696</c:v>
                </c:pt>
                <c:pt idx="4742">
                  <c:v>254.696</c:v>
                </c:pt>
                <c:pt idx="4743">
                  <c:v>254.696</c:v>
                </c:pt>
                <c:pt idx="4744">
                  <c:v>254.68700000000001</c:v>
                </c:pt>
                <c:pt idx="4745">
                  <c:v>254.68700000000001</c:v>
                </c:pt>
                <c:pt idx="4746">
                  <c:v>254.697</c:v>
                </c:pt>
                <c:pt idx="4747">
                  <c:v>254.697</c:v>
                </c:pt>
                <c:pt idx="4748">
                  <c:v>254.697</c:v>
                </c:pt>
                <c:pt idx="4749">
                  <c:v>254.697</c:v>
                </c:pt>
                <c:pt idx="4750">
                  <c:v>254.697</c:v>
                </c:pt>
                <c:pt idx="4751">
                  <c:v>254.697</c:v>
                </c:pt>
                <c:pt idx="4752">
                  <c:v>254.697</c:v>
                </c:pt>
                <c:pt idx="4753">
                  <c:v>254.697</c:v>
                </c:pt>
                <c:pt idx="4754">
                  <c:v>254.69800000000001</c:v>
                </c:pt>
                <c:pt idx="4755">
                  <c:v>254.69800000000001</c:v>
                </c:pt>
                <c:pt idx="4756">
                  <c:v>254.69800000000001</c:v>
                </c:pt>
                <c:pt idx="4757">
                  <c:v>254.69800000000001</c:v>
                </c:pt>
                <c:pt idx="4758">
                  <c:v>254.69800000000001</c:v>
                </c:pt>
                <c:pt idx="4759">
                  <c:v>254.69800000000001</c:v>
                </c:pt>
                <c:pt idx="4760">
                  <c:v>254.69800000000001</c:v>
                </c:pt>
                <c:pt idx="4761">
                  <c:v>254.69800000000001</c:v>
                </c:pt>
                <c:pt idx="4762">
                  <c:v>254.69800000000001</c:v>
                </c:pt>
                <c:pt idx="4763">
                  <c:v>254.69800000000001</c:v>
                </c:pt>
                <c:pt idx="4764">
                  <c:v>254.69800000000001</c:v>
                </c:pt>
                <c:pt idx="4765">
                  <c:v>254.69800000000001</c:v>
                </c:pt>
                <c:pt idx="4766">
                  <c:v>254.69800000000001</c:v>
                </c:pt>
                <c:pt idx="4767">
                  <c:v>254.69800000000001</c:v>
                </c:pt>
                <c:pt idx="4768">
                  <c:v>254.69800000000001</c:v>
                </c:pt>
                <c:pt idx="4769">
                  <c:v>254.69800000000001</c:v>
                </c:pt>
                <c:pt idx="4770">
                  <c:v>254.69800000000001</c:v>
                </c:pt>
                <c:pt idx="4771">
                  <c:v>254.69800000000001</c:v>
                </c:pt>
                <c:pt idx="4772">
                  <c:v>254.69800000000001</c:v>
                </c:pt>
                <c:pt idx="4773">
                  <c:v>254.69800000000001</c:v>
                </c:pt>
                <c:pt idx="4774">
                  <c:v>254.69800000000001</c:v>
                </c:pt>
                <c:pt idx="4775">
                  <c:v>254.69800000000001</c:v>
                </c:pt>
                <c:pt idx="4776">
                  <c:v>254.69800000000001</c:v>
                </c:pt>
                <c:pt idx="4777">
                  <c:v>254.69800000000001</c:v>
                </c:pt>
                <c:pt idx="4778">
                  <c:v>254.69800000000001</c:v>
                </c:pt>
                <c:pt idx="4779">
                  <c:v>254.69800000000001</c:v>
                </c:pt>
                <c:pt idx="4780">
                  <c:v>254.69800000000001</c:v>
                </c:pt>
                <c:pt idx="4781">
                  <c:v>254.69800000000001</c:v>
                </c:pt>
                <c:pt idx="4782">
                  <c:v>254.69800000000001</c:v>
                </c:pt>
                <c:pt idx="4783">
                  <c:v>254.69800000000001</c:v>
                </c:pt>
                <c:pt idx="4784">
                  <c:v>254.69800000000001</c:v>
                </c:pt>
                <c:pt idx="4785">
                  <c:v>254.69800000000001</c:v>
                </c:pt>
                <c:pt idx="4786">
                  <c:v>254.696</c:v>
                </c:pt>
                <c:pt idx="4787">
                  <c:v>254.696</c:v>
                </c:pt>
                <c:pt idx="4788">
                  <c:v>254.696</c:v>
                </c:pt>
                <c:pt idx="4789">
                  <c:v>254.696</c:v>
                </c:pt>
                <c:pt idx="4790">
                  <c:v>254.69800000000001</c:v>
                </c:pt>
                <c:pt idx="4791">
                  <c:v>254.68899999999999</c:v>
                </c:pt>
                <c:pt idx="4792">
                  <c:v>254.68899999999999</c:v>
                </c:pt>
                <c:pt idx="4793">
                  <c:v>254.68899999999999</c:v>
                </c:pt>
                <c:pt idx="4794">
                  <c:v>254.68899999999999</c:v>
                </c:pt>
                <c:pt idx="4795">
                  <c:v>254.68899999999999</c:v>
                </c:pt>
                <c:pt idx="4796">
                  <c:v>254.68899999999999</c:v>
                </c:pt>
                <c:pt idx="4797">
                  <c:v>254.69800000000001</c:v>
                </c:pt>
                <c:pt idx="4798">
                  <c:v>254.69800000000001</c:v>
                </c:pt>
                <c:pt idx="4799">
                  <c:v>254.69800000000001</c:v>
                </c:pt>
                <c:pt idx="4800">
                  <c:v>254.69800000000001</c:v>
                </c:pt>
                <c:pt idx="4801">
                  <c:v>254.69800000000001</c:v>
                </c:pt>
                <c:pt idx="4802">
                  <c:v>254.69800000000001</c:v>
                </c:pt>
                <c:pt idx="4803">
                  <c:v>254.69800000000001</c:v>
                </c:pt>
                <c:pt idx="4804">
                  <c:v>254.69800000000001</c:v>
                </c:pt>
                <c:pt idx="4805">
                  <c:v>254.69800000000001</c:v>
                </c:pt>
                <c:pt idx="4806">
                  <c:v>254.65100000000001</c:v>
                </c:pt>
                <c:pt idx="4807">
                  <c:v>254.57400000000001</c:v>
                </c:pt>
                <c:pt idx="4808">
                  <c:v>254.57400000000001</c:v>
                </c:pt>
                <c:pt idx="4809">
                  <c:v>254.57400000000001</c:v>
                </c:pt>
                <c:pt idx="4810">
                  <c:v>254.57400000000001</c:v>
                </c:pt>
                <c:pt idx="4811">
                  <c:v>254.57400000000001</c:v>
                </c:pt>
                <c:pt idx="4812">
                  <c:v>254.57400000000001</c:v>
                </c:pt>
                <c:pt idx="4813">
                  <c:v>254.476</c:v>
                </c:pt>
                <c:pt idx="4814">
                  <c:v>254.476</c:v>
                </c:pt>
                <c:pt idx="4815">
                  <c:v>254.476</c:v>
                </c:pt>
                <c:pt idx="4816">
                  <c:v>254.476</c:v>
                </c:pt>
                <c:pt idx="4817">
                  <c:v>254.476</c:v>
                </c:pt>
                <c:pt idx="4818">
                  <c:v>254.43899999999999</c:v>
                </c:pt>
                <c:pt idx="4819">
                  <c:v>254.43899999999999</c:v>
                </c:pt>
                <c:pt idx="4820">
                  <c:v>254.43899999999999</c:v>
                </c:pt>
                <c:pt idx="4821">
                  <c:v>254.43899999999999</c:v>
                </c:pt>
                <c:pt idx="4822">
                  <c:v>254.41499999999999</c:v>
                </c:pt>
                <c:pt idx="4823">
                  <c:v>254.41499999999999</c:v>
                </c:pt>
                <c:pt idx="4824">
                  <c:v>254.36500000000001</c:v>
                </c:pt>
                <c:pt idx="4825">
                  <c:v>254.36500000000001</c:v>
                </c:pt>
                <c:pt idx="4826">
                  <c:v>254.36500000000001</c:v>
                </c:pt>
                <c:pt idx="4827">
                  <c:v>254.36500000000001</c:v>
                </c:pt>
                <c:pt idx="4828">
                  <c:v>254.36099999999999</c:v>
                </c:pt>
                <c:pt idx="4829">
                  <c:v>254.36099999999999</c:v>
                </c:pt>
                <c:pt idx="4830">
                  <c:v>254.36099999999999</c:v>
                </c:pt>
                <c:pt idx="4831">
                  <c:v>254.36099999999999</c:v>
                </c:pt>
                <c:pt idx="4832">
                  <c:v>254.36099999999999</c:v>
                </c:pt>
                <c:pt idx="4833">
                  <c:v>254.35</c:v>
                </c:pt>
                <c:pt idx="4834">
                  <c:v>254.35</c:v>
                </c:pt>
                <c:pt idx="4835">
                  <c:v>254.35</c:v>
                </c:pt>
                <c:pt idx="4836">
                  <c:v>254.35</c:v>
                </c:pt>
                <c:pt idx="4837">
                  <c:v>254.34200000000001</c:v>
                </c:pt>
                <c:pt idx="4838">
                  <c:v>254.34200000000001</c:v>
                </c:pt>
                <c:pt idx="4839">
                  <c:v>254.32900000000001</c:v>
                </c:pt>
                <c:pt idx="4840">
                  <c:v>254.32900000000001</c:v>
                </c:pt>
                <c:pt idx="4841">
                  <c:v>254.32900000000001</c:v>
                </c:pt>
                <c:pt idx="4842">
                  <c:v>254.32900000000001</c:v>
                </c:pt>
                <c:pt idx="4843">
                  <c:v>254.327</c:v>
                </c:pt>
                <c:pt idx="4844">
                  <c:v>254.327</c:v>
                </c:pt>
                <c:pt idx="4845">
                  <c:v>254.327</c:v>
                </c:pt>
                <c:pt idx="4846">
                  <c:v>254.327</c:v>
                </c:pt>
                <c:pt idx="4847">
                  <c:v>254.327</c:v>
                </c:pt>
                <c:pt idx="4848">
                  <c:v>254.327</c:v>
                </c:pt>
                <c:pt idx="4849">
                  <c:v>254.327</c:v>
                </c:pt>
                <c:pt idx="4850">
                  <c:v>254.327</c:v>
                </c:pt>
                <c:pt idx="4851">
                  <c:v>254.327</c:v>
                </c:pt>
                <c:pt idx="4852">
                  <c:v>254.32</c:v>
                </c:pt>
                <c:pt idx="4853">
                  <c:v>254.32</c:v>
                </c:pt>
                <c:pt idx="4854">
                  <c:v>254.32</c:v>
                </c:pt>
                <c:pt idx="4855">
                  <c:v>254.32</c:v>
                </c:pt>
                <c:pt idx="4856">
                  <c:v>254.316</c:v>
                </c:pt>
                <c:pt idx="4857">
                  <c:v>254.316</c:v>
                </c:pt>
                <c:pt idx="4858">
                  <c:v>254.316</c:v>
                </c:pt>
                <c:pt idx="4859">
                  <c:v>254.316</c:v>
                </c:pt>
                <c:pt idx="4860">
                  <c:v>254.316</c:v>
                </c:pt>
                <c:pt idx="4861">
                  <c:v>254.316</c:v>
                </c:pt>
                <c:pt idx="4862">
                  <c:v>254.316</c:v>
                </c:pt>
                <c:pt idx="4863">
                  <c:v>254.316</c:v>
                </c:pt>
                <c:pt idx="4864">
                  <c:v>254.31399999999999</c:v>
                </c:pt>
                <c:pt idx="4865">
                  <c:v>254.31399999999999</c:v>
                </c:pt>
                <c:pt idx="4866">
                  <c:v>254.31399999999999</c:v>
                </c:pt>
                <c:pt idx="4867">
                  <c:v>254.31399999999999</c:v>
                </c:pt>
                <c:pt idx="4868">
                  <c:v>254.31399999999999</c:v>
                </c:pt>
                <c:pt idx="4869">
                  <c:v>254.31299999999999</c:v>
                </c:pt>
                <c:pt idx="4870">
                  <c:v>254.31299999999999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148288"/>
        <c:axId val="75146752"/>
      </c:scatterChart>
      <c:valAx>
        <c:axId val="75148288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75146752"/>
        <c:crosses val="autoZero"/>
        <c:crossBetween val="midCat"/>
      </c:valAx>
      <c:valAx>
        <c:axId val="751467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514828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Лист1!$E$1</c:f>
              <c:strCache>
                <c:ptCount val="1"/>
                <c:pt idx="0">
                  <c:v>g_Step2Us</c:v>
                </c:pt>
              </c:strCache>
            </c:strRef>
          </c:tx>
          <c:marker>
            <c:symbol val="none"/>
          </c:marker>
          <c:xVal>
            <c:numRef>
              <c:f>Лист1!$A$2:$A$4872</c:f>
              <c:numCache>
                <c:formatCode>General</c:formatCode>
                <c:ptCount val="4871"/>
                <c:pt idx="2">
                  <c:v>797.32716000000005</c:v>
                </c:pt>
                <c:pt idx="3">
                  <c:v>797.33683000000008</c:v>
                </c:pt>
                <c:pt idx="4">
                  <c:v>797.35619000000008</c:v>
                </c:pt>
                <c:pt idx="5">
                  <c:v>797.36587000000009</c:v>
                </c:pt>
                <c:pt idx="6">
                  <c:v>797.37554000000011</c:v>
                </c:pt>
                <c:pt idx="7">
                  <c:v>797.38522000000012</c:v>
                </c:pt>
                <c:pt idx="8">
                  <c:v>797.40457000000004</c:v>
                </c:pt>
                <c:pt idx="9">
                  <c:v>797.41425000000004</c:v>
                </c:pt>
                <c:pt idx="10">
                  <c:v>797.42393000000004</c:v>
                </c:pt>
                <c:pt idx="11">
                  <c:v>797.43361000000004</c:v>
                </c:pt>
                <c:pt idx="12">
                  <c:v>797.46265000000005</c:v>
                </c:pt>
                <c:pt idx="13">
                  <c:v>797.47233000000006</c:v>
                </c:pt>
                <c:pt idx="14">
                  <c:v>797.48201000000006</c:v>
                </c:pt>
                <c:pt idx="15">
                  <c:v>797.51103000000012</c:v>
                </c:pt>
                <c:pt idx="16">
                  <c:v>797.53039000000001</c:v>
                </c:pt>
                <c:pt idx="17">
                  <c:v>797.55942000000005</c:v>
                </c:pt>
                <c:pt idx="18">
                  <c:v>797.56910000000005</c:v>
                </c:pt>
                <c:pt idx="19">
                  <c:v>797.57878000000005</c:v>
                </c:pt>
                <c:pt idx="20">
                  <c:v>797.58846000000005</c:v>
                </c:pt>
                <c:pt idx="21">
                  <c:v>797.60781000000009</c:v>
                </c:pt>
                <c:pt idx="22">
                  <c:v>797.61749000000009</c:v>
                </c:pt>
                <c:pt idx="23">
                  <c:v>797.62717000000009</c:v>
                </c:pt>
                <c:pt idx="24">
                  <c:v>797.63686000000007</c:v>
                </c:pt>
                <c:pt idx="25">
                  <c:v>797.65622000000008</c:v>
                </c:pt>
                <c:pt idx="26">
                  <c:v>797.66590000000008</c:v>
                </c:pt>
                <c:pt idx="27">
                  <c:v>797.67559000000006</c:v>
                </c:pt>
                <c:pt idx="28">
                  <c:v>797.68527000000006</c:v>
                </c:pt>
                <c:pt idx="29">
                  <c:v>797.71431000000007</c:v>
                </c:pt>
                <c:pt idx="30">
                  <c:v>797.72399000000007</c:v>
                </c:pt>
                <c:pt idx="31">
                  <c:v>797.73367000000007</c:v>
                </c:pt>
                <c:pt idx="32">
                  <c:v>797.76271000000008</c:v>
                </c:pt>
                <c:pt idx="33">
                  <c:v>797.77239000000009</c:v>
                </c:pt>
                <c:pt idx="34">
                  <c:v>797.78207000000009</c:v>
                </c:pt>
                <c:pt idx="35">
                  <c:v>797.81112000000007</c:v>
                </c:pt>
                <c:pt idx="36">
                  <c:v>797.82081000000005</c:v>
                </c:pt>
                <c:pt idx="37">
                  <c:v>797.83049000000005</c:v>
                </c:pt>
                <c:pt idx="38">
                  <c:v>797.85953000000006</c:v>
                </c:pt>
                <c:pt idx="39">
                  <c:v>797.86921000000007</c:v>
                </c:pt>
                <c:pt idx="40">
                  <c:v>797.87889000000007</c:v>
                </c:pt>
                <c:pt idx="41">
                  <c:v>797.88857000000007</c:v>
                </c:pt>
                <c:pt idx="42">
                  <c:v>797.90793000000008</c:v>
                </c:pt>
                <c:pt idx="43">
                  <c:v>797.91762000000006</c:v>
                </c:pt>
                <c:pt idx="44">
                  <c:v>797.92731000000003</c:v>
                </c:pt>
                <c:pt idx="45">
                  <c:v>797.95636000000002</c:v>
                </c:pt>
                <c:pt idx="46">
                  <c:v>797.96604000000002</c:v>
                </c:pt>
                <c:pt idx="47">
                  <c:v>797.97572000000002</c:v>
                </c:pt>
                <c:pt idx="48">
                  <c:v>798.00475000000006</c:v>
                </c:pt>
                <c:pt idx="49">
                  <c:v>798.01443000000006</c:v>
                </c:pt>
                <c:pt idx="50">
                  <c:v>798.02411000000006</c:v>
                </c:pt>
                <c:pt idx="51">
                  <c:v>798.03379000000007</c:v>
                </c:pt>
                <c:pt idx="52">
                  <c:v>798.06285000000003</c:v>
                </c:pt>
                <c:pt idx="53">
                  <c:v>798.07252000000005</c:v>
                </c:pt>
                <c:pt idx="54">
                  <c:v>798.08220000000006</c:v>
                </c:pt>
                <c:pt idx="55">
                  <c:v>798.11123000000009</c:v>
                </c:pt>
                <c:pt idx="56">
                  <c:v>798.12092000000007</c:v>
                </c:pt>
                <c:pt idx="57">
                  <c:v>798.13060000000007</c:v>
                </c:pt>
                <c:pt idx="58">
                  <c:v>798.15965000000006</c:v>
                </c:pt>
                <c:pt idx="59">
                  <c:v>798.16933000000006</c:v>
                </c:pt>
                <c:pt idx="60">
                  <c:v>798.17901000000006</c:v>
                </c:pt>
                <c:pt idx="61">
                  <c:v>798.18869000000007</c:v>
                </c:pt>
                <c:pt idx="62">
                  <c:v>798.2080400000001</c:v>
                </c:pt>
                <c:pt idx="63">
                  <c:v>798.2177200000001</c:v>
                </c:pt>
                <c:pt idx="64">
                  <c:v>798.2274000000001</c:v>
                </c:pt>
                <c:pt idx="65">
                  <c:v>798.23708000000011</c:v>
                </c:pt>
                <c:pt idx="66">
                  <c:v>798.25643000000002</c:v>
                </c:pt>
                <c:pt idx="67">
                  <c:v>798.26611000000003</c:v>
                </c:pt>
                <c:pt idx="68">
                  <c:v>798.27578000000005</c:v>
                </c:pt>
                <c:pt idx="69">
                  <c:v>798.28546000000006</c:v>
                </c:pt>
                <c:pt idx="70">
                  <c:v>798.31450000000007</c:v>
                </c:pt>
                <c:pt idx="71">
                  <c:v>798.32418000000007</c:v>
                </c:pt>
                <c:pt idx="72">
                  <c:v>798.33386000000007</c:v>
                </c:pt>
                <c:pt idx="73">
                  <c:v>798.36288000000002</c:v>
                </c:pt>
                <c:pt idx="74">
                  <c:v>798.37257000000011</c:v>
                </c:pt>
                <c:pt idx="75">
                  <c:v>798.38225000000011</c:v>
                </c:pt>
                <c:pt idx="76">
                  <c:v>798.41129000000012</c:v>
                </c:pt>
                <c:pt idx="77">
                  <c:v>798.4209800000001</c:v>
                </c:pt>
                <c:pt idx="78">
                  <c:v>798.4306600000001</c:v>
                </c:pt>
                <c:pt idx="79">
                  <c:v>798.45970000000011</c:v>
                </c:pt>
                <c:pt idx="80">
                  <c:v>798.46938000000011</c:v>
                </c:pt>
                <c:pt idx="81">
                  <c:v>798.47905000000003</c:v>
                </c:pt>
                <c:pt idx="82">
                  <c:v>798.50808000000006</c:v>
                </c:pt>
                <c:pt idx="83">
                  <c:v>798.51776000000007</c:v>
                </c:pt>
                <c:pt idx="84">
                  <c:v>798.52744000000007</c:v>
                </c:pt>
                <c:pt idx="85">
                  <c:v>798.53712000000007</c:v>
                </c:pt>
                <c:pt idx="86">
                  <c:v>798.55648000000008</c:v>
                </c:pt>
                <c:pt idx="87">
                  <c:v>798.56616000000008</c:v>
                </c:pt>
                <c:pt idx="88">
                  <c:v>798.59521000000007</c:v>
                </c:pt>
                <c:pt idx="89">
                  <c:v>798.60488000000009</c:v>
                </c:pt>
                <c:pt idx="90">
                  <c:v>798.6242400000001</c:v>
                </c:pt>
                <c:pt idx="91">
                  <c:v>798.6339200000001</c:v>
                </c:pt>
                <c:pt idx="92">
                  <c:v>798.64360000000011</c:v>
                </c:pt>
                <c:pt idx="93">
                  <c:v>798.66296000000011</c:v>
                </c:pt>
                <c:pt idx="94">
                  <c:v>798.67264000000011</c:v>
                </c:pt>
                <c:pt idx="95">
                  <c:v>798.69198000000006</c:v>
                </c:pt>
                <c:pt idx="96">
                  <c:v>798.70166000000006</c:v>
                </c:pt>
                <c:pt idx="97">
                  <c:v>798.71134000000006</c:v>
                </c:pt>
                <c:pt idx="98">
                  <c:v>798.73071000000004</c:v>
                </c:pt>
                <c:pt idx="99">
                  <c:v>798.74039000000005</c:v>
                </c:pt>
                <c:pt idx="100">
                  <c:v>798.76942000000008</c:v>
                </c:pt>
                <c:pt idx="101">
                  <c:v>798.77910000000008</c:v>
                </c:pt>
                <c:pt idx="102">
                  <c:v>798.79846000000009</c:v>
                </c:pt>
                <c:pt idx="103">
                  <c:v>798.80814000000009</c:v>
                </c:pt>
                <c:pt idx="104">
                  <c:v>798.8178200000001</c:v>
                </c:pt>
                <c:pt idx="105">
                  <c:v>798.83717000000001</c:v>
                </c:pt>
                <c:pt idx="106">
                  <c:v>798.84685000000002</c:v>
                </c:pt>
                <c:pt idx="107">
                  <c:v>798.86622000000011</c:v>
                </c:pt>
                <c:pt idx="108">
                  <c:v>798.87590000000012</c:v>
                </c:pt>
                <c:pt idx="109">
                  <c:v>798.88558000000012</c:v>
                </c:pt>
                <c:pt idx="110">
                  <c:v>798.90494000000001</c:v>
                </c:pt>
                <c:pt idx="111">
                  <c:v>798.91461000000004</c:v>
                </c:pt>
                <c:pt idx="112">
                  <c:v>798.94364000000007</c:v>
                </c:pt>
                <c:pt idx="113">
                  <c:v>798.9533100000001</c:v>
                </c:pt>
                <c:pt idx="114">
                  <c:v>798.97267000000011</c:v>
                </c:pt>
                <c:pt idx="115">
                  <c:v>798.98235000000011</c:v>
                </c:pt>
                <c:pt idx="116">
                  <c:v>798.99203000000011</c:v>
                </c:pt>
                <c:pt idx="117">
                  <c:v>799.01139000000012</c:v>
                </c:pt>
                <c:pt idx="118">
                  <c:v>799.02107000000001</c:v>
                </c:pt>
                <c:pt idx="119">
                  <c:v>799.04043000000001</c:v>
                </c:pt>
                <c:pt idx="120">
                  <c:v>799.05010000000004</c:v>
                </c:pt>
                <c:pt idx="121">
                  <c:v>799.05978000000005</c:v>
                </c:pt>
                <c:pt idx="122">
                  <c:v>799.07913000000008</c:v>
                </c:pt>
                <c:pt idx="123">
                  <c:v>799.08881000000008</c:v>
                </c:pt>
                <c:pt idx="124">
                  <c:v>799.11783000000003</c:v>
                </c:pt>
                <c:pt idx="125">
                  <c:v>799.12751000000003</c:v>
                </c:pt>
                <c:pt idx="126">
                  <c:v>799.14687000000004</c:v>
                </c:pt>
                <c:pt idx="127">
                  <c:v>799.15655000000004</c:v>
                </c:pt>
                <c:pt idx="128">
                  <c:v>799.16623000000004</c:v>
                </c:pt>
                <c:pt idx="129">
                  <c:v>799.18558000000007</c:v>
                </c:pt>
                <c:pt idx="130">
                  <c:v>799.19526000000008</c:v>
                </c:pt>
                <c:pt idx="131">
                  <c:v>799.21461000000011</c:v>
                </c:pt>
                <c:pt idx="132">
                  <c:v>799.22429000000011</c:v>
                </c:pt>
                <c:pt idx="133">
                  <c:v>799.23397000000011</c:v>
                </c:pt>
                <c:pt idx="134">
                  <c:v>799.25334000000009</c:v>
                </c:pt>
                <c:pt idx="135">
                  <c:v>799.29205000000002</c:v>
                </c:pt>
                <c:pt idx="136">
                  <c:v>799.30173000000002</c:v>
                </c:pt>
                <c:pt idx="137">
                  <c:v>799.32109000000003</c:v>
                </c:pt>
                <c:pt idx="138">
                  <c:v>799.33076000000005</c:v>
                </c:pt>
                <c:pt idx="139">
                  <c:v>799.34043000000008</c:v>
                </c:pt>
                <c:pt idx="140">
                  <c:v>799.35980000000006</c:v>
                </c:pt>
                <c:pt idx="141">
                  <c:v>799.36948000000007</c:v>
                </c:pt>
                <c:pt idx="142">
                  <c:v>799.38884000000007</c:v>
                </c:pt>
                <c:pt idx="143">
                  <c:v>799.39852000000008</c:v>
                </c:pt>
                <c:pt idx="144">
                  <c:v>799.40820000000008</c:v>
                </c:pt>
                <c:pt idx="145">
                  <c:v>799.42756000000008</c:v>
                </c:pt>
                <c:pt idx="146">
                  <c:v>799.43724000000009</c:v>
                </c:pt>
                <c:pt idx="147">
                  <c:v>799.45659000000012</c:v>
                </c:pt>
                <c:pt idx="148">
                  <c:v>799.46626000000003</c:v>
                </c:pt>
                <c:pt idx="149">
                  <c:v>799.47594000000004</c:v>
                </c:pt>
                <c:pt idx="150">
                  <c:v>799.49530000000004</c:v>
                </c:pt>
                <c:pt idx="151">
                  <c:v>799.50499000000002</c:v>
                </c:pt>
                <c:pt idx="152">
                  <c:v>799.52435000000003</c:v>
                </c:pt>
                <c:pt idx="153">
                  <c:v>799.53403000000003</c:v>
                </c:pt>
                <c:pt idx="154">
                  <c:v>799.54371000000003</c:v>
                </c:pt>
                <c:pt idx="155">
                  <c:v>799.56307000000004</c:v>
                </c:pt>
                <c:pt idx="156">
                  <c:v>799.57275000000004</c:v>
                </c:pt>
                <c:pt idx="157">
                  <c:v>799.60179000000005</c:v>
                </c:pt>
                <c:pt idx="158">
                  <c:v>799.61147000000005</c:v>
                </c:pt>
                <c:pt idx="159">
                  <c:v>799.63083000000006</c:v>
                </c:pt>
                <c:pt idx="160">
                  <c:v>799.64050000000009</c:v>
                </c:pt>
                <c:pt idx="161">
                  <c:v>799.65018000000009</c:v>
                </c:pt>
                <c:pt idx="162">
                  <c:v>799.6695400000001</c:v>
                </c:pt>
                <c:pt idx="163">
                  <c:v>799.6792200000001</c:v>
                </c:pt>
                <c:pt idx="164">
                  <c:v>799.70826000000011</c:v>
                </c:pt>
                <c:pt idx="165">
                  <c:v>799.71794000000011</c:v>
                </c:pt>
                <c:pt idx="166">
                  <c:v>799.73729000000003</c:v>
                </c:pt>
                <c:pt idx="167">
                  <c:v>799.74696000000006</c:v>
                </c:pt>
                <c:pt idx="168">
                  <c:v>799.77599000000009</c:v>
                </c:pt>
                <c:pt idx="169">
                  <c:v>799.7856700000001</c:v>
                </c:pt>
                <c:pt idx="170">
                  <c:v>799.8050300000001</c:v>
                </c:pt>
                <c:pt idx="171">
                  <c:v>799.8147100000001</c:v>
                </c:pt>
                <c:pt idx="172">
                  <c:v>799.82439000000011</c:v>
                </c:pt>
                <c:pt idx="173">
                  <c:v>799.84374000000003</c:v>
                </c:pt>
                <c:pt idx="174">
                  <c:v>799.85342000000003</c:v>
                </c:pt>
                <c:pt idx="175">
                  <c:v>799.87279000000001</c:v>
                </c:pt>
                <c:pt idx="176">
                  <c:v>799.88247000000001</c:v>
                </c:pt>
                <c:pt idx="177">
                  <c:v>799.89215000000002</c:v>
                </c:pt>
                <c:pt idx="178">
                  <c:v>799.91150000000005</c:v>
                </c:pt>
                <c:pt idx="179">
                  <c:v>799.92119000000002</c:v>
                </c:pt>
                <c:pt idx="180">
                  <c:v>799.95023000000003</c:v>
                </c:pt>
                <c:pt idx="181">
                  <c:v>799.95991000000004</c:v>
                </c:pt>
                <c:pt idx="182">
                  <c:v>799.97926000000007</c:v>
                </c:pt>
                <c:pt idx="183">
                  <c:v>799.9889300000001</c:v>
                </c:pt>
                <c:pt idx="184">
                  <c:v>799.99860000000001</c:v>
                </c:pt>
                <c:pt idx="185">
                  <c:v>800.01796000000002</c:v>
                </c:pt>
                <c:pt idx="186">
                  <c:v>800.02763000000004</c:v>
                </c:pt>
                <c:pt idx="187">
                  <c:v>800.04700000000003</c:v>
                </c:pt>
                <c:pt idx="188">
                  <c:v>800.05668000000003</c:v>
                </c:pt>
                <c:pt idx="189">
                  <c:v>800.06636000000003</c:v>
                </c:pt>
                <c:pt idx="190">
                  <c:v>800.08571000000006</c:v>
                </c:pt>
                <c:pt idx="191">
                  <c:v>800.09539000000007</c:v>
                </c:pt>
                <c:pt idx="192">
                  <c:v>800.10507000000007</c:v>
                </c:pt>
                <c:pt idx="193">
                  <c:v>800.12443000000007</c:v>
                </c:pt>
                <c:pt idx="194">
                  <c:v>800.13411000000008</c:v>
                </c:pt>
                <c:pt idx="195">
                  <c:v>800.15346000000011</c:v>
                </c:pt>
                <c:pt idx="196">
                  <c:v>800.16314000000011</c:v>
                </c:pt>
                <c:pt idx="197">
                  <c:v>800.17283000000009</c:v>
                </c:pt>
                <c:pt idx="198">
                  <c:v>800.1921900000001</c:v>
                </c:pt>
                <c:pt idx="199">
                  <c:v>800.20186000000001</c:v>
                </c:pt>
                <c:pt idx="200">
                  <c:v>800.22123000000011</c:v>
                </c:pt>
                <c:pt idx="201">
                  <c:v>800.23091000000011</c:v>
                </c:pt>
                <c:pt idx="202">
                  <c:v>800.24058000000002</c:v>
                </c:pt>
                <c:pt idx="203">
                  <c:v>800.25994000000003</c:v>
                </c:pt>
                <c:pt idx="204">
                  <c:v>800.26962000000003</c:v>
                </c:pt>
                <c:pt idx="205">
                  <c:v>800.29867000000002</c:v>
                </c:pt>
                <c:pt idx="206">
                  <c:v>800.30835000000002</c:v>
                </c:pt>
                <c:pt idx="207">
                  <c:v>800.32771000000002</c:v>
                </c:pt>
                <c:pt idx="208">
                  <c:v>800.33739000000003</c:v>
                </c:pt>
                <c:pt idx="209">
                  <c:v>800.36642000000006</c:v>
                </c:pt>
                <c:pt idx="210">
                  <c:v>800.37611000000004</c:v>
                </c:pt>
                <c:pt idx="211">
                  <c:v>800.39546000000007</c:v>
                </c:pt>
                <c:pt idx="212">
                  <c:v>800.40514000000007</c:v>
                </c:pt>
                <c:pt idx="213">
                  <c:v>800.41482000000008</c:v>
                </c:pt>
                <c:pt idx="214">
                  <c:v>800.43419000000006</c:v>
                </c:pt>
                <c:pt idx="215">
                  <c:v>800.44387000000006</c:v>
                </c:pt>
                <c:pt idx="216">
                  <c:v>800.46324000000004</c:v>
                </c:pt>
                <c:pt idx="217">
                  <c:v>800.47291000000007</c:v>
                </c:pt>
                <c:pt idx="218">
                  <c:v>800.48259000000007</c:v>
                </c:pt>
                <c:pt idx="219">
                  <c:v>800.5019400000001</c:v>
                </c:pt>
                <c:pt idx="220">
                  <c:v>800.51162000000011</c:v>
                </c:pt>
                <c:pt idx="221">
                  <c:v>800.54067000000009</c:v>
                </c:pt>
                <c:pt idx="222">
                  <c:v>800.55035000000009</c:v>
                </c:pt>
                <c:pt idx="223">
                  <c:v>800.5697100000001</c:v>
                </c:pt>
                <c:pt idx="224">
                  <c:v>800.5793900000001</c:v>
                </c:pt>
                <c:pt idx="225">
                  <c:v>800.58907000000011</c:v>
                </c:pt>
                <c:pt idx="226">
                  <c:v>800.60843000000011</c:v>
                </c:pt>
                <c:pt idx="227">
                  <c:v>800.61811000000012</c:v>
                </c:pt>
                <c:pt idx="228">
                  <c:v>800.63746000000003</c:v>
                </c:pt>
                <c:pt idx="229">
                  <c:v>800.64714000000004</c:v>
                </c:pt>
                <c:pt idx="230">
                  <c:v>800.65681000000006</c:v>
                </c:pt>
                <c:pt idx="231">
                  <c:v>800.6761600000001</c:v>
                </c:pt>
                <c:pt idx="232">
                  <c:v>800.6858400000001</c:v>
                </c:pt>
                <c:pt idx="233">
                  <c:v>800.71487000000002</c:v>
                </c:pt>
                <c:pt idx="234">
                  <c:v>800.72454000000005</c:v>
                </c:pt>
                <c:pt idx="235">
                  <c:v>800.74390000000005</c:v>
                </c:pt>
                <c:pt idx="236">
                  <c:v>800.75358000000006</c:v>
                </c:pt>
                <c:pt idx="237">
                  <c:v>800.76325000000008</c:v>
                </c:pt>
                <c:pt idx="238">
                  <c:v>800.78261000000009</c:v>
                </c:pt>
                <c:pt idx="239">
                  <c:v>800.79228000000012</c:v>
                </c:pt>
                <c:pt idx="240">
                  <c:v>800.81164000000001</c:v>
                </c:pt>
                <c:pt idx="241">
                  <c:v>800.82132000000001</c:v>
                </c:pt>
                <c:pt idx="242">
                  <c:v>800.82830000000001</c:v>
                </c:pt>
                <c:pt idx="243">
                  <c:v>800.83100000000002</c:v>
                </c:pt>
                <c:pt idx="244">
                  <c:v>800.85035000000005</c:v>
                </c:pt>
                <c:pt idx="245">
                  <c:v>800.86003000000005</c:v>
                </c:pt>
                <c:pt idx="246">
                  <c:v>800.86971000000005</c:v>
                </c:pt>
                <c:pt idx="247">
                  <c:v>800.88881000000003</c:v>
                </c:pt>
                <c:pt idx="248">
                  <c:v>800.89799000000005</c:v>
                </c:pt>
                <c:pt idx="249">
                  <c:v>800.90692000000001</c:v>
                </c:pt>
                <c:pt idx="250">
                  <c:v>800.93234000000007</c:v>
                </c:pt>
                <c:pt idx="251">
                  <c:v>800.94040000000007</c:v>
                </c:pt>
                <c:pt idx="252">
                  <c:v>800.94826000000012</c:v>
                </c:pt>
                <c:pt idx="253">
                  <c:v>800.95592000000011</c:v>
                </c:pt>
                <c:pt idx="254">
                  <c:v>800.96342000000004</c:v>
                </c:pt>
                <c:pt idx="255">
                  <c:v>800.97791000000007</c:v>
                </c:pt>
                <c:pt idx="256">
                  <c:v>800.99176000000011</c:v>
                </c:pt>
                <c:pt idx="257">
                  <c:v>801.01148000000012</c:v>
                </c:pt>
                <c:pt idx="258">
                  <c:v>801.0177900000001</c:v>
                </c:pt>
                <c:pt idx="259">
                  <c:v>801.02398000000005</c:v>
                </c:pt>
                <c:pt idx="260">
                  <c:v>801.04757000000006</c:v>
                </c:pt>
                <c:pt idx="261">
                  <c:v>801.05320000000006</c:v>
                </c:pt>
                <c:pt idx="262">
                  <c:v>801.05873000000008</c:v>
                </c:pt>
                <c:pt idx="263">
                  <c:v>801.0799300000001</c:v>
                </c:pt>
                <c:pt idx="264">
                  <c:v>801.08501000000001</c:v>
                </c:pt>
                <c:pt idx="265">
                  <c:v>801.09001000000012</c:v>
                </c:pt>
                <c:pt idx="266">
                  <c:v>801.09493000000009</c:v>
                </c:pt>
                <c:pt idx="267">
                  <c:v>801.10456000000011</c:v>
                </c:pt>
                <c:pt idx="268">
                  <c:v>801.10926000000006</c:v>
                </c:pt>
                <c:pt idx="269">
                  <c:v>801.11389000000008</c:v>
                </c:pt>
                <c:pt idx="270">
                  <c:v>801.11846000000003</c:v>
                </c:pt>
                <c:pt idx="271">
                  <c:v>801.12296000000003</c:v>
                </c:pt>
                <c:pt idx="272">
                  <c:v>801.1317600000001</c:v>
                </c:pt>
                <c:pt idx="273">
                  <c:v>801.14032000000009</c:v>
                </c:pt>
                <c:pt idx="274">
                  <c:v>801.14865000000009</c:v>
                </c:pt>
                <c:pt idx="275">
                  <c:v>801.15272000000004</c:v>
                </c:pt>
                <c:pt idx="276">
                  <c:v>801.15674000000001</c:v>
                </c:pt>
                <c:pt idx="277">
                  <c:v>801.16071000000011</c:v>
                </c:pt>
                <c:pt idx="278">
                  <c:v>801.1646300000001</c:v>
                </c:pt>
                <c:pt idx="279">
                  <c:v>801.16850000000011</c:v>
                </c:pt>
                <c:pt idx="280">
                  <c:v>801.1723300000001</c:v>
                </c:pt>
                <c:pt idx="281">
                  <c:v>801.17984000000001</c:v>
                </c:pt>
                <c:pt idx="282">
                  <c:v>801.18353000000002</c:v>
                </c:pt>
                <c:pt idx="283">
                  <c:v>801.19078000000002</c:v>
                </c:pt>
                <c:pt idx="284">
                  <c:v>801.19434000000001</c:v>
                </c:pt>
                <c:pt idx="285">
                  <c:v>801.20134000000007</c:v>
                </c:pt>
                <c:pt idx="286">
                  <c:v>801.20478000000003</c:v>
                </c:pt>
                <c:pt idx="287">
                  <c:v>801.20819000000006</c:v>
                </c:pt>
                <c:pt idx="288">
                  <c:v>801.22466000000009</c:v>
                </c:pt>
                <c:pt idx="289">
                  <c:v>801.2278500000001</c:v>
                </c:pt>
                <c:pt idx="290">
                  <c:v>801.23101000000008</c:v>
                </c:pt>
                <c:pt idx="291">
                  <c:v>801.23413000000005</c:v>
                </c:pt>
                <c:pt idx="292">
                  <c:v>801.2402800000001</c:v>
                </c:pt>
                <c:pt idx="293">
                  <c:v>801.24631000000011</c:v>
                </c:pt>
                <c:pt idx="294">
                  <c:v>801.24929000000009</c:v>
                </c:pt>
                <c:pt idx="295">
                  <c:v>801.25224000000003</c:v>
                </c:pt>
                <c:pt idx="296">
                  <c:v>801.25805000000003</c:v>
                </c:pt>
                <c:pt idx="297">
                  <c:v>801.26092000000006</c:v>
                </c:pt>
                <c:pt idx="298">
                  <c:v>801.26657000000012</c:v>
                </c:pt>
                <c:pt idx="299">
                  <c:v>801.26936000000012</c:v>
                </c:pt>
                <c:pt idx="300">
                  <c:v>801.27212000000009</c:v>
                </c:pt>
                <c:pt idx="301">
                  <c:v>801.28291000000002</c:v>
                </c:pt>
                <c:pt idx="302">
                  <c:v>801.28555000000006</c:v>
                </c:pt>
                <c:pt idx="303">
                  <c:v>801.28817000000004</c:v>
                </c:pt>
                <c:pt idx="304">
                  <c:v>801.29842000000008</c:v>
                </c:pt>
                <c:pt idx="305">
                  <c:v>801.30093000000011</c:v>
                </c:pt>
                <c:pt idx="306">
                  <c:v>801.30343000000005</c:v>
                </c:pt>
                <c:pt idx="307">
                  <c:v>801.30836000000011</c:v>
                </c:pt>
                <c:pt idx="308">
                  <c:v>801.31079000000011</c:v>
                </c:pt>
                <c:pt idx="309">
                  <c:v>801.31320000000005</c:v>
                </c:pt>
                <c:pt idx="310">
                  <c:v>801.31560000000002</c:v>
                </c:pt>
                <c:pt idx="311">
                  <c:v>801.31798000000003</c:v>
                </c:pt>
                <c:pt idx="312">
                  <c:v>801.32269000000008</c:v>
                </c:pt>
                <c:pt idx="313">
                  <c:v>801.32733000000007</c:v>
                </c:pt>
                <c:pt idx="314">
                  <c:v>801.33189000000004</c:v>
                </c:pt>
                <c:pt idx="315">
                  <c:v>801.33639000000005</c:v>
                </c:pt>
                <c:pt idx="316">
                  <c:v>801.33862000000011</c:v>
                </c:pt>
                <c:pt idx="317">
                  <c:v>801.34304000000009</c:v>
                </c:pt>
                <c:pt idx="318">
                  <c:v>801.34523000000002</c:v>
                </c:pt>
                <c:pt idx="319">
                  <c:v>801.34956000000011</c:v>
                </c:pt>
                <c:pt idx="320">
                  <c:v>801.35170000000005</c:v>
                </c:pt>
                <c:pt idx="321">
                  <c:v>801.35382000000004</c:v>
                </c:pt>
                <c:pt idx="322">
                  <c:v>801.3601000000001</c:v>
                </c:pt>
                <c:pt idx="323">
                  <c:v>801.36216000000002</c:v>
                </c:pt>
                <c:pt idx="324">
                  <c:v>801.36421000000007</c:v>
                </c:pt>
                <c:pt idx="325">
                  <c:v>801.36625000000004</c:v>
                </c:pt>
                <c:pt idx="326">
                  <c:v>801.36827000000005</c:v>
                </c:pt>
                <c:pt idx="327">
                  <c:v>801.37029000000007</c:v>
                </c:pt>
                <c:pt idx="328">
                  <c:v>801.37229000000002</c:v>
                </c:pt>
                <c:pt idx="329">
                  <c:v>801.37428000000011</c:v>
                </c:pt>
                <c:pt idx="330">
                  <c:v>801.37626000000012</c:v>
                </c:pt>
                <c:pt idx="331">
                  <c:v>801.37823000000003</c:v>
                </c:pt>
                <c:pt idx="332">
                  <c:v>801.38018000000011</c:v>
                </c:pt>
                <c:pt idx="333">
                  <c:v>801.38597000000004</c:v>
                </c:pt>
                <c:pt idx="334">
                  <c:v>801.38788000000011</c:v>
                </c:pt>
                <c:pt idx="335">
                  <c:v>801.38978000000009</c:v>
                </c:pt>
                <c:pt idx="336">
                  <c:v>801.39167000000009</c:v>
                </c:pt>
                <c:pt idx="337">
                  <c:v>801.39728000000002</c:v>
                </c:pt>
                <c:pt idx="338">
                  <c:v>801.39913000000001</c:v>
                </c:pt>
                <c:pt idx="339">
                  <c:v>801.40097000000003</c:v>
                </c:pt>
                <c:pt idx="340">
                  <c:v>801.40644000000009</c:v>
                </c:pt>
                <c:pt idx="341">
                  <c:v>801.40824000000009</c:v>
                </c:pt>
                <c:pt idx="342">
                  <c:v>801.41181000000006</c:v>
                </c:pt>
                <c:pt idx="343">
                  <c:v>801.41359000000011</c:v>
                </c:pt>
                <c:pt idx="344">
                  <c:v>801.41713000000004</c:v>
                </c:pt>
                <c:pt idx="345">
                  <c:v>801.41888000000006</c:v>
                </c:pt>
                <c:pt idx="346">
                  <c:v>801.42235000000005</c:v>
                </c:pt>
                <c:pt idx="347">
                  <c:v>801.42579000000012</c:v>
                </c:pt>
                <c:pt idx="348">
                  <c:v>801.42750000000001</c:v>
                </c:pt>
                <c:pt idx="349">
                  <c:v>801.42920000000004</c:v>
                </c:pt>
                <c:pt idx="350">
                  <c:v>801.43089000000009</c:v>
                </c:pt>
                <c:pt idx="351">
                  <c:v>801.43425000000002</c:v>
                </c:pt>
                <c:pt idx="352">
                  <c:v>801.43758000000003</c:v>
                </c:pt>
                <c:pt idx="353">
                  <c:v>801.44088000000011</c:v>
                </c:pt>
                <c:pt idx="354">
                  <c:v>801.44415000000004</c:v>
                </c:pt>
                <c:pt idx="355">
                  <c:v>801.44577000000004</c:v>
                </c:pt>
                <c:pt idx="356">
                  <c:v>801.44739000000004</c:v>
                </c:pt>
                <c:pt idx="357">
                  <c:v>801.44900000000007</c:v>
                </c:pt>
                <c:pt idx="358">
                  <c:v>801.45220000000006</c:v>
                </c:pt>
                <c:pt idx="359">
                  <c:v>801.45537000000002</c:v>
                </c:pt>
                <c:pt idx="360">
                  <c:v>801.45695000000012</c:v>
                </c:pt>
                <c:pt idx="361">
                  <c:v>801.46008000000006</c:v>
                </c:pt>
                <c:pt idx="362">
                  <c:v>801.46163000000001</c:v>
                </c:pt>
                <c:pt idx="363">
                  <c:v>801.46473000000003</c:v>
                </c:pt>
                <c:pt idx="364">
                  <c:v>801.46627000000012</c:v>
                </c:pt>
                <c:pt idx="365">
                  <c:v>801.46933000000001</c:v>
                </c:pt>
                <c:pt idx="366">
                  <c:v>801.47085000000004</c:v>
                </c:pt>
                <c:pt idx="367">
                  <c:v>801.47236000000009</c:v>
                </c:pt>
                <c:pt idx="368">
                  <c:v>801.47537000000011</c:v>
                </c:pt>
                <c:pt idx="369">
                  <c:v>801.4768600000001</c:v>
                </c:pt>
                <c:pt idx="370">
                  <c:v>801.47835000000009</c:v>
                </c:pt>
                <c:pt idx="371">
                  <c:v>801.48130000000003</c:v>
                </c:pt>
                <c:pt idx="372">
                  <c:v>801.48277000000007</c:v>
                </c:pt>
                <c:pt idx="373">
                  <c:v>801.48424000000011</c:v>
                </c:pt>
                <c:pt idx="374">
                  <c:v>801.48570000000007</c:v>
                </c:pt>
                <c:pt idx="375">
                  <c:v>801.49005000000011</c:v>
                </c:pt>
                <c:pt idx="376">
                  <c:v>801.49149000000011</c:v>
                </c:pt>
                <c:pt idx="377">
                  <c:v>801.49292000000003</c:v>
                </c:pt>
                <c:pt idx="378">
                  <c:v>801.49434000000008</c:v>
                </c:pt>
                <c:pt idx="379">
                  <c:v>801.49999000000003</c:v>
                </c:pt>
                <c:pt idx="380">
                  <c:v>801.50139000000001</c:v>
                </c:pt>
                <c:pt idx="381">
                  <c:v>801.50278000000003</c:v>
                </c:pt>
                <c:pt idx="382">
                  <c:v>801.50416000000007</c:v>
                </c:pt>
                <c:pt idx="383">
                  <c:v>801.50555000000008</c:v>
                </c:pt>
                <c:pt idx="384">
                  <c:v>801.50693000000001</c:v>
                </c:pt>
                <c:pt idx="385">
                  <c:v>801.50830000000008</c:v>
                </c:pt>
                <c:pt idx="386">
                  <c:v>801.50967000000003</c:v>
                </c:pt>
                <c:pt idx="387">
                  <c:v>801.51103000000012</c:v>
                </c:pt>
                <c:pt idx="388">
                  <c:v>801.53369000000009</c:v>
                </c:pt>
                <c:pt idx="389">
                  <c:v>801.53499000000011</c:v>
                </c:pt>
                <c:pt idx="390">
                  <c:v>801.53628000000003</c:v>
                </c:pt>
                <c:pt idx="391">
                  <c:v>801.53757000000007</c:v>
                </c:pt>
                <c:pt idx="392">
                  <c:v>801.53886000000011</c:v>
                </c:pt>
                <c:pt idx="393">
                  <c:v>801.54015000000004</c:v>
                </c:pt>
                <c:pt idx="394">
                  <c:v>801.54144000000008</c:v>
                </c:pt>
                <c:pt idx="395">
                  <c:v>801.54272000000003</c:v>
                </c:pt>
                <c:pt idx="396">
                  <c:v>801.54399000000012</c:v>
                </c:pt>
                <c:pt idx="397">
                  <c:v>801.55031000000008</c:v>
                </c:pt>
                <c:pt idx="398">
                  <c:v>801.55156000000011</c:v>
                </c:pt>
                <c:pt idx="399">
                  <c:v>801.55281000000002</c:v>
                </c:pt>
                <c:pt idx="400">
                  <c:v>801.55406000000005</c:v>
                </c:pt>
                <c:pt idx="401">
                  <c:v>801.5553000000001</c:v>
                </c:pt>
                <c:pt idx="402">
                  <c:v>801.55902000000003</c:v>
                </c:pt>
                <c:pt idx="403">
                  <c:v>801.56025000000011</c:v>
                </c:pt>
                <c:pt idx="404">
                  <c:v>801.56148000000007</c:v>
                </c:pt>
                <c:pt idx="405">
                  <c:v>801.56271000000004</c:v>
                </c:pt>
                <c:pt idx="406">
                  <c:v>801.56394000000012</c:v>
                </c:pt>
                <c:pt idx="407">
                  <c:v>801.56759000000011</c:v>
                </c:pt>
                <c:pt idx="408">
                  <c:v>801.56880000000001</c:v>
                </c:pt>
                <c:pt idx="409">
                  <c:v>801.57</c:v>
                </c:pt>
                <c:pt idx="410">
                  <c:v>801.57360000000006</c:v>
                </c:pt>
                <c:pt idx="411">
                  <c:v>801.57479000000012</c:v>
                </c:pt>
                <c:pt idx="412">
                  <c:v>801.57598000000007</c:v>
                </c:pt>
                <c:pt idx="413">
                  <c:v>801.57955000000004</c:v>
                </c:pt>
                <c:pt idx="414">
                  <c:v>801.58073000000002</c:v>
                </c:pt>
                <c:pt idx="415">
                  <c:v>801.58426000000009</c:v>
                </c:pt>
                <c:pt idx="416">
                  <c:v>801.58543000000009</c:v>
                </c:pt>
                <c:pt idx="417">
                  <c:v>801.58893000000012</c:v>
                </c:pt>
                <c:pt idx="418">
                  <c:v>801.59009000000003</c:v>
                </c:pt>
                <c:pt idx="419">
                  <c:v>801.59355000000005</c:v>
                </c:pt>
                <c:pt idx="420">
                  <c:v>801.59469000000001</c:v>
                </c:pt>
                <c:pt idx="421">
                  <c:v>801.59697000000006</c:v>
                </c:pt>
                <c:pt idx="422">
                  <c:v>801.59811000000002</c:v>
                </c:pt>
                <c:pt idx="423">
                  <c:v>801.60151000000008</c:v>
                </c:pt>
                <c:pt idx="424">
                  <c:v>801.60264000000006</c:v>
                </c:pt>
                <c:pt idx="425">
                  <c:v>801.60488000000009</c:v>
                </c:pt>
                <c:pt idx="426">
                  <c:v>801.60600000000011</c:v>
                </c:pt>
                <c:pt idx="427">
                  <c:v>801.60823000000005</c:v>
                </c:pt>
                <c:pt idx="428">
                  <c:v>801.60934000000009</c:v>
                </c:pt>
                <c:pt idx="429">
                  <c:v>801.61157000000003</c:v>
                </c:pt>
                <c:pt idx="430">
                  <c:v>801.61268000000007</c:v>
                </c:pt>
                <c:pt idx="431">
                  <c:v>801.61488000000008</c:v>
                </c:pt>
                <c:pt idx="432">
                  <c:v>801.61597000000006</c:v>
                </c:pt>
                <c:pt idx="433">
                  <c:v>801.61815000000001</c:v>
                </c:pt>
                <c:pt idx="434">
                  <c:v>801.62033000000008</c:v>
                </c:pt>
                <c:pt idx="435">
                  <c:v>801.62141000000008</c:v>
                </c:pt>
                <c:pt idx="436">
                  <c:v>801.62357000000009</c:v>
                </c:pt>
                <c:pt idx="437">
                  <c:v>801.62465000000009</c:v>
                </c:pt>
                <c:pt idx="438">
                  <c:v>801.62679000000003</c:v>
                </c:pt>
                <c:pt idx="439">
                  <c:v>801.62892000000011</c:v>
                </c:pt>
                <c:pt idx="440">
                  <c:v>801.62999000000002</c:v>
                </c:pt>
                <c:pt idx="441">
                  <c:v>801.63211000000001</c:v>
                </c:pt>
                <c:pt idx="442">
                  <c:v>801.63423000000012</c:v>
                </c:pt>
                <c:pt idx="443">
                  <c:v>801.63528000000008</c:v>
                </c:pt>
                <c:pt idx="444">
                  <c:v>801.6373900000001</c:v>
                </c:pt>
                <c:pt idx="445">
                  <c:v>801.63948000000005</c:v>
                </c:pt>
                <c:pt idx="446">
                  <c:v>801.64156000000003</c:v>
                </c:pt>
                <c:pt idx="447">
                  <c:v>801.64260000000002</c:v>
                </c:pt>
                <c:pt idx="448">
                  <c:v>801.64364000000012</c:v>
                </c:pt>
                <c:pt idx="449">
                  <c:v>801.64468000000011</c:v>
                </c:pt>
                <c:pt idx="450">
                  <c:v>801.64675000000011</c:v>
                </c:pt>
                <c:pt idx="451">
                  <c:v>801.64881000000003</c:v>
                </c:pt>
                <c:pt idx="452">
                  <c:v>801.6508500000001</c:v>
                </c:pt>
                <c:pt idx="453">
                  <c:v>801.65289000000007</c:v>
                </c:pt>
                <c:pt idx="454">
                  <c:v>801.65493000000004</c:v>
                </c:pt>
                <c:pt idx="455">
                  <c:v>801.65695000000005</c:v>
                </c:pt>
                <c:pt idx="456">
                  <c:v>801.65796000000012</c:v>
                </c:pt>
                <c:pt idx="457">
                  <c:v>801.65896000000009</c:v>
                </c:pt>
                <c:pt idx="458">
                  <c:v>801.65996000000007</c:v>
                </c:pt>
                <c:pt idx="459">
                  <c:v>801.66096000000005</c:v>
                </c:pt>
                <c:pt idx="460">
                  <c:v>801.66296000000011</c:v>
                </c:pt>
                <c:pt idx="461">
                  <c:v>801.66494000000012</c:v>
                </c:pt>
                <c:pt idx="462">
                  <c:v>801.66692000000012</c:v>
                </c:pt>
                <c:pt idx="463">
                  <c:v>801.66889000000003</c:v>
                </c:pt>
                <c:pt idx="464">
                  <c:v>801.67085000000009</c:v>
                </c:pt>
                <c:pt idx="465">
                  <c:v>801.67281000000003</c:v>
                </c:pt>
                <c:pt idx="466">
                  <c:v>801.67477000000008</c:v>
                </c:pt>
                <c:pt idx="467">
                  <c:v>801.67574000000002</c:v>
                </c:pt>
                <c:pt idx="468">
                  <c:v>801.67671000000007</c:v>
                </c:pt>
                <c:pt idx="469">
                  <c:v>801.67768000000001</c:v>
                </c:pt>
                <c:pt idx="470">
                  <c:v>801.67864000000009</c:v>
                </c:pt>
                <c:pt idx="471">
                  <c:v>801.67960000000005</c:v>
                </c:pt>
                <c:pt idx="472">
                  <c:v>801.68153000000007</c:v>
                </c:pt>
                <c:pt idx="473">
                  <c:v>801.68345000000011</c:v>
                </c:pt>
                <c:pt idx="474">
                  <c:v>801.68441000000007</c:v>
                </c:pt>
                <c:pt idx="475">
                  <c:v>801.68537000000003</c:v>
                </c:pt>
                <c:pt idx="476">
                  <c:v>801.68633000000011</c:v>
                </c:pt>
                <c:pt idx="477">
                  <c:v>801.68823000000009</c:v>
                </c:pt>
                <c:pt idx="478">
                  <c:v>801.69012000000009</c:v>
                </c:pt>
                <c:pt idx="479">
                  <c:v>801.69106000000011</c:v>
                </c:pt>
                <c:pt idx="480">
                  <c:v>801.69295000000011</c:v>
                </c:pt>
                <c:pt idx="481">
                  <c:v>801.69578000000001</c:v>
                </c:pt>
                <c:pt idx="482">
                  <c:v>801.69673000000012</c:v>
                </c:pt>
                <c:pt idx="483">
                  <c:v>801.69767000000002</c:v>
                </c:pt>
                <c:pt idx="484">
                  <c:v>801.69955000000004</c:v>
                </c:pt>
                <c:pt idx="485">
                  <c:v>801.70143000000007</c:v>
                </c:pt>
                <c:pt idx="486">
                  <c:v>801.70237000000009</c:v>
                </c:pt>
                <c:pt idx="487">
                  <c:v>801.70425000000012</c:v>
                </c:pt>
                <c:pt idx="488">
                  <c:v>801.70613000000003</c:v>
                </c:pt>
                <c:pt idx="489">
                  <c:v>801.70707000000004</c:v>
                </c:pt>
                <c:pt idx="490">
                  <c:v>801.70801000000006</c:v>
                </c:pt>
                <c:pt idx="491">
                  <c:v>801.70896000000005</c:v>
                </c:pt>
                <c:pt idx="492">
                  <c:v>801.71086000000003</c:v>
                </c:pt>
                <c:pt idx="493">
                  <c:v>801.71276000000012</c:v>
                </c:pt>
                <c:pt idx="494">
                  <c:v>801.71370000000002</c:v>
                </c:pt>
                <c:pt idx="495">
                  <c:v>801.71560000000011</c:v>
                </c:pt>
                <c:pt idx="496">
                  <c:v>801.71749000000011</c:v>
                </c:pt>
                <c:pt idx="497">
                  <c:v>801.7184400000001</c:v>
                </c:pt>
                <c:pt idx="498">
                  <c:v>801.71939000000009</c:v>
                </c:pt>
                <c:pt idx="499">
                  <c:v>801.72034000000008</c:v>
                </c:pt>
                <c:pt idx="500">
                  <c:v>801.72224000000006</c:v>
                </c:pt>
                <c:pt idx="501">
                  <c:v>801.72414000000003</c:v>
                </c:pt>
                <c:pt idx="502">
                  <c:v>801.72509000000002</c:v>
                </c:pt>
                <c:pt idx="503">
                  <c:v>801.72699000000011</c:v>
                </c:pt>
                <c:pt idx="504">
                  <c:v>801.72889000000009</c:v>
                </c:pt>
                <c:pt idx="505">
                  <c:v>801.73080000000004</c:v>
                </c:pt>
                <c:pt idx="506">
                  <c:v>801.73176000000012</c:v>
                </c:pt>
                <c:pt idx="507">
                  <c:v>801.7336600000001</c:v>
                </c:pt>
                <c:pt idx="508">
                  <c:v>801.73556000000008</c:v>
                </c:pt>
                <c:pt idx="509">
                  <c:v>801.73746000000006</c:v>
                </c:pt>
                <c:pt idx="510">
                  <c:v>801.73842000000002</c:v>
                </c:pt>
                <c:pt idx="511">
                  <c:v>801.74034000000006</c:v>
                </c:pt>
                <c:pt idx="512">
                  <c:v>801.74225000000001</c:v>
                </c:pt>
                <c:pt idx="513">
                  <c:v>801.74417000000005</c:v>
                </c:pt>
                <c:pt idx="514">
                  <c:v>801.74513000000002</c:v>
                </c:pt>
                <c:pt idx="515">
                  <c:v>801.74705000000006</c:v>
                </c:pt>
                <c:pt idx="516">
                  <c:v>801.7489700000001</c:v>
                </c:pt>
                <c:pt idx="517">
                  <c:v>801.75089000000003</c:v>
                </c:pt>
                <c:pt idx="518">
                  <c:v>801.7518500000001</c:v>
                </c:pt>
                <c:pt idx="519">
                  <c:v>801.75281000000007</c:v>
                </c:pt>
                <c:pt idx="520">
                  <c:v>801.75378000000012</c:v>
                </c:pt>
                <c:pt idx="521">
                  <c:v>801.75570000000005</c:v>
                </c:pt>
                <c:pt idx="522">
                  <c:v>801.75763000000006</c:v>
                </c:pt>
                <c:pt idx="523">
                  <c:v>801.75956000000008</c:v>
                </c:pt>
                <c:pt idx="524">
                  <c:v>801.76052000000004</c:v>
                </c:pt>
                <c:pt idx="525">
                  <c:v>801.76246000000003</c:v>
                </c:pt>
                <c:pt idx="526">
                  <c:v>801.76439000000005</c:v>
                </c:pt>
                <c:pt idx="527">
                  <c:v>801.76631000000009</c:v>
                </c:pt>
                <c:pt idx="528">
                  <c:v>801.76728000000003</c:v>
                </c:pt>
                <c:pt idx="529">
                  <c:v>801.76825000000008</c:v>
                </c:pt>
                <c:pt idx="530">
                  <c:v>801.76922000000002</c:v>
                </c:pt>
                <c:pt idx="531">
                  <c:v>801.77114000000006</c:v>
                </c:pt>
                <c:pt idx="532">
                  <c:v>801.77307000000008</c:v>
                </c:pt>
                <c:pt idx="533">
                  <c:v>801.77500000000009</c:v>
                </c:pt>
                <c:pt idx="534">
                  <c:v>801.77694000000008</c:v>
                </c:pt>
                <c:pt idx="535">
                  <c:v>801.77790000000005</c:v>
                </c:pt>
                <c:pt idx="536">
                  <c:v>801.7788700000001</c:v>
                </c:pt>
                <c:pt idx="537">
                  <c:v>801.77984000000004</c:v>
                </c:pt>
                <c:pt idx="538">
                  <c:v>801.78178000000003</c:v>
                </c:pt>
                <c:pt idx="539">
                  <c:v>801.78372000000002</c:v>
                </c:pt>
                <c:pt idx="540">
                  <c:v>801.78566000000012</c:v>
                </c:pt>
                <c:pt idx="541">
                  <c:v>801.78663000000006</c:v>
                </c:pt>
                <c:pt idx="542">
                  <c:v>801.78760000000011</c:v>
                </c:pt>
                <c:pt idx="543">
                  <c:v>801.78857000000005</c:v>
                </c:pt>
                <c:pt idx="544">
                  <c:v>801.79051000000004</c:v>
                </c:pt>
                <c:pt idx="545">
                  <c:v>801.79247000000009</c:v>
                </c:pt>
                <c:pt idx="546">
                  <c:v>801.79443000000003</c:v>
                </c:pt>
                <c:pt idx="547">
                  <c:v>801.79639000000009</c:v>
                </c:pt>
                <c:pt idx="548">
                  <c:v>801.79737000000011</c:v>
                </c:pt>
                <c:pt idx="549">
                  <c:v>801.79835000000003</c:v>
                </c:pt>
                <c:pt idx="550">
                  <c:v>801.79932000000008</c:v>
                </c:pt>
                <c:pt idx="551">
                  <c:v>801.80126000000007</c:v>
                </c:pt>
                <c:pt idx="552">
                  <c:v>801.80322000000001</c:v>
                </c:pt>
                <c:pt idx="553">
                  <c:v>801.80518000000006</c:v>
                </c:pt>
                <c:pt idx="554">
                  <c:v>801.80714000000012</c:v>
                </c:pt>
                <c:pt idx="555">
                  <c:v>801.80910000000006</c:v>
                </c:pt>
                <c:pt idx="556">
                  <c:v>801.81008000000008</c:v>
                </c:pt>
                <c:pt idx="557">
                  <c:v>801.81106000000011</c:v>
                </c:pt>
                <c:pt idx="558">
                  <c:v>801.81204000000002</c:v>
                </c:pt>
                <c:pt idx="559">
                  <c:v>801.81302000000005</c:v>
                </c:pt>
                <c:pt idx="560">
                  <c:v>801.81400000000008</c:v>
                </c:pt>
                <c:pt idx="561">
                  <c:v>801.81596000000002</c:v>
                </c:pt>
                <c:pt idx="562">
                  <c:v>801.81793000000005</c:v>
                </c:pt>
                <c:pt idx="563">
                  <c:v>801.8198900000001</c:v>
                </c:pt>
                <c:pt idx="564">
                  <c:v>801.82185000000004</c:v>
                </c:pt>
                <c:pt idx="565">
                  <c:v>801.82383000000004</c:v>
                </c:pt>
                <c:pt idx="566">
                  <c:v>801.82581000000005</c:v>
                </c:pt>
                <c:pt idx="567">
                  <c:v>801.82680000000005</c:v>
                </c:pt>
                <c:pt idx="568">
                  <c:v>801.82778000000008</c:v>
                </c:pt>
                <c:pt idx="569">
                  <c:v>801.8287600000001</c:v>
                </c:pt>
                <c:pt idx="570">
                  <c:v>801.82974000000002</c:v>
                </c:pt>
                <c:pt idx="571">
                  <c:v>801.83072000000004</c:v>
                </c:pt>
                <c:pt idx="572">
                  <c:v>801.83171000000004</c:v>
                </c:pt>
                <c:pt idx="573">
                  <c:v>801.83270000000005</c:v>
                </c:pt>
                <c:pt idx="574">
                  <c:v>801.83467000000007</c:v>
                </c:pt>
                <c:pt idx="575">
                  <c:v>801.83665000000008</c:v>
                </c:pt>
                <c:pt idx="576">
                  <c:v>801.83863000000008</c:v>
                </c:pt>
                <c:pt idx="577">
                  <c:v>801.84061000000008</c:v>
                </c:pt>
                <c:pt idx="578">
                  <c:v>801.84259000000009</c:v>
                </c:pt>
                <c:pt idx="579">
                  <c:v>801.84457000000009</c:v>
                </c:pt>
                <c:pt idx="580">
                  <c:v>801.84655000000009</c:v>
                </c:pt>
                <c:pt idx="581">
                  <c:v>801.8485300000001</c:v>
                </c:pt>
                <c:pt idx="582">
                  <c:v>801.8505100000001</c:v>
                </c:pt>
                <c:pt idx="583">
                  <c:v>801.85250000000008</c:v>
                </c:pt>
                <c:pt idx="584">
                  <c:v>801.85349000000008</c:v>
                </c:pt>
                <c:pt idx="585">
                  <c:v>801.85448000000008</c:v>
                </c:pt>
                <c:pt idx="586">
                  <c:v>801.85547000000008</c:v>
                </c:pt>
                <c:pt idx="587">
                  <c:v>801.85646000000008</c:v>
                </c:pt>
                <c:pt idx="588">
                  <c:v>801.85745000000009</c:v>
                </c:pt>
                <c:pt idx="589">
                  <c:v>801.85844000000009</c:v>
                </c:pt>
                <c:pt idx="590">
                  <c:v>801.85944000000006</c:v>
                </c:pt>
                <c:pt idx="591">
                  <c:v>801.86044000000004</c:v>
                </c:pt>
                <c:pt idx="592">
                  <c:v>801.86144000000002</c:v>
                </c:pt>
                <c:pt idx="593">
                  <c:v>801.86244000000011</c:v>
                </c:pt>
                <c:pt idx="594">
                  <c:v>801.86343000000011</c:v>
                </c:pt>
                <c:pt idx="595">
                  <c:v>801.86443000000008</c:v>
                </c:pt>
                <c:pt idx="596">
                  <c:v>801.86543000000006</c:v>
                </c:pt>
                <c:pt idx="597">
                  <c:v>801.86642000000006</c:v>
                </c:pt>
                <c:pt idx="598">
                  <c:v>801.86742000000004</c:v>
                </c:pt>
                <c:pt idx="599">
                  <c:v>801.86842000000001</c:v>
                </c:pt>
                <c:pt idx="600">
                  <c:v>801.87042000000008</c:v>
                </c:pt>
                <c:pt idx="601">
                  <c:v>801.87142000000006</c:v>
                </c:pt>
                <c:pt idx="602">
                  <c:v>801.87242000000003</c:v>
                </c:pt>
                <c:pt idx="603">
                  <c:v>801.87342000000001</c:v>
                </c:pt>
                <c:pt idx="604">
                  <c:v>801.8744200000001</c:v>
                </c:pt>
                <c:pt idx="605">
                  <c:v>801.87542000000008</c:v>
                </c:pt>
                <c:pt idx="606">
                  <c:v>801.87642000000005</c:v>
                </c:pt>
                <c:pt idx="607">
                  <c:v>801.87742000000003</c:v>
                </c:pt>
                <c:pt idx="608">
                  <c:v>801.87842000000012</c:v>
                </c:pt>
                <c:pt idx="609">
                  <c:v>801.8794200000001</c:v>
                </c:pt>
                <c:pt idx="610">
                  <c:v>801.88142000000005</c:v>
                </c:pt>
                <c:pt idx="611">
                  <c:v>801.88242000000002</c:v>
                </c:pt>
                <c:pt idx="612">
                  <c:v>801.88342000000011</c:v>
                </c:pt>
                <c:pt idx="613">
                  <c:v>801.88442000000009</c:v>
                </c:pt>
                <c:pt idx="614">
                  <c:v>801.88542000000007</c:v>
                </c:pt>
                <c:pt idx="615">
                  <c:v>801.88642000000004</c:v>
                </c:pt>
                <c:pt idx="616">
                  <c:v>801.88742000000002</c:v>
                </c:pt>
                <c:pt idx="617">
                  <c:v>801.88843000000008</c:v>
                </c:pt>
                <c:pt idx="618">
                  <c:v>801.88943000000006</c:v>
                </c:pt>
                <c:pt idx="619">
                  <c:v>801.89043000000004</c:v>
                </c:pt>
                <c:pt idx="620">
                  <c:v>801.8914400000001</c:v>
                </c:pt>
                <c:pt idx="621">
                  <c:v>801.89245000000005</c:v>
                </c:pt>
                <c:pt idx="622">
                  <c:v>801.89346000000012</c:v>
                </c:pt>
                <c:pt idx="623">
                  <c:v>801.89447000000007</c:v>
                </c:pt>
                <c:pt idx="624">
                  <c:v>801.89547000000005</c:v>
                </c:pt>
                <c:pt idx="625">
                  <c:v>801.89648000000011</c:v>
                </c:pt>
                <c:pt idx="626">
                  <c:v>801.89749000000006</c:v>
                </c:pt>
                <c:pt idx="627">
                  <c:v>801.89850000000001</c:v>
                </c:pt>
                <c:pt idx="628">
                  <c:v>801.89951000000008</c:v>
                </c:pt>
                <c:pt idx="629">
                  <c:v>801.90052000000003</c:v>
                </c:pt>
                <c:pt idx="630">
                  <c:v>801.90153000000009</c:v>
                </c:pt>
                <c:pt idx="631">
                  <c:v>801.90254000000004</c:v>
                </c:pt>
                <c:pt idx="632">
                  <c:v>801.90355000000011</c:v>
                </c:pt>
                <c:pt idx="633">
                  <c:v>801.90456000000006</c:v>
                </c:pt>
                <c:pt idx="634">
                  <c:v>801.90557000000001</c:v>
                </c:pt>
                <c:pt idx="635">
                  <c:v>801.90658000000008</c:v>
                </c:pt>
                <c:pt idx="636">
                  <c:v>801.90759000000003</c:v>
                </c:pt>
                <c:pt idx="637">
                  <c:v>801.90860000000009</c:v>
                </c:pt>
                <c:pt idx="638">
                  <c:v>801.91062000000011</c:v>
                </c:pt>
                <c:pt idx="639">
                  <c:v>801.91264000000001</c:v>
                </c:pt>
                <c:pt idx="640">
                  <c:v>801.91466000000003</c:v>
                </c:pt>
                <c:pt idx="641">
                  <c:v>801.91668000000004</c:v>
                </c:pt>
                <c:pt idx="642">
                  <c:v>801.91870000000006</c:v>
                </c:pt>
                <c:pt idx="643">
                  <c:v>801.92072000000007</c:v>
                </c:pt>
                <c:pt idx="644">
                  <c:v>801.92276000000004</c:v>
                </c:pt>
                <c:pt idx="645">
                  <c:v>801.92480000000012</c:v>
                </c:pt>
                <c:pt idx="646">
                  <c:v>801.92581000000007</c:v>
                </c:pt>
                <c:pt idx="647">
                  <c:v>801.92683000000011</c:v>
                </c:pt>
                <c:pt idx="648">
                  <c:v>801.92785000000003</c:v>
                </c:pt>
                <c:pt idx="649">
                  <c:v>801.9288600000001</c:v>
                </c:pt>
                <c:pt idx="650">
                  <c:v>801.92988000000003</c:v>
                </c:pt>
                <c:pt idx="651">
                  <c:v>801.93090000000007</c:v>
                </c:pt>
                <c:pt idx="652">
                  <c:v>801.9319200000001</c:v>
                </c:pt>
                <c:pt idx="653">
                  <c:v>801.93397000000004</c:v>
                </c:pt>
                <c:pt idx="654">
                  <c:v>801.93601000000001</c:v>
                </c:pt>
                <c:pt idx="655">
                  <c:v>801.93805000000009</c:v>
                </c:pt>
                <c:pt idx="656">
                  <c:v>801.94010000000003</c:v>
                </c:pt>
                <c:pt idx="657">
                  <c:v>801.94214000000011</c:v>
                </c:pt>
                <c:pt idx="658">
                  <c:v>801.94316000000003</c:v>
                </c:pt>
                <c:pt idx="659">
                  <c:v>801.94419000000005</c:v>
                </c:pt>
                <c:pt idx="660">
                  <c:v>801.94522000000006</c:v>
                </c:pt>
                <c:pt idx="661">
                  <c:v>801.94625000000008</c:v>
                </c:pt>
                <c:pt idx="662">
                  <c:v>801.94728000000009</c:v>
                </c:pt>
                <c:pt idx="663">
                  <c:v>801.94933000000003</c:v>
                </c:pt>
                <c:pt idx="664">
                  <c:v>801.95139000000006</c:v>
                </c:pt>
                <c:pt idx="665">
                  <c:v>801.95345000000009</c:v>
                </c:pt>
                <c:pt idx="666">
                  <c:v>801.95549000000005</c:v>
                </c:pt>
                <c:pt idx="667">
                  <c:v>801.95755000000008</c:v>
                </c:pt>
                <c:pt idx="668">
                  <c:v>801.95857000000001</c:v>
                </c:pt>
                <c:pt idx="669">
                  <c:v>801.95960000000002</c:v>
                </c:pt>
                <c:pt idx="670">
                  <c:v>801.96063000000004</c:v>
                </c:pt>
                <c:pt idx="671">
                  <c:v>801.96165000000008</c:v>
                </c:pt>
                <c:pt idx="672">
                  <c:v>801.96268000000009</c:v>
                </c:pt>
                <c:pt idx="673">
                  <c:v>801.96474000000012</c:v>
                </c:pt>
                <c:pt idx="674">
                  <c:v>801.96681000000001</c:v>
                </c:pt>
                <c:pt idx="675">
                  <c:v>801.96887000000004</c:v>
                </c:pt>
                <c:pt idx="676">
                  <c:v>801.97093000000007</c:v>
                </c:pt>
                <c:pt idx="677">
                  <c:v>801.97197000000006</c:v>
                </c:pt>
                <c:pt idx="678">
                  <c:v>801.97300000000007</c:v>
                </c:pt>
                <c:pt idx="679">
                  <c:v>801.97403000000008</c:v>
                </c:pt>
                <c:pt idx="680">
                  <c:v>801.97610000000009</c:v>
                </c:pt>
                <c:pt idx="681">
                  <c:v>801.97817000000009</c:v>
                </c:pt>
                <c:pt idx="682">
                  <c:v>801.98025000000007</c:v>
                </c:pt>
                <c:pt idx="683">
                  <c:v>801.98129000000006</c:v>
                </c:pt>
                <c:pt idx="684">
                  <c:v>801.98233000000005</c:v>
                </c:pt>
                <c:pt idx="685">
                  <c:v>801.98336000000006</c:v>
                </c:pt>
                <c:pt idx="686">
                  <c:v>801.98439000000008</c:v>
                </c:pt>
                <c:pt idx="687">
                  <c:v>801.98542000000009</c:v>
                </c:pt>
                <c:pt idx="688">
                  <c:v>801.98749000000009</c:v>
                </c:pt>
                <c:pt idx="689">
                  <c:v>801.9895600000001</c:v>
                </c:pt>
                <c:pt idx="690">
                  <c:v>801.99164000000007</c:v>
                </c:pt>
                <c:pt idx="691">
                  <c:v>801.99267000000009</c:v>
                </c:pt>
                <c:pt idx="692">
                  <c:v>801.99371000000008</c:v>
                </c:pt>
                <c:pt idx="693">
                  <c:v>801.99475000000007</c:v>
                </c:pt>
                <c:pt idx="694">
                  <c:v>801.99683000000005</c:v>
                </c:pt>
                <c:pt idx="695">
                  <c:v>801.99891000000002</c:v>
                </c:pt>
                <c:pt idx="696">
                  <c:v>802.00099000000012</c:v>
                </c:pt>
                <c:pt idx="697">
                  <c:v>802.0020300000001</c:v>
                </c:pt>
                <c:pt idx="698">
                  <c:v>802.00307000000009</c:v>
                </c:pt>
                <c:pt idx="699">
                  <c:v>802.00411000000008</c:v>
                </c:pt>
                <c:pt idx="700">
                  <c:v>802.00620000000004</c:v>
                </c:pt>
                <c:pt idx="701">
                  <c:v>802.00830000000008</c:v>
                </c:pt>
                <c:pt idx="702">
                  <c:v>802.00935000000004</c:v>
                </c:pt>
                <c:pt idx="703">
                  <c:v>802.01040000000012</c:v>
                </c:pt>
                <c:pt idx="704">
                  <c:v>802.01144000000011</c:v>
                </c:pt>
                <c:pt idx="705">
                  <c:v>802.01353000000006</c:v>
                </c:pt>
                <c:pt idx="706">
                  <c:v>802.0156300000001</c:v>
                </c:pt>
                <c:pt idx="707">
                  <c:v>802.01668000000006</c:v>
                </c:pt>
                <c:pt idx="708">
                  <c:v>802.01772000000005</c:v>
                </c:pt>
                <c:pt idx="709">
                  <c:v>802.01876000000004</c:v>
                </c:pt>
                <c:pt idx="710">
                  <c:v>802.02086000000008</c:v>
                </c:pt>
                <c:pt idx="711">
                  <c:v>802.02295000000004</c:v>
                </c:pt>
                <c:pt idx="712">
                  <c:v>802.0250400000001</c:v>
                </c:pt>
                <c:pt idx="713">
                  <c:v>802.02609000000007</c:v>
                </c:pt>
                <c:pt idx="714">
                  <c:v>802.02819000000011</c:v>
                </c:pt>
                <c:pt idx="715">
                  <c:v>802.03029000000004</c:v>
                </c:pt>
                <c:pt idx="716">
                  <c:v>802.03239000000008</c:v>
                </c:pt>
                <c:pt idx="717">
                  <c:v>802.0328300000001</c:v>
                </c:pt>
                <c:pt idx="718">
                  <c:v>802.03344000000004</c:v>
                </c:pt>
                <c:pt idx="719">
                  <c:v>802.03555000000006</c:v>
                </c:pt>
                <c:pt idx="720">
                  <c:v>802.0376500000001</c:v>
                </c:pt>
                <c:pt idx="721">
                  <c:v>802.03870000000006</c:v>
                </c:pt>
                <c:pt idx="722">
                  <c:v>802.03975000000003</c:v>
                </c:pt>
                <c:pt idx="723">
                  <c:v>802.0408000000001</c:v>
                </c:pt>
                <c:pt idx="724">
                  <c:v>802.04290000000003</c:v>
                </c:pt>
                <c:pt idx="725">
                  <c:v>802.04502000000002</c:v>
                </c:pt>
                <c:pt idx="726">
                  <c:v>802.0460700000001</c:v>
                </c:pt>
                <c:pt idx="727">
                  <c:v>802.04818000000012</c:v>
                </c:pt>
                <c:pt idx="728">
                  <c:v>802.05030000000011</c:v>
                </c:pt>
                <c:pt idx="729">
                  <c:v>802.05136000000005</c:v>
                </c:pt>
                <c:pt idx="730">
                  <c:v>802.05241000000001</c:v>
                </c:pt>
                <c:pt idx="731">
                  <c:v>802.05347000000006</c:v>
                </c:pt>
                <c:pt idx="732">
                  <c:v>802.05559000000005</c:v>
                </c:pt>
                <c:pt idx="733">
                  <c:v>802.05771000000004</c:v>
                </c:pt>
                <c:pt idx="734">
                  <c:v>802.0587700000001</c:v>
                </c:pt>
                <c:pt idx="735">
                  <c:v>802.06089000000009</c:v>
                </c:pt>
                <c:pt idx="736">
                  <c:v>802.06301000000008</c:v>
                </c:pt>
                <c:pt idx="737">
                  <c:v>802.0640800000001</c:v>
                </c:pt>
                <c:pt idx="738">
                  <c:v>802.06620000000009</c:v>
                </c:pt>
                <c:pt idx="739">
                  <c:v>802.06833000000006</c:v>
                </c:pt>
                <c:pt idx="740">
                  <c:v>802.06939000000011</c:v>
                </c:pt>
                <c:pt idx="741">
                  <c:v>802.07045000000005</c:v>
                </c:pt>
                <c:pt idx="742">
                  <c:v>802.0715100000001</c:v>
                </c:pt>
                <c:pt idx="743">
                  <c:v>802.07363000000009</c:v>
                </c:pt>
                <c:pt idx="744">
                  <c:v>802.07469000000003</c:v>
                </c:pt>
                <c:pt idx="745">
                  <c:v>802.07575000000008</c:v>
                </c:pt>
                <c:pt idx="746">
                  <c:v>802.07682000000011</c:v>
                </c:pt>
                <c:pt idx="747">
                  <c:v>802.07895000000008</c:v>
                </c:pt>
                <c:pt idx="748">
                  <c:v>802.08108000000004</c:v>
                </c:pt>
                <c:pt idx="749">
                  <c:v>802.08215000000007</c:v>
                </c:pt>
                <c:pt idx="750">
                  <c:v>802.08428000000004</c:v>
                </c:pt>
                <c:pt idx="751">
                  <c:v>802.08642000000009</c:v>
                </c:pt>
                <c:pt idx="752">
                  <c:v>802.08749000000012</c:v>
                </c:pt>
                <c:pt idx="753">
                  <c:v>802.08963000000006</c:v>
                </c:pt>
                <c:pt idx="754">
                  <c:v>802.09177000000011</c:v>
                </c:pt>
                <c:pt idx="755">
                  <c:v>802.09284000000002</c:v>
                </c:pt>
                <c:pt idx="756">
                  <c:v>802.09498000000008</c:v>
                </c:pt>
                <c:pt idx="757">
                  <c:v>802.09712000000002</c:v>
                </c:pt>
                <c:pt idx="758">
                  <c:v>802.09819000000005</c:v>
                </c:pt>
                <c:pt idx="759">
                  <c:v>802.10034000000007</c:v>
                </c:pt>
                <c:pt idx="760">
                  <c:v>802.10248000000001</c:v>
                </c:pt>
                <c:pt idx="761">
                  <c:v>802.10356000000002</c:v>
                </c:pt>
                <c:pt idx="762">
                  <c:v>802.10572000000002</c:v>
                </c:pt>
                <c:pt idx="763">
                  <c:v>802.10680000000002</c:v>
                </c:pt>
                <c:pt idx="764">
                  <c:v>802.10788000000002</c:v>
                </c:pt>
                <c:pt idx="765">
                  <c:v>802.10896000000002</c:v>
                </c:pt>
                <c:pt idx="766">
                  <c:v>802.11112000000003</c:v>
                </c:pt>
                <c:pt idx="767">
                  <c:v>802.11219000000006</c:v>
                </c:pt>
                <c:pt idx="768">
                  <c:v>802.11434000000008</c:v>
                </c:pt>
                <c:pt idx="769">
                  <c:v>802.11650000000009</c:v>
                </c:pt>
                <c:pt idx="770">
                  <c:v>802.11758000000009</c:v>
                </c:pt>
                <c:pt idx="771">
                  <c:v>802.11974000000009</c:v>
                </c:pt>
                <c:pt idx="772">
                  <c:v>802.12189000000012</c:v>
                </c:pt>
                <c:pt idx="773">
                  <c:v>802.12297000000001</c:v>
                </c:pt>
                <c:pt idx="774">
                  <c:v>802.12513000000001</c:v>
                </c:pt>
                <c:pt idx="775">
                  <c:v>802.12621000000001</c:v>
                </c:pt>
                <c:pt idx="776">
                  <c:v>802.12838000000011</c:v>
                </c:pt>
                <c:pt idx="777">
                  <c:v>802.13055000000008</c:v>
                </c:pt>
                <c:pt idx="778">
                  <c:v>802.13163000000009</c:v>
                </c:pt>
                <c:pt idx="779">
                  <c:v>802.13379000000009</c:v>
                </c:pt>
                <c:pt idx="780">
                  <c:v>802.13487000000009</c:v>
                </c:pt>
                <c:pt idx="781">
                  <c:v>802.13595000000009</c:v>
                </c:pt>
                <c:pt idx="782">
                  <c:v>802.1370300000001</c:v>
                </c:pt>
                <c:pt idx="783">
                  <c:v>802.1391900000001</c:v>
                </c:pt>
                <c:pt idx="784">
                  <c:v>802.1402700000001</c:v>
                </c:pt>
                <c:pt idx="785">
                  <c:v>802.1424300000001</c:v>
                </c:pt>
                <c:pt idx="786">
                  <c:v>802.14351000000011</c:v>
                </c:pt>
                <c:pt idx="787">
                  <c:v>802.14569000000006</c:v>
                </c:pt>
                <c:pt idx="788">
                  <c:v>802.14787000000001</c:v>
                </c:pt>
                <c:pt idx="789">
                  <c:v>802.1489600000001</c:v>
                </c:pt>
                <c:pt idx="790">
                  <c:v>802.15114000000005</c:v>
                </c:pt>
                <c:pt idx="791">
                  <c:v>802.15223000000003</c:v>
                </c:pt>
                <c:pt idx="792">
                  <c:v>802.1544100000001</c:v>
                </c:pt>
                <c:pt idx="793">
                  <c:v>802.15659000000005</c:v>
                </c:pt>
                <c:pt idx="794">
                  <c:v>802.15768000000003</c:v>
                </c:pt>
                <c:pt idx="795">
                  <c:v>802.15986000000009</c:v>
                </c:pt>
                <c:pt idx="796">
                  <c:v>802.16095000000007</c:v>
                </c:pt>
                <c:pt idx="797">
                  <c:v>802.16313000000002</c:v>
                </c:pt>
                <c:pt idx="798">
                  <c:v>802.16422000000011</c:v>
                </c:pt>
                <c:pt idx="799">
                  <c:v>802.16641000000004</c:v>
                </c:pt>
                <c:pt idx="800">
                  <c:v>802.16859000000011</c:v>
                </c:pt>
                <c:pt idx="801">
                  <c:v>802.16968000000008</c:v>
                </c:pt>
                <c:pt idx="802">
                  <c:v>802.17186000000004</c:v>
                </c:pt>
                <c:pt idx="803">
                  <c:v>802.17295000000001</c:v>
                </c:pt>
                <c:pt idx="804">
                  <c:v>802.17513000000008</c:v>
                </c:pt>
                <c:pt idx="805">
                  <c:v>802.17622000000006</c:v>
                </c:pt>
                <c:pt idx="806">
                  <c:v>802.17840000000001</c:v>
                </c:pt>
                <c:pt idx="807">
                  <c:v>802.18060000000003</c:v>
                </c:pt>
                <c:pt idx="808">
                  <c:v>802.18170000000009</c:v>
                </c:pt>
                <c:pt idx="809">
                  <c:v>802.18389000000002</c:v>
                </c:pt>
                <c:pt idx="810">
                  <c:v>802.18499000000008</c:v>
                </c:pt>
                <c:pt idx="811">
                  <c:v>802.18718000000001</c:v>
                </c:pt>
                <c:pt idx="812">
                  <c:v>802.18828000000008</c:v>
                </c:pt>
                <c:pt idx="813">
                  <c:v>802.19048000000009</c:v>
                </c:pt>
                <c:pt idx="814">
                  <c:v>802.19158000000004</c:v>
                </c:pt>
                <c:pt idx="815">
                  <c:v>802.19378000000006</c:v>
                </c:pt>
                <c:pt idx="816">
                  <c:v>802.19488000000001</c:v>
                </c:pt>
                <c:pt idx="817">
                  <c:v>802.19708000000003</c:v>
                </c:pt>
                <c:pt idx="818">
                  <c:v>802.19929000000002</c:v>
                </c:pt>
                <c:pt idx="819">
                  <c:v>802.20039000000008</c:v>
                </c:pt>
                <c:pt idx="820">
                  <c:v>802.2025900000001</c:v>
                </c:pt>
                <c:pt idx="821">
                  <c:v>802.20370000000003</c:v>
                </c:pt>
                <c:pt idx="822">
                  <c:v>802.20592000000011</c:v>
                </c:pt>
                <c:pt idx="823">
                  <c:v>802.20703000000003</c:v>
                </c:pt>
                <c:pt idx="824">
                  <c:v>802.20925000000011</c:v>
                </c:pt>
                <c:pt idx="825">
                  <c:v>802.21036000000004</c:v>
                </c:pt>
                <c:pt idx="826">
                  <c:v>802.21256000000005</c:v>
                </c:pt>
                <c:pt idx="827">
                  <c:v>802.21366000000012</c:v>
                </c:pt>
                <c:pt idx="828">
                  <c:v>802.21588000000008</c:v>
                </c:pt>
                <c:pt idx="829">
                  <c:v>802.21698000000004</c:v>
                </c:pt>
                <c:pt idx="830">
                  <c:v>802.21920000000011</c:v>
                </c:pt>
                <c:pt idx="831">
                  <c:v>802.22030000000007</c:v>
                </c:pt>
                <c:pt idx="832">
                  <c:v>802.22252000000003</c:v>
                </c:pt>
                <c:pt idx="833">
                  <c:v>802.22363000000007</c:v>
                </c:pt>
                <c:pt idx="834">
                  <c:v>802.22585000000004</c:v>
                </c:pt>
                <c:pt idx="835">
                  <c:v>802.22696000000008</c:v>
                </c:pt>
                <c:pt idx="836">
                  <c:v>802.22918000000004</c:v>
                </c:pt>
                <c:pt idx="837">
                  <c:v>802.23030000000006</c:v>
                </c:pt>
                <c:pt idx="838">
                  <c:v>802.23252000000002</c:v>
                </c:pt>
                <c:pt idx="839">
                  <c:v>802.23363000000006</c:v>
                </c:pt>
                <c:pt idx="840">
                  <c:v>802.23586000000012</c:v>
                </c:pt>
                <c:pt idx="841">
                  <c:v>802.23697000000004</c:v>
                </c:pt>
                <c:pt idx="842">
                  <c:v>802.23919000000012</c:v>
                </c:pt>
                <c:pt idx="843">
                  <c:v>802.24030000000005</c:v>
                </c:pt>
                <c:pt idx="844">
                  <c:v>802.24252000000001</c:v>
                </c:pt>
                <c:pt idx="845">
                  <c:v>802.24363000000005</c:v>
                </c:pt>
                <c:pt idx="846">
                  <c:v>802.24587000000008</c:v>
                </c:pt>
                <c:pt idx="847">
                  <c:v>802.2469900000001</c:v>
                </c:pt>
                <c:pt idx="848">
                  <c:v>802.24922000000004</c:v>
                </c:pt>
                <c:pt idx="849">
                  <c:v>802.25258000000008</c:v>
                </c:pt>
                <c:pt idx="850">
                  <c:v>802.25370000000009</c:v>
                </c:pt>
                <c:pt idx="851">
                  <c:v>802.25594000000001</c:v>
                </c:pt>
                <c:pt idx="852">
                  <c:v>802.25706000000002</c:v>
                </c:pt>
                <c:pt idx="853">
                  <c:v>802.25929000000008</c:v>
                </c:pt>
                <c:pt idx="854">
                  <c:v>802.26041000000009</c:v>
                </c:pt>
                <c:pt idx="855">
                  <c:v>802.26378000000011</c:v>
                </c:pt>
                <c:pt idx="856">
                  <c:v>802.26490000000001</c:v>
                </c:pt>
                <c:pt idx="857">
                  <c:v>802.26714000000004</c:v>
                </c:pt>
                <c:pt idx="858">
                  <c:v>802.26827000000003</c:v>
                </c:pt>
                <c:pt idx="859">
                  <c:v>802.27053000000012</c:v>
                </c:pt>
                <c:pt idx="860">
                  <c:v>802.27166000000011</c:v>
                </c:pt>
                <c:pt idx="861">
                  <c:v>802.27390000000003</c:v>
                </c:pt>
                <c:pt idx="862">
                  <c:v>802.27502000000004</c:v>
                </c:pt>
                <c:pt idx="863">
                  <c:v>802.27728000000002</c:v>
                </c:pt>
                <c:pt idx="864">
                  <c:v>802.27841000000012</c:v>
                </c:pt>
                <c:pt idx="865">
                  <c:v>802.2806700000001</c:v>
                </c:pt>
                <c:pt idx="866">
                  <c:v>802.28179000000011</c:v>
                </c:pt>
                <c:pt idx="867">
                  <c:v>802.28291000000002</c:v>
                </c:pt>
                <c:pt idx="868">
                  <c:v>802.28516000000002</c:v>
                </c:pt>
                <c:pt idx="869">
                  <c:v>802.28628000000003</c:v>
                </c:pt>
                <c:pt idx="870">
                  <c:v>802.28853000000004</c:v>
                </c:pt>
                <c:pt idx="871">
                  <c:v>802.28966000000003</c:v>
                </c:pt>
                <c:pt idx="872">
                  <c:v>802.29192000000012</c:v>
                </c:pt>
                <c:pt idx="873">
                  <c:v>802.29305000000011</c:v>
                </c:pt>
                <c:pt idx="874">
                  <c:v>802.29530000000011</c:v>
                </c:pt>
                <c:pt idx="875">
                  <c:v>802.2964300000001</c:v>
                </c:pt>
                <c:pt idx="876">
                  <c:v>802.29983000000004</c:v>
                </c:pt>
                <c:pt idx="877">
                  <c:v>802.30096000000003</c:v>
                </c:pt>
                <c:pt idx="878">
                  <c:v>802.3032300000001</c:v>
                </c:pt>
                <c:pt idx="879">
                  <c:v>802.30437000000006</c:v>
                </c:pt>
                <c:pt idx="880">
                  <c:v>802.30664000000002</c:v>
                </c:pt>
                <c:pt idx="881">
                  <c:v>802.30777000000012</c:v>
                </c:pt>
                <c:pt idx="882">
                  <c:v>802.3100300000001</c:v>
                </c:pt>
                <c:pt idx="883">
                  <c:v>802.31117000000006</c:v>
                </c:pt>
                <c:pt idx="884">
                  <c:v>802.31231000000002</c:v>
                </c:pt>
                <c:pt idx="885">
                  <c:v>802.31459000000007</c:v>
                </c:pt>
                <c:pt idx="886">
                  <c:v>802.31573000000003</c:v>
                </c:pt>
                <c:pt idx="887">
                  <c:v>802.3180000000001</c:v>
                </c:pt>
                <c:pt idx="888">
                  <c:v>802.31914000000006</c:v>
                </c:pt>
                <c:pt idx="889">
                  <c:v>802.32255000000009</c:v>
                </c:pt>
                <c:pt idx="890">
                  <c:v>802.32368000000008</c:v>
                </c:pt>
                <c:pt idx="891">
                  <c:v>802.32596000000001</c:v>
                </c:pt>
                <c:pt idx="892">
                  <c:v>802.32710000000009</c:v>
                </c:pt>
                <c:pt idx="893">
                  <c:v>802.33052000000009</c:v>
                </c:pt>
                <c:pt idx="894">
                  <c:v>802.33167000000003</c:v>
                </c:pt>
                <c:pt idx="895">
                  <c:v>802.33395000000007</c:v>
                </c:pt>
                <c:pt idx="896">
                  <c:v>802.33509000000004</c:v>
                </c:pt>
                <c:pt idx="897">
                  <c:v>802.33852000000002</c:v>
                </c:pt>
                <c:pt idx="898">
                  <c:v>802.33966000000009</c:v>
                </c:pt>
                <c:pt idx="899">
                  <c:v>802.34194000000002</c:v>
                </c:pt>
                <c:pt idx="900">
                  <c:v>802.3430800000001</c:v>
                </c:pt>
                <c:pt idx="901">
                  <c:v>802.34650000000011</c:v>
                </c:pt>
                <c:pt idx="902">
                  <c:v>802.34765000000004</c:v>
                </c:pt>
                <c:pt idx="903">
                  <c:v>802.34995000000004</c:v>
                </c:pt>
                <c:pt idx="904">
                  <c:v>802.35109000000011</c:v>
                </c:pt>
                <c:pt idx="905">
                  <c:v>802.35453000000007</c:v>
                </c:pt>
                <c:pt idx="906">
                  <c:v>802.35567000000003</c:v>
                </c:pt>
                <c:pt idx="907">
                  <c:v>802.35797000000002</c:v>
                </c:pt>
                <c:pt idx="908">
                  <c:v>802.35912000000008</c:v>
                </c:pt>
                <c:pt idx="909">
                  <c:v>802.36027000000001</c:v>
                </c:pt>
                <c:pt idx="910">
                  <c:v>802.36257000000012</c:v>
                </c:pt>
                <c:pt idx="911">
                  <c:v>802.36372000000006</c:v>
                </c:pt>
                <c:pt idx="912">
                  <c:v>802.36719000000005</c:v>
                </c:pt>
                <c:pt idx="913">
                  <c:v>802.3683400000001</c:v>
                </c:pt>
                <c:pt idx="914">
                  <c:v>802.37065000000007</c:v>
                </c:pt>
                <c:pt idx="915">
                  <c:v>802.37180000000012</c:v>
                </c:pt>
                <c:pt idx="916">
                  <c:v>802.37295000000006</c:v>
                </c:pt>
                <c:pt idx="917">
                  <c:v>802.37525000000005</c:v>
                </c:pt>
                <c:pt idx="918">
                  <c:v>802.37641000000008</c:v>
                </c:pt>
                <c:pt idx="919">
                  <c:v>802.37988000000007</c:v>
                </c:pt>
                <c:pt idx="920">
                  <c:v>802.38103000000001</c:v>
                </c:pt>
                <c:pt idx="921">
                  <c:v>802.38333000000011</c:v>
                </c:pt>
                <c:pt idx="922">
                  <c:v>802.38449000000003</c:v>
                </c:pt>
                <c:pt idx="923">
                  <c:v>802.38565000000006</c:v>
                </c:pt>
                <c:pt idx="924">
                  <c:v>802.38797000000011</c:v>
                </c:pt>
                <c:pt idx="925">
                  <c:v>802.38913000000002</c:v>
                </c:pt>
                <c:pt idx="926">
                  <c:v>802.39260000000002</c:v>
                </c:pt>
                <c:pt idx="927">
                  <c:v>802.39376000000004</c:v>
                </c:pt>
                <c:pt idx="928">
                  <c:v>802.39724000000001</c:v>
                </c:pt>
                <c:pt idx="929">
                  <c:v>802.39840000000004</c:v>
                </c:pt>
                <c:pt idx="930">
                  <c:v>802.40072000000009</c:v>
                </c:pt>
                <c:pt idx="931">
                  <c:v>802.40188000000012</c:v>
                </c:pt>
                <c:pt idx="932">
                  <c:v>802.40304000000003</c:v>
                </c:pt>
                <c:pt idx="933">
                  <c:v>802.40536000000009</c:v>
                </c:pt>
                <c:pt idx="934">
                  <c:v>802.40652000000011</c:v>
                </c:pt>
                <c:pt idx="935">
                  <c:v>802.40769000000012</c:v>
                </c:pt>
                <c:pt idx="936">
                  <c:v>802.41003000000012</c:v>
                </c:pt>
                <c:pt idx="937">
                  <c:v>802.41120000000012</c:v>
                </c:pt>
                <c:pt idx="938">
                  <c:v>802.41237000000001</c:v>
                </c:pt>
                <c:pt idx="939">
                  <c:v>802.41588000000002</c:v>
                </c:pt>
                <c:pt idx="940">
                  <c:v>802.41705000000002</c:v>
                </c:pt>
                <c:pt idx="941">
                  <c:v>802.42055000000005</c:v>
                </c:pt>
                <c:pt idx="942">
                  <c:v>802.42172000000005</c:v>
                </c:pt>
                <c:pt idx="943">
                  <c:v>802.42522000000008</c:v>
                </c:pt>
                <c:pt idx="944">
                  <c:v>802.42639000000008</c:v>
                </c:pt>
                <c:pt idx="945">
                  <c:v>802.42989000000011</c:v>
                </c:pt>
                <c:pt idx="946">
                  <c:v>802.43106000000012</c:v>
                </c:pt>
                <c:pt idx="947">
                  <c:v>802.43306000000007</c:v>
                </c:pt>
                <c:pt idx="948">
                  <c:v>802.43457000000012</c:v>
                </c:pt>
                <c:pt idx="949">
                  <c:v>802.43574000000001</c:v>
                </c:pt>
                <c:pt idx="950">
                  <c:v>802.4392600000001</c:v>
                </c:pt>
                <c:pt idx="951">
                  <c:v>802.44043000000011</c:v>
                </c:pt>
                <c:pt idx="952">
                  <c:v>802.44160000000011</c:v>
                </c:pt>
                <c:pt idx="953">
                  <c:v>802.44394000000011</c:v>
                </c:pt>
                <c:pt idx="954">
                  <c:v>802.44512000000009</c:v>
                </c:pt>
                <c:pt idx="955">
                  <c:v>802.44630000000006</c:v>
                </c:pt>
                <c:pt idx="956">
                  <c:v>802.44866000000002</c:v>
                </c:pt>
                <c:pt idx="957">
                  <c:v>802.44984000000011</c:v>
                </c:pt>
                <c:pt idx="958">
                  <c:v>802.45102000000009</c:v>
                </c:pt>
                <c:pt idx="959">
                  <c:v>802.45336000000009</c:v>
                </c:pt>
                <c:pt idx="960">
                  <c:v>802.45453000000009</c:v>
                </c:pt>
                <c:pt idx="961">
                  <c:v>802.45571000000007</c:v>
                </c:pt>
                <c:pt idx="962">
                  <c:v>802.45925000000011</c:v>
                </c:pt>
                <c:pt idx="963">
                  <c:v>802.46043000000009</c:v>
                </c:pt>
                <c:pt idx="964">
                  <c:v>802.46161000000006</c:v>
                </c:pt>
                <c:pt idx="965">
                  <c:v>802.46397000000002</c:v>
                </c:pt>
                <c:pt idx="966">
                  <c:v>802.46515000000011</c:v>
                </c:pt>
                <c:pt idx="967">
                  <c:v>802.46632000000011</c:v>
                </c:pt>
                <c:pt idx="968">
                  <c:v>802.46868000000006</c:v>
                </c:pt>
                <c:pt idx="969">
                  <c:v>802.46986000000004</c:v>
                </c:pt>
                <c:pt idx="970">
                  <c:v>802.47104000000002</c:v>
                </c:pt>
                <c:pt idx="971">
                  <c:v>802.47459000000003</c:v>
                </c:pt>
                <c:pt idx="972">
                  <c:v>802.47577000000001</c:v>
                </c:pt>
                <c:pt idx="973">
                  <c:v>802.47932000000003</c:v>
                </c:pt>
                <c:pt idx="974">
                  <c:v>802.48050000000012</c:v>
                </c:pt>
                <c:pt idx="975">
                  <c:v>802.4816800000001</c:v>
                </c:pt>
                <c:pt idx="976">
                  <c:v>802.48405000000002</c:v>
                </c:pt>
                <c:pt idx="977">
                  <c:v>802.48523000000012</c:v>
                </c:pt>
                <c:pt idx="978">
                  <c:v>802.48641000000009</c:v>
                </c:pt>
                <c:pt idx="979">
                  <c:v>802.48995000000002</c:v>
                </c:pt>
                <c:pt idx="980">
                  <c:v>802.49113000000011</c:v>
                </c:pt>
                <c:pt idx="981">
                  <c:v>802.49232000000006</c:v>
                </c:pt>
                <c:pt idx="982">
                  <c:v>802.49470000000008</c:v>
                </c:pt>
                <c:pt idx="983">
                  <c:v>802.49589000000003</c:v>
                </c:pt>
                <c:pt idx="984">
                  <c:v>802.4970800000001</c:v>
                </c:pt>
                <c:pt idx="985">
                  <c:v>802.50063000000011</c:v>
                </c:pt>
                <c:pt idx="986">
                  <c:v>802.50181000000009</c:v>
                </c:pt>
                <c:pt idx="987">
                  <c:v>802.50300000000004</c:v>
                </c:pt>
                <c:pt idx="988">
                  <c:v>802.50538000000006</c:v>
                </c:pt>
                <c:pt idx="989">
                  <c:v>802.50657000000001</c:v>
                </c:pt>
                <c:pt idx="990">
                  <c:v>802.50776000000008</c:v>
                </c:pt>
                <c:pt idx="991">
                  <c:v>802.51133000000004</c:v>
                </c:pt>
                <c:pt idx="992">
                  <c:v>802.51252000000011</c:v>
                </c:pt>
                <c:pt idx="993">
                  <c:v>802.51371000000006</c:v>
                </c:pt>
                <c:pt idx="994">
                  <c:v>802.51609000000008</c:v>
                </c:pt>
                <c:pt idx="995">
                  <c:v>802.51728000000003</c:v>
                </c:pt>
                <c:pt idx="996">
                  <c:v>802.51847000000009</c:v>
                </c:pt>
                <c:pt idx="997">
                  <c:v>802.52204000000006</c:v>
                </c:pt>
                <c:pt idx="998">
                  <c:v>802.52323000000001</c:v>
                </c:pt>
                <c:pt idx="999">
                  <c:v>802.52442000000008</c:v>
                </c:pt>
                <c:pt idx="1000">
                  <c:v>802.52800000000002</c:v>
                </c:pt>
                <c:pt idx="1001">
                  <c:v>802.52919000000009</c:v>
                </c:pt>
                <c:pt idx="1002">
                  <c:v>802.53039000000001</c:v>
                </c:pt>
                <c:pt idx="1003">
                  <c:v>802.53277000000003</c:v>
                </c:pt>
                <c:pt idx="1004">
                  <c:v>802.53396000000009</c:v>
                </c:pt>
                <c:pt idx="1005">
                  <c:v>802.53516000000002</c:v>
                </c:pt>
                <c:pt idx="1006">
                  <c:v>802.53636000000006</c:v>
                </c:pt>
                <c:pt idx="1007">
                  <c:v>802.53876000000002</c:v>
                </c:pt>
                <c:pt idx="1008">
                  <c:v>802.53996000000006</c:v>
                </c:pt>
                <c:pt idx="1009">
                  <c:v>802.5411600000001</c:v>
                </c:pt>
                <c:pt idx="1010">
                  <c:v>802.54473000000007</c:v>
                </c:pt>
                <c:pt idx="1011">
                  <c:v>802.54593000000011</c:v>
                </c:pt>
                <c:pt idx="1012">
                  <c:v>802.54713000000004</c:v>
                </c:pt>
                <c:pt idx="1013">
                  <c:v>802.55073000000004</c:v>
                </c:pt>
                <c:pt idx="1014">
                  <c:v>802.55192000000011</c:v>
                </c:pt>
                <c:pt idx="1015">
                  <c:v>802.55311000000006</c:v>
                </c:pt>
                <c:pt idx="1016">
                  <c:v>802.55551000000003</c:v>
                </c:pt>
                <c:pt idx="1017">
                  <c:v>802.55670000000009</c:v>
                </c:pt>
                <c:pt idx="1018">
                  <c:v>802.55790000000002</c:v>
                </c:pt>
                <c:pt idx="1019">
                  <c:v>802.55910000000006</c:v>
                </c:pt>
                <c:pt idx="1020">
                  <c:v>802.56149000000005</c:v>
                </c:pt>
                <c:pt idx="1021">
                  <c:v>802.56269000000009</c:v>
                </c:pt>
                <c:pt idx="1022">
                  <c:v>802.56388000000004</c:v>
                </c:pt>
                <c:pt idx="1023">
                  <c:v>802.56508000000008</c:v>
                </c:pt>
                <c:pt idx="1024">
                  <c:v>802.56748000000005</c:v>
                </c:pt>
                <c:pt idx="1025">
                  <c:v>802.56868000000009</c:v>
                </c:pt>
                <c:pt idx="1026">
                  <c:v>802.56988000000001</c:v>
                </c:pt>
                <c:pt idx="1027">
                  <c:v>802.57108000000005</c:v>
                </c:pt>
                <c:pt idx="1028">
                  <c:v>802.57348000000002</c:v>
                </c:pt>
                <c:pt idx="1029">
                  <c:v>802.57469000000003</c:v>
                </c:pt>
                <c:pt idx="1030">
                  <c:v>802.57589000000007</c:v>
                </c:pt>
                <c:pt idx="1031">
                  <c:v>802.57709000000011</c:v>
                </c:pt>
                <c:pt idx="1032">
                  <c:v>802.57949000000008</c:v>
                </c:pt>
                <c:pt idx="1033">
                  <c:v>802.58069000000012</c:v>
                </c:pt>
                <c:pt idx="1034">
                  <c:v>802.58189000000004</c:v>
                </c:pt>
                <c:pt idx="1035">
                  <c:v>802.58309000000008</c:v>
                </c:pt>
                <c:pt idx="1036">
                  <c:v>802.58551000000011</c:v>
                </c:pt>
                <c:pt idx="1037">
                  <c:v>802.58671000000004</c:v>
                </c:pt>
                <c:pt idx="1038">
                  <c:v>802.58791000000008</c:v>
                </c:pt>
                <c:pt idx="1039">
                  <c:v>802.58911000000012</c:v>
                </c:pt>
                <c:pt idx="1040">
                  <c:v>802.59151000000008</c:v>
                </c:pt>
                <c:pt idx="1041">
                  <c:v>802.59271000000001</c:v>
                </c:pt>
                <c:pt idx="1042">
                  <c:v>802.59391000000005</c:v>
                </c:pt>
                <c:pt idx="1043">
                  <c:v>802.59511000000009</c:v>
                </c:pt>
                <c:pt idx="1044">
                  <c:v>802.59753000000012</c:v>
                </c:pt>
                <c:pt idx="1045">
                  <c:v>802.59874000000002</c:v>
                </c:pt>
                <c:pt idx="1046">
                  <c:v>802.59995000000004</c:v>
                </c:pt>
                <c:pt idx="1047">
                  <c:v>802.60116000000005</c:v>
                </c:pt>
                <c:pt idx="1048">
                  <c:v>802.60477000000003</c:v>
                </c:pt>
                <c:pt idx="1049">
                  <c:v>802.60598000000005</c:v>
                </c:pt>
                <c:pt idx="1050">
                  <c:v>802.60718000000008</c:v>
                </c:pt>
                <c:pt idx="1051">
                  <c:v>802.61080000000004</c:v>
                </c:pt>
                <c:pt idx="1052">
                  <c:v>802.61201000000005</c:v>
                </c:pt>
                <c:pt idx="1053">
                  <c:v>802.61321000000009</c:v>
                </c:pt>
                <c:pt idx="1054">
                  <c:v>802.61684000000002</c:v>
                </c:pt>
                <c:pt idx="1055">
                  <c:v>802.61805000000004</c:v>
                </c:pt>
                <c:pt idx="1056">
                  <c:v>802.61926000000005</c:v>
                </c:pt>
                <c:pt idx="1057">
                  <c:v>802.62046000000009</c:v>
                </c:pt>
                <c:pt idx="1058">
                  <c:v>802.62288000000001</c:v>
                </c:pt>
                <c:pt idx="1059">
                  <c:v>802.62409000000002</c:v>
                </c:pt>
                <c:pt idx="1060">
                  <c:v>802.62530000000004</c:v>
                </c:pt>
                <c:pt idx="1061">
                  <c:v>802.62652000000003</c:v>
                </c:pt>
                <c:pt idx="1062">
                  <c:v>802.63015000000007</c:v>
                </c:pt>
                <c:pt idx="1063">
                  <c:v>802.63137000000006</c:v>
                </c:pt>
                <c:pt idx="1064">
                  <c:v>802.63258000000008</c:v>
                </c:pt>
                <c:pt idx="1065">
                  <c:v>802.63379000000009</c:v>
                </c:pt>
                <c:pt idx="1066">
                  <c:v>802.63621000000012</c:v>
                </c:pt>
                <c:pt idx="1067">
                  <c:v>802.63742000000002</c:v>
                </c:pt>
                <c:pt idx="1068">
                  <c:v>802.63863000000003</c:v>
                </c:pt>
                <c:pt idx="1069">
                  <c:v>802.63985000000002</c:v>
                </c:pt>
                <c:pt idx="1070">
                  <c:v>802.64350000000002</c:v>
                </c:pt>
                <c:pt idx="1071">
                  <c:v>802.64472000000012</c:v>
                </c:pt>
                <c:pt idx="1072">
                  <c:v>802.64594000000011</c:v>
                </c:pt>
                <c:pt idx="1073">
                  <c:v>802.64715000000001</c:v>
                </c:pt>
                <c:pt idx="1074">
                  <c:v>802.65079000000003</c:v>
                </c:pt>
                <c:pt idx="1075">
                  <c:v>802.65201000000002</c:v>
                </c:pt>
                <c:pt idx="1076">
                  <c:v>802.65323000000012</c:v>
                </c:pt>
                <c:pt idx="1077">
                  <c:v>802.65688000000011</c:v>
                </c:pt>
                <c:pt idx="1078">
                  <c:v>802.65809000000002</c:v>
                </c:pt>
                <c:pt idx="1079">
                  <c:v>802.65931000000012</c:v>
                </c:pt>
                <c:pt idx="1080">
                  <c:v>802.66053000000011</c:v>
                </c:pt>
                <c:pt idx="1081">
                  <c:v>802.6641800000001</c:v>
                </c:pt>
                <c:pt idx="1082">
                  <c:v>802.66540000000009</c:v>
                </c:pt>
                <c:pt idx="1083">
                  <c:v>802.66662000000008</c:v>
                </c:pt>
                <c:pt idx="1084">
                  <c:v>802.66784000000007</c:v>
                </c:pt>
                <c:pt idx="1085">
                  <c:v>802.67150000000004</c:v>
                </c:pt>
                <c:pt idx="1086">
                  <c:v>802.6739500000001</c:v>
                </c:pt>
                <c:pt idx="1087">
                  <c:v>802.67517000000009</c:v>
                </c:pt>
                <c:pt idx="1088">
                  <c:v>802.67884000000004</c:v>
                </c:pt>
                <c:pt idx="1089">
                  <c:v>802.68006000000003</c:v>
                </c:pt>
                <c:pt idx="1090">
                  <c:v>802.68128000000002</c:v>
                </c:pt>
                <c:pt idx="1091">
                  <c:v>802.68250000000012</c:v>
                </c:pt>
                <c:pt idx="1092">
                  <c:v>802.68617000000006</c:v>
                </c:pt>
                <c:pt idx="1093">
                  <c:v>802.68739000000005</c:v>
                </c:pt>
                <c:pt idx="1094">
                  <c:v>802.68861000000004</c:v>
                </c:pt>
                <c:pt idx="1095">
                  <c:v>802.68983000000003</c:v>
                </c:pt>
                <c:pt idx="1096">
                  <c:v>802.69105000000002</c:v>
                </c:pt>
                <c:pt idx="1097">
                  <c:v>802.69472000000007</c:v>
                </c:pt>
                <c:pt idx="1098">
                  <c:v>802.69594000000006</c:v>
                </c:pt>
                <c:pt idx="1099">
                  <c:v>802.69716000000005</c:v>
                </c:pt>
                <c:pt idx="1100">
                  <c:v>802.69839000000002</c:v>
                </c:pt>
                <c:pt idx="1101">
                  <c:v>802.70208000000002</c:v>
                </c:pt>
                <c:pt idx="1102">
                  <c:v>802.70330000000001</c:v>
                </c:pt>
                <c:pt idx="1103">
                  <c:v>802.70452000000012</c:v>
                </c:pt>
                <c:pt idx="1104">
                  <c:v>802.70575000000008</c:v>
                </c:pt>
                <c:pt idx="1105">
                  <c:v>802.70943000000011</c:v>
                </c:pt>
                <c:pt idx="1106">
                  <c:v>802.71066000000008</c:v>
                </c:pt>
                <c:pt idx="1107">
                  <c:v>802.71188000000006</c:v>
                </c:pt>
                <c:pt idx="1108">
                  <c:v>802.71311000000003</c:v>
                </c:pt>
                <c:pt idx="1109">
                  <c:v>802.71434000000011</c:v>
                </c:pt>
                <c:pt idx="1110">
                  <c:v>802.71803000000011</c:v>
                </c:pt>
                <c:pt idx="1111">
                  <c:v>802.7192500000001</c:v>
                </c:pt>
                <c:pt idx="1112">
                  <c:v>802.72048000000007</c:v>
                </c:pt>
                <c:pt idx="1113">
                  <c:v>802.72171000000003</c:v>
                </c:pt>
                <c:pt idx="1114">
                  <c:v>802.72540000000004</c:v>
                </c:pt>
                <c:pt idx="1115">
                  <c:v>802.72663000000011</c:v>
                </c:pt>
                <c:pt idx="1116">
                  <c:v>802.72787000000005</c:v>
                </c:pt>
                <c:pt idx="1117">
                  <c:v>802.72910000000002</c:v>
                </c:pt>
                <c:pt idx="1118">
                  <c:v>802.73033000000009</c:v>
                </c:pt>
                <c:pt idx="1119">
                  <c:v>802.7340200000001</c:v>
                </c:pt>
                <c:pt idx="1120">
                  <c:v>802.73525000000006</c:v>
                </c:pt>
                <c:pt idx="1121">
                  <c:v>802.73648000000003</c:v>
                </c:pt>
                <c:pt idx="1122">
                  <c:v>802.73771000000011</c:v>
                </c:pt>
                <c:pt idx="1123">
                  <c:v>802.73894000000007</c:v>
                </c:pt>
                <c:pt idx="1124">
                  <c:v>802.74264000000005</c:v>
                </c:pt>
                <c:pt idx="1125">
                  <c:v>802.7438800000001</c:v>
                </c:pt>
                <c:pt idx="1126">
                  <c:v>802.74512000000004</c:v>
                </c:pt>
                <c:pt idx="1127">
                  <c:v>802.7463600000001</c:v>
                </c:pt>
                <c:pt idx="1128">
                  <c:v>802.75130000000001</c:v>
                </c:pt>
                <c:pt idx="1129">
                  <c:v>802.75254000000007</c:v>
                </c:pt>
                <c:pt idx="1130">
                  <c:v>802.75378000000012</c:v>
                </c:pt>
                <c:pt idx="1131">
                  <c:v>802.75502000000006</c:v>
                </c:pt>
                <c:pt idx="1132">
                  <c:v>802.75996000000009</c:v>
                </c:pt>
                <c:pt idx="1133">
                  <c:v>802.76120000000003</c:v>
                </c:pt>
                <c:pt idx="1134">
                  <c:v>802.76244000000008</c:v>
                </c:pt>
                <c:pt idx="1135">
                  <c:v>802.76368000000002</c:v>
                </c:pt>
                <c:pt idx="1136">
                  <c:v>802.76863000000003</c:v>
                </c:pt>
                <c:pt idx="1137">
                  <c:v>802.76987000000008</c:v>
                </c:pt>
                <c:pt idx="1138">
                  <c:v>802.77111000000002</c:v>
                </c:pt>
                <c:pt idx="1139">
                  <c:v>802.77235000000007</c:v>
                </c:pt>
                <c:pt idx="1140">
                  <c:v>802.77359000000001</c:v>
                </c:pt>
                <c:pt idx="1141">
                  <c:v>802.77731000000006</c:v>
                </c:pt>
                <c:pt idx="1142">
                  <c:v>802.77855000000011</c:v>
                </c:pt>
                <c:pt idx="1143">
                  <c:v>802.77979000000005</c:v>
                </c:pt>
                <c:pt idx="1144">
                  <c:v>802.7810300000001</c:v>
                </c:pt>
                <c:pt idx="1145">
                  <c:v>802.78227000000004</c:v>
                </c:pt>
                <c:pt idx="1146">
                  <c:v>802.78600000000006</c:v>
                </c:pt>
                <c:pt idx="1147">
                  <c:v>802.78724000000011</c:v>
                </c:pt>
                <c:pt idx="1148">
                  <c:v>802.78848000000005</c:v>
                </c:pt>
                <c:pt idx="1149">
                  <c:v>802.78973000000008</c:v>
                </c:pt>
                <c:pt idx="1150">
                  <c:v>802.7909800000001</c:v>
                </c:pt>
                <c:pt idx="1151">
                  <c:v>802.79473000000007</c:v>
                </c:pt>
                <c:pt idx="1152">
                  <c:v>802.7959800000001</c:v>
                </c:pt>
                <c:pt idx="1153">
                  <c:v>802.79722000000004</c:v>
                </c:pt>
                <c:pt idx="1154">
                  <c:v>802.79847000000007</c:v>
                </c:pt>
                <c:pt idx="1155">
                  <c:v>802.79972000000009</c:v>
                </c:pt>
                <c:pt idx="1156">
                  <c:v>802.80470000000003</c:v>
                </c:pt>
                <c:pt idx="1157">
                  <c:v>802.80594000000008</c:v>
                </c:pt>
                <c:pt idx="1158">
                  <c:v>802.80719000000011</c:v>
                </c:pt>
                <c:pt idx="1159">
                  <c:v>802.80844000000002</c:v>
                </c:pt>
                <c:pt idx="1160">
                  <c:v>802.80969000000005</c:v>
                </c:pt>
                <c:pt idx="1161">
                  <c:v>802.81467000000009</c:v>
                </c:pt>
                <c:pt idx="1162">
                  <c:v>802.81592000000012</c:v>
                </c:pt>
                <c:pt idx="1163">
                  <c:v>802.81717000000003</c:v>
                </c:pt>
                <c:pt idx="1164">
                  <c:v>802.81841000000009</c:v>
                </c:pt>
                <c:pt idx="1165">
                  <c:v>802.81966000000011</c:v>
                </c:pt>
                <c:pt idx="1166">
                  <c:v>802.82466000000011</c:v>
                </c:pt>
                <c:pt idx="1167">
                  <c:v>802.82591000000002</c:v>
                </c:pt>
                <c:pt idx="1168">
                  <c:v>802.82716000000005</c:v>
                </c:pt>
                <c:pt idx="1169">
                  <c:v>802.82841000000008</c:v>
                </c:pt>
                <c:pt idx="1170">
                  <c:v>802.8296600000001</c:v>
                </c:pt>
                <c:pt idx="1171">
                  <c:v>802.83467000000007</c:v>
                </c:pt>
                <c:pt idx="1172">
                  <c:v>802.8359200000001</c:v>
                </c:pt>
                <c:pt idx="1173">
                  <c:v>802.83717000000001</c:v>
                </c:pt>
                <c:pt idx="1174">
                  <c:v>802.83843000000002</c:v>
                </c:pt>
                <c:pt idx="1175">
                  <c:v>802.83968000000004</c:v>
                </c:pt>
                <c:pt idx="1176">
                  <c:v>802.84468000000004</c:v>
                </c:pt>
                <c:pt idx="1177">
                  <c:v>802.84593000000007</c:v>
                </c:pt>
                <c:pt idx="1178">
                  <c:v>802.84718000000009</c:v>
                </c:pt>
                <c:pt idx="1179">
                  <c:v>802.84843000000012</c:v>
                </c:pt>
                <c:pt idx="1180">
                  <c:v>802.84969000000001</c:v>
                </c:pt>
                <c:pt idx="1181">
                  <c:v>802.85095000000001</c:v>
                </c:pt>
                <c:pt idx="1182">
                  <c:v>802.85597000000007</c:v>
                </c:pt>
                <c:pt idx="1183">
                  <c:v>802.85723000000007</c:v>
                </c:pt>
                <c:pt idx="1184">
                  <c:v>802.85849000000007</c:v>
                </c:pt>
                <c:pt idx="1185">
                  <c:v>802.85975000000008</c:v>
                </c:pt>
                <c:pt idx="1186">
                  <c:v>802.86101000000008</c:v>
                </c:pt>
                <c:pt idx="1187">
                  <c:v>802.86226000000011</c:v>
                </c:pt>
                <c:pt idx="1188">
                  <c:v>802.86730000000011</c:v>
                </c:pt>
                <c:pt idx="1189">
                  <c:v>802.86856000000012</c:v>
                </c:pt>
                <c:pt idx="1190">
                  <c:v>802.86981000000003</c:v>
                </c:pt>
                <c:pt idx="1191">
                  <c:v>802.87107000000003</c:v>
                </c:pt>
                <c:pt idx="1192">
                  <c:v>802.87233000000003</c:v>
                </c:pt>
                <c:pt idx="1193">
                  <c:v>802.87359000000004</c:v>
                </c:pt>
                <c:pt idx="1194">
                  <c:v>802.87863000000004</c:v>
                </c:pt>
                <c:pt idx="1195">
                  <c:v>802.87989000000005</c:v>
                </c:pt>
                <c:pt idx="1196">
                  <c:v>802.88115000000005</c:v>
                </c:pt>
                <c:pt idx="1197">
                  <c:v>802.88241000000005</c:v>
                </c:pt>
                <c:pt idx="1198">
                  <c:v>802.88367000000005</c:v>
                </c:pt>
                <c:pt idx="1199">
                  <c:v>802.88493000000005</c:v>
                </c:pt>
                <c:pt idx="1200">
                  <c:v>802.88998000000004</c:v>
                </c:pt>
                <c:pt idx="1201">
                  <c:v>802.89125000000001</c:v>
                </c:pt>
                <c:pt idx="1202">
                  <c:v>802.89251000000002</c:v>
                </c:pt>
                <c:pt idx="1203">
                  <c:v>802.89377000000002</c:v>
                </c:pt>
                <c:pt idx="1204">
                  <c:v>802.89503000000002</c:v>
                </c:pt>
                <c:pt idx="1205">
                  <c:v>802.89757000000009</c:v>
                </c:pt>
                <c:pt idx="1206">
                  <c:v>802.90264000000002</c:v>
                </c:pt>
                <c:pt idx="1207">
                  <c:v>802.90390000000002</c:v>
                </c:pt>
                <c:pt idx="1208">
                  <c:v>802.90516000000002</c:v>
                </c:pt>
                <c:pt idx="1209">
                  <c:v>802.90642000000003</c:v>
                </c:pt>
                <c:pt idx="1210">
                  <c:v>802.90768000000003</c:v>
                </c:pt>
                <c:pt idx="1211">
                  <c:v>802.90894000000003</c:v>
                </c:pt>
                <c:pt idx="1212">
                  <c:v>802.9152600000001</c:v>
                </c:pt>
                <c:pt idx="1213">
                  <c:v>802.91653000000008</c:v>
                </c:pt>
                <c:pt idx="1214">
                  <c:v>802.91780000000006</c:v>
                </c:pt>
                <c:pt idx="1215">
                  <c:v>802.91907000000003</c:v>
                </c:pt>
                <c:pt idx="1216">
                  <c:v>802.92033000000004</c:v>
                </c:pt>
                <c:pt idx="1217">
                  <c:v>802.92159000000004</c:v>
                </c:pt>
                <c:pt idx="1218">
                  <c:v>802.92285000000004</c:v>
                </c:pt>
                <c:pt idx="1219">
                  <c:v>802.92793000000006</c:v>
                </c:pt>
                <c:pt idx="1220">
                  <c:v>802.92920000000004</c:v>
                </c:pt>
                <c:pt idx="1221">
                  <c:v>802.93047000000001</c:v>
                </c:pt>
                <c:pt idx="1222">
                  <c:v>802.9317400000001</c:v>
                </c:pt>
                <c:pt idx="1223">
                  <c:v>802.93301000000008</c:v>
                </c:pt>
                <c:pt idx="1224">
                  <c:v>802.93427000000008</c:v>
                </c:pt>
                <c:pt idx="1225">
                  <c:v>802.93554000000006</c:v>
                </c:pt>
                <c:pt idx="1226">
                  <c:v>802.94062000000008</c:v>
                </c:pt>
                <c:pt idx="1227">
                  <c:v>802.94189000000006</c:v>
                </c:pt>
                <c:pt idx="1228">
                  <c:v>802.94316000000003</c:v>
                </c:pt>
                <c:pt idx="1229">
                  <c:v>802.94442000000004</c:v>
                </c:pt>
                <c:pt idx="1230">
                  <c:v>802.94569000000001</c:v>
                </c:pt>
                <c:pt idx="1231">
                  <c:v>802.9469600000001</c:v>
                </c:pt>
                <c:pt idx="1232">
                  <c:v>802.94823000000008</c:v>
                </c:pt>
                <c:pt idx="1233">
                  <c:v>802.95459000000005</c:v>
                </c:pt>
                <c:pt idx="1234">
                  <c:v>802.95586000000003</c:v>
                </c:pt>
                <c:pt idx="1235">
                  <c:v>802.95713000000012</c:v>
                </c:pt>
                <c:pt idx="1236">
                  <c:v>802.9584000000001</c:v>
                </c:pt>
                <c:pt idx="1237">
                  <c:v>802.95968000000005</c:v>
                </c:pt>
                <c:pt idx="1238">
                  <c:v>802.96095000000003</c:v>
                </c:pt>
                <c:pt idx="1239">
                  <c:v>802.96222000000012</c:v>
                </c:pt>
                <c:pt idx="1240">
                  <c:v>802.96858000000009</c:v>
                </c:pt>
                <c:pt idx="1241">
                  <c:v>802.96985000000006</c:v>
                </c:pt>
                <c:pt idx="1242">
                  <c:v>802.97112000000004</c:v>
                </c:pt>
                <c:pt idx="1243">
                  <c:v>802.97239000000002</c:v>
                </c:pt>
                <c:pt idx="1244">
                  <c:v>802.97366000000011</c:v>
                </c:pt>
                <c:pt idx="1245">
                  <c:v>802.97493000000009</c:v>
                </c:pt>
                <c:pt idx="1246">
                  <c:v>802.97621000000004</c:v>
                </c:pt>
                <c:pt idx="1247">
                  <c:v>802.98260000000005</c:v>
                </c:pt>
                <c:pt idx="1248">
                  <c:v>802.98387000000002</c:v>
                </c:pt>
                <c:pt idx="1249">
                  <c:v>802.98514000000011</c:v>
                </c:pt>
                <c:pt idx="1250">
                  <c:v>802.98641000000009</c:v>
                </c:pt>
                <c:pt idx="1251">
                  <c:v>802.98768000000007</c:v>
                </c:pt>
                <c:pt idx="1252">
                  <c:v>802.98896000000002</c:v>
                </c:pt>
                <c:pt idx="1253">
                  <c:v>802.99024000000009</c:v>
                </c:pt>
                <c:pt idx="1254">
                  <c:v>802.99661000000003</c:v>
                </c:pt>
                <c:pt idx="1255">
                  <c:v>802.9978900000001</c:v>
                </c:pt>
                <c:pt idx="1256">
                  <c:v>802.99917000000005</c:v>
                </c:pt>
                <c:pt idx="1257">
                  <c:v>803.00045000000011</c:v>
                </c:pt>
                <c:pt idx="1258">
                  <c:v>803.00173000000007</c:v>
                </c:pt>
                <c:pt idx="1259">
                  <c:v>803.00301000000002</c:v>
                </c:pt>
                <c:pt idx="1260">
                  <c:v>803.00429000000008</c:v>
                </c:pt>
                <c:pt idx="1261">
                  <c:v>803.00557000000003</c:v>
                </c:pt>
                <c:pt idx="1262">
                  <c:v>803.01197000000002</c:v>
                </c:pt>
                <c:pt idx="1263">
                  <c:v>803.01325000000008</c:v>
                </c:pt>
                <c:pt idx="1264">
                  <c:v>803.01452000000006</c:v>
                </c:pt>
                <c:pt idx="1265">
                  <c:v>803.01580000000001</c:v>
                </c:pt>
                <c:pt idx="1266">
                  <c:v>803.01708000000008</c:v>
                </c:pt>
                <c:pt idx="1267">
                  <c:v>803.01836000000003</c:v>
                </c:pt>
                <c:pt idx="1268">
                  <c:v>803.01964000000009</c:v>
                </c:pt>
                <c:pt idx="1269">
                  <c:v>803.02092000000005</c:v>
                </c:pt>
                <c:pt idx="1270">
                  <c:v>803.02732000000003</c:v>
                </c:pt>
                <c:pt idx="1271">
                  <c:v>803.0286000000001</c:v>
                </c:pt>
                <c:pt idx="1272">
                  <c:v>803.02988000000005</c:v>
                </c:pt>
                <c:pt idx="1273">
                  <c:v>803.03116000000011</c:v>
                </c:pt>
                <c:pt idx="1274">
                  <c:v>803.03244000000007</c:v>
                </c:pt>
                <c:pt idx="1275">
                  <c:v>803.03372000000002</c:v>
                </c:pt>
                <c:pt idx="1276">
                  <c:v>803.03500000000008</c:v>
                </c:pt>
                <c:pt idx="1277">
                  <c:v>803.03628000000003</c:v>
                </c:pt>
                <c:pt idx="1278">
                  <c:v>803.0375600000001</c:v>
                </c:pt>
                <c:pt idx="1279">
                  <c:v>803.04397000000006</c:v>
                </c:pt>
                <c:pt idx="1280">
                  <c:v>803.04525000000001</c:v>
                </c:pt>
                <c:pt idx="1281">
                  <c:v>803.04653000000008</c:v>
                </c:pt>
                <c:pt idx="1282">
                  <c:v>803.04781000000003</c:v>
                </c:pt>
                <c:pt idx="1283">
                  <c:v>803.04910000000007</c:v>
                </c:pt>
                <c:pt idx="1284">
                  <c:v>803.05038000000002</c:v>
                </c:pt>
                <c:pt idx="1285">
                  <c:v>803.05166000000008</c:v>
                </c:pt>
                <c:pt idx="1286">
                  <c:v>803.05294000000004</c:v>
                </c:pt>
                <c:pt idx="1287">
                  <c:v>803.0542200000001</c:v>
                </c:pt>
                <c:pt idx="1288">
                  <c:v>803.0619200000001</c:v>
                </c:pt>
                <c:pt idx="1289">
                  <c:v>803.06321000000003</c:v>
                </c:pt>
                <c:pt idx="1290">
                  <c:v>803.06450000000007</c:v>
                </c:pt>
                <c:pt idx="1291">
                  <c:v>803.06579000000011</c:v>
                </c:pt>
                <c:pt idx="1292">
                  <c:v>803.06708000000003</c:v>
                </c:pt>
                <c:pt idx="1293">
                  <c:v>803.06837000000007</c:v>
                </c:pt>
                <c:pt idx="1294">
                  <c:v>803.06966000000011</c:v>
                </c:pt>
                <c:pt idx="1295">
                  <c:v>803.07094000000006</c:v>
                </c:pt>
                <c:pt idx="1296">
                  <c:v>803.07222000000002</c:v>
                </c:pt>
                <c:pt idx="1297">
                  <c:v>803.07866000000001</c:v>
                </c:pt>
                <c:pt idx="1298">
                  <c:v>803.07994000000008</c:v>
                </c:pt>
                <c:pt idx="1299">
                  <c:v>803.08122000000003</c:v>
                </c:pt>
                <c:pt idx="1300">
                  <c:v>803.0825000000001</c:v>
                </c:pt>
                <c:pt idx="1301">
                  <c:v>803.08379000000002</c:v>
                </c:pt>
                <c:pt idx="1302">
                  <c:v>803.08508000000006</c:v>
                </c:pt>
                <c:pt idx="1303">
                  <c:v>803.08636000000001</c:v>
                </c:pt>
                <c:pt idx="1304">
                  <c:v>803.08765000000005</c:v>
                </c:pt>
                <c:pt idx="1305">
                  <c:v>803.08894000000009</c:v>
                </c:pt>
                <c:pt idx="1306">
                  <c:v>803.09022000000004</c:v>
                </c:pt>
                <c:pt idx="1307">
                  <c:v>803.09795000000008</c:v>
                </c:pt>
                <c:pt idx="1308">
                  <c:v>803.09924000000001</c:v>
                </c:pt>
                <c:pt idx="1309">
                  <c:v>803.10053000000005</c:v>
                </c:pt>
                <c:pt idx="1310">
                  <c:v>803.10182000000009</c:v>
                </c:pt>
                <c:pt idx="1311">
                  <c:v>803.10311000000002</c:v>
                </c:pt>
                <c:pt idx="1312">
                  <c:v>803.10440000000006</c:v>
                </c:pt>
                <c:pt idx="1313">
                  <c:v>803.1056900000001</c:v>
                </c:pt>
                <c:pt idx="1314">
                  <c:v>803.10698000000002</c:v>
                </c:pt>
                <c:pt idx="1315">
                  <c:v>803.10827000000006</c:v>
                </c:pt>
                <c:pt idx="1316">
                  <c:v>803.1095600000001</c:v>
                </c:pt>
                <c:pt idx="1317">
                  <c:v>803.11732000000006</c:v>
                </c:pt>
                <c:pt idx="1318">
                  <c:v>803.1186100000001</c:v>
                </c:pt>
                <c:pt idx="1319">
                  <c:v>803.11990000000003</c:v>
                </c:pt>
                <c:pt idx="1320">
                  <c:v>803.12119000000007</c:v>
                </c:pt>
                <c:pt idx="1321">
                  <c:v>803.12248000000011</c:v>
                </c:pt>
                <c:pt idx="1322">
                  <c:v>803.12378000000001</c:v>
                </c:pt>
                <c:pt idx="1323">
                  <c:v>803.12507000000005</c:v>
                </c:pt>
                <c:pt idx="1324">
                  <c:v>803.12766000000011</c:v>
                </c:pt>
                <c:pt idx="1325">
                  <c:v>803.12896000000012</c:v>
                </c:pt>
                <c:pt idx="1326">
                  <c:v>803.13025000000005</c:v>
                </c:pt>
                <c:pt idx="1327">
                  <c:v>803.13154000000009</c:v>
                </c:pt>
                <c:pt idx="1328">
                  <c:v>803.13929000000007</c:v>
                </c:pt>
                <c:pt idx="1329">
                  <c:v>803.14059000000009</c:v>
                </c:pt>
                <c:pt idx="1330">
                  <c:v>803.1418900000001</c:v>
                </c:pt>
                <c:pt idx="1331">
                  <c:v>803.14319000000012</c:v>
                </c:pt>
                <c:pt idx="1332">
                  <c:v>803.14449000000002</c:v>
                </c:pt>
                <c:pt idx="1333">
                  <c:v>803.14579000000003</c:v>
                </c:pt>
                <c:pt idx="1334">
                  <c:v>803.14708000000007</c:v>
                </c:pt>
                <c:pt idx="1335">
                  <c:v>803.14838000000009</c:v>
                </c:pt>
                <c:pt idx="1336">
                  <c:v>803.1496800000001</c:v>
                </c:pt>
                <c:pt idx="1337">
                  <c:v>803.15098000000012</c:v>
                </c:pt>
                <c:pt idx="1338">
                  <c:v>803.15228000000002</c:v>
                </c:pt>
                <c:pt idx="1339">
                  <c:v>803.15357000000006</c:v>
                </c:pt>
                <c:pt idx="1340">
                  <c:v>803.1548600000001</c:v>
                </c:pt>
                <c:pt idx="1341">
                  <c:v>803.16395000000011</c:v>
                </c:pt>
                <c:pt idx="1342">
                  <c:v>803.16525000000001</c:v>
                </c:pt>
                <c:pt idx="1343">
                  <c:v>803.16655000000003</c:v>
                </c:pt>
                <c:pt idx="1344">
                  <c:v>803.16784000000007</c:v>
                </c:pt>
                <c:pt idx="1345">
                  <c:v>803.16914000000008</c:v>
                </c:pt>
                <c:pt idx="1346">
                  <c:v>803.1704400000001</c:v>
                </c:pt>
                <c:pt idx="1347">
                  <c:v>803.17173000000003</c:v>
                </c:pt>
                <c:pt idx="1348">
                  <c:v>803.17303000000004</c:v>
                </c:pt>
                <c:pt idx="1349">
                  <c:v>803.17433000000005</c:v>
                </c:pt>
                <c:pt idx="1350">
                  <c:v>803.17562000000009</c:v>
                </c:pt>
                <c:pt idx="1351">
                  <c:v>803.17692000000011</c:v>
                </c:pt>
                <c:pt idx="1352">
                  <c:v>803.17822000000001</c:v>
                </c:pt>
                <c:pt idx="1353">
                  <c:v>803.17951000000005</c:v>
                </c:pt>
                <c:pt idx="1354">
                  <c:v>803.18861000000004</c:v>
                </c:pt>
                <c:pt idx="1355">
                  <c:v>803.18991000000005</c:v>
                </c:pt>
                <c:pt idx="1356">
                  <c:v>803.19121000000007</c:v>
                </c:pt>
                <c:pt idx="1357">
                  <c:v>803.19251000000008</c:v>
                </c:pt>
                <c:pt idx="1358">
                  <c:v>803.1938100000001</c:v>
                </c:pt>
                <c:pt idx="1359">
                  <c:v>803.19511000000011</c:v>
                </c:pt>
                <c:pt idx="1360">
                  <c:v>803.19641000000001</c:v>
                </c:pt>
                <c:pt idx="1361">
                  <c:v>803.19771000000003</c:v>
                </c:pt>
                <c:pt idx="1362">
                  <c:v>803.19902000000002</c:v>
                </c:pt>
                <c:pt idx="1363">
                  <c:v>803.20032000000003</c:v>
                </c:pt>
                <c:pt idx="1364">
                  <c:v>803.20162000000005</c:v>
                </c:pt>
                <c:pt idx="1365">
                  <c:v>803.20292000000006</c:v>
                </c:pt>
                <c:pt idx="1366">
                  <c:v>803.20423000000005</c:v>
                </c:pt>
                <c:pt idx="1367">
                  <c:v>803.20553000000007</c:v>
                </c:pt>
                <c:pt idx="1368">
                  <c:v>803.21596000000011</c:v>
                </c:pt>
                <c:pt idx="1369">
                  <c:v>803.21726000000001</c:v>
                </c:pt>
                <c:pt idx="1370">
                  <c:v>803.21856000000002</c:v>
                </c:pt>
                <c:pt idx="1371">
                  <c:v>803.21986000000004</c:v>
                </c:pt>
                <c:pt idx="1372">
                  <c:v>803.22116000000005</c:v>
                </c:pt>
                <c:pt idx="1373">
                  <c:v>803.22246000000007</c:v>
                </c:pt>
                <c:pt idx="1374">
                  <c:v>803.22376000000008</c:v>
                </c:pt>
                <c:pt idx="1375">
                  <c:v>803.2250600000001</c:v>
                </c:pt>
                <c:pt idx="1376">
                  <c:v>803.22636000000011</c:v>
                </c:pt>
                <c:pt idx="1377">
                  <c:v>803.22766000000001</c:v>
                </c:pt>
                <c:pt idx="1378">
                  <c:v>803.22897000000012</c:v>
                </c:pt>
                <c:pt idx="1379">
                  <c:v>803.23027000000002</c:v>
                </c:pt>
                <c:pt idx="1380">
                  <c:v>803.23158000000012</c:v>
                </c:pt>
                <c:pt idx="1381">
                  <c:v>803.23288000000002</c:v>
                </c:pt>
                <c:pt idx="1382">
                  <c:v>803.23418000000004</c:v>
                </c:pt>
                <c:pt idx="1383">
                  <c:v>803.23548000000005</c:v>
                </c:pt>
                <c:pt idx="1384">
                  <c:v>803.24724000000003</c:v>
                </c:pt>
                <c:pt idx="1385">
                  <c:v>803.24855000000002</c:v>
                </c:pt>
                <c:pt idx="1386">
                  <c:v>803.24986000000001</c:v>
                </c:pt>
                <c:pt idx="1387">
                  <c:v>803.25117000000012</c:v>
                </c:pt>
                <c:pt idx="1388">
                  <c:v>803.25248000000011</c:v>
                </c:pt>
                <c:pt idx="1389">
                  <c:v>803.25379000000009</c:v>
                </c:pt>
                <c:pt idx="1390">
                  <c:v>803.25510000000008</c:v>
                </c:pt>
                <c:pt idx="1391">
                  <c:v>803.25641000000007</c:v>
                </c:pt>
                <c:pt idx="1392">
                  <c:v>803.25772000000006</c:v>
                </c:pt>
                <c:pt idx="1393">
                  <c:v>803.25903000000005</c:v>
                </c:pt>
                <c:pt idx="1394">
                  <c:v>803.26034000000004</c:v>
                </c:pt>
                <c:pt idx="1395">
                  <c:v>803.26164000000006</c:v>
                </c:pt>
                <c:pt idx="1396">
                  <c:v>803.26295000000005</c:v>
                </c:pt>
                <c:pt idx="1397">
                  <c:v>803.26426000000004</c:v>
                </c:pt>
                <c:pt idx="1398">
                  <c:v>803.26557000000003</c:v>
                </c:pt>
                <c:pt idx="1399">
                  <c:v>803.26688000000001</c:v>
                </c:pt>
                <c:pt idx="1400">
                  <c:v>803.26819000000012</c:v>
                </c:pt>
                <c:pt idx="1401">
                  <c:v>803.26950000000011</c:v>
                </c:pt>
                <c:pt idx="1402">
                  <c:v>803.28392000000008</c:v>
                </c:pt>
                <c:pt idx="1403">
                  <c:v>803.28523000000007</c:v>
                </c:pt>
                <c:pt idx="1404">
                  <c:v>803.28654000000006</c:v>
                </c:pt>
                <c:pt idx="1405">
                  <c:v>803.28786000000002</c:v>
                </c:pt>
                <c:pt idx="1406">
                  <c:v>803.28917000000001</c:v>
                </c:pt>
                <c:pt idx="1407">
                  <c:v>803.29048000000012</c:v>
                </c:pt>
                <c:pt idx="1408">
                  <c:v>803.29179000000011</c:v>
                </c:pt>
                <c:pt idx="1409">
                  <c:v>803.29310000000009</c:v>
                </c:pt>
                <c:pt idx="1410">
                  <c:v>803.29441000000008</c:v>
                </c:pt>
                <c:pt idx="1411">
                  <c:v>803.29469000000006</c:v>
                </c:pt>
                <c:pt idx="1412">
                  <c:v>803.29572000000007</c:v>
                </c:pt>
                <c:pt idx="1413">
                  <c:v>803.29704000000004</c:v>
                </c:pt>
                <c:pt idx="1414">
                  <c:v>803.29835000000003</c:v>
                </c:pt>
                <c:pt idx="1415">
                  <c:v>803.29966000000002</c:v>
                </c:pt>
                <c:pt idx="1416">
                  <c:v>803.30097000000012</c:v>
                </c:pt>
                <c:pt idx="1417">
                  <c:v>803.30228000000011</c:v>
                </c:pt>
                <c:pt idx="1418">
                  <c:v>803.3035900000001</c:v>
                </c:pt>
                <c:pt idx="1419">
                  <c:v>803.30490000000009</c:v>
                </c:pt>
                <c:pt idx="1420">
                  <c:v>803.30622000000005</c:v>
                </c:pt>
                <c:pt idx="1421">
                  <c:v>803.30753000000004</c:v>
                </c:pt>
                <c:pt idx="1422">
                  <c:v>803.30885000000012</c:v>
                </c:pt>
                <c:pt idx="1423">
                  <c:v>803.31017000000008</c:v>
                </c:pt>
                <c:pt idx="1424">
                  <c:v>803.31149000000005</c:v>
                </c:pt>
                <c:pt idx="1425">
                  <c:v>803.32729000000006</c:v>
                </c:pt>
                <c:pt idx="1426">
                  <c:v>803.32861000000003</c:v>
                </c:pt>
                <c:pt idx="1427">
                  <c:v>803.3299300000001</c:v>
                </c:pt>
                <c:pt idx="1428">
                  <c:v>803.33125000000007</c:v>
                </c:pt>
                <c:pt idx="1429">
                  <c:v>803.33256000000006</c:v>
                </c:pt>
                <c:pt idx="1430">
                  <c:v>803.33387000000005</c:v>
                </c:pt>
                <c:pt idx="1431">
                  <c:v>803.33512000000007</c:v>
                </c:pt>
                <c:pt idx="1432">
                  <c:v>803.33650000000011</c:v>
                </c:pt>
                <c:pt idx="1433">
                  <c:v>803.3378100000001</c:v>
                </c:pt>
                <c:pt idx="1434">
                  <c:v>803.33912000000009</c:v>
                </c:pt>
                <c:pt idx="1435">
                  <c:v>803.34044000000006</c:v>
                </c:pt>
                <c:pt idx="1436">
                  <c:v>803.34176000000002</c:v>
                </c:pt>
                <c:pt idx="1437">
                  <c:v>803.34307000000001</c:v>
                </c:pt>
                <c:pt idx="1438">
                  <c:v>803.34439000000009</c:v>
                </c:pt>
                <c:pt idx="1439">
                  <c:v>803.34571000000005</c:v>
                </c:pt>
                <c:pt idx="1440">
                  <c:v>803.34702000000004</c:v>
                </c:pt>
                <c:pt idx="1441">
                  <c:v>803.34834000000012</c:v>
                </c:pt>
                <c:pt idx="1442">
                  <c:v>803.34966000000009</c:v>
                </c:pt>
                <c:pt idx="1443">
                  <c:v>803.35097000000007</c:v>
                </c:pt>
                <c:pt idx="1444">
                  <c:v>803.35229000000004</c:v>
                </c:pt>
                <c:pt idx="1445">
                  <c:v>803.35361000000012</c:v>
                </c:pt>
                <c:pt idx="1446">
                  <c:v>803.35493000000008</c:v>
                </c:pt>
                <c:pt idx="1447">
                  <c:v>803.35625000000005</c:v>
                </c:pt>
                <c:pt idx="1448">
                  <c:v>803.35757000000001</c:v>
                </c:pt>
                <c:pt idx="1449">
                  <c:v>803.35889000000009</c:v>
                </c:pt>
                <c:pt idx="1450">
                  <c:v>803.36021000000005</c:v>
                </c:pt>
                <c:pt idx="1451">
                  <c:v>803.36285000000009</c:v>
                </c:pt>
                <c:pt idx="1452">
                  <c:v>803.36418000000003</c:v>
                </c:pt>
                <c:pt idx="1453">
                  <c:v>803.36550000000011</c:v>
                </c:pt>
                <c:pt idx="1454">
                  <c:v>803.36682000000008</c:v>
                </c:pt>
                <c:pt idx="1455">
                  <c:v>803.36814000000004</c:v>
                </c:pt>
                <c:pt idx="1456">
                  <c:v>803.36946000000012</c:v>
                </c:pt>
                <c:pt idx="1457">
                  <c:v>803.37078000000008</c:v>
                </c:pt>
                <c:pt idx="1458">
                  <c:v>803.37210000000005</c:v>
                </c:pt>
                <c:pt idx="1459">
                  <c:v>803.37342000000001</c:v>
                </c:pt>
                <c:pt idx="1460">
                  <c:v>803.37474000000009</c:v>
                </c:pt>
                <c:pt idx="1461">
                  <c:v>803.37606000000005</c:v>
                </c:pt>
                <c:pt idx="1462">
                  <c:v>803.37738000000002</c:v>
                </c:pt>
                <c:pt idx="1463">
                  <c:v>803.37870000000009</c:v>
                </c:pt>
                <c:pt idx="1464">
                  <c:v>803.38002000000006</c:v>
                </c:pt>
                <c:pt idx="1465">
                  <c:v>803.38135000000011</c:v>
                </c:pt>
                <c:pt idx="1466">
                  <c:v>803.38267000000008</c:v>
                </c:pt>
                <c:pt idx="1467">
                  <c:v>803.38399000000004</c:v>
                </c:pt>
                <c:pt idx="1468">
                  <c:v>803.38531000000012</c:v>
                </c:pt>
                <c:pt idx="1469">
                  <c:v>803.38664000000006</c:v>
                </c:pt>
                <c:pt idx="1470">
                  <c:v>803.38796000000002</c:v>
                </c:pt>
                <c:pt idx="1471">
                  <c:v>803.3892800000001</c:v>
                </c:pt>
                <c:pt idx="1472">
                  <c:v>803.39060000000006</c:v>
                </c:pt>
                <c:pt idx="1473">
                  <c:v>803.39193000000012</c:v>
                </c:pt>
                <c:pt idx="1474">
                  <c:v>803.39325000000008</c:v>
                </c:pt>
                <c:pt idx="1475">
                  <c:v>803.39457000000004</c:v>
                </c:pt>
                <c:pt idx="1476">
                  <c:v>803.39589000000012</c:v>
                </c:pt>
                <c:pt idx="1477">
                  <c:v>803.39721000000009</c:v>
                </c:pt>
                <c:pt idx="1478">
                  <c:v>803.39853000000005</c:v>
                </c:pt>
                <c:pt idx="1479">
                  <c:v>803.39985000000001</c:v>
                </c:pt>
                <c:pt idx="1480">
                  <c:v>803.40118000000007</c:v>
                </c:pt>
                <c:pt idx="1481">
                  <c:v>803.40251000000012</c:v>
                </c:pt>
                <c:pt idx="1482">
                  <c:v>803.40384000000006</c:v>
                </c:pt>
                <c:pt idx="1483">
                  <c:v>803.40517000000011</c:v>
                </c:pt>
                <c:pt idx="1484">
                  <c:v>803.40649000000008</c:v>
                </c:pt>
                <c:pt idx="1485">
                  <c:v>803.40781000000004</c:v>
                </c:pt>
                <c:pt idx="1486">
                  <c:v>803.40913000000012</c:v>
                </c:pt>
                <c:pt idx="1487">
                  <c:v>803.41045000000008</c:v>
                </c:pt>
                <c:pt idx="1488">
                  <c:v>803.41177000000005</c:v>
                </c:pt>
                <c:pt idx="1489">
                  <c:v>803.41309000000001</c:v>
                </c:pt>
                <c:pt idx="1490">
                  <c:v>803.41441000000009</c:v>
                </c:pt>
                <c:pt idx="1491">
                  <c:v>803.41573000000005</c:v>
                </c:pt>
                <c:pt idx="1492">
                  <c:v>803.41705000000002</c:v>
                </c:pt>
                <c:pt idx="1493">
                  <c:v>803.41838000000007</c:v>
                </c:pt>
                <c:pt idx="1494">
                  <c:v>803.41971000000001</c:v>
                </c:pt>
                <c:pt idx="1495">
                  <c:v>803.42103000000009</c:v>
                </c:pt>
                <c:pt idx="1496">
                  <c:v>803.42236000000003</c:v>
                </c:pt>
                <c:pt idx="1497">
                  <c:v>803.42369000000008</c:v>
                </c:pt>
                <c:pt idx="1498">
                  <c:v>803.42502000000002</c:v>
                </c:pt>
                <c:pt idx="1499">
                  <c:v>803.4263400000001</c:v>
                </c:pt>
                <c:pt idx="1500">
                  <c:v>803.42766000000006</c:v>
                </c:pt>
                <c:pt idx="1501">
                  <c:v>803.42899000000011</c:v>
                </c:pt>
                <c:pt idx="1502">
                  <c:v>803.43032000000005</c:v>
                </c:pt>
                <c:pt idx="1503">
                  <c:v>803.4316500000001</c:v>
                </c:pt>
                <c:pt idx="1504">
                  <c:v>803.43298000000004</c:v>
                </c:pt>
                <c:pt idx="1505">
                  <c:v>803.43430000000012</c:v>
                </c:pt>
                <c:pt idx="1506">
                  <c:v>803.43562000000009</c:v>
                </c:pt>
                <c:pt idx="1507">
                  <c:v>803.43694000000005</c:v>
                </c:pt>
                <c:pt idx="1508">
                  <c:v>803.4382700000001</c:v>
                </c:pt>
                <c:pt idx="1509">
                  <c:v>803.43960000000004</c:v>
                </c:pt>
                <c:pt idx="1510">
                  <c:v>803.44093000000009</c:v>
                </c:pt>
                <c:pt idx="1511">
                  <c:v>803.44225000000006</c:v>
                </c:pt>
                <c:pt idx="1512">
                  <c:v>803.44358000000011</c:v>
                </c:pt>
                <c:pt idx="1513">
                  <c:v>803.44490000000008</c:v>
                </c:pt>
                <c:pt idx="1514">
                  <c:v>803.44622000000004</c:v>
                </c:pt>
                <c:pt idx="1515">
                  <c:v>803.44754000000012</c:v>
                </c:pt>
                <c:pt idx="1516">
                  <c:v>803.44887000000006</c:v>
                </c:pt>
                <c:pt idx="1517">
                  <c:v>803.45020000000011</c:v>
                </c:pt>
                <c:pt idx="1518">
                  <c:v>803.45153000000005</c:v>
                </c:pt>
                <c:pt idx="1519">
                  <c:v>803.4528600000001</c:v>
                </c:pt>
                <c:pt idx="1520">
                  <c:v>803.45418000000006</c:v>
                </c:pt>
                <c:pt idx="1521">
                  <c:v>803.45551000000012</c:v>
                </c:pt>
                <c:pt idx="1522">
                  <c:v>803.45684000000006</c:v>
                </c:pt>
                <c:pt idx="1523">
                  <c:v>803.45816000000002</c:v>
                </c:pt>
                <c:pt idx="1524">
                  <c:v>803.45949000000007</c:v>
                </c:pt>
                <c:pt idx="1525">
                  <c:v>803.46082000000001</c:v>
                </c:pt>
                <c:pt idx="1526">
                  <c:v>803.46214000000009</c:v>
                </c:pt>
                <c:pt idx="1527">
                  <c:v>803.46347000000003</c:v>
                </c:pt>
                <c:pt idx="1528">
                  <c:v>803.46480000000008</c:v>
                </c:pt>
                <c:pt idx="1529">
                  <c:v>803.46612000000005</c:v>
                </c:pt>
                <c:pt idx="1530">
                  <c:v>803.4674500000001</c:v>
                </c:pt>
                <c:pt idx="1531">
                  <c:v>803.46878000000004</c:v>
                </c:pt>
                <c:pt idx="1532">
                  <c:v>803.47010000000012</c:v>
                </c:pt>
                <c:pt idx="1533">
                  <c:v>803.47143000000005</c:v>
                </c:pt>
                <c:pt idx="1534">
                  <c:v>803.47276000000011</c:v>
                </c:pt>
                <c:pt idx="1535">
                  <c:v>803.47408000000007</c:v>
                </c:pt>
                <c:pt idx="1536">
                  <c:v>803.47541000000001</c:v>
                </c:pt>
                <c:pt idx="1537">
                  <c:v>803.47674000000006</c:v>
                </c:pt>
                <c:pt idx="1538">
                  <c:v>803.47806000000003</c:v>
                </c:pt>
                <c:pt idx="1539">
                  <c:v>803.47939000000008</c:v>
                </c:pt>
                <c:pt idx="1540">
                  <c:v>803.48072000000002</c:v>
                </c:pt>
                <c:pt idx="1541">
                  <c:v>803.48205000000007</c:v>
                </c:pt>
                <c:pt idx="1542">
                  <c:v>803.48338000000001</c:v>
                </c:pt>
                <c:pt idx="1543">
                  <c:v>803.48471000000006</c:v>
                </c:pt>
                <c:pt idx="1544">
                  <c:v>803.48604000000012</c:v>
                </c:pt>
                <c:pt idx="1545">
                  <c:v>803.48737000000006</c:v>
                </c:pt>
                <c:pt idx="1546">
                  <c:v>803.48870000000011</c:v>
                </c:pt>
                <c:pt idx="1547">
                  <c:v>803.49003000000005</c:v>
                </c:pt>
                <c:pt idx="1548">
                  <c:v>803.4913600000001</c:v>
                </c:pt>
                <c:pt idx="1549">
                  <c:v>803.49269000000004</c:v>
                </c:pt>
                <c:pt idx="1550">
                  <c:v>803.49402000000009</c:v>
                </c:pt>
                <c:pt idx="1551">
                  <c:v>803.49535000000003</c:v>
                </c:pt>
                <c:pt idx="1552">
                  <c:v>803.49668000000008</c:v>
                </c:pt>
                <c:pt idx="1553">
                  <c:v>803.49801000000002</c:v>
                </c:pt>
                <c:pt idx="1554">
                  <c:v>803.49934000000007</c:v>
                </c:pt>
                <c:pt idx="1555">
                  <c:v>803.50067000000001</c:v>
                </c:pt>
                <c:pt idx="1556">
                  <c:v>803.50200000000007</c:v>
                </c:pt>
                <c:pt idx="1557">
                  <c:v>803.50333000000012</c:v>
                </c:pt>
                <c:pt idx="1558">
                  <c:v>803.50466000000006</c:v>
                </c:pt>
                <c:pt idx="1559">
                  <c:v>803.50599000000011</c:v>
                </c:pt>
                <c:pt idx="1560">
                  <c:v>803.50732000000005</c:v>
                </c:pt>
                <c:pt idx="1561">
                  <c:v>803.5086500000001</c:v>
                </c:pt>
                <c:pt idx="1562">
                  <c:v>803.50999000000002</c:v>
                </c:pt>
                <c:pt idx="1563">
                  <c:v>803.51132000000007</c:v>
                </c:pt>
                <c:pt idx="1564">
                  <c:v>803.51265000000012</c:v>
                </c:pt>
                <c:pt idx="1565">
                  <c:v>803.51399000000004</c:v>
                </c:pt>
                <c:pt idx="1566">
                  <c:v>803.51532000000009</c:v>
                </c:pt>
                <c:pt idx="1567">
                  <c:v>803.51665000000003</c:v>
                </c:pt>
                <c:pt idx="1568">
                  <c:v>803.51798000000008</c:v>
                </c:pt>
                <c:pt idx="1569">
                  <c:v>803.51932000000011</c:v>
                </c:pt>
                <c:pt idx="1570">
                  <c:v>803.52065000000005</c:v>
                </c:pt>
                <c:pt idx="1571">
                  <c:v>803.5219800000001</c:v>
                </c:pt>
                <c:pt idx="1572">
                  <c:v>803.52331000000004</c:v>
                </c:pt>
                <c:pt idx="1573">
                  <c:v>803.52465000000007</c:v>
                </c:pt>
                <c:pt idx="1574">
                  <c:v>803.52598000000012</c:v>
                </c:pt>
                <c:pt idx="1575">
                  <c:v>803.52731000000006</c:v>
                </c:pt>
                <c:pt idx="1576">
                  <c:v>803.52864000000011</c:v>
                </c:pt>
                <c:pt idx="1577">
                  <c:v>803.52997000000005</c:v>
                </c:pt>
                <c:pt idx="1578">
                  <c:v>803.5313000000001</c:v>
                </c:pt>
                <c:pt idx="1579">
                  <c:v>803.53263000000004</c:v>
                </c:pt>
                <c:pt idx="1580">
                  <c:v>803.53397000000007</c:v>
                </c:pt>
                <c:pt idx="1581">
                  <c:v>803.53531000000009</c:v>
                </c:pt>
                <c:pt idx="1582">
                  <c:v>803.53665000000012</c:v>
                </c:pt>
                <c:pt idx="1583">
                  <c:v>803.53799000000004</c:v>
                </c:pt>
                <c:pt idx="1584">
                  <c:v>803.53933000000006</c:v>
                </c:pt>
                <c:pt idx="1585">
                  <c:v>803.54067000000009</c:v>
                </c:pt>
                <c:pt idx="1586">
                  <c:v>803.54200000000003</c:v>
                </c:pt>
                <c:pt idx="1587">
                  <c:v>803.54333000000008</c:v>
                </c:pt>
                <c:pt idx="1588">
                  <c:v>803.54466000000002</c:v>
                </c:pt>
                <c:pt idx="1589">
                  <c:v>803.54599000000007</c:v>
                </c:pt>
                <c:pt idx="1590">
                  <c:v>803.54732000000001</c:v>
                </c:pt>
                <c:pt idx="1591">
                  <c:v>803.54865000000007</c:v>
                </c:pt>
                <c:pt idx="1592">
                  <c:v>803.54998000000012</c:v>
                </c:pt>
                <c:pt idx="1593">
                  <c:v>803.55131000000006</c:v>
                </c:pt>
                <c:pt idx="1594">
                  <c:v>803.55264000000011</c:v>
                </c:pt>
                <c:pt idx="1595">
                  <c:v>803.55398000000002</c:v>
                </c:pt>
                <c:pt idx="1596">
                  <c:v>803.55532000000005</c:v>
                </c:pt>
                <c:pt idx="1597">
                  <c:v>803.55666000000008</c:v>
                </c:pt>
                <c:pt idx="1598">
                  <c:v>803.55800000000011</c:v>
                </c:pt>
                <c:pt idx="1599">
                  <c:v>803.55934000000002</c:v>
                </c:pt>
                <c:pt idx="1600">
                  <c:v>803.56068000000005</c:v>
                </c:pt>
                <c:pt idx="1601">
                  <c:v>803.56202000000008</c:v>
                </c:pt>
                <c:pt idx="1602">
                  <c:v>803.5633600000001</c:v>
                </c:pt>
                <c:pt idx="1603">
                  <c:v>803.56469000000004</c:v>
                </c:pt>
                <c:pt idx="1604">
                  <c:v>803.56602000000009</c:v>
                </c:pt>
                <c:pt idx="1605">
                  <c:v>803.56735000000003</c:v>
                </c:pt>
                <c:pt idx="1606">
                  <c:v>803.56869000000006</c:v>
                </c:pt>
                <c:pt idx="1607">
                  <c:v>803.57003000000009</c:v>
                </c:pt>
                <c:pt idx="1608">
                  <c:v>803.57137000000012</c:v>
                </c:pt>
                <c:pt idx="1609">
                  <c:v>803.57271000000003</c:v>
                </c:pt>
                <c:pt idx="1610">
                  <c:v>803.57405000000006</c:v>
                </c:pt>
                <c:pt idx="1611">
                  <c:v>803.57538000000011</c:v>
                </c:pt>
                <c:pt idx="1612">
                  <c:v>803.57671000000005</c:v>
                </c:pt>
                <c:pt idx="1613">
                  <c:v>803.5780400000001</c:v>
                </c:pt>
                <c:pt idx="1614">
                  <c:v>803.57938000000001</c:v>
                </c:pt>
                <c:pt idx="1615">
                  <c:v>803.58072000000004</c:v>
                </c:pt>
                <c:pt idx="1616">
                  <c:v>803.58206000000007</c:v>
                </c:pt>
                <c:pt idx="1617">
                  <c:v>803.5834000000001</c:v>
                </c:pt>
                <c:pt idx="1618">
                  <c:v>803.58473000000004</c:v>
                </c:pt>
                <c:pt idx="1619">
                  <c:v>803.58606000000009</c:v>
                </c:pt>
                <c:pt idx="1620">
                  <c:v>803.58739000000003</c:v>
                </c:pt>
                <c:pt idx="1621">
                  <c:v>803.58873000000006</c:v>
                </c:pt>
                <c:pt idx="1622">
                  <c:v>803.59007000000008</c:v>
                </c:pt>
                <c:pt idx="1623">
                  <c:v>803.59140000000002</c:v>
                </c:pt>
                <c:pt idx="1624">
                  <c:v>803.59274000000005</c:v>
                </c:pt>
                <c:pt idx="1625">
                  <c:v>803.59408000000008</c:v>
                </c:pt>
                <c:pt idx="1626">
                  <c:v>803.59541000000002</c:v>
                </c:pt>
                <c:pt idx="1627">
                  <c:v>803.59675000000004</c:v>
                </c:pt>
                <c:pt idx="1628">
                  <c:v>803.59809000000007</c:v>
                </c:pt>
                <c:pt idx="1629">
                  <c:v>803.59942000000001</c:v>
                </c:pt>
                <c:pt idx="1630">
                  <c:v>803.60210000000006</c:v>
                </c:pt>
                <c:pt idx="1631">
                  <c:v>803.60344000000009</c:v>
                </c:pt>
                <c:pt idx="1632">
                  <c:v>803.60478000000012</c:v>
                </c:pt>
                <c:pt idx="1633">
                  <c:v>803.60612000000003</c:v>
                </c:pt>
                <c:pt idx="1634">
                  <c:v>803.60745000000009</c:v>
                </c:pt>
                <c:pt idx="1635">
                  <c:v>803.60879000000011</c:v>
                </c:pt>
                <c:pt idx="1636">
                  <c:v>803.61013000000003</c:v>
                </c:pt>
                <c:pt idx="1637">
                  <c:v>803.61146000000008</c:v>
                </c:pt>
                <c:pt idx="1638">
                  <c:v>803.61280000000011</c:v>
                </c:pt>
                <c:pt idx="1639">
                  <c:v>803.61414000000002</c:v>
                </c:pt>
                <c:pt idx="1640">
                  <c:v>803.61548000000005</c:v>
                </c:pt>
                <c:pt idx="1641">
                  <c:v>803.61682000000008</c:v>
                </c:pt>
                <c:pt idx="1642">
                  <c:v>803.6181600000001</c:v>
                </c:pt>
                <c:pt idx="1643">
                  <c:v>803.61950000000002</c:v>
                </c:pt>
                <c:pt idx="1644">
                  <c:v>803.62084000000004</c:v>
                </c:pt>
                <c:pt idx="1645">
                  <c:v>803.62218000000007</c:v>
                </c:pt>
                <c:pt idx="1646">
                  <c:v>803.6235200000001</c:v>
                </c:pt>
                <c:pt idx="1647">
                  <c:v>803.62486000000001</c:v>
                </c:pt>
                <c:pt idx="1648">
                  <c:v>803.62620000000004</c:v>
                </c:pt>
                <c:pt idx="1649">
                  <c:v>803.62754000000007</c:v>
                </c:pt>
                <c:pt idx="1650">
                  <c:v>803.62888000000009</c:v>
                </c:pt>
                <c:pt idx="1651">
                  <c:v>803.63022000000012</c:v>
                </c:pt>
                <c:pt idx="1652">
                  <c:v>803.63156000000004</c:v>
                </c:pt>
                <c:pt idx="1653">
                  <c:v>803.63289000000009</c:v>
                </c:pt>
                <c:pt idx="1654">
                  <c:v>803.63423000000012</c:v>
                </c:pt>
                <c:pt idx="1655">
                  <c:v>803.63557000000003</c:v>
                </c:pt>
                <c:pt idx="1656">
                  <c:v>803.63691000000006</c:v>
                </c:pt>
                <c:pt idx="1657">
                  <c:v>803.63825000000008</c:v>
                </c:pt>
                <c:pt idx="1658">
                  <c:v>803.63959000000011</c:v>
                </c:pt>
                <c:pt idx="1659">
                  <c:v>803.64093000000003</c:v>
                </c:pt>
                <c:pt idx="1660">
                  <c:v>803.64227000000005</c:v>
                </c:pt>
                <c:pt idx="1661">
                  <c:v>803.64361000000008</c:v>
                </c:pt>
                <c:pt idx="1662">
                  <c:v>803.64496000000008</c:v>
                </c:pt>
                <c:pt idx="1663">
                  <c:v>803.64630000000011</c:v>
                </c:pt>
                <c:pt idx="1664">
                  <c:v>803.64764000000002</c:v>
                </c:pt>
                <c:pt idx="1665">
                  <c:v>803.68659000000002</c:v>
                </c:pt>
                <c:pt idx="1666">
                  <c:v>803.68793000000005</c:v>
                </c:pt>
                <c:pt idx="1667">
                  <c:v>803.68927000000008</c:v>
                </c:pt>
                <c:pt idx="1668">
                  <c:v>803.69061000000011</c:v>
                </c:pt>
                <c:pt idx="1669">
                  <c:v>803.69195000000002</c:v>
                </c:pt>
                <c:pt idx="1670">
                  <c:v>803.69329000000005</c:v>
                </c:pt>
                <c:pt idx="1671">
                  <c:v>803.69463000000007</c:v>
                </c:pt>
                <c:pt idx="1672">
                  <c:v>803.6959700000001</c:v>
                </c:pt>
                <c:pt idx="1673">
                  <c:v>803.69731000000002</c:v>
                </c:pt>
                <c:pt idx="1674">
                  <c:v>803.69865000000004</c:v>
                </c:pt>
                <c:pt idx="1675">
                  <c:v>803.7</c:v>
                </c:pt>
                <c:pt idx="1676">
                  <c:v>803.70135000000005</c:v>
                </c:pt>
                <c:pt idx="1677">
                  <c:v>803.70269000000008</c:v>
                </c:pt>
                <c:pt idx="1678">
                  <c:v>803.7040300000001</c:v>
                </c:pt>
                <c:pt idx="1679">
                  <c:v>803.70537000000002</c:v>
                </c:pt>
                <c:pt idx="1680">
                  <c:v>803.70672000000002</c:v>
                </c:pt>
                <c:pt idx="1681">
                  <c:v>803.70807000000002</c:v>
                </c:pt>
                <c:pt idx="1682">
                  <c:v>803.70942000000002</c:v>
                </c:pt>
                <c:pt idx="1683">
                  <c:v>803.71077000000002</c:v>
                </c:pt>
                <c:pt idx="1684">
                  <c:v>803.71211000000005</c:v>
                </c:pt>
                <c:pt idx="1685">
                  <c:v>803.71345000000008</c:v>
                </c:pt>
                <c:pt idx="1686">
                  <c:v>803.71479000000011</c:v>
                </c:pt>
                <c:pt idx="1687">
                  <c:v>803.71614000000011</c:v>
                </c:pt>
                <c:pt idx="1688">
                  <c:v>803.71749000000011</c:v>
                </c:pt>
                <c:pt idx="1689">
                  <c:v>803.71884000000011</c:v>
                </c:pt>
                <c:pt idx="1690">
                  <c:v>803.72019000000012</c:v>
                </c:pt>
                <c:pt idx="1691">
                  <c:v>803.72154000000012</c:v>
                </c:pt>
                <c:pt idx="1692">
                  <c:v>803.72288000000003</c:v>
                </c:pt>
                <c:pt idx="1693">
                  <c:v>803.72422000000006</c:v>
                </c:pt>
                <c:pt idx="1694">
                  <c:v>803.74847000000011</c:v>
                </c:pt>
                <c:pt idx="1695">
                  <c:v>803.74982000000011</c:v>
                </c:pt>
                <c:pt idx="1696">
                  <c:v>803.75116000000003</c:v>
                </c:pt>
                <c:pt idx="1697">
                  <c:v>803.75251000000003</c:v>
                </c:pt>
                <c:pt idx="1698">
                  <c:v>803.75386000000003</c:v>
                </c:pt>
                <c:pt idx="1699">
                  <c:v>803.75520000000006</c:v>
                </c:pt>
                <c:pt idx="1700">
                  <c:v>803.75655000000006</c:v>
                </c:pt>
                <c:pt idx="1701">
                  <c:v>803.75790000000006</c:v>
                </c:pt>
                <c:pt idx="1702">
                  <c:v>803.75925000000007</c:v>
                </c:pt>
                <c:pt idx="1703">
                  <c:v>803.76060000000007</c:v>
                </c:pt>
                <c:pt idx="1704">
                  <c:v>803.76195000000007</c:v>
                </c:pt>
                <c:pt idx="1705">
                  <c:v>803.76330000000007</c:v>
                </c:pt>
                <c:pt idx="1706">
                  <c:v>803.76465000000007</c:v>
                </c:pt>
                <c:pt idx="1707">
                  <c:v>803.76600000000008</c:v>
                </c:pt>
                <c:pt idx="1708">
                  <c:v>803.76735000000008</c:v>
                </c:pt>
                <c:pt idx="1709">
                  <c:v>803.76870000000008</c:v>
                </c:pt>
                <c:pt idx="1710">
                  <c:v>803.77005000000008</c:v>
                </c:pt>
                <c:pt idx="1711">
                  <c:v>803.77140000000009</c:v>
                </c:pt>
                <c:pt idx="1712">
                  <c:v>803.77275000000009</c:v>
                </c:pt>
                <c:pt idx="1713">
                  <c:v>803.77410000000009</c:v>
                </c:pt>
                <c:pt idx="1714">
                  <c:v>803.77545000000009</c:v>
                </c:pt>
                <c:pt idx="1715">
                  <c:v>803.77680000000009</c:v>
                </c:pt>
                <c:pt idx="1716">
                  <c:v>803.7781500000001</c:v>
                </c:pt>
                <c:pt idx="1717">
                  <c:v>803.7984100000001</c:v>
                </c:pt>
                <c:pt idx="1718">
                  <c:v>803.79977000000008</c:v>
                </c:pt>
                <c:pt idx="1719">
                  <c:v>803.80112000000008</c:v>
                </c:pt>
                <c:pt idx="1720">
                  <c:v>803.80247000000008</c:v>
                </c:pt>
                <c:pt idx="1721">
                  <c:v>803.80382000000009</c:v>
                </c:pt>
                <c:pt idx="1722">
                  <c:v>803.80517000000009</c:v>
                </c:pt>
                <c:pt idx="1723">
                  <c:v>803.80652000000009</c:v>
                </c:pt>
                <c:pt idx="1724">
                  <c:v>803.80787000000009</c:v>
                </c:pt>
                <c:pt idx="1725">
                  <c:v>803.80923000000007</c:v>
                </c:pt>
                <c:pt idx="1726">
                  <c:v>803.81058000000007</c:v>
                </c:pt>
                <c:pt idx="1727">
                  <c:v>803.81193000000007</c:v>
                </c:pt>
                <c:pt idx="1728">
                  <c:v>803.81328000000008</c:v>
                </c:pt>
                <c:pt idx="1729">
                  <c:v>803.81464000000005</c:v>
                </c:pt>
                <c:pt idx="1730">
                  <c:v>803.81599000000006</c:v>
                </c:pt>
                <c:pt idx="1731">
                  <c:v>803.81734000000006</c:v>
                </c:pt>
                <c:pt idx="1732">
                  <c:v>803.81869000000006</c:v>
                </c:pt>
                <c:pt idx="1733">
                  <c:v>803.82004000000006</c:v>
                </c:pt>
                <c:pt idx="1734">
                  <c:v>803.82139000000006</c:v>
                </c:pt>
                <c:pt idx="1735">
                  <c:v>803.82275000000004</c:v>
                </c:pt>
                <c:pt idx="1736">
                  <c:v>803.82410000000004</c:v>
                </c:pt>
                <c:pt idx="1737">
                  <c:v>803.84034000000008</c:v>
                </c:pt>
                <c:pt idx="1738">
                  <c:v>803.84169000000009</c:v>
                </c:pt>
                <c:pt idx="1739">
                  <c:v>803.84441000000004</c:v>
                </c:pt>
                <c:pt idx="1740">
                  <c:v>803.84577000000002</c:v>
                </c:pt>
                <c:pt idx="1741">
                  <c:v>803.84713000000011</c:v>
                </c:pt>
                <c:pt idx="1742">
                  <c:v>803.84849000000008</c:v>
                </c:pt>
                <c:pt idx="1743">
                  <c:v>803.84985000000006</c:v>
                </c:pt>
                <c:pt idx="1744">
                  <c:v>803.85120000000006</c:v>
                </c:pt>
                <c:pt idx="1745">
                  <c:v>803.85255000000006</c:v>
                </c:pt>
                <c:pt idx="1746">
                  <c:v>803.85390000000007</c:v>
                </c:pt>
                <c:pt idx="1747">
                  <c:v>803.85525000000007</c:v>
                </c:pt>
                <c:pt idx="1748">
                  <c:v>803.85661000000005</c:v>
                </c:pt>
                <c:pt idx="1749">
                  <c:v>803.85797000000002</c:v>
                </c:pt>
                <c:pt idx="1750">
                  <c:v>803.85933000000011</c:v>
                </c:pt>
                <c:pt idx="1751">
                  <c:v>803.86069000000009</c:v>
                </c:pt>
                <c:pt idx="1752">
                  <c:v>803.86205000000007</c:v>
                </c:pt>
                <c:pt idx="1753">
                  <c:v>803.86340000000007</c:v>
                </c:pt>
                <c:pt idx="1754">
                  <c:v>803.86475000000007</c:v>
                </c:pt>
                <c:pt idx="1755">
                  <c:v>803.86610000000007</c:v>
                </c:pt>
                <c:pt idx="1756">
                  <c:v>803.8823900000001</c:v>
                </c:pt>
                <c:pt idx="1757">
                  <c:v>803.8837400000001</c:v>
                </c:pt>
                <c:pt idx="1758">
                  <c:v>803.8850900000001</c:v>
                </c:pt>
                <c:pt idx="1759">
                  <c:v>803.88644000000011</c:v>
                </c:pt>
                <c:pt idx="1760">
                  <c:v>803.88780000000008</c:v>
                </c:pt>
                <c:pt idx="1761">
                  <c:v>803.88916000000006</c:v>
                </c:pt>
                <c:pt idx="1762">
                  <c:v>803.89052000000004</c:v>
                </c:pt>
                <c:pt idx="1763">
                  <c:v>803.89188000000001</c:v>
                </c:pt>
                <c:pt idx="1764">
                  <c:v>803.89323000000002</c:v>
                </c:pt>
                <c:pt idx="1765">
                  <c:v>803.89458000000002</c:v>
                </c:pt>
                <c:pt idx="1766">
                  <c:v>803.89593000000002</c:v>
                </c:pt>
                <c:pt idx="1767">
                  <c:v>803.89728000000002</c:v>
                </c:pt>
                <c:pt idx="1768">
                  <c:v>803.89864000000011</c:v>
                </c:pt>
                <c:pt idx="1769">
                  <c:v>803.90000000000009</c:v>
                </c:pt>
                <c:pt idx="1770">
                  <c:v>803.90136000000007</c:v>
                </c:pt>
                <c:pt idx="1771">
                  <c:v>803.90272000000004</c:v>
                </c:pt>
                <c:pt idx="1772">
                  <c:v>803.90407000000005</c:v>
                </c:pt>
                <c:pt idx="1773">
                  <c:v>803.90542000000005</c:v>
                </c:pt>
                <c:pt idx="1774">
                  <c:v>803.91902000000005</c:v>
                </c:pt>
                <c:pt idx="1775">
                  <c:v>803.92038000000002</c:v>
                </c:pt>
                <c:pt idx="1776">
                  <c:v>803.92174000000011</c:v>
                </c:pt>
                <c:pt idx="1777">
                  <c:v>803.92310000000009</c:v>
                </c:pt>
                <c:pt idx="1778">
                  <c:v>803.92446000000007</c:v>
                </c:pt>
                <c:pt idx="1779">
                  <c:v>803.92582000000004</c:v>
                </c:pt>
                <c:pt idx="1780">
                  <c:v>803.92717000000005</c:v>
                </c:pt>
                <c:pt idx="1781">
                  <c:v>803.92853000000002</c:v>
                </c:pt>
                <c:pt idx="1782">
                  <c:v>803.92989000000011</c:v>
                </c:pt>
                <c:pt idx="1783">
                  <c:v>803.93125000000009</c:v>
                </c:pt>
                <c:pt idx="1784">
                  <c:v>803.93261000000007</c:v>
                </c:pt>
                <c:pt idx="1785">
                  <c:v>803.93396000000007</c:v>
                </c:pt>
                <c:pt idx="1786">
                  <c:v>803.93532000000005</c:v>
                </c:pt>
                <c:pt idx="1787">
                  <c:v>803.93668000000002</c:v>
                </c:pt>
                <c:pt idx="1788">
                  <c:v>803.93803000000003</c:v>
                </c:pt>
                <c:pt idx="1789">
                  <c:v>803.93939000000012</c:v>
                </c:pt>
                <c:pt idx="1790">
                  <c:v>803.94075000000009</c:v>
                </c:pt>
                <c:pt idx="1791">
                  <c:v>803.94211000000007</c:v>
                </c:pt>
                <c:pt idx="1792">
                  <c:v>803.95571000000007</c:v>
                </c:pt>
                <c:pt idx="1793">
                  <c:v>803.95707000000004</c:v>
                </c:pt>
                <c:pt idx="1794">
                  <c:v>803.95843000000002</c:v>
                </c:pt>
                <c:pt idx="1795">
                  <c:v>803.95979000000011</c:v>
                </c:pt>
                <c:pt idx="1796">
                  <c:v>803.96115000000009</c:v>
                </c:pt>
                <c:pt idx="1797">
                  <c:v>803.96251000000007</c:v>
                </c:pt>
                <c:pt idx="1798">
                  <c:v>803.96387000000004</c:v>
                </c:pt>
                <c:pt idx="1799">
                  <c:v>803.96523000000002</c:v>
                </c:pt>
                <c:pt idx="1800">
                  <c:v>803.96659000000011</c:v>
                </c:pt>
                <c:pt idx="1801">
                  <c:v>803.96795000000009</c:v>
                </c:pt>
                <c:pt idx="1802">
                  <c:v>803.96931000000006</c:v>
                </c:pt>
                <c:pt idx="1803">
                  <c:v>803.97067000000004</c:v>
                </c:pt>
                <c:pt idx="1804">
                  <c:v>803.97203000000002</c:v>
                </c:pt>
                <c:pt idx="1805">
                  <c:v>803.97339000000011</c:v>
                </c:pt>
                <c:pt idx="1806">
                  <c:v>803.97475000000009</c:v>
                </c:pt>
                <c:pt idx="1807">
                  <c:v>803.97611000000006</c:v>
                </c:pt>
                <c:pt idx="1808">
                  <c:v>803.98971000000006</c:v>
                </c:pt>
                <c:pt idx="1809">
                  <c:v>803.99107000000004</c:v>
                </c:pt>
                <c:pt idx="1810">
                  <c:v>803.99242000000004</c:v>
                </c:pt>
                <c:pt idx="1811">
                  <c:v>803.99378000000002</c:v>
                </c:pt>
                <c:pt idx="1812">
                  <c:v>803.99514000000011</c:v>
                </c:pt>
                <c:pt idx="1813">
                  <c:v>803.99650000000008</c:v>
                </c:pt>
                <c:pt idx="1814">
                  <c:v>803.99786000000006</c:v>
                </c:pt>
                <c:pt idx="1815">
                  <c:v>803.99922000000004</c:v>
                </c:pt>
                <c:pt idx="1816">
                  <c:v>804.00058000000001</c:v>
                </c:pt>
                <c:pt idx="1817">
                  <c:v>804.0019400000001</c:v>
                </c:pt>
                <c:pt idx="1818">
                  <c:v>804.00330000000008</c:v>
                </c:pt>
                <c:pt idx="1819">
                  <c:v>804.00466000000006</c:v>
                </c:pt>
                <c:pt idx="1820">
                  <c:v>804.00602000000003</c:v>
                </c:pt>
                <c:pt idx="1821">
                  <c:v>804.00738000000001</c:v>
                </c:pt>
                <c:pt idx="1822">
                  <c:v>804.0087400000001</c:v>
                </c:pt>
                <c:pt idx="1823">
                  <c:v>804.0209900000001</c:v>
                </c:pt>
                <c:pt idx="1824">
                  <c:v>804.02236000000005</c:v>
                </c:pt>
                <c:pt idx="1825">
                  <c:v>804.02372000000003</c:v>
                </c:pt>
                <c:pt idx="1826">
                  <c:v>804.02508000000012</c:v>
                </c:pt>
                <c:pt idx="1827">
                  <c:v>804.02644000000009</c:v>
                </c:pt>
                <c:pt idx="1828">
                  <c:v>804.02781000000004</c:v>
                </c:pt>
                <c:pt idx="1829">
                  <c:v>804.02917000000002</c:v>
                </c:pt>
                <c:pt idx="1830">
                  <c:v>804.03053000000011</c:v>
                </c:pt>
                <c:pt idx="1831">
                  <c:v>804.03189000000009</c:v>
                </c:pt>
                <c:pt idx="1832">
                  <c:v>804.03325000000007</c:v>
                </c:pt>
                <c:pt idx="1833">
                  <c:v>804.03461000000004</c:v>
                </c:pt>
                <c:pt idx="1834">
                  <c:v>804.03597000000002</c:v>
                </c:pt>
                <c:pt idx="1835">
                  <c:v>804.03734000000009</c:v>
                </c:pt>
                <c:pt idx="1836">
                  <c:v>804.03870000000006</c:v>
                </c:pt>
                <c:pt idx="1837">
                  <c:v>804.04006000000004</c:v>
                </c:pt>
                <c:pt idx="1838">
                  <c:v>804.04142000000002</c:v>
                </c:pt>
                <c:pt idx="1839">
                  <c:v>804.0536800000001</c:v>
                </c:pt>
                <c:pt idx="1840">
                  <c:v>804.05504000000008</c:v>
                </c:pt>
                <c:pt idx="1841">
                  <c:v>804.05640000000005</c:v>
                </c:pt>
                <c:pt idx="1842">
                  <c:v>804.05777000000012</c:v>
                </c:pt>
                <c:pt idx="1843">
                  <c:v>804.0591300000001</c:v>
                </c:pt>
                <c:pt idx="1844">
                  <c:v>804.06049000000007</c:v>
                </c:pt>
                <c:pt idx="1845">
                  <c:v>804.06185000000005</c:v>
                </c:pt>
                <c:pt idx="1846">
                  <c:v>804.06321000000003</c:v>
                </c:pt>
                <c:pt idx="1847">
                  <c:v>804.06457000000012</c:v>
                </c:pt>
                <c:pt idx="1848">
                  <c:v>804.06593000000009</c:v>
                </c:pt>
                <c:pt idx="1849">
                  <c:v>804.06729000000007</c:v>
                </c:pt>
                <c:pt idx="1850">
                  <c:v>804.06866000000002</c:v>
                </c:pt>
                <c:pt idx="1851">
                  <c:v>804.07003000000009</c:v>
                </c:pt>
                <c:pt idx="1852">
                  <c:v>804.07140000000004</c:v>
                </c:pt>
                <c:pt idx="1853">
                  <c:v>804.07277000000011</c:v>
                </c:pt>
                <c:pt idx="1854">
                  <c:v>804.08501000000001</c:v>
                </c:pt>
                <c:pt idx="1855">
                  <c:v>804.08638000000008</c:v>
                </c:pt>
                <c:pt idx="1856">
                  <c:v>804.08912000000009</c:v>
                </c:pt>
                <c:pt idx="1857">
                  <c:v>804.09049000000005</c:v>
                </c:pt>
                <c:pt idx="1858">
                  <c:v>804.09186000000011</c:v>
                </c:pt>
                <c:pt idx="1859">
                  <c:v>804.09323000000006</c:v>
                </c:pt>
                <c:pt idx="1860">
                  <c:v>804.09459000000004</c:v>
                </c:pt>
                <c:pt idx="1861">
                  <c:v>804.09595000000002</c:v>
                </c:pt>
                <c:pt idx="1862">
                  <c:v>804.09731000000011</c:v>
                </c:pt>
                <c:pt idx="1863">
                  <c:v>804.09867000000008</c:v>
                </c:pt>
                <c:pt idx="1864">
                  <c:v>804.10003000000006</c:v>
                </c:pt>
                <c:pt idx="1865">
                  <c:v>804.10139000000004</c:v>
                </c:pt>
                <c:pt idx="1866">
                  <c:v>804.10275000000001</c:v>
                </c:pt>
                <c:pt idx="1867">
                  <c:v>804.11503000000005</c:v>
                </c:pt>
                <c:pt idx="1868">
                  <c:v>804.11639000000002</c:v>
                </c:pt>
                <c:pt idx="1869">
                  <c:v>804.11775000000011</c:v>
                </c:pt>
                <c:pt idx="1870">
                  <c:v>804.11911000000009</c:v>
                </c:pt>
                <c:pt idx="1871">
                  <c:v>804.12047000000007</c:v>
                </c:pt>
                <c:pt idx="1872">
                  <c:v>804.12183000000005</c:v>
                </c:pt>
                <c:pt idx="1873">
                  <c:v>804.12319000000002</c:v>
                </c:pt>
                <c:pt idx="1874">
                  <c:v>804.12455000000011</c:v>
                </c:pt>
                <c:pt idx="1875">
                  <c:v>804.12591000000009</c:v>
                </c:pt>
                <c:pt idx="1876">
                  <c:v>804.12727000000007</c:v>
                </c:pt>
                <c:pt idx="1877">
                  <c:v>804.12864000000002</c:v>
                </c:pt>
                <c:pt idx="1878">
                  <c:v>804.13001000000008</c:v>
                </c:pt>
                <c:pt idx="1879">
                  <c:v>804.13138000000004</c:v>
                </c:pt>
                <c:pt idx="1880">
                  <c:v>804.14232000000004</c:v>
                </c:pt>
                <c:pt idx="1881">
                  <c:v>804.14368000000002</c:v>
                </c:pt>
                <c:pt idx="1882">
                  <c:v>804.14504000000011</c:v>
                </c:pt>
                <c:pt idx="1883">
                  <c:v>804.14640000000009</c:v>
                </c:pt>
                <c:pt idx="1884">
                  <c:v>804.14776000000006</c:v>
                </c:pt>
                <c:pt idx="1885">
                  <c:v>804.14913000000001</c:v>
                </c:pt>
                <c:pt idx="1886">
                  <c:v>804.15050000000008</c:v>
                </c:pt>
                <c:pt idx="1887">
                  <c:v>804.15187000000003</c:v>
                </c:pt>
                <c:pt idx="1888">
                  <c:v>804.1532400000001</c:v>
                </c:pt>
                <c:pt idx="1889">
                  <c:v>804.15460000000007</c:v>
                </c:pt>
                <c:pt idx="1890">
                  <c:v>804.15596000000005</c:v>
                </c:pt>
                <c:pt idx="1891">
                  <c:v>804.15732000000003</c:v>
                </c:pt>
                <c:pt idx="1892">
                  <c:v>804.15868000000012</c:v>
                </c:pt>
                <c:pt idx="1893">
                  <c:v>804.16961000000003</c:v>
                </c:pt>
                <c:pt idx="1894">
                  <c:v>804.1709800000001</c:v>
                </c:pt>
                <c:pt idx="1895">
                  <c:v>804.17235000000005</c:v>
                </c:pt>
                <c:pt idx="1896">
                  <c:v>804.17372000000012</c:v>
                </c:pt>
                <c:pt idx="1897">
                  <c:v>804.17508000000009</c:v>
                </c:pt>
                <c:pt idx="1898">
                  <c:v>804.17644000000007</c:v>
                </c:pt>
                <c:pt idx="1899">
                  <c:v>804.17780000000005</c:v>
                </c:pt>
                <c:pt idx="1900">
                  <c:v>804.17916000000002</c:v>
                </c:pt>
                <c:pt idx="1901">
                  <c:v>804.18053000000009</c:v>
                </c:pt>
                <c:pt idx="1902">
                  <c:v>804.18190000000004</c:v>
                </c:pt>
                <c:pt idx="1903">
                  <c:v>804.18326000000002</c:v>
                </c:pt>
                <c:pt idx="1904">
                  <c:v>804.18463000000008</c:v>
                </c:pt>
                <c:pt idx="1905">
                  <c:v>804.18600000000004</c:v>
                </c:pt>
                <c:pt idx="1906">
                  <c:v>804.19556000000011</c:v>
                </c:pt>
                <c:pt idx="1907">
                  <c:v>804.19693000000007</c:v>
                </c:pt>
                <c:pt idx="1908">
                  <c:v>804.19830000000002</c:v>
                </c:pt>
                <c:pt idx="1909">
                  <c:v>804.19966000000011</c:v>
                </c:pt>
                <c:pt idx="1910">
                  <c:v>804.20103000000006</c:v>
                </c:pt>
                <c:pt idx="1911">
                  <c:v>804.20240000000001</c:v>
                </c:pt>
                <c:pt idx="1912">
                  <c:v>804.20377000000008</c:v>
                </c:pt>
                <c:pt idx="1913">
                  <c:v>804.20514000000003</c:v>
                </c:pt>
                <c:pt idx="1914">
                  <c:v>804.20651000000009</c:v>
                </c:pt>
                <c:pt idx="1915">
                  <c:v>804.20788000000005</c:v>
                </c:pt>
                <c:pt idx="1916">
                  <c:v>804.20925000000011</c:v>
                </c:pt>
                <c:pt idx="1917">
                  <c:v>804.21062000000006</c:v>
                </c:pt>
                <c:pt idx="1918">
                  <c:v>804.22020000000009</c:v>
                </c:pt>
                <c:pt idx="1919">
                  <c:v>804.22157000000004</c:v>
                </c:pt>
                <c:pt idx="1920">
                  <c:v>804.22294000000011</c:v>
                </c:pt>
                <c:pt idx="1921">
                  <c:v>804.22431000000006</c:v>
                </c:pt>
                <c:pt idx="1922">
                  <c:v>804.22568000000001</c:v>
                </c:pt>
                <c:pt idx="1923">
                  <c:v>804.22705000000008</c:v>
                </c:pt>
                <c:pt idx="1924">
                  <c:v>804.22842000000003</c:v>
                </c:pt>
                <c:pt idx="1925">
                  <c:v>804.22979000000009</c:v>
                </c:pt>
                <c:pt idx="1926">
                  <c:v>804.23116000000005</c:v>
                </c:pt>
                <c:pt idx="1927">
                  <c:v>804.23252000000002</c:v>
                </c:pt>
                <c:pt idx="1928">
                  <c:v>804.23389000000009</c:v>
                </c:pt>
                <c:pt idx="1929">
                  <c:v>804.23526000000004</c:v>
                </c:pt>
                <c:pt idx="1930">
                  <c:v>804.2366300000001</c:v>
                </c:pt>
                <c:pt idx="1931">
                  <c:v>804.24622000000011</c:v>
                </c:pt>
                <c:pt idx="1932">
                  <c:v>804.24759000000006</c:v>
                </c:pt>
                <c:pt idx="1933">
                  <c:v>804.24896000000001</c:v>
                </c:pt>
                <c:pt idx="1934">
                  <c:v>804.25033000000008</c:v>
                </c:pt>
                <c:pt idx="1935">
                  <c:v>804.25170000000003</c:v>
                </c:pt>
                <c:pt idx="1936">
                  <c:v>804.25307000000009</c:v>
                </c:pt>
                <c:pt idx="1937">
                  <c:v>804.25444000000005</c:v>
                </c:pt>
                <c:pt idx="1938">
                  <c:v>804.25581000000011</c:v>
                </c:pt>
                <c:pt idx="1939">
                  <c:v>804.25718000000006</c:v>
                </c:pt>
                <c:pt idx="1940">
                  <c:v>804.25855000000001</c:v>
                </c:pt>
                <c:pt idx="1941">
                  <c:v>804.25992000000008</c:v>
                </c:pt>
                <c:pt idx="1942">
                  <c:v>804.26951000000008</c:v>
                </c:pt>
                <c:pt idx="1943">
                  <c:v>804.27088000000003</c:v>
                </c:pt>
                <c:pt idx="1944">
                  <c:v>804.2722500000001</c:v>
                </c:pt>
                <c:pt idx="1945">
                  <c:v>804.27362000000005</c:v>
                </c:pt>
                <c:pt idx="1946">
                  <c:v>804.27499000000012</c:v>
                </c:pt>
                <c:pt idx="1947">
                  <c:v>804.27636000000007</c:v>
                </c:pt>
                <c:pt idx="1948">
                  <c:v>804.27773000000002</c:v>
                </c:pt>
                <c:pt idx="1949">
                  <c:v>804.27910000000008</c:v>
                </c:pt>
                <c:pt idx="1950">
                  <c:v>804.28047000000004</c:v>
                </c:pt>
                <c:pt idx="1951">
                  <c:v>804.2818400000001</c:v>
                </c:pt>
                <c:pt idx="1952">
                  <c:v>804.28321000000005</c:v>
                </c:pt>
                <c:pt idx="1953">
                  <c:v>804.28458000000012</c:v>
                </c:pt>
                <c:pt idx="1954">
                  <c:v>804.29417000000012</c:v>
                </c:pt>
                <c:pt idx="1955">
                  <c:v>804.29554000000007</c:v>
                </c:pt>
                <c:pt idx="1956">
                  <c:v>804.29691000000003</c:v>
                </c:pt>
                <c:pt idx="1957">
                  <c:v>804.29828000000009</c:v>
                </c:pt>
                <c:pt idx="1958">
                  <c:v>804.29965000000004</c:v>
                </c:pt>
                <c:pt idx="1959">
                  <c:v>804.30102000000011</c:v>
                </c:pt>
                <c:pt idx="1960">
                  <c:v>804.30239000000006</c:v>
                </c:pt>
                <c:pt idx="1961">
                  <c:v>804.30376000000001</c:v>
                </c:pt>
                <c:pt idx="1962">
                  <c:v>804.30513000000008</c:v>
                </c:pt>
                <c:pt idx="1963">
                  <c:v>804.30650000000003</c:v>
                </c:pt>
                <c:pt idx="1964">
                  <c:v>804.30787000000009</c:v>
                </c:pt>
                <c:pt idx="1965">
                  <c:v>804.31748000000005</c:v>
                </c:pt>
                <c:pt idx="1966">
                  <c:v>804.31885000000011</c:v>
                </c:pt>
                <c:pt idx="1967">
                  <c:v>804.32022000000006</c:v>
                </c:pt>
                <c:pt idx="1968">
                  <c:v>804.32159000000001</c:v>
                </c:pt>
                <c:pt idx="1969">
                  <c:v>804.32296000000008</c:v>
                </c:pt>
                <c:pt idx="1970">
                  <c:v>804.32434000000012</c:v>
                </c:pt>
                <c:pt idx="1971">
                  <c:v>804.32571000000007</c:v>
                </c:pt>
                <c:pt idx="1972">
                  <c:v>804.32708000000002</c:v>
                </c:pt>
                <c:pt idx="1973">
                  <c:v>804.32845000000009</c:v>
                </c:pt>
                <c:pt idx="1974">
                  <c:v>804.32983000000002</c:v>
                </c:pt>
                <c:pt idx="1975">
                  <c:v>804.33120000000008</c:v>
                </c:pt>
                <c:pt idx="1976">
                  <c:v>804.33944000000008</c:v>
                </c:pt>
                <c:pt idx="1977">
                  <c:v>804.34081000000003</c:v>
                </c:pt>
                <c:pt idx="1978">
                  <c:v>804.3421800000001</c:v>
                </c:pt>
                <c:pt idx="1979">
                  <c:v>804.34355000000005</c:v>
                </c:pt>
                <c:pt idx="1980">
                  <c:v>804.34493000000009</c:v>
                </c:pt>
                <c:pt idx="1981">
                  <c:v>804.34630000000004</c:v>
                </c:pt>
                <c:pt idx="1982">
                  <c:v>804.34767000000011</c:v>
                </c:pt>
                <c:pt idx="1983">
                  <c:v>804.34904000000006</c:v>
                </c:pt>
                <c:pt idx="1984">
                  <c:v>804.35041000000001</c:v>
                </c:pt>
                <c:pt idx="1985">
                  <c:v>804.35178000000008</c:v>
                </c:pt>
                <c:pt idx="1986">
                  <c:v>804.35315000000003</c:v>
                </c:pt>
                <c:pt idx="1987">
                  <c:v>804.36275000000012</c:v>
                </c:pt>
                <c:pt idx="1988">
                  <c:v>804.36412000000007</c:v>
                </c:pt>
                <c:pt idx="1989">
                  <c:v>804.36550000000011</c:v>
                </c:pt>
                <c:pt idx="1990">
                  <c:v>804.36687000000006</c:v>
                </c:pt>
                <c:pt idx="1991">
                  <c:v>804.36824000000001</c:v>
                </c:pt>
                <c:pt idx="1992">
                  <c:v>804.36961000000008</c:v>
                </c:pt>
                <c:pt idx="1993">
                  <c:v>804.37098000000003</c:v>
                </c:pt>
                <c:pt idx="1994">
                  <c:v>804.3723500000001</c:v>
                </c:pt>
                <c:pt idx="1995">
                  <c:v>804.37372000000005</c:v>
                </c:pt>
                <c:pt idx="1996">
                  <c:v>804.37509000000011</c:v>
                </c:pt>
                <c:pt idx="1997">
                  <c:v>804.37647000000004</c:v>
                </c:pt>
                <c:pt idx="1998">
                  <c:v>804.38607000000002</c:v>
                </c:pt>
                <c:pt idx="1999">
                  <c:v>804.38744000000008</c:v>
                </c:pt>
                <c:pt idx="2000">
                  <c:v>804.38881000000003</c:v>
                </c:pt>
                <c:pt idx="2001">
                  <c:v>804.39019000000008</c:v>
                </c:pt>
                <c:pt idx="2002">
                  <c:v>804.39157000000012</c:v>
                </c:pt>
                <c:pt idx="2003">
                  <c:v>804.39295000000004</c:v>
                </c:pt>
                <c:pt idx="2004">
                  <c:v>804.39433000000008</c:v>
                </c:pt>
                <c:pt idx="2005">
                  <c:v>804.39571000000012</c:v>
                </c:pt>
                <c:pt idx="2006">
                  <c:v>804.39708000000007</c:v>
                </c:pt>
                <c:pt idx="2007">
                  <c:v>804.39845000000003</c:v>
                </c:pt>
                <c:pt idx="2008">
                  <c:v>804.40805000000012</c:v>
                </c:pt>
                <c:pt idx="2009">
                  <c:v>804.40942000000007</c:v>
                </c:pt>
                <c:pt idx="2010">
                  <c:v>804.41080000000011</c:v>
                </c:pt>
                <c:pt idx="2011">
                  <c:v>804.41218000000003</c:v>
                </c:pt>
                <c:pt idx="2012">
                  <c:v>804.41356000000007</c:v>
                </c:pt>
                <c:pt idx="2013">
                  <c:v>804.41494000000012</c:v>
                </c:pt>
                <c:pt idx="2014">
                  <c:v>804.41631000000007</c:v>
                </c:pt>
                <c:pt idx="2015">
                  <c:v>804.41768000000002</c:v>
                </c:pt>
                <c:pt idx="2016">
                  <c:v>804.41905000000008</c:v>
                </c:pt>
                <c:pt idx="2017">
                  <c:v>804.42042000000004</c:v>
                </c:pt>
                <c:pt idx="2018">
                  <c:v>804.4300300000001</c:v>
                </c:pt>
                <c:pt idx="2019">
                  <c:v>804.43141000000003</c:v>
                </c:pt>
                <c:pt idx="2020">
                  <c:v>804.43279000000007</c:v>
                </c:pt>
                <c:pt idx="2021">
                  <c:v>804.43417000000011</c:v>
                </c:pt>
                <c:pt idx="2022">
                  <c:v>804.43555000000003</c:v>
                </c:pt>
                <c:pt idx="2023">
                  <c:v>804.4369200000001</c:v>
                </c:pt>
                <c:pt idx="2024">
                  <c:v>804.43829000000005</c:v>
                </c:pt>
                <c:pt idx="2025">
                  <c:v>804.43966000000012</c:v>
                </c:pt>
                <c:pt idx="2026">
                  <c:v>804.44103000000007</c:v>
                </c:pt>
                <c:pt idx="2027">
                  <c:v>804.44240000000002</c:v>
                </c:pt>
                <c:pt idx="2028">
                  <c:v>804.45204000000001</c:v>
                </c:pt>
                <c:pt idx="2029">
                  <c:v>804.45342000000005</c:v>
                </c:pt>
                <c:pt idx="2030">
                  <c:v>804.45480000000009</c:v>
                </c:pt>
                <c:pt idx="2031">
                  <c:v>804.45617000000004</c:v>
                </c:pt>
                <c:pt idx="2032">
                  <c:v>804.45754000000011</c:v>
                </c:pt>
                <c:pt idx="2033">
                  <c:v>804.45891000000006</c:v>
                </c:pt>
                <c:pt idx="2034">
                  <c:v>804.46028000000001</c:v>
                </c:pt>
                <c:pt idx="2035">
                  <c:v>804.46165000000008</c:v>
                </c:pt>
                <c:pt idx="2036">
                  <c:v>804.46302000000003</c:v>
                </c:pt>
                <c:pt idx="2037">
                  <c:v>804.46439000000009</c:v>
                </c:pt>
                <c:pt idx="2038">
                  <c:v>804.47403000000008</c:v>
                </c:pt>
                <c:pt idx="2039">
                  <c:v>804.47540000000004</c:v>
                </c:pt>
                <c:pt idx="2040">
                  <c:v>804.4767700000001</c:v>
                </c:pt>
                <c:pt idx="2041">
                  <c:v>804.47814000000005</c:v>
                </c:pt>
                <c:pt idx="2042">
                  <c:v>804.47952000000009</c:v>
                </c:pt>
                <c:pt idx="2043">
                  <c:v>804.48090000000002</c:v>
                </c:pt>
                <c:pt idx="2044">
                  <c:v>804.48228000000006</c:v>
                </c:pt>
                <c:pt idx="2045">
                  <c:v>804.4836600000001</c:v>
                </c:pt>
                <c:pt idx="2046">
                  <c:v>804.48503000000005</c:v>
                </c:pt>
                <c:pt idx="2047">
                  <c:v>804.49467000000004</c:v>
                </c:pt>
                <c:pt idx="2048">
                  <c:v>804.49604000000011</c:v>
                </c:pt>
                <c:pt idx="2049">
                  <c:v>804.49741000000006</c:v>
                </c:pt>
                <c:pt idx="2050">
                  <c:v>804.49878000000001</c:v>
                </c:pt>
                <c:pt idx="2051">
                  <c:v>804.50016000000005</c:v>
                </c:pt>
                <c:pt idx="2052">
                  <c:v>804.50154000000009</c:v>
                </c:pt>
                <c:pt idx="2053">
                  <c:v>804.50292000000002</c:v>
                </c:pt>
                <c:pt idx="2054">
                  <c:v>804.50430000000006</c:v>
                </c:pt>
                <c:pt idx="2055">
                  <c:v>804.5056800000001</c:v>
                </c:pt>
                <c:pt idx="2056">
                  <c:v>804.51532000000009</c:v>
                </c:pt>
                <c:pt idx="2057">
                  <c:v>804.51670000000001</c:v>
                </c:pt>
                <c:pt idx="2058">
                  <c:v>804.51807000000008</c:v>
                </c:pt>
                <c:pt idx="2059">
                  <c:v>804.51944000000003</c:v>
                </c:pt>
                <c:pt idx="2060">
                  <c:v>804.5208100000001</c:v>
                </c:pt>
                <c:pt idx="2061">
                  <c:v>804.52219000000002</c:v>
                </c:pt>
                <c:pt idx="2062">
                  <c:v>804.52357000000006</c:v>
                </c:pt>
                <c:pt idx="2063">
                  <c:v>804.5249500000001</c:v>
                </c:pt>
                <c:pt idx="2064">
                  <c:v>804.52633000000003</c:v>
                </c:pt>
                <c:pt idx="2065">
                  <c:v>804.5277000000001</c:v>
                </c:pt>
                <c:pt idx="2066">
                  <c:v>804.53597000000002</c:v>
                </c:pt>
                <c:pt idx="2067">
                  <c:v>804.53734000000009</c:v>
                </c:pt>
                <c:pt idx="2068">
                  <c:v>804.53871000000004</c:v>
                </c:pt>
                <c:pt idx="2069">
                  <c:v>804.5400800000001</c:v>
                </c:pt>
                <c:pt idx="2070">
                  <c:v>804.54145000000005</c:v>
                </c:pt>
                <c:pt idx="2071">
                  <c:v>804.54283000000009</c:v>
                </c:pt>
                <c:pt idx="2072">
                  <c:v>804.54421000000002</c:v>
                </c:pt>
                <c:pt idx="2073">
                  <c:v>804.54559000000006</c:v>
                </c:pt>
                <c:pt idx="2074">
                  <c:v>804.54696000000001</c:v>
                </c:pt>
                <c:pt idx="2075">
                  <c:v>804.54834000000005</c:v>
                </c:pt>
                <c:pt idx="2076">
                  <c:v>804.55798000000004</c:v>
                </c:pt>
                <c:pt idx="2077">
                  <c:v>804.55935000000011</c:v>
                </c:pt>
                <c:pt idx="2078">
                  <c:v>804.56072000000006</c:v>
                </c:pt>
                <c:pt idx="2079">
                  <c:v>804.56209000000001</c:v>
                </c:pt>
                <c:pt idx="2080">
                  <c:v>804.56347000000005</c:v>
                </c:pt>
                <c:pt idx="2081">
                  <c:v>804.56485000000009</c:v>
                </c:pt>
                <c:pt idx="2082">
                  <c:v>804.56623000000002</c:v>
                </c:pt>
                <c:pt idx="2083">
                  <c:v>804.56761000000006</c:v>
                </c:pt>
                <c:pt idx="2084">
                  <c:v>804.56898000000001</c:v>
                </c:pt>
                <c:pt idx="2085">
                  <c:v>804.57726000000002</c:v>
                </c:pt>
                <c:pt idx="2086">
                  <c:v>804.57863000000009</c:v>
                </c:pt>
                <c:pt idx="2087">
                  <c:v>804.58001000000002</c:v>
                </c:pt>
                <c:pt idx="2088">
                  <c:v>804.5827700000001</c:v>
                </c:pt>
                <c:pt idx="2089">
                  <c:v>804.58415000000002</c:v>
                </c:pt>
                <c:pt idx="2090">
                  <c:v>804.58553000000006</c:v>
                </c:pt>
                <c:pt idx="2091">
                  <c:v>804.58690000000001</c:v>
                </c:pt>
                <c:pt idx="2092">
                  <c:v>804.58828000000005</c:v>
                </c:pt>
                <c:pt idx="2093">
                  <c:v>804.59655000000009</c:v>
                </c:pt>
                <c:pt idx="2094">
                  <c:v>804.59793000000002</c:v>
                </c:pt>
                <c:pt idx="2095">
                  <c:v>804.59931000000006</c:v>
                </c:pt>
                <c:pt idx="2096">
                  <c:v>804.6006900000001</c:v>
                </c:pt>
                <c:pt idx="2097">
                  <c:v>804.60207000000003</c:v>
                </c:pt>
                <c:pt idx="2098">
                  <c:v>804.60344000000009</c:v>
                </c:pt>
                <c:pt idx="2099">
                  <c:v>804.60481000000004</c:v>
                </c:pt>
                <c:pt idx="2100">
                  <c:v>804.60619000000008</c:v>
                </c:pt>
                <c:pt idx="2101">
                  <c:v>804.60757000000001</c:v>
                </c:pt>
                <c:pt idx="2102">
                  <c:v>804.60894000000008</c:v>
                </c:pt>
                <c:pt idx="2103">
                  <c:v>804.61719000000005</c:v>
                </c:pt>
                <c:pt idx="2104">
                  <c:v>804.61857000000009</c:v>
                </c:pt>
                <c:pt idx="2105">
                  <c:v>804.61994000000004</c:v>
                </c:pt>
                <c:pt idx="2106">
                  <c:v>804.62131000000011</c:v>
                </c:pt>
                <c:pt idx="2107">
                  <c:v>804.62269000000003</c:v>
                </c:pt>
                <c:pt idx="2108">
                  <c:v>804.62407000000007</c:v>
                </c:pt>
                <c:pt idx="2109">
                  <c:v>804.62544000000003</c:v>
                </c:pt>
                <c:pt idx="2110">
                  <c:v>804.62682000000007</c:v>
                </c:pt>
                <c:pt idx="2111">
                  <c:v>804.62820000000011</c:v>
                </c:pt>
                <c:pt idx="2112">
                  <c:v>804.62957000000006</c:v>
                </c:pt>
                <c:pt idx="2113">
                  <c:v>804.63783000000012</c:v>
                </c:pt>
                <c:pt idx="2114">
                  <c:v>804.63921000000005</c:v>
                </c:pt>
                <c:pt idx="2115">
                  <c:v>804.64059000000009</c:v>
                </c:pt>
                <c:pt idx="2116">
                  <c:v>804.64196000000004</c:v>
                </c:pt>
                <c:pt idx="2117">
                  <c:v>804.64334000000008</c:v>
                </c:pt>
                <c:pt idx="2118">
                  <c:v>804.64472000000012</c:v>
                </c:pt>
                <c:pt idx="2119">
                  <c:v>804.64609000000007</c:v>
                </c:pt>
                <c:pt idx="2120">
                  <c:v>804.64747000000011</c:v>
                </c:pt>
                <c:pt idx="2121">
                  <c:v>804.64885000000004</c:v>
                </c:pt>
                <c:pt idx="2122">
                  <c:v>804.6571100000001</c:v>
                </c:pt>
                <c:pt idx="2123">
                  <c:v>804.65848000000005</c:v>
                </c:pt>
                <c:pt idx="2124">
                  <c:v>804.65986000000009</c:v>
                </c:pt>
                <c:pt idx="2125">
                  <c:v>804.66124000000002</c:v>
                </c:pt>
                <c:pt idx="2126">
                  <c:v>804.66261000000009</c:v>
                </c:pt>
                <c:pt idx="2127">
                  <c:v>804.66399000000001</c:v>
                </c:pt>
                <c:pt idx="2128">
                  <c:v>804.66537000000005</c:v>
                </c:pt>
                <c:pt idx="2129">
                  <c:v>804.66674000000012</c:v>
                </c:pt>
                <c:pt idx="2130">
                  <c:v>804.66812000000004</c:v>
                </c:pt>
                <c:pt idx="2131">
                  <c:v>804.66950000000008</c:v>
                </c:pt>
                <c:pt idx="2132">
                  <c:v>804.67777000000001</c:v>
                </c:pt>
                <c:pt idx="2133">
                  <c:v>804.67915000000005</c:v>
                </c:pt>
                <c:pt idx="2134">
                  <c:v>804.68053000000009</c:v>
                </c:pt>
                <c:pt idx="2135">
                  <c:v>804.68190000000004</c:v>
                </c:pt>
                <c:pt idx="2136">
                  <c:v>804.68328000000008</c:v>
                </c:pt>
                <c:pt idx="2137">
                  <c:v>804.68466000000012</c:v>
                </c:pt>
                <c:pt idx="2138">
                  <c:v>804.68604000000005</c:v>
                </c:pt>
                <c:pt idx="2139">
                  <c:v>804.68742000000009</c:v>
                </c:pt>
                <c:pt idx="2140">
                  <c:v>804.68880000000001</c:v>
                </c:pt>
                <c:pt idx="2141">
                  <c:v>804.69018000000005</c:v>
                </c:pt>
                <c:pt idx="2142">
                  <c:v>804.69708000000003</c:v>
                </c:pt>
                <c:pt idx="2143">
                  <c:v>804.69846000000007</c:v>
                </c:pt>
                <c:pt idx="2144">
                  <c:v>804.69984000000011</c:v>
                </c:pt>
                <c:pt idx="2145">
                  <c:v>804.70122000000003</c:v>
                </c:pt>
                <c:pt idx="2146">
                  <c:v>804.70260000000007</c:v>
                </c:pt>
                <c:pt idx="2147">
                  <c:v>804.70398000000012</c:v>
                </c:pt>
                <c:pt idx="2148">
                  <c:v>804.70536000000004</c:v>
                </c:pt>
                <c:pt idx="2149">
                  <c:v>804.70674000000008</c:v>
                </c:pt>
                <c:pt idx="2150">
                  <c:v>804.70812000000012</c:v>
                </c:pt>
                <c:pt idx="2151">
                  <c:v>804.70950000000005</c:v>
                </c:pt>
                <c:pt idx="2152">
                  <c:v>804.71777000000009</c:v>
                </c:pt>
                <c:pt idx="2153">
                  <c:v>804.71915000000001</c:v>
                </c:pt>
                <c:pt idx="2154">
                  <c:v>804.72053000000005</c:v>
                </c:pt>
                <c:pt idx="2155">
                  <c:v>804.72191000000009</c:v>
                </c:pt>
                <c:pt idx="2156">
                  <c:v>804.72329000000002</c:v>
                </c:pt>
                <c:pt idx="2157">
                  <c:v>804.72467000000006</c:v>
                </c:pt>
                <c:pt idx="2158">
                  <c:v>804.7260500000001</c:v>
                </c:pt>
                <c:pt idx="2159">
                  <c:v>804.72743000000003</c:v>
                </c:pt>
                <c:pt idx="2160">
                  <c:v>804.72881000000007</c:v>
                </c:pt>
                <c:pt idx="2161">
                  <c:v>804.73019000000011</c:v>
                </c:pt>
                <c:pt idx="2162">
                  <c:v>804.73847000000012</c:v>
                </c:pt>
                <c:pt idx="2163">
                  <c:v>804.73985000000005</c:v>
                </c:pt>
                <c:pt idx="2164">
                  <c:v>804.74123000000009</c:v>
                </c:pt>
                <c:pt idx="2165">
                  <c:v>804.74261000000001</c:v>
                </c:pt>
                <c:pt idx="2166">
                  <c:v>804.74399000000005</c:v>
                </c:pt>
                <c:pt idx="2167">
                  <c:v>804.74537000000009</c:v>
                </c:pt>
                <c:pt idx="2168">
                  <c:v>804.74675000000002</c:v>
                </c:pt>
                <c:pt idx="2169">
                  <c:v>804.74813000000006</c:v>
                </c:pt>
                <c:pt idx="2170">
                  <c:v>804.74950000000001</c:v>
                </c:pt>
                <c:pt idx="2171">
                  <c:v>804.75778000000003</c:v>
                </c:pt>
                <c:pt idx="2172">
                  <c:v>804.75916000000007</c:v>
                </c:pt>
                <c:pt idx="2173">
                  <c:v>804.76054000000011</c:v>
                </c:pt>
                <c:pt idx="2174">
                  <c:v>804.76192000000003</c:v>
                </c:pt>
                <c:pt idx="2175">
                  <c:v>804.76330000000007</c:v>
                </c:pt>
                <c:pt idx="2176">
                  <c:v>804.76468000000011</c:v>
                </c:pt>
                <c:pt idx="2177">
                  <c:v>804.76606000000004</c:v>
                </c:pt>
                <c:pt idx="2178">
                  <c:v>804.76744000000008</c:v>
                </c:pt>
                <c:pt idx="2179">
                  <c:v>804.76882000000012</c:v>
                </c:pt>
                <c:pt idx="2180">
                  <c:v>804.77710000000002</c:v>
                </c:pt>
                <c:pt idx="2181">
                  <c:v>804.77848000000006</c:v>
                </c:pt>
                <c:pt idx="2182">
                  <c:v>804.7798600000001</c:v>
                </c:pt>
                <c:pt idx="2183">
                  <c:v>804.78124000000003</c:v>
                </c:pt>
                <c:pt idx="2184">
                  <c:v>804.78263000000004</c:v>
                </c:pt>
                <c:pt idx="2185">
                  <c:v>804.78401000000008</c:v>
                </c:pt>
                <c:pt idx="2186">
                  <c:v>804.78539000000012</c:v>
                </c:pt>
                <c:pt idx="2187">
                  <c:v>804.78677000000005</c:v>
                </c:pt>
                <c:pt idx="2188">
                  <c:v>804.78815000000009</c:v>
                </c:pt>
                <c:pt idx="2189">
                  <c:v>804.79506000000003</c:v>
                </c:pt>
                <c:pt idx="2190">
                  <c:v>804.79644000000008</c:v>
                </c:pt>
                <c:pt idx="2191">
                  <c:v>804.79783000000009</c:v>
                </c:pt>
                <c:pt idx="2192">
                  <c:v>804.79921000000002</c:v>
                </c:pt>
                <c:pt idx="2193">
                  <c:v>804.80059000000006</c:v>
                </c:pt>
                <c:pt idx="2194">
                  <c:v>804.8019700000001</c:v>
                </c:pt>
                <c:pt idx="2195">
                  <c:v>804.80335000000002</c:v>
                </c:pt>
                <c:pt idx="2196">
                  <c:v>804.80473000000006</c:v>
                </c:pt>
                <c:pt idx="2197">
                  <c:v>804.8061100000001</c:v>
                </c:pt>
                <c:pt idx="2198">
                  <c:v>804.81440000000009</c:v>
                </c:pt>
                <c:pt idx="2199">
                  <c:v>804.81578000000002</c:v>
                </c:pt>
                <c:pt idx="2200">
                  <c:v>804.81716000000006</c:v>
                </c:pt>
                <c:pt idx="2201">
                  <c:v>804.81855000000007</c:v>
                </c:pt>
                <c:pt idx="2202">
                  <c:v>804.81993000000011</c:v>
                </c:pt>
                <c:pt idx="2203">
                  <c:v>804.82131000000004</c:v>
                </c:pt>
                <c:pt idx="2204">
                  <c:v>804.82269000000008</c:v>
                </c:pt>
                <c:pt idx="2205">
                  <c:v>804.82407000000012</c:v>
                </c:pt>
                <c:pt idx="2206">
                  <c:v>804.83239000000003</c:v>
                </c:pt>
                <c:pt idx="2207">
                  <c:v>804.83378000000005</c:v>
                </c:pt>
                <c:pt idx="2208">
                  <c:v>804.83516000000009</c:v>
                </c:pt>
                <c:pt idx="2209">
                  <c:v>804.83654000000001</c:v>
                </c:pt>
                <c:pt idx="2210">
                  <c:v>804.83792000000005</c:v>
                </c:pt>
                <c:pt idx="2211">
                  <c:v>804.83930000000009</c:v>
                </c:pt>
                <c:pt idx="2212">
                  <c:v>804.84068000000002</c:v>
                </c:pt>
                <c:pt idx="2213">
                  <c:v>804.84206000000006</c:v>
                </c:pt>
                <c:pt idx="2214">
                  <c:v>804.85036000000002</c:v>
                </c:pt>
                <c:pt idx="2215">
                  <c:v>804.85174000000006</c:v>
                </c:pt>
                <c:pt idx="2216">
                  <c:v>804.8531200000001</c:v>
                </c:pt>
                <c:pt idx="2217">
                  <c:v>804.85450000000003</c:v>
                </c:pt>
                <c:pt idx="2218">
                  <c:v>804.85588000000007</c:v>
                </c:pt>
                <c:pt idx="2219">
                  <c:v>804.85726000000011</c:v>
                </c:pt>
                <c:pt idx="2220">
                  <c:v>804.85864000000004</c:v>
                </c:pt>
                <c:pt idx="2221">
                  <c:v>804.86002000000008</c:v>
                </c:pt>
                <c:pt idx="2222">
                  <c:v>804.86832000000004</c:v>
                </c:pt>
                <c:pt idx="2223">
                  <c:v>804.86971000000005</c:v>
                </c:pt>
                <c:pt idx="2224">
                  <c:v>804.87109000000009</c:v>
                </c:pt>
                <c:pt idx="2225">
                  <c:v>804.87247000000002</c:v>
                </c:pt>
                <c:pt idx="2226">
                  <c:v>804.87385000000006</c:v>
                </c:pt>
                <c:pt idx="2227">
                  <c:v>804.8752300000001</c:v>
                </c:pt>
                <c:pt idx="2228">
                  <c:v>804.87661000000003</c:v>
                </c:pt>
                <c:pt idx="2229">
                  <c:v>804.87799000000007</c:v>
                </c:pt>
                <c:pt idx="2230">
                  <c:v>804.87938000000008</c:v>
                </c:pt>
                <c:pt idx="2231">
                  <c:v>804.88076000000001</c:v>
                </c:pt>
                <c:pt idx="2232">
                  <c:v>804.88767000000007</c:v>
                </c:pt>
                <c:pt idx="2233">
                  <c:v>804.88905000000011</c:v>
                </c:pt>
                <c:pt idx="2234">
                  <c:v>804.89043000000004</c:v>
                </c:pt>
                <c:pt idx="2235">
                  <c:v>804.89181000000008</c:v>
                </c:pt>
                <c:pt idx="2236">
                  <c:v>804.89319000000012</c:v>
                </c:pt>
                <c:pt idx="2237">
                  <c:v>804.89457000000004</c:v>
                </c:pt>
                <c:pt idx="2238">
                  <c:v>804.89595000000008</c:v>
                </c:pt>
                <c:pt idx="2239">
                  <c:v>804.89733000000001</c:v>
                </c:pt>
                <c:pt idx="2240">
                  <c:v>804.89871000000005</c:v>
                </c:pt>
                <c:pt idx="2241">
                  <c:v>804.90700000000004</c:v>
                </c:pt>
                <c:pt idx="2242">
                  <c:v>804.90838000000008</c:v>
                </c:pt>
                <c:pt idx="2243">
                  <c:v>804.90976000000012</c:v>
                </c:pt>
                <c:pt idx="2244">
                  <c:v>804.91114000000005</c:v>
                </c:pt>
                <c:pt idx="2245">
                  <c:v>804.91252000000009</c:v>
                </c:pt>
                <c:pt idx="2246">
                  <c:v>804.91390000000001</c:v>
                </c:pt>
                <c:pt idx="2247">
                  <c:v>804.91528000000005</c:v>
                </c:pt>
                <c:pt idx="2248">
                  <c:v>804.91666000000009</c:v>
                </c:pt>
                <c:pt idx="2249">
                  <c:v>804.91804000000002</c:v>
                </c:pt>
                <c:pt idx="2250">
                  <c:v>804.92632000000003</c:v>
                </c:pt>
                <c:pt idx="2251">
                  <c:v>804.92770000000007</c:v>
                </c:pt>
                <c:pt idx="2252">
                  <c:v>804.92908000000011</c:v>
                </c:pt>
                <c:pt idx="2253">
                  <c:v>804.93046000000004</c:v>
                </c:pt>
                <c:pt idx="2254">
                  <c:v>804.93184000000008</c:v>
                </c:pt>
                <c:pt idx="2255">
                  <c:v>804.93322000000012</c:v>
                </c:pt>
                <c:pt idx="2256">
                  <c:v>804.93460000000005</c:v>
                </c:pt>
                <c:pt idx="2257">
                  <c:v>804.93598000000009</c:v>
                </c:pt>
                <c:pt idx="2258">
                  <c:v>804.93736000000001</c:v>
                </c:pt>
                <c:pt idx="2259">
                  <c:v>804.93874000000005</c:v>
                </c:pt>
                <c:pt idx="2260">
                  <c:v>804.94702000000007</c:v>
                </c:pt>
                <c:pt idx="2261">
                  <c:v>804.94840000000011</c:v>
                </c:pt>
                <c:pt idx="2262">
                  <c:v>804.94978000000003</c:v>
                </c:pt>
                <c:pt idx="2263">
                  <c:v>804.95116000000007</c:v>
                </c:pt>
                <c:pt idx="2264">
                  <c:v>804.95254000000011</c:v>
                </c:pt>
                <c:pt idx="2265">
                  <c:v>804.95392000000004</c:v>
                </c:pt>
                <c:pt idx="2266">
                  <c:v>804.95530000000008</c:v>
                </c:pt>
                <c:pt idx="2267">
                  <c:v>804.95668000000012</c:v>
                </c:pt>
                <c:pt idx="2268">
                  <c:v>804.95806000000005</c:v>
                </c:pt>
                <c:pt idx="2269">
                  <c:v>804.96633000000008</c:v>
                </c:pt>
                <c:pt idx="2270">
                  <c:v>804.96771000000001</c:v>
                </c:pt>
                <c:pt idx="2271">
                  <c:v>804.96909000000005</c:v>
                </c:pt>
                <c:pt idx="2272">
                  <c:v>804.97047000000009</c:v>
                </c:pt>
                <c:pt idx="2273">
                  <c:v>804.97185000000002</c:v>
                </c:pt>
                <c:pt idx="2274">
                  <c:v>804.97323000000006</c:v>
                </c:pt>
                <c:pt idx="2275">
                  <c:v>804.9746100000001</c:v>
                </c:pt>
                <c:pt idx="2276">
                  <c:v>804.97599000000002</c:v>
                </c:pt>
                <c:pt idx="2277">
                  <c:v>804.97737000000006</c:v>
                </c:pt>
                <c:pt idx="2278">
                  <c:v>804.9856400000001</c:v>
                </c:pt>
                <c:pt idx="2279">
                  <c:v>804.98702000000003</c:v>
                </c:pt>
                <c:pt idx="2280">
                  <c:v>804.98840000000007</c:v>
                </c:pt>
                <c:pt idx="2281">
                  <c:v>804.98978000000011</c:v>
                </c:pt>
                <c:pt idx="2282">
                  <c:v>804.99116000000004</c:v>
                </c:pt>
                <c:pt idx="2283">
                  <c:v>804.99254000000008</c:v>
                </c:pt>
                <c:pt idx="2284">
                  <c:v>804.99392000000012</c:v>
                </c:pt>
                <c:pt idx="2285">
                  <c:v>804.99530000000004</c:v>
                </c:pt>
                <c:pt idx="2286">
                  <c:v>804.99668000000008</c:v>
                </c:pt>
                <c:pt idx="2287">
                  <c:v>804.99806000000001</c:v>
                </c:pt>
                <c:pt idx="2288">
                  <c:v>805.00634000000002</c:v>
                </c:pt>
                <c:pt idx="2289">
                  <c:v>805.00772000000006</c:v>
                </c:pt>
                <c:pt idx="2290">
                  <c:v>805.0091000000001</c:v>
                </c:pt>
                <c:pt idx="2291">
                  <c:v>805.01048000000003</c:v>
                </c:pt>
                <c:pt idx="2292">
                  <c:v>805.01186000000007</c:v>
                </c:pt>
                <c:pt idx="2293">
                  <c:v>805.01324000000011</c:v>
                </c:pt>
                <c:pt idx="2294">
                  <c:v>805.01462000000004</c:v>
                </c:pt>
                <c:pt idx="2295">
                  <c:v>805.01600000000008</c:v>
                </c:pt>
                <c:pt idx="2296">
                  <c:v>805.01738000000012</c:v>
                </c:pt>
                <c:pt idx="2297">
                  <c:v>805.02566000000002</c:v>
                </c:pt>
                <c:pt idx="2298">
                  <c:v>805.02704000000006</c:v>
                </c:pt>
                <c:pt idx="2299">
                  <c:v>805.0284200000001</c:v>
                </c:pt>
                <c:pt idx="2300">
                  <c:v>805.02980000000002</c:v>
                </c:pt>
                <c:pt idx="2301">
                  <c:v>805.03118000000006</c:v>
                </c:pt>
                <c:pt idx="2302">
                  <c:v>805.0325600000001</c:v>
                </c:pt>
                <c:pt idx="2303">
                  <c:v>805.03394000000003</c:v>
                </c:pt>
                <c:pt idx="2304">
                  <c:v>805.03532000000007</c:v>
                </c:pt>
                <c:pt idx="2305">
                  <c:v>805.03670000000011</c:v>
                </c:pt>
                <c:pt idx="2306">
                  <c:v>805.04498000000001</c:v>
                </c:pt>
                <c:pt idx="2307">
                  <c:v>805.04636000000005</c:v>
                </c:pt>
                <c:pt idx="2308">
                  <c:v>805.04774000000009</c:v>
                </c:pt>
                <c:pt idx="2309">
                  <c:v>805.04912000000002</c:v>
                </c:pt>
                <c:pt idx="2310">
                  <c:v>805.05050000000006</c:v>
                </c:pt>
                <c:pt idx="2311">
                  <c:v>805.05187000000012</c:v>
                </c:pt>
                <c:pt idx="2312">
                  <c:v>805.05325000000005</c:v>
                </c:pt>
                <c:pt idx="2313">
                  <c:v>805.05463000000009</c:v>
                </c:pt>
                <c:pt idx="2314">
                  <c:v>805.05601000000001</c:v>
                </c:pt>
                <c:pt idx="2315">
                  <c:v>805.05739000000005</c:v>
                </c:pt>
                <c:pt idx="2316">
                  <c:v>805.06567000000007</c:v>
                </c:pt>
                <c:pt idx="2317">
                  <c:v>805.06705000000011</c:v>
                </c:pt>
                <c:pt idx="2318">
                  <c:v>805.06843000000003</c:v>
                </c:pt>
                <c:pt idx="2319">
                  <c:v>805.06981000000007</c:v>
                </c:pt>
                <c:pt idx="2320">
                  <c:v>805.07119000000012</c:v>
                </c:pt>
                <c:pt idx="2321">
                  <c:v>805.07257000000004</c:v>
                </c:pt>
                <c:pt idx="2322">
                  <c:v>805.07395000000008</c:v>
                </c:pt>
                <c:pt idx="2323">
                  <c:v>805.07533000000012</c:v>
                </c:pt>
                <c:pt idx="2324">
                  <c:v>805.07671000000005</c:v>
                </c:pt>
                <c:pt idx="2325">
                  <c:v>805.08362000000011</c:v>
                </c:pt>
                <c:pt idx="2326">
                  <c:v>805.08500000000004</c:v>
                </c:pt>
                <c:pt idx="2327">
                  <c:v>805.08638000000008</c:v>
                </c:pt>
                <c:pt idx="2328">
                  <c:v>805.08776000000012</c:v>
                </c:pt>
                <c:pt idx="2329">
                  <c:v>805.08914000000004</c:v>
                </c:pt>
                <c:pt idx="2330">
                  <c:v>805.09052000000008</c:v>
                </c:pt>
                <c:pt idx="2331">
                  <c:v>805.09190000000001</c:v>
                </c:pt>
                <c:pt idx="2332">
                  <c:v>805.09328000000005</c:v>
                </c:pt>
                <c:pt idx="2333">
                  <c:v>805.09466000000009</c:v>
                </c:pt>
                <c:pt idx="2334">
                  <c:v>805.09604000000002</c:v>
                </c:pt>
                <c:pt idx="2335">
                  <c:v>805.10431000000005</c:v>
                </c:pt>
                <c:pt idx="2336">
                  <c:v>805.1056900000001</c:v>
                </c:pt>
                <c:pt idx="2337">
                  <c:v>805.10707000000002</c:v>
                </c:pt>
                <c:pt idx="2338">
                  <c:v>805.10845000000006</c:v>
                </c:pt>
                <c:pt idx="2339">
                  <c:v>805.1098300000001</c:v>
                </c:pt>
                <c:pt idx="2340">
                  <c:v>805.11121000000003</c:v>
                </c:pt>
                <c:pt idx="2341">
                  <c:v>805.11259000000007</c:v>
                </c:pt>
                <c:pt idx="2342">
                  <c:v>805.11397000000011</c:v>
                </c:pt>
                <c:pt idx="2343">
                  <c:v>805.11535000000003</c:v>
                </c:pt>
                <c:pt idx="2344">
                  <c:v>805.11673000000008</c:v>
                </c:pt>
                <c:pt idx="2345">
                  <c:v>805.12501000000009</c:v>
                </c:pt>
                <c:pt idx="2346">
                  <c:v>805.12639000000001</c:v>
                </c:pt>
                <c:pt idx="2347">
                  <c:v>805.12777000000006</c:v>
                </c:pt>
                <c:pt idx="2348">
                  <c:v>805.1291500000001</c:v>
                </c:pt>
                <c:pt idx="2349">
                  <c:v>805.13053000000002</c:v>
                </c:pt>
                <c:pt idx="2350">
                  <c:v>805.13190000000009</c:v>
                </c:pt>
                <c:pt idx="2351">
                  <c:v>805.13328000000001</c:v>
                </c:pt>
                <c:pt idx="2352">
                  <c:v>805.13466000000005</c:v>
                </c:pt>
                <c:pt idx="2353">
                  <c:v>805.13603000000012</c:v>
                </c:pt>
                <c:pt idx="2354">
                  <c:v>805.14429000000007</c:v>
                </c:pt>
                <c:pt idx="2355">
                  <c:v>805.14567000000011</c:v>
                </c:pt>
                <c:pt idx="2356">
                  <c:v>805.14705000000004</c:v>
                </c:pt>
                <c:pt idx="2357">
                  <c:v>805.1484200000001</c:v>
                </c:pt>
                <c:pt idx="2358">
                  <c:v>805.14980000000003</c:v>
                </c:pt>
                <c:pt idx="2359">
                  <c:v>805.15118000000007</c:v>
                </c:pt>
                <c:pt idx="2360">
                  <c:v>805.15255000000002</c:v>
                </c:pt>
                <c:pt idx="2361">
                  <c:v>805.15393000000006</c:v>
                </c:pt>
                <c:pt idx="2362">
                  <c:v>805.1553100000001</c:v>
                </c:pt>
                <c:pt idx="2363">
                  <c:v>805.15668000000005</c:v>
                </c:pt>
                <c:pt idx="2364">
                  <c:v>805.16494000000012</c:v>
                </c:pt>
                <c:pt idx="2365">
                  <c:v>805.16632000000004</c:v>
                </c:pt>
                <c:pt idx="2366">
                  <c:v>805.16770000000008</c:v>
                </c:pt>
                <c:pt idx="2367">
                  <c:v>805.16908000000012</c:v>
                </c:pt>
                <c:pt idx="2368">
                  <c:v>805.17046000000005</c:v>
                </c:pt>
                <c:pt idx="2369">
                  <c:v>805.17184000000009</c:v>
                </c:pt>
                <c:pt idx="2370">
                  <c:v>805.17321000000004</c:v>
                </c:pt>
                <c:pt idx="2371">
                  <c:v>805.17459000000008</c:v>
                </c:pt>
                <c:pt idx="2372">
                  <c:v>805.17597000000012</c:v>
                </c:pt>
                <c:pt idx="2373">
                  <c:v>805.17735000000005</c:v>
                </c:pt>
                <c:pt idx="2374">
                  <c:v>805.18562000000009</c:v>
                </c:pt>
                <c:pt idx="2375">
                  <c:v>805.18700000000001</c:v>
                </c:pt>
                <c:pt idx="2376">
                  <c:v>805.18838000000005</c:v>
                </c:pt>
                <c:pt idx="2377">
                  <c:v>805.18975000000012</c:v>
                </c:pt>
                <c:pt idx="2378">
                  <c:v>805.19113000000004</c:v>
                </c:pt>
                <c:pt idx="2379">
                  <c:v>805.19251000000008</c:v>
                </c:pt>
                <c:pt idx="2380">
                  <c:v>805.19389000000001</c:v>
                </c:pt>
                <c:pt idx="2381">
                  <c:v>805.19527000000005</c:v>
                </c:pt>
                <c:pt idx="2382">
                  <c:v>805.19665000000009</c:v>
                </c:pt>
                <c:pt idx="2383">
                  <c:v>805.19803000000002</c:v>
                </c:pt>
                <c:pt idx="2384">
                  <c:v>805.20631000000003</c:v>
                </c:pt>
                <c:pt idx="2385">
                  <c:v>805.20769000000007</c:v>
                </c:pt>
                <c:pt idx="2386">
                  <c:v>805.20907000000011</c:v>
                </c:pt>
                <c:pt idx="2387">
                  <c:v>805.21045000000004</c:v>
                </c:pt>
                <c:pt idx="2388">
                  <c:v>805.21183000000008</c:v>
                </c:pt>
                <c:pt idx="2389">
                  <c:v>805.21321000000012</c:v>
                </c:pt>
                <c:pt idx="2390">
                  <c:v>805.21459000000004</c:v>
                </c:pt>
                <c:pt idx="2391">
                  <c:v>805.21596000000011</c:v>
                </c:pt>
                <c:pt idx="2392">
                  <c:v>805.21734000000004</c:v>
                </c:pt>
                <c:pt idx="2393">
                  <c:v>805.21872000000008</c:v>
                </c:pt>
                <c:pt idx="2394">
                  <c:v>805.22836000000007</c:v>
                </c:pt>
                <c:pt idx="2395">
                  <c:v>805.22974000000011</c:v>
                </c:pt>
                <c:pt idx="2396">
                  <c:v>805.23112000000003</c:v>
                </c:pt>
                <c:pt idx="2397">
                  <c:v>805.2324900000001</c:v>
                </c:pt>
                <c:pt idx="2398">
                  <c:v>805.23387000000002</c:v>
                </c:pt>
                <c:pt idx="2399">
                  <c:v>805.23525000000006</c:v>
                </c:pt>
                <c:pt idx="2400">
                  <c:v>805.23662000000002</c:v>
                </c:pt>
                <c:pt idx="2401">
                  <c:v>805.23800000000006</c:v>
                </c:pt>
                <c:pt idx="2402">
                  <c:v>805.2393800000001</c:v>
                </c:pt>
                <c:pt idx="2403">
                  <c:v>805.24765000000002</c:v>
                </c:pt>
                <c:pt idx="2404">
                  <c:v>805.24902000000009</c:v>
                </c:pt>
                <c:pt idx="2405">
                  <c:v>805.25040000000001</c:v>
                </c:pt>
                <c:pt idx="2406">
                  <c:v>805.25178000000005</c:v>
                </c:pt>
                <c:pt idx="2407">
                  <c:v>805.25315000000012</c:v>
                </c:pt>
                <c:pt idx="2408">
                  <c:v>805.25453000000005</c:v>
                </c:pt>
                <c:pt idx="2409">
                  <c:v>805.25591000000009</c:v>
                </c:pt>
                <c:pt idx="2410">
                  <c:v>805.25728000000004</c:v>
                </c:pt>
                <c:pt idx="2411">
                  <c:v>805.25866000000008</c:v>
                </c:pt>
                <c:pt idx="2412">
                  <c:v>805.26004000000012</c:v>
                </c:pt>
                <c:pt idx="2413">
                  <c:v>805.26830000000007</c:v>
                </c:pt>
                <c:pt idx="2414">
                  <c:v>805.26967000000002</c:v>
                </c:pt>
                <c:pt idx="2415">
                  <c:v>805.27105000000006</c:v>
                </c:pt>
                <c:pt idx="2416">
                  <c:v>805.2724300000001</c:v>
                </c:pt>
                <c:pt idx="2417">
                  <c:v>805.27380000000005</c:v>
                </c:pt>
                <c:pt idx="2418">
                  <c:v>805.27518000000009</c:v>
                </c:pt>
                <c:pt idx="2419">
                  <c:v>805.27656000000002</c:v>
                </c:pt>
                <c:pt idx="2420">
                  <c:v>805.27793000000008</c:v>
                </c:pt>
                <c:pt idx="2421">
                  <c:v>805.27931000000001</c:v>
                </c:pt>
                <c:pt idx="2422">
                  <c:v>805.28757000000007</c:v>
                </c:pt>
                <c:pt idx="2423">
                  <c:v>805.28895000000011</c:v>
                </c:pt>
                <c:pt idx="2424">
                  <c:v>805.29032000000007</c:v>
                </c:pt>
                <c:pt idx="2425">
                  <c:v>805.29170000000011</c:v>
                </c:pt>
                <c:pt idx="2426">
                  <c:v>805.29308000000003</c:v>
                </c:pt>
                <c:pt idx="2427">
                  <c:v>805.2944500000001</c:v>
                </c:pt>
                <c:pt idx="2428">
                  <c:v>805.29583000000002</c:v>
                </c:pt>
                <c:pt idx="2429">
                  <c:v>805.29721000000006</c:v>
                </c:pt>
                <c:pt idx="2430">
                  <c:v>805.2985900000001</c:v>
                </c:pt>
                <c:pt idx="2431">
                  <c:v>805.29997000000003</c:v>
                </c:pt>
                <c:pt idx="2432">
                  <c:v>805.30824000000007</c:v>
                </c:pt>
                <c:pt idx="2433">
                  <c:v>805.30962000000011</c:v>
                </c:pt>
                <c:pt idx="2434">
                  <c:v>805.31100000000004</c:v>
                </c:pt>
                <c:pt idx="2435">
                  <c:v>805.31238000000008</c:v>
                </c:pt>
                <c:pt idx="2436">
                  <c:v>805.31376000000012</c:v>
                </c:pt>
                <c:pt idx="2437">
                  <c:v>805.31514000000004</c:v>
                </c:pt>
                <c:pt idx="2438">
                  <c:v>805.31652000000008</c:v>
                </c:pt>
                <c:pt idx="2439">
                  <c:v>805.31790000000012</c:v>
                </c:pt>
                <c:pt idx="2440">
                  <c:v>805.31927000000007</c:v>
                </c:pt>
                <c:pt idx="2441">
                  <c:v>805.32065000000011</c:v>
                </c:pt>
                <c:pt idx="2442">
                  <c:v>805.3289400000001</c:v>
                </c:pt>
                <c:pt idx="2443">
                  <c:v>805.33032000000003</c:v>
                </c:pt>
                <c:pt idx="2444">
                  <c:v>805.33170000000007</c:v>
                </c:pt>
                <c:pt idx="2445">
                  <c:v>805.33308000000011</c:v>
                </c:pt>
                <c:pt idx="2446">
                  <c:v>805.33446000000004</c:v>
                </c:pt>
                <c:pt idx="2447">
                  <c:v>805.3358300000001</c:v>
                </c:pt>
                <c:pt idx="2448">
                  <c:v>805.33721000000003</c:v>
                </c:pt>
                <c:pt idx="2449">
                  <c:v>805.33859000000007</c:v>
                </c:pt>
                <c:pt idx="2450">
                  <c:v>805.33997000000011</c:v>
                </c:pt>
                <c:pt idx="2451">
                  <c:v>805.3496100000001</c:v>
                </c:pt>
                <c:pt idx="2452">
                  <c:v>805.35099000000002</c:v>
                </c:pt>
                <c:pt idx="2453">
                  <c:v>805.35237000000006</c:v>
                </c:pt>
                <c:pt idx="2454">
                  <c:v>805.35374000000002</c:v>
                </c:pt>
                <c:pt idx="2455">
                  <c:v>805.35512000000006</c:v>
                </c:pt>
                <c:pt idx="2456">
                  <c:v>805.3565000000001</c:v>
                </c:pt>
                <c:pt idx="2457">
                  <c:v>805.35788000000002</c:v>
                </c:pt>
                <c:pt idx="2458">
                  <c:v>805.35925000000009</c:v>
                </c:pt>
                <c:pt idx="2459">
                  <c:v>805.36062000000004</c:v>
                </c:pt>
                <c:pt idx="2460">
                  <c:v>805.37026000000003</c:v>
                </c:pt>
                <c:pt idx="2461">
                  <c:v>805.3716300000001</c:v>
                </c:pt>
                <c:pt idx="2462">
                  <c:v>805.37301000000002</c:v>
                </c:pt>
                <c:pt idx="2463">
                  <c:v>805.37439000000006</c:v>
                </c:pt>
                <c:pt idx="2464">
                  <c:v>805.3757700000001</c:v>
                </c:pt>
                <c:pt idx="2465">
                  <c:v>805.37715000000003</c:v>
                </c:pt>
                <c:pt idx="2466">
                  <c:v>805.37853000000007</c:v>
                </c:pt>
                <c:pt idx="2467">
                  <c:v>805.37990000000002</c:v>
                </c:pt>
                <c:pt idx="2468">
                  <c:v>805.38127000000009</c:v>
                </c:pt>
                <c:pt idx="2469">
                  <c:v>805.38954000000001</c:v>
                </c:pt>
                <c:pt idx="2470">
                  <c:v>805.39091000000008</c:v>
                </c:pt>
                <c:pt idx="2471">
                  <c:v>805.39228000000003</c:v>
                </c:pt>
                <c:pt idx="2472">
                  <c:v>805.39365000000009</c:v>
                </c:pt>
                <c:pt idx="2473">
                  <c:v>805.39503000000002</c:v>
                </c:pt>
                <c:pt idx="2474">
                  <c:v>805.39641000000006</c:v>
                </c:pt>
                <c:pt idx="2475">
                  <c:v>805.3977900000001</c:v>
                </c:pt>
                <c:pt idx="2476">
                  <c:v>805.39916000000005</c:v>
                </c:pt>
                <c:pt idx="2477">
                  <c:v>805.40053000000012</c:v>
                </c:pt>
                <c:pt idx="2478">
                  <c:v>805.40190000000007</c:v>
                </c:pt>
                <c:pt idx="2479">
                  <c:v>805.41154000000006</c:v>
                </c:pt>
                <c:pt idx="2480">
                  <c:v>805.41291000000001</c:v>
                </c:pt>
                <c:pt idx="2481">
                  <c:v>805.41428000000008</c:v>
                </c:pt>
                <c:pt idx="2482">
                  <c:v>805.41566000000012</c:v>
                </c:pt>
                <c:pt idx="2483">
                  <c:v>805.41704000000004</c:v>
                </c:pt>
                <c:pt idx="2484">
                  <c:v>805.41842000000008</c:v>
                </c:pt>
                <c:pt idx="2485">
                  <c:v>805.41980000000001</c:v>
                </c:pt>
                <c:pt idx="2486">
                  <c:v>805.42118000000005</c:v>
                </c:pt>
                <c:pt idx="2487">
                  <c:v>805.42255000000011</c:v>
                </c:pt>
                <c:pt idx="2488">
                  <c:v>805.43219000000011</c:v>
                </c:pt>
                <c:pt idx="2489">
                  <c:v>805.43356000000006</c:v>
                </c:pt>
                <c:pt idx="2490">
                  <c:v>805.43493000000012</c:v>
                </c:pt>
                <c:pt idx="2491">
                  <c:v>805.43630000000007</c:v>
                </c:pt>
                <c:pt idx="2492">
                  <c:v>805.43768000000011</c:v>
                </c:pt>
                <c:pt idx="2493">
                  <c:v>805.43906000000004</c:v>
                </c:pt>
                <c:pt idx="2494">
                  <c:v>805.44044000000008</c:v>
                </c:pt>
                <c:pt idx="2495">
                  <c:v>805.44182000000012</c:v>
                </c:pt>
                <c:pt idx="2496">
                  <c:v>805.44319000000007</c:v>
                </c:pt>
                <c:pt idx="2497">
                  <c:v>805.45283000000006</c:v>
                </c:pt>
                <c:pt idx="2498">
                  <c:v>805.45420000000001</c:v>
                </c:pt>
                <c:pt idx="2499">
                  <c:v>805.45557000000008</c:v>
                </c:pt>
                <c:pt idx="2500">
                  <c:v>805.45694000000003</c:v>
                </c:pt>
                <c:pt idx="2501">
                  <c:v>805.45832000000007</c:v>
                </c:pt>
                <c:pt idx="2502">
                  <c:v>805.45970000000011</c:v>
                </c:pt>
                <c:pt idx="2503">
                  <c:v>805.46108000000004</c:v>
                </c:pt>
                <c:pt idx="2504">
                  <c:v>805.46246000000008</c:v>
                </c:pt>
                <c:pt idx="2505">
                  <c:v>805.46384000000012</c:v>
                </c:pt>
                <c:pt idx="2506">
                  <c:v>805.47210000000007</c:v>
                </c:pt>
                <c:pt idx="2507">
                  <c:v>805.47348000000011</c:v>
                </c:pt>
                <c:pt idx="2508">
                  <c:v>805.47485000000006</c:v>
                </c:pt>
                <c:pt idx="2509">
                  <c:v>805.47622000000001</c:v>
                </c:pt>
                <c:pt idx="2510">
                  <c:v>805.47759000000008</c:v>
                </c:pt>
                <c:pt idx="2511">
                  <c:v>805.47897000000012</c:v>
                </c:pt>
                <c:pt idx="2512">
                  <c:v>805.48035000000004</c:v>
                </c:pt>
                <c:pt idx="2513">
                  <c:v>805.48173000000008</c:v>
                </c:pt>
                <c:pt idx="2514">
                  <c:v>805.48311000000001</c:v>
                </c:pt>
                <c:pt idx="2515">
                  <c:v>805.48449000000005</c:v>
                </c:pt>
                <c:pt idx="2516">
                  <c:v>805.49413000000004</c:v>
                </c:pt>
                <c:pt idx="2517">
                  <c:v>805.49551000000008</c:v>
                </c:pt>
                <c:pt idx="2518">
                  <c:v>805.49688000000003</c:v>
                </c:pt>
                <c:pt idx="2519">
                  <c:v>805.4982500000001</c:v>
                </c:pt>
                <c:pt idx="2520">
                  <c:v>805.49962000000005</c:v>
                </c:pt>
                <c:pt idx="2521">
                  <c:v>805.50100000000009</c:v>
                </c:pt>
                <c:pt idx="2522">
                  <c:v>805.50238000000002</c:v>
                </c:pt>
                <c:pt idx="2523">
                  <c:v>805.50376000000006</c:v>
                </c:pt>
                <c:pt idx="2524">
                  <c:v>805.50513000000012</c:v>
                </c:pt>
                <c:pt idx="2525">
                  <c:v>805.51477000000011</c:v>
                </c:pt>
                <c:pt idx="2526">
                  <c:v>805.51615000000004</c:v>
                </c:pt>
                <c:pt idx="2527">
                  <c:v>805.5175200000001</c:v>
                </c:pt>
                <c:pt idx="2528">
                  <c:v>805.51889000000006</c:v>
                </c:pt>
                <c:pt idx="2529">
                  <c:v>805.52026000000012</c:v>
                </c:pt>
                <c:pt idx="2530">
                  <c:v>805.52164000000005</c:v>
                </c:pt>
                <c:pt idx="2531">
                  <c:v>805.52302000000009</c:v>
                </c:pt>
                <c:pt idx="2532">
                  <c:v>805.52440000000001</c:v>
                </c:pt>
                <c:pt idx="2533">
                  <c:v>805.52578000000005</c:v>
                </c:pt>
                <c:pt idx="2534">
                  <c:v>805.53542000000004</c:v>
                </c:pt>
                <c:pt idx="2535">
                  <c:v>805.53680000000008</c:v>
                </c:pt>
                <c:pt idx="2536">
                  <c:v>805.53818000000001</c:v>
                </c:pt>
                <c:pt idx="2537">
                  <c:v>805.53956000000005</c:v>
                </c:pt>
                <c:pt idx="2538">
                  <c:v>805.54094000000009</c:v>
                </c:pt>
                <c:pt idx="2539">
                  <c:v>805.54231000000004</c:v>
                </c:pt>
                <c:pt idx="2540">
                  <c:v>805.54368000000011</c:v>
                </c:pt>
                <c:pt idx="2541">
                  <c:v>805.54505000000006</c:v>
                </c:pt>
                <c:pt idx="2542">
                  <c:v>805.54642000000001</c:v>
                </c:pt>
                <c:pt idx="2543">
                  <c:v>805.55604000000005</c:v>
                </c:pt>
                <c:pt idx="2544">
                  <c:v>805.55742000000009</c:v>
                </c:pt>
                <c:pt idx="2545">
                  <c:v>805.55880000000002</c:v>
                </c:pt>
                <c:pt idx="2546">
                  <c:v>805.56018000000006</c:v>
                </c:pt>
                <c:pt idx="2547">
                  <c:v>805.5615600000001</c:v>
                </c:pt>
                <c:pt idx="2548">
                  <c:v>805.56293000000005</c:v>
                </c:pt>
                <c:pt idx="2549">
                  <c:v>805.56430000000012</c:v>
                </c:pt>
                <c:pt idx="2550">
                  <c:v>805.56567000000007</c:v>
                </c:pt>
                <c:pt idx="2551">
                  <c:v>805.56704000000002</c:v>
                </c:pt>
                <c:pt idx="2552">
                  <c:v>805.56841000000009</c:v>
                </c:pt>
                <c:pt idx="2553">
                  <c:v>805.57667000000004</c:v>
                </c:pt>
                <c:pt idx="2554">
                  <c:v>805.57805000000008</c:v>
                </c:pt>
                <c:pt idx="2555">
                  <c:v>805.57943000000012</c:v>
                </c:pt>
                <c:pt idx="2556">
                  <c:v>805.58081000000004</c:v>
                </c:pt>
                <c:pt idx="2557">
                  <c:v>805.58218000000011</c:v>
                </c:pt>
                <c:pt idx="2558">
                  <c:v>805.58355000000006</c:v>
                </c:pt>
                <c:pt idx="2559">
                  <c:v>805.58492000000001</c:v>
                </c:pt>
                <c:pt idx="2560">
                  <c:v>805.58629000000008</c:v>
                </c:pt>
                <c:pt idx="2561">
                  <c:v>805.58766000000003</c:v>
                </c:pt>
                <c:pt idx="2562">
                  <c:v>805.58903000000009</c:v>
                </c:pt>
                <c:pt idx="2563">
                  <c:v>805.59867000000008</c:v>
                </c:pt>
                <c:pt idx="2564">
                  <c:v>805.60005000000001</c:v>
                </c:pt>
                <c:pt idx="2565">
                  <c:v>805.60142000000008</c:v>
                </c:pt>
                <c:pt idx="2566">
                  <c:v>805.60279000000003</c:v>
                </c:pt>
                <c:pt idx="2567">
                  <c:v>805.60416000000009</c:v>
                </c:pt>
                <c:pt idx="2568">
                  <c:v>805.60553000000004</c:v>
                </c:pt>
                <c:pt idx="2569">
                  <c:v>805.60690000000011</c:v>
                </c:pt>
                <c:pt idx="2570">
                  <c:v>805.60827000000006</c:v>
                </c:pt>
                <c:pt idx="2571">
                  <c:v>805.60964000000001</c:v>
                </c:pt>
                <c:pt idx="2572">
                  <c:v>805.61101000000008</c:v>
                </c:pt>
                <c:pt idx="2573">
                  <c:v>805.62066000000004</c:v>
                </c:pt>
                <c:pt idx="2574">
                  <c:v>805.62203000000011</c:v>
                </c:pt>
                <c:pt idx="2575">
                  <c:v>805.62340000000006</c:v>
                </c:pt>
                <c:pt idx="2576">
                  <c:v>805.62477000000001</c:v>
                </c:pt>
                <c:pt idx="2577">
                  <c:v>805.62614000000008</c:v>
                </c:pt>
                <c:pt idx="2578">
                  <c:v>805.62751000000003</c:v>
                </c:pt>
                <c:pt idx="2579">
                  <c:v>805.62888000000009</c:v>
                </c:pt>
                <c:pt idx="2580">
                  <c:v>805.63025000000005</c:v>
                </c:pt>
                <c:pt idx="2581">
                  <c:v>805.63162000000011</c:v>
                </c:pt>
                <c:pt idx="2582">
                  <c:v>805.63300000000004</c:v>
                </c:pt>
                <c:pt idx="2583">
                  <c:v>805.64264000000003</c:v>
                </c:pt>
                <c:pt idx="2584">
                  <c:v>805.64401000000009</c:v>
                </c:pt>
                <c:pt idx="2585">
                  <c:v>805.64538000000005</c:v>
                </c:pt>
                <c:pt idx="2586">
                  <c:v>805.64675000000011</c:v>
                </c:pt>
                <c:pt idx="2587">
                  <c:v>805.64812000000006</c:v>
                </c:pt>
                <c:pt idx="2588">
                  <c:v>805.64949000000001</c:v>
                </c:pt>
                <c:pt idx="2589">
                  <c:v>805.65086000000008</c:v>
                </c:pt>
                <c:pt idx="2590">
                  <c:v>805.65223000000003</c:v>
                </c:pt>
                <c:pt idx="2591">
                  <c:v>805.65361000000007</c:v>
                </c:pt>
                <c:pt idx="2592">
                  <c:v>805.65499000000011</c:v>
                </c:pt>
                <c:pt idx="2593">
                  <c:v>805.66461000000004</c:v>
                </c:pt>
                <c:pt idx="2594">
                  <c:v>805.6659800000001</c:v>
                </c:pt>
                <c:pt idx="2595">
                  <c:v>805.66735000000006</c:v>
                </c:pt>
                <c:pt idx="2596">
                  <c:v>805.66872000000012</c:v>
                </c:pt>
                <c:pt idx="2597">
                  <c:v>805.67009000000007</c:v>
                </c:pt>
                <c:pt idx="2598">
                  <c:v>805.67146000000002</c:v>
                </c:pt>
                <c:pt idx="2599">
                  <c:v>805.67283000000009</c:v>
                </c:pt>
                <c:pt idx="2600">
                  <c:v>805.67421000000002</c:v>
                </c:pt>
                <c:pt idx="2601">
                  <c:v>805.67559000000006</c:v>
                </c:pt>
                <c:pt idx="2602">
                  <c:v>805.6769700000001</c:v>
                </c:pt>
                <c:pt idx="2603">
                  <c:v>805.68658000000005</c:v>
                </c:pt>
                <c:pt idx="2604">
                  <c:v>805.68795000000011</c:v>
                </c:pt>
                <c:pt idx="2605">
                  <c:v>805.68932000000007</c:v>
                </c:pt>
                <c:pt idx="2606">
                  <c:v>805.69069000000002</c:v>
                </c:pt>
                <c:pt idx="2607">
                  <c:v>805.69207000000006</c:v>
                </c:pt>
                <c:pt idx="2608">
                  <c:v>805.69344000000001</c:v>
                </c:pt>
                <c:pt idx="2609">
                  <c:v>805.69482000000005</c:v>
                </c:pt>
                <c:pt idx="2610">
                  <c:v>805.69620000000009</c:v>
                </c:pt>
                <c:pt idx="2611">
                  <c:v>805.69758000000002</c:v>
                </c:pt>
                <c:pt idx="2612">
                  <c:v>805.69896000000006</c:v>
                </c:pt>
                <c:pt idx="2613">
                  <c:v>805.70856000000003</c:v>
                </c:pt>
                <c:pt idx="2614">
                  <c:v>805.7099300000001</c:v>
                </c:pt>
                <c:pt idx="2615">
                  <c:v>805.71131000000003</c:v>
                </c:pt>
                <c:pt idx="2616">
                  <c:v>805.71269000000007</c:v>
                </c:pt>
                <c:pt idx="2617">
                  <c:v>805.71406000000002</c:v>
                </c:pt>
                <c:pt idx="2618">
                  <c:v>805.71544000000006</c:v>
                </c:pt>
                <c:pt idx="2619">
                  <c:v>805.7168200000001</c:v>
                </c:pt>
                <c:pt idx="2620">
                  <c:v>805.71820000000002</c:v>
                </c:pt>
                <c:pt idx="2621">
                  <c:v>805.71957000000009</c:v>
                </c:pt>
                <c:pt idx="2622">
                  <c:v>805.72094000000004</c:v>
                </c:pt>
                <c:pt idx="2623">
                  <c:v>805.73054000000002</c:v>
                </c:pt>
                <c:pt idx="2624">
                  <c:v>805.73191000000008</c:v>
                </c:pt>
                <c:pt idx="2625">
                  <c:v>805.73328000000004</c:v>
                </c:pt>
                <c:pt idx="2626">
                  <c:v>805.7346500000001</c:v>
                </c:pt>
                <c:pt idx="2627">
                  <c:v>805.73603000000003</c:v>
                </c:pt>
                <c:pt idx="2628">
                  <c:v>805.73740000000009</c:v>
                </c:pt>
                <c:pt idx="2629">
                  <c:v>805.73877000000005</c:v>
                </c:pt>
                <c:pt idx="2630">
                  <c:v>805.74014000000011</c:v>
                </c:pt>
                <c:pt idx="2631">
                  <c:v>805.74152000000004</c:v>
                </c:pt>
                <c:pt idx="2632">
                  <c:v>805.7428900000001</c:v>
                </c:pt>
                <c:pt idx="2633">
                  <c:v>805.74426000000005</c:v>
                </c:pt>
                <c:pt idx="2634">
                  <c:v>805.75386000000003</c:v>
                </c:pt>
                <c:pt idx="2635">
                  <c:v>805.7552300000001</c:v>
                </c:pt>
                <c:pt idx="2636">
                  <c:v>805.75661000000002</c:v>
                </c:pt>
                <c:pt idx="2637">
                  <c:v>805.75798000000009</c:v>
                </c:pt>
                <c:pt idx="2638">
                  <c:v>805.75935000000004</c:v>
                </c:pt>
                <c:pt idx="2639">
                  <c:v>805.76072000000011</c:v>
                </c:pt>
                <c:pt idx="2640">
                  <c:v>805.76210000000003</c:v>
                </c:pt>
                <c:pt idx="2641">
                  <c:v>805.7634700000001</c:v>
                </c:pt>
                <c:pt idx="2642">
                  <c:v>805.76484000000005</c:v>
                </c:pt>
                <c:pt idx="2643">
                  <c:v>805.76621000000011</c:v>
                </c:pt>
                <c:pt idx="2644">
                  <c:v>805.77581000000009</c:v>
                </c:pt>
                <c:pt idx="2645">
                  <c:v>805.77719000000002</c:v>
                </c:pt>
                <c:pt idx="2646">
                  <c:v>805.77856000000008</c:v>
                </c:pt>
                <c:pt idx="2647">
                  <c:v>805.77993000000004</c:v>
                </c:pt>
                <c:pt idx="2648">
                  <c:v>805.7813000000001</c:v>
                </c:pt>
                <c:pt idx="2649">
                  <c:v>805.78267000000005</c:v>
                </c:pt>
                <c:pt idx="2650">
                  <c:v>805.78404000000012</c:v>
                </c:pt>
                <c:pt idx="2651">
                  <c:v>805.78541000000007</c:v>
                </c:pt>
                <c:pt idx="2652">
                  <c:v>805.78679000000011</c:v>
                </c:pt>
                <c:pt idx="2653">
                  <c:v>805.78816000000006</c:v>
                </c:pt>
                <c:pt idx="2654">
                  <c:v>805.78953000000001</c:v>
                </c:pt>
                <c:pt idx="2655">
                  <c:v>805.79776000000004</c:v>
                </c:pt>
                <c:pt idx="2656">
                  <c:v>805.7991300000001</c:v>
                </c:pt>
                <c:pt idx="2657">
                  <c:v>805.80050000000006</c:v>
                </c:pt>
                <c:pt idx="2658">
                  <c:v>805.8018800000001</c:v>
                </c:pt>
                <c:pt idx="2659">
                  <c:v>805.80325000000005</c:v>
                </c:pt>
                <c:pt idx="2660">
                  <c:v>805.80462000000011</c:v>
                </c:pt>
                <c:pt idx="2661">
                  <c:v>805.80599000000007</c:v>
                </c:pt>
                <c:pt idx="2662">
                  <c:v>805.80737000000011</c:v>
                </c:pt>
                <c:pt idx="2663">
                  <c:v>805.80874000000006</c:v>
                </c:pt>
                <c:pt idx="2664">
                  <c:v>805.81011000000012</c:v>
                </c:pt>
                <c:pt idx="2665">
                  <c:v>805.81148000000007</c:v>
                </c:pt>
                <c:pt idx="2666">
                  <c:v>805.82246000000009</c:v>
                </c:pt>
                <c:pt idx="2667">
                  <c:v>805.82383000000004</c:v>
                </c:pt>
                <c:pt idx="2668">
                  <c:v>805.82520000000011</c:v>
                </c:pt>
                <c:pt idx="2669">
                  <c:v>805.82657000000006</c:v>
                </c:pt>
                <c:pt idx="2670">
                  <c:v>805.82794000000001</c:v>
                </c:pt>
                <c:pt idx="2671">
                  <c:v>805.82931000000008</c:v>
                </c:pt>
                <c:pt idx="2672">
                  <c:v>805.83068000000003</c:v>
                </c:pt>
                <c:pt idx="2673">
                  <c:v>805.83205000000009</c:v>
                </c:pt>
                <c:pt idx="2674">
                  <c:v>805.83342000000005</c:v>
                </c:pt>
                <c:pt idx="2675">
                  <c:v>805.84165000000007</c:v>
                </c:pt>
                <c:pt idx="2676">
                  <c:v>805.84303000000011</c:v>
                </c:pt>
                <c:pt idx="2677">
                  <c:v>805.84440000000006</c:v>
                </c:pt>
                <c:pt idx="2678">
                  <c:v>805.84577000000002</c:v>
                </c:pt>
                <c:pt idx="2679">
                  <c:v>805.84714000000008</c:v>
                </c:pt>
                <c:pt idx="2680">
                  <c:v>805.84852000000012</c:v>
                </c:pt>
                <c:pt idx="2681">
                  <c:v>805.84989000000007</c:v>
                </c:pt>
                <c:pt idx="2682">
                  <c:v>805.85126000000002</c:v>
                </c:pt>
                <c:pt idx="2683">
                  <c:v>805.85263000000009</c:v>
                </c:pt>
                <c:pt idx="2684">
                  <c:v>805.85400000000004</c:v>
                </c:pt>
                <c:pt idx="2685">
                  <c:v>805.86361000000011</c:v>
                </c:pt>
                <c:pt idx="2686">
                  <c:v>805.86498000000006</c:v>
                </c:pt>
                <c:pt idx="2687">
                  <c:v>805.86635000000001</c:v>
                </c:pt>
                <c:pt idx="2688">
                  <c:v>805.86772000000008</c:v>
                </c:pt>
                <c:pt idx="2689">
                  <c:v>805.86909000000003</c:v>
                </c:pt>
                <c:pt idx="2690">
                  <c:v>805.87046000000009</c:v>
                </c:pt>
                <c:pt idx="2691">
                  <c:v>805.87183000000005</c:v>
                </c:pt>
                <c:pt idx="2692">
                  <c:v>805.87321000000009</c:v>
                </c:pt>
                <c:pt idx="2693">
                  <c:v>805.87458000000004</c:v>
                </c:pt>
                <c:pt idx="2694">
                  <c:v>805.8759500000001</c:v>
                </c:pt>
                <c:pt idx="2695">
                  <c:v>805.87732000000005</c:v>
                </c:pt>
                <c:pt idx="2696">
                  <c:v>805.88693000000012</c:v>
                </c:pt>
                <c:pt idx="2697">
                  <c:v>805.88831000000005</c:v>
                </c:pt>
                <c:pt idx="2698">
                  <c:v>805.88968000000011</c:v>
                </c:pt>
                <c:pt idx="2699">
                  <c:v>805.89105000000006</c:v>
                </c:pt>
                <c:pt idx="2700">
                  <c:v>805.89242000000002</c:v>
                </c:pt>
                <c:pt idx="2701">
                  <c:v>805.89380000000006</c:v>
                </c:pt>
                <c:pt idx="2702">
                  <c:v>805.89517000000012</c:v>
                </c:pt>
                <c:pt idx="2703">
                  <c:v>805.89654000000007</c:v>
                </c:pt>
                <c:pt idx="2704">
                  <c:v>805.89791000000002</c:v>
                </c:pt>
                <c:pt idx="2705">
                  <c:v>805.89929000000006</c:v>
                </c:pt>
                <c:pt idx="2706">
                  <c:v>805.90066000000002</c:v>
                </c:pt>
                <c:pt idx="2707">
                  <c:v>805.90889000000004</c:v>
                </c:pt>
                <c:pt idx="2708">
                  <c:v>805.91026000000011</c:v>
                </c:pt>
                <c:pt idx="2709">
                  <c:v>805.91163000000006</c:v>
                </c:pt>
                <c:pt idx="2710">
                  <c:v>805.91300000000001</c:v>
                </c:pt>
                <c:pt idx="2711">
                  <c:v>805.91437000000008</c:v>
                </c:pt>
                <c:pt idx="2712">
                  <c:v>805.91574000000003</c:v>
                </c:pt>
                <c:pt idx="2713">
                  <c:v>805.91711000000009</c:v>
                </c:pt>
                <c:pt idx="2714">
                  <c:v>805.91848000000005</c:v>
                </c:pt>
                <c:pt idx="2715">
                  <c:v>805.91985000000011</c:v>
                </c:pt>
                <c:pt idx="2716">
                  <c:v>805.92122000000006</c:v>
                </c:pt>
                <c:pt idx="2717">
                  <c:v>805.92259000000001</c:v>
                </c:pt>
                <c:pt idx="2718">
                  <c:v>805.93220000000008</c:v>
                </c:pt>
                <c:pt idx="2719">
                  <c:v>805.93357000000003</c:v>
                </c:pt>
                <c:pt idx="2720">
                  <c:v>805.93495000000007</c:v>
                </c:pt>
                <c:pt idx="2721">
                  <c:v>805.93632000000002</c:v>
                </c:pt>
                <c:pt idx="2722">
                  <c:v>805.93769000000009</c:v>
                </c:pt>
                <c:pt idx="2723">
                  <c:v>805.93906000000004</c:v>
                </c:pt>
                <c:pt idx="2724">
                  <c:v>805.94043000000011</c:v>
                </c:pt>
                <c:pt idx="2725">
                  <c:v>805.94180000000006</c:v>
                </c:pt>
                <c:pt idx="2726">
                  <c:v>805.94317000000001</c:v>
                </c:pt>
                <c:pt idx="2727">
                  <c:v>805.94455000000005</c:v>
                </c:pt>
                <c:pt idx="2728">
                  <c:v>805.95416000000012</c:v>
                </c:pt>
                <c:pt idx="2729">
                  <c:v>805.95553000000007</c:v>
                </c:pt>
                <c:pt idx="2730">
                  <c:v>805.95690000000002</c:v>
                </c:pt>
                <c:pt idx="2731">
                  <c:v>805.95827000000008</c:v>
                </c:pt>
                <c:pt idx="2732">
                  <c:v>805.95965000000001</c:v>
                </c:pt>
                <c:pt idx="2733">
                  <c:v>805.96102000000008</c:v>
                </c:pt>
                <c:pt idx="2734">
                  <c:v>805.96239000000003</c:v>
                </c:pt>
                <c:pt idx="2735">
                  <c:v>805.96376000000009</c:v>
                </c:pt>
                <c:pt idx="2736">
                  <c:v>805.96514000000002</c:v>
                </c:pt>
                <c:pt idx="2737">
                  <c:v>805.96651000000008</c:v>
                </c:pt>
                <c:pt idx="2738">
                  <c:v>805.96788000000004</c:v>
                </c:pt>
                <c:pt idx="2739">
                  <c:v>805.9774900000001</c:v>
                </c:pt>
                <c:pt idx="2740">
                  <c:v>805.97886000000005</c:v>
                </c:pt>
                <c:pt idx="2741">
                  <c:v>805.98024000000009</c:v>
                </c:pt>
                <c:pt idx="2742">
                  <c:v>805.98161000000005</c:v>
                </c:pt>
                <c:pt idx="2743">
                  <c:v>805.98298000000011</c:v>
                </c:pt>
                <c:pt idx="2744">
                  <c:v>805.98435000000006</c:v>
                </c:pt>
                <c:pt idx="2745">
                  <c:v>805.9857300000001</c:v>
                </c:pt>
                <c:pt idx="2746">
                  <c:v>805.98710000000005</c:v>
                </c:pt>
                <c:pt idx="2747">
                  <c:v>805.98847000000012</c:v>
                </c:pt>
                <c:pt idx="2748">
                  <c:v>805.98984000000007</c:v>
                </c:pt>
                <c:pt idx="2749">
                  <c:v>805.99944000000005</c:v>
                </c:pt>
                <c:pt idx="2750">
                  <c:v>806.00082000000009</c:v>
                </c:pt>
                <c:pt idx="2751">
                  <c:v>806.00219000000004</c:v>
                </c:pt>
                <c:pt idx="2752">
                  <c:v>806.00356000000011</c:v>
                </c:pt>
                <c:pt idx="2753">
                  <c:v>806.00493000000006</c:v>
                </c:pt>
                <c:pt idx="2754">
                  <c:v>806.00630000000001</c:v>
                </c:pt>
                <c:pt idx="2755">
                  <c:v>806.00767000000008</c:v>
                </c:pt>
                <c:pt idx="2756">
                  <c:v>806.00904000000003</c:v>
                </c:pt>
                <c:pt idx="2757">
                  <c:v>806.01042000000007</c:v>
                </c:pt>
                <c:pt idx="2758">
                  <c:v>806.01179000000002</c:v>
                </c:pt>
                <c:pt idx="2759">
                  <c:v>806.02141000000006</c:v>
                </c:pt>
                <c:pt idx="2760">
                  <c:v>806.02278000000001</c:v>
                </c:pt>
                <c:pt idx="2761">
                  <c:v>806.02415000000008</c:v>
                </c:pt>
                <c:pt idx="2762">
                  <c:v>806.02552000000003</c:v>
                </c:pt>
                <c:pt idx="2763">
                  <c:v>806.02689000000009</c:v>
                </c:pt>
                <c:pt idx="2764">
                  <c:v>806.02826000000005</c:v>
                </c:pt>
                <c:pt idx="2765">
                  <c:v>806.02963000000011</c:v>
                </c:pt>
                <c:pt idx="2766">
                  <c:v>806.03101000000004</c:v>
                </c:pt>
                <c:pt idx="2767">
                  <c:v>806.0323800000001</c:v>
                </c:pt>
                <c:pt idx="2768">
                  <c:v>806.03375000000005</c:v>
                </c:pt>
                <c:pt idx="2769">
                  <c:v>806.03512000000012</c:v>
                </c:pt>
                <c:pt idx="2770">
                  <c:v>806.03650000000005</c:v>
                </c:pt>
                <c:pt idx="2771">
                  <c:v>806.0447200000001</c:v>
                </c:pt>
                <c:pt idx="2772">
                  <c:v>806.04609000000005</c:v>
                </c:pt>
                <c:pt idx="2773">
                  <c:v>806.04746000000011</c:v>
                </c:pt>
                <c:pt idx="2774">
                  <c:v>806.04883000000007</c:v>
                </c:pt>
                <c:pt idx="2775">
                  <c:v>806.05020000000002</c:v>
                </c:pt>
                <c:pt idx="2776">
                  <c:v>806.05157000000008</c:v>
                </c:pt>
                <c:pt idx="2777">
                  <c:v>806.05294000000004</c:v>
                </c:pt>
                <c:pt idx="2778">
                  <c:v>806.0543100000001</c:v>
                </c:pt>
                <c:pt idx="2779">
                  <c:v>806.05569000000003</c:v>
                </c:pt>
                <c:pt idx="2780">
                  <c:v>806.05707000000007</c:v>
                </c:pt>
                <c:pt idx="2781">
                  <c:v>806.05844000000002</c:v>
                </c:pt>
                <c:pt idx="2782">
                  <c:v>806.06943000000001</c:v>
                </c:pt>
                <c:pt idx="2783">
                  <c:v>806.07081000000005</c:v>
                </c:pt>
                <c:pt idx="2784">
                  <c:v>806.07219000000009</c:v>
                </c:pt>
                <c:pt idx="2785">
                  <c:v>806.07356000000004</c:v>
                </c:pt>
                <c:pt idx="2786">
                  <c:v>806.07493000000011</c:v>
                </c:pt>
                <c:pt idx="2787">
                  <c:v>806.07630000000006</c:v>
                </c:pt>
                <c:pt idx="2788">
                  <c:v>806.07767000000001</c:v>
                </c:pt>
                <c:pt idx="2789">
                  <c:v>806.07904000000008</c:v>
                </c:pt>
                <c:pt idx="2790">
                  <c:v>806.08041000000003</c:v>
                </c:pt>
                <c:pt idx="2791">
                  <c:v>806.09</c:v>
                </c:pt>
                <c:pt idx="2792">
                  <c:v>806.0913700000001</c:v>
                </c:pt>
                <c:pt idx="2793">
                  <c:v>806.09274000000005</c:v>
                </c:pt>
                <c:pt idx="2794">
                  <c:v>806.09411000000011</c:v>
                </c:pt>
                <c:pt idx="2795">
                  <c:v>806.09548000000007</c:v>
                </c:pt>
                <c:pt idx="2796">
                  <c:v>806.09685000000002</c:v>
                </c:pt>
                <c:pt idx="2797">
                  <c:v>806.09822000000008</c:v>
                </c:pt>
                <c:pt idx="2798">
                  <c:v>806.09959000000003</c:v>
                </c:pt>
                <c:pt idx="2799">
                  <c:v>806.1009600000001</c:v>
                </c:pt>
                <c:pt idx="2800">
                  <c:v>806.10233000000005</c:v>
                </c:pt>
                <c:pt idx="2801">
                  <c:v>806.10370000000012</c:v>
                </c:pt>
                <c:pt idx="2802">
                  <c:v>806.11329000000012</c:v>
                </c:pt>
                <c:pt idx="2803">
                  <c:v>806.11466000000007</c:v>
                </c:pt>
                <c:pt idx="2804">
                  <c:v>806.11603000000002</c:v>
                </c:pt>
                <c:pt idx="2805">
                  <c:v>806.11740000000009</c:v>
                </c:pt>
                <c:pt idx="2806">
                  <c:v>806.11877000000004</c:v>
                </c:pt>
                <c:pt idx="2807">
                  <c:v>806.12014000000011</c:v>
                </c:pt>
                <c:pt idx="2808">
                  <c:v>806.12151000000006</c:v>
                </c:pt>
                <c:pt idx="2809">
                  <c:v>806.12288000000001</c:v>
                </c:pt>
                <c:pt idx="2810">
                  <c:v>806.12425000000007</c:v>
                </c:pt>
                <c:pt idx="2811">
                  <c:v>806.12562000000003</c:v>
                </c:pt>
                <c:pt idx="2812">
                  <c:v>806.12699000000009</c:v>
                </c:pt>
                <c:pt idx="2813">
                  <c:v>806.13795000000005</c:v>
                </c:pt>
                <c:pt idx="2814">
                  <c:v>806.13932000000011</c:v>
                </c:pt>
                <c:pt idx="2815">
                  <c:v>806.14069000000006</c:v>
                </c:pt>
                <c:pt idx="2816">
                  <c:v>806.14206000000001</c:v>
                </c:pt>
                <c:pt idx="2817">
                  <c:v>806.14343000000008</c:v>
                </c:pt>
                <c:pt idx="2818">
                  <c:v>806.14480000000003</c:v>
                </c:pt>
                <c:pt idx="2819">
                  <c:v>806.1461700000001</c:v>
                </c:pt>
                <c:pt idx="2820">
                  <c:v>806.14754000000005</c:v>
                </c:pt>
                <c:pt idx="2821">
                  <c:v>806.14891000000011</c:v>
                </c:pt>
                <c:pt idx="2822">
                  <c:v>806.15027000000009</c:v>
                </c:pt>
                <c:pt idx="2823">
                  <c:v>806.15164000000004</c:v>
                </c:pt>
                <c:pt idx="2824">
                  <c:v>806.16123000000005</c:v>
                </c:pt>
                <c:pt idx="2825">
                  <c:v>806.16260000000011</c:v>
                </c:pt>
                <c:pt idx="2826">
                  <c:v>806.16397000000006</c:v>
                </c:pt>
                <c:pt idx="2827">
                  <c:v>806.16534000000001</c:v>
                </c:pt>
                <c:pt idx="2828">
                  <c:v>806.16671000000008</c:v>
                </c:pt>
                <c:pt idx="2829">
                  <c:v>806.16808000000003</c:v>
                </c:pt>
                <c:pt idx="2830">
                  <c:v>806.1694500000001</c:v>
                </c:pt>
                <c:pt idx="2831">
                  <c:v>806.17082000000005</c:v>
                </c:pt>
                <c:pt idx="2832">
                  <c:v>806.17219000000011</c:v>
                </c:pt>
                <c:pt idx="2833">
                  <c:v>806.17356000000007</c:v>
                </c:pt>
                <c:pt idx="2834">
                  <c:v>806.17493000000002</c:v>
                </c:pt>
                <c:pt idx="2835">
                  <c:v>806.17630000000008</c:v>
                </c:pt>
                <c:pt idx="2836">
                  <c:v>806.18726000000004</c:v>
                </c:pt>
                <c:pt idx="2837">
                  <c:v>806.1886300000001</c:v>
                </c:pt>
                <c:pt idx="2838">
                  <c:v>806.19</c:v>
                </c:pt>
                <c:pt idx="2839">
                  <c:v>806.19137000000012</c:v>
                </c:pt>
                <c:pt idx="2840">
                  <c:v>806.19274000000007</c:v>
                </c:pt>
                <c:pt idx="2841">
                  <c:v>806.19411000000002</c:v>
                </c:pt>
                <c:pt idx="2842">
                  <c:v>806.19548000000009</c:v>
                </c:pt>
                <c:pt idx="2843">
                  <c:v>806.19685000000004</c:v>
                </c:pt>
                <c:pt idx="2844">
                  <c:v>806.19822000000011</c:v>
                </c:pt>
                <c:pt idx="2845">
                  <c:v>806.19959000000006</c:v>
                </c:pt>
                <c:pt idx="2846">
                  <c:v>806.20096000000012</c:v>
                </c:pt>
                <c:pt idx="2847">
                  <c:v>806.2105600000001</c:v>
                </c:pt>
                <c:pt idx="2848">
                  <c:v>806.21193000000005</c:v>
                </c:pt>
                <c:pt idx="2849">
                  <c:v>806.21330000000012</c:v>
                </c:pt>
                <c:pt idx="2850">
                  <c:v>806.21467000000007</c:v>
                </c:pt>
                <c:pt idx="2851">
                  <c:v>806.21604000000002</c:v>
                </c:pt>
                <c:pt idx="2852">
                  <c:v>806.21741000000009</c:v>
                </c:pt>
                <c:pt idx="2853">
                  <c:v>806.21878000000004</c:v>
                </c:pt>
                <c:pt idx="2854">
                  <c:v>806.2201500000001</c:v>
                </c:pt>
                <c:pt idx="2855">
                  <c:v>806.22152000000006</c:v>
                </c:pt>
                <c:pt idx="2856">
                  <c:v>806.22289000000012</c:v>
                </c:pt>
                <c:pt idx="2857">
                  <c:v>806.22426000000007</c:v>
                </c:pt>
                <c:pt idx="2858">
                  <c:v>806.22563000000002</c:v>
                </c:pt>
                <c:pt idx="2859">
                  <c:v>806.23522000000003</c:v>
                </c:pt>
                <c:pt idx="2860">
                  <c:v>806.23659000000009</c:v>
                </c:pt>
                <c:pt idx="2861">
                  <c:v>806.23796000000004</c:v>
                </c:pt>
                <c:pt idx="2862">
                  <c:v>806.23933000000011</c:v>
                </c:pt>
                <c:pt idx="2863">
                  <c:v>806.24070000000006</c:v>
                </c:pt>
                <c:pt idx="2864">
                  <c:v>806.24207000000001</c:v>
                </c:pt>
                <c:pt idx="2865">
                  <c:v>806.24344000000008</c:v>
                </c:pt>
                <c:pt idx="2866">
                  <c:v>806.24481000000003</c:v>
                </c:pt>
                <c:pt idx="2867">
                  <c:v>806.24618000000009</c:v>
                </c:pt>
                <c:pt idx="2868">
                  <c:v>806.24755000000005</c:v>
                </c:pt>
                <c:pt idx="2869">
                  <c:v>806.24892000000011</c:v>
                </c:pt>
                <c:pt idx="2870">
                  <c:v>806.25029000000006</c:v>
                </c:pt>
                <c:pt idx="2871">
                  <c:v>806.25988000000007</c:v>
                </c:pt>
                <c:pt idx="2872">
                  <c:v>806.26125000000002</c:v>
                </c:pt>
                <c:pt idx="2873">
                  <c:v>806.26262000000008</c:v>
                </c:pt>
                <c:pt idx="2874">
                  <c:v>806.26399000000004</c:v>
                </c:pt>
                <c:pt idx="2875">
                  <c:v>806.2653600000001</c:v>
                </c:pt>
                <c:pt idx="2876">
                  <c:v>806.26673000000005</c:v>
                </c:pt>
                <c:pt idx="2877">
                  <c:v>806.26810000000012</c:v>
                </c:pt>
                <c:pt idx="2878">
                  <c:v>806.26946000000009</c:v>
                </c:pt>
                <c:pt idx="2879">
                  <c:v>806.27083000000005</c:v>
                </c:pt>
                <c:pt idx="2880">
                  <c:v>806.27220000000011</c:v>
                </c:pt>
                <c:pt idx="2881">
                  <c:v>806.27357000000006</c:v>
                </c:pt>
                <c:pt idx="2882">
                  <c:v>806.27494000000002</c:v>
                </c:pt>
                <c:pt idx="2883">
                  <c:v>806.28453000000002</c:v>
                </c:pt>
                <c:pt idx="2884">
                  <c:v>806.28590000000008</c:v>
                </c:pt>
                <c:pt idx="2885">
                  <c:v>806.28727000000003</c:v>
                </c:pt>
                <c:pt idx="2886">
                  <c:v>806.28863000000001</c:v>
                </c:pt>
                <c:pt idx="2887">
                  <c:v>806.29000000000008</c:v>
                </c:pt>
                <c:pt idx="2888">
                  <c:v>806.29137000000003</c:v>
                </c:pt>
                <c:pt idx="2889">
                  <c:v>806.29273000000012</c:v>
                </c:pt>
                <c:pt idx="2890">
                  <c:v>806.29410000000007</c:v>
                </c:pt>
                <c:pt idx="2891">
                  <c:v>806.29547000000002</c:v>
                </c:pt>
                <c:pt idx="2892">
                  <c:v>806.29684000000009</c:v>
                </c:pt>
                <c:pt idx="2893">
                  <c:v>806.29821000000004</c:v>
                </c:pt>
                <c:pt idx="2894">
                  <c:v>806.29958000000011</c:v>
                </c:pt>
                <c:pt idx="2895">
                  <c:v>806.30917000000011</c:v>
                </c:pt>
                <c:pt idx="2896">
                  <c:v>806.31054000000006</c:v>
                </c:pt>
                <c:pt idx="2897">
                  <c:v>806.31191000000001</c:v>
                </c:pt>
                <c:pt idx="2898">
                  <c:v>806.31328000000008</c:v>
                </c:pt>
                <c:pt idx="2899">
                  <c:v>806.31602000000009</c:v>
                </c:pt>
                <c:pt idx="2900">
                  <c:v>806.31740000000002</c:v>
                </c:pt>
                <c:pt idx="2901">
                  <c:v>806.31877000000009</c:v>
                </c:pt>
                <c:pt idx="2902">
                  <c:v>806.32014000000004</c:v>
                </c:pt>
                <c:pt idx="2903">
                  <c:v>806.3215100000001</c:v>
                </c:pt>
                <c:pt idx="2904">
                  <c:v>806.32288000000005</c:v>
                </c:pt>
                <c:pt idx="2905">
                  <c:v>806.32425000000012</c:v>
                </c:pt>
                <c:pt idx="2906">
                  <c:v>806.33384000000001</c:v>
                </c:pt>
                <c:pt idx="2907">
                  <c:v>806.33521000000007</c:v>
                </c:pt>
                <c:pt idx="2908">
                  <c:v>806.33658000000003</c:v>
                </c:pt>
                <c:pt idx="2909">
                  <c:v>806.33795000000009</c:v>
                </c:pt>
                <c:pt idx="2910">
                  <c:v>806.33932000000004</c:v>
                </c:pt>
                <c:pt idx="2911">
                  <c:v>806.34069000000011</c:v>
                </c:pt>
                <c:pt idx="2912">
                  <c:v>806.34205000000009</c:v>
                </c:pt>
                <c:pt idx="2913">
                  <c:v>806.34342000000004</c:v>
                </c:pt>
                <c:pt idx="2914">
                  <c:v>806.3447900000001</c:v>
                </c:pt>
                <c:pt idx="2915">
                  <c:v>806.34616000000005</c:v>
                </c:pt>
                <c:pt idx="2916">
                  <c:v>806.34753000000012</c:v>
                </c:pt>
                <c:pt idx="2917">
                  <c:v>806.34890000000007</c:v>
                </c:pt>
                <c:pt idx="2918">
                  <c:v>806.35849000000007</c:v>
                </c:pt>
                <c:pt idx="2919">
                  <c:v>806.35986000000003</c:v>
                </c:pt>
                <c:pt idx="2920">
                  <c:v>806.36123000000009</c:v>
                </c:pt>
                <c:pt idx="2921">
                  <c:v>806.36260000000004</c:v>
                </c:pt>
                <c:pt idx="2922">
                  <c:v>806.36397000000011</c:v>
                </c:pt>
                <c:pt idx="2923">
                  <c:v>806.36534000000006</c:v>
                </c:pt>
                <c:pt idx="2924">
                  <c:v>806.36671000000001</c:v>
                </c:pt>
                <c:pt idx="2925">
                  <c:v>806.36808000000008</c:v>
                </c:pt>
                <c:pt idx="2926">
                  <c:v>806.36945000000003</c:v>
                </c:pt>
                <c:pt idx="2927">
                  <c:v>806.37082000000009</c:v>
                </c:pt>
                <c:pt idx="2928">
                  <c:v>806.37219000000005</c:v>
                </c:pt>
                <c:pt idx="2929">
                  <c:v>806.38178000000005</c:v>
                </c:pt>
                <c:pt idx="2930">
                  <c:v>806.38314000000003</c:v>
                </c:pt>
                <c:pt idx="2931">
                  <c:v>806.38451000000009</c:v>
                </c:pt>
                <c:pt idx="2932">
                  <c:v>806.38588000000004</c:v>
                </c:pt>
                <c:pt idx="2933">
                  <c:v>806.38725000000011</c:v>
                </c:pt>
                <c:pt idx="2934">
                  <c:v>806.38862000000006</c:v>
                </c:pt>
                <c:pt idx="2935">
                  <c:v>806.38999000000001</c:v>
                </c:pt>
                <c:pt idx="2936">
                  <c:v>806.39136000000008</c:v>
                </c:pt>
                <c:pt idx="2937">
                  <c:v>806.39273000000003</c:v>
                </c:pt>
                <c:pt idx="2938">
                  <c:v>806.39410000000009</c:v>
                </c:pt>
                <c:pt idx="2939">
                  <c:v>806.39547000000005</c:v>
                </c:pt>
                <c:pt idx="2940">
                  <c:v>806.40642000000003</c:v>
                </c:pt>
                <c:pt idx="2941">
                  <c:v>806.40779000000009</c:v>
                </c:pt>
                <c:pt idx="2942">
                  <c:v>806.40916000000004</c:v>
                </c:pt>
                <c:pt idx="2943">
                  <c:v>806.41053000000011</c:v>
                </c:pt>
                <c:pt idx="2944">
                  <c:v>806.41190000000006</c:v>
                </c:pt>
                <c:pt idx="2945">
                  <c:v>806.41327000000001</c:v>
                </c:pt>
                <c:pt idx="2946">
                  <c:v>806.41464000000008</c:v>
                </c:pt>
                <c:pt idx="2947">
                  <c:v>806.41601000000003</c:v>
                </c:pt>
                <c:pt idx="2948">
                  <c:v>806.41738000000009</c:v>
                </c:pt>
                <c:pt idx="2949">
                  <c:v>806.41875000000005</c:v>
                </c:pt>
                <c:pt idx="2950">
                  <c:v>806.42012000000011</c:v>
                </c:pt>
                <c:pt idx="2951">
                  <c:v>806.43109000000004</c:v>
                </c:pt>
                <c:pt idx="2952">
                  <c:v>806.43246000000011</c:v>
                </c:pt>
                <c:pt idx="2953">
                  <c:v>806.43383000000006</c:v>
                </c:pt>
                <c:pt idx="2954">
                  <c:v>806.43520000000012</c:v>
                </c:pt>
                <c:pt idx="2955">
                  <c:v>806.43657000000007</c:v>
                </c:pt>
                <c:pt idx="2956">
                  <c:v>806.43794000000003</c:v>
                </c:pt>
                <c:pt idx="2957">
                  <c:v>806.43931000000009</c:v>
                </c:pt>
                <c:pt idx="2958">
                  <c:v>806.44068000000004</c:v>
                </c:pt>
                <c:pt idx="2959">
                  <c:v>806.44205000000011</c:v>
                </c:pt>
                <c:pt idx="2960">
                  <c:v>806.44342000000006</c:v>
                </c:pt>
                <c:pt idx="2961">
                  <c:v>806.44479000000001</c:v>
                </c:pt>
                <c:pt idx="2962">
                  <c:v>806.44616000000008</c:v>
                </c:pt>
                <c:pt idx="2963">
                  <c:v>806.44753000000003</c:v>
                </c:pt>
                <c:pt idx="2964">
                  <c:v>806.45711000000006</c:v>
                </c:pt>
                <c:pt idx="2965">
                  <c:v>806.45848000000012</c:v>
                </c:pt>
                <c:pt idx="2966">
                  <c:v>806.45985000000007</c:v>
                </c:pt>
                <c:pt idx="2967">
                  <c:v>806.46122000000003</c:v>
                </c:pt>
                <c:pt idx="2968">
                  <c:v>806.46259000000009</c:v>
                </c:pt>
                <c:pt idx="2969">
                  <c:v>806.46396000000004</c:v>
                </c:pt>
                <c:pt idx="2970">
                  <c:v>806.46533000000011</c:v>
                </c:pt>
                <c:pt idx="2971">
                  <c:v>806.46670000000006</c:v>
                </c:pt>
                <c:pt idx="2972">
                  <c:v>806.46807000000001</c:v>
                </c:pt>
                <c:pt idx="2973">
                  <c:v>806.46944000000008</c:v>
                </c:pt>
                <c:pt idx="2974">
                  <c:v>806.47081000000003</c:v>
                </c:pt>
                <c:pt idx="2975">
                  <c:v>806.47218000000009</c:v>
                </c:pt>
                <c:pt idx="2976">
                  <c:v>806.47355000000005</c:v>
                </c:pt>
                <c:pt idx="2977">
                  <c:v>806.48313000000007</c:v>
                </c:pt>
                <c:pt idx="2978">
                  <c:v>806.48450000000003</c:v>
                </c:pt>
                <c:pt idx="2979">
                  <c:v>806.48586000000012</c:v>
                </c:pt>
                <c:pt idx="2980">
                  <c:v>806.48723000000007</c:v>
                </c:pt>
                <c:pt idx="2981">
                  <c:v>806.48860000000002</c:v>
                </c:pt>
                <c:pt idx="2982">
                  <c:v>806.48996000000011</c:v>
                </c:pt>
                <c:pt idx="2983">
                  <c:v>806.49133000000006</c:v>
                </c:pt>
                <c:pt idx="2984">
                  <c:v>806.49269000000004</c:v>
                </c:pt>
                <c:pt idx="2985">
                  <c:v>806.49405000000002</c:v>
                </c:pt>
                <c:pt idx="2986">
                  <c:v>806.49542000000008</c:v>
                </c:pt>
                <c:pt idx="2987">
                  <c:v>806.49679000000003</c:v>
                </c:pt>
                <c:pt idx="2988">
                  <c:v>806.49815000000001</c:v>
                </c:pt>
                <c:pt idx="2989">
                  <c:v>806.49952000000008</c:v>
                </c:pt>
                <c:pt idx="2990">
                  <c:v>806.50909000000001</c:v>
                </c:pt>
                <c:pt idx="2991">
                  <c:v>806.51045000000011</c:v>
                </c:pt>
                <c:pt idx="2992">
                  <c:v>806.51182000000006</c:v>
                </c:pt>
                <c:pt idx="2993">
                  <c:v>806.51319000000012</c:v>
                </c:pt>
                <c:pt idx="2994">
                  <c:v>806.5145500000001</c:v>
                </c:pt>
                <c:pt idx="2995">
                  <c:v>806.51592000000005</c:v>
                </c:pt>
                <c:pt idx="2996">
                  <c:v>806.51729000000012</c:v>
                </c:pt>
                <c:pt idx="2997">
                  <c:v>806.51865000000009</c:v>
                </c:pt>
                <c:pt idx="2998">
                  <c:v>806.52002000000005</c:v>
                </c:pt>
                <c:pt idx="2999">
                  <c:v>806.52139000000011</c:v>
                </c:pt>
                <c:pt idx="3000">
                  <c:v>806.52275000000009</c:v>
                </c:pt>
                <c:pt idx="3001">
                  <c:v>806.52412000000004</c:v>
                </c:pt>
                <c:pt idx="3002">
                  <c:v>806.53506000000004</c:v>
                </c:pt>
                <c:pt idx="3003">
                  <c:v>806.53643000000011</c:v>
                </c:pt>
                <c:pt idx="3004">
                  <c:v>806.53780000000006</c:v>
                </c:pt>
                <c:pt idx="3005">
                  <c:v>806.53916000000004</c:v>
                </c:pt>
                <c:pt idx="3006">
                  <c:v>806.5405300000001</c:v>
                </c:pt>
                <c:pt idx="3007">
                  <c:v>806.54190000000006</c:v>
                </c:pt>
                <c:pt idx="3008">
                  <c:v>806.54326000000003</c:v>
                </c:pt>
                <c:pt idx="3009">
                  <c:v>806.5446300000001</c:v>
                </c:pt>
                <c:pt idx="3010">
                  <c:v>806.54600000000005</c:v>
                </c:pt>
                <c:pt idx="3011">
                  <c:v>806.54736000000003</c:v>
                </c:pt>
                <c:pt idx="3012">
                  <c:v>806.54873000000009</c:v>
                </c:pt>
                <c:pt idx="3013">
                  <c:v>806.55010000000004</c:v>
                </c:pt>
                <c:pt idx="3014">
                  <c:v>806.55966000000012</c:v>
                </c:pt>
                <c:pt idx="3015">
                  <c:v>806.56240000000003</c:v>
                </c:pt>
                <c:pt idx="3016">
                  <c:v>806.56377000000009</c:v>
                </c:pt>
                <c:pt idx="3017">
                  <c:v>806.56514000000004</c:v>
                </c:pt>
                <c:pt idx="3018">
                  <c:v>806.56651000000011</c:v>
                </c:pt>
                <c:pt idx="3019">
                  <c:v>806.56787000000008</c:v>
                </c:pt>
                <c:pt idx="3020">
                  <c:v>806.56924000000004</c:v>
                </c:pt>
                <c:pt idx="3021">
                  <c:v>806.5706100000001</c:v>
                </c:pt>
                <c:pt idx="3022">
                  <c:v>806.57197000000008</c:v>
                </c:pt>
                <c:pt idx="3023">
                  <c:v>806.57334000000003</c:v>
                </c:pt>
                <c:pt idx="3024">
                  <c:v>806.5747100000001</c:v>
                </c:pt>
                <c:pt idx="3025">
                  <c:v>806.58566000000008</c:v>
                </c:pt>
                <c:pt idx="3026">
                  <c:v>806.58703000000003</c:v>
                </c:pt>
                <c:pt idx="3027">
                  <c:v>806.58840000000009</c:v>
                </c:pt>
                <c:pt idx="3028">
                  <c:v>806.58977000000004</c:v>
                </c:pt>
                <c:pt idx="3029">
                  <c:v>806.59114000000011</c:v>
                </c:pt>
                <c:pt idx="3030">
                  <c:v>806.59251000000006</c:v>
                </c:pt>
                <c:pt idx="3031">
                  <c:v>806.59388000000001</c:v>
                </c:pt>
                <c:pt idx="3032">
                  <c:v>806.59525000000008</c:v>
                </c:pt>
                <c:pt idx="3033">
                  <c:v>806.59662000000003</c:v>
                </c:pt>
                <c:pt idx="3034">
                  <c:v>806.5979900000001</c:v>
                </c:pt>
                <c:pt idx="3035">
                  <c:v>806.59936000000005</c:v>
                </c:pt>
                <c:pt idx="3036">
                  <c:v>806.60073000000011</c:v>
                </c:pt>
                <c:pt idx="3037">
                  <c:v>806.61169000000007</c:v>
                </c:pt>
                <c:pt idx="3038">
                  <c:v>806.61305000000004</c:v>
                </c:pt>
                <c:pt idx="3039">
                  <c:v>806.61442000000011</c:v>
                </c:pt>
                <c:pt idx="3040">
                  <c:v>806.61579000000006</c:v>
                </c:pt>
                <c:pt idx="3041">
                  <c:v>806.61716000000001</c:v>
                </c:pt>
                <c:pt idx="3042">
                  <c:v>806.61853000000008</c:v>
                </c:pt>
                <c:pt idx="3043">
                  <c:v>806.61990000000003</c:v>
                </c:pt>
                <c:pt idx="3044">
                  <c:v>806.6212700000001</c:v>
                </c:pt>
                <c:pt idx="3045">
                  <c:v>806.62264000000005</c:v>
                </c:pt>
                <c:pt idx="3046">
                  <c:v>806.62401000000011</c:v>
                </c:pt>
                <c:pt idx="3047">
                  <c:v>806.62538000000006</c:v>
                </c:pt>
                <c:pt idx="3048">
                  <c:v>806.62675000000002</c:v>
                </c:pt>
                <c:pt idx="3049">
                  <c:v>806.63770000000011</c:v>
                </c:pt>
                <c:pt idx="3050">
                  <c:v>806.63906000000009</c:v>
                </c:pt>
                <c:pt idx="3051">
                  <c:v>806.64043000000004</c:v>
                </c:pt>
                <c:pt idx="3052">
                  <c:v>806.6418000000001</c:v>
                </c:pt>
                <c:pt idx="3053">
                  <c:v>806.64316000000008</c:v>
                </c:pt>
                <c:pt idx="3054">
                  <c:v>806.64453000000003</c:v>
                </c:pt>
                <c:pt idx="3055">
                  <c:v>806.6459000000001</c:v>
                </c:pt>
                <c:pt idx="3056">
                  <c:v>806.64726000000007</c:v>
                </c:pt>
                <c:pt idx="3057">
                  <c:v>806.64863000000003</c:v>
                </c:pt>
                <c:pt idx="3058">
                  <c:v>806.64999000000012</c:v>
                </c:pt>
                <c:pt idx="3059">
                  <c:v>806.65135000000009</c:v>
                </c:pt>
                <c:pt idx="3060">
                  <c:v>806.65272000000004</c:v>
                </c:pt>
                <c:pt idx="3061">
                  <c:v>806.66365000000008</c:v>
                </c:pt>
                <c:pt idx="3062">
                  <c:v>806.66502000000003</c:v>
                </c:pt>
                <c:pt idx="3063">
                  <c:v>806.66639000000009</c:v>
                </c:pt>
                <c:pt idx="3064">
                  <c:v>806.66775000000007</c:v>
                </c:pt>
                <c:pt idx="3065">
                  <c:v>806.66912000000002</c:v>
                </c:pt>
                <c:pt idx="3066">
                  <c:v>806.67049000000009</c:v>
                </c:pt>
                <c:pt idx="3067">
                  <c:v>806.67185000000006</c:v>
                </c:pt>
                <c:pt idx="3068">
                  <c:v>806.67322000000001</c:v>
                </c:pt>
                <c:pt idx="3069">
                  <c:v>806.67459000000008</c:v>
                </c:pt>
                <c:pt idx="3070">
                  <c:v>806.67595000000006</c:v>
                </c:pt>
                <c:pt idx="3071">
                  <c:v>806.67732000000012</c:v>
                </c:pt>
                <c:pt idx="3072">
                  <c:v>806.67869000000007</c:v>
                </c:pt>
                <c:pt idx="3073">
                  <c:v>806.68825000000004</c:v>
                </c:pt>
                <c:pt idx="3074">
                  <c:v>806.6896200000001</c:v>
                </c:pt>
                <c:pt idx="3075">
                  <c:v>806.69099000000006</c:v>
                </c:pt>
                <c:pt idx="3076">
                  <c:v>806.69235000000003</c:v>
                </c:pt>
                <c:pt idx="3077">
                  <c:v>806.6937200000001</c:v>
                </c:pt>
                <c:pt idx="3078">
                  <c:v>806.69509000000005</c:v>
                </c:pt>
                <c:pt idx="3079">
                  <c:v>806.69646000000012</c:v>
                </c:pt>
                <c:pt idx="3080">
                  <c:v>806.69783000000007</c:v>
                </c:pt>
                <c:pt idx="3081">
                  <c:v>806.69920000000002</c:v>
                </c:pt>
                <c:pt idx="3082">
                  <c:v>806.70056000000011</c:v>
                </c:pt>
                <c:pt idx="3083">
                  <c:v>806.70192000000009</c:v>
                </c:pt>
                <c:pt idx="3084">
                  <c:v>806.70328000000006</c:v>
                </c:pt>
                <c:pt idx="3085">
                  <c:v>806.70465000000002</c:v>
                </c:pt>
                <c:pt idx="3086">
                  <c:v>806.71558000000005</c:v>
                </c:pt>
                <c:pt idx="3087">
                  <c:v>806.71695000000011</c:v>
                </c:pt>
                <c:pt idx="3088">
                  <c:v>806.71832000000006</c:v>
                </c:pt>
                <c:pt idx="3089">
                  <c:v>806.71969000000001</c:v>
                </c:pt>
                <c:pt idx="3090">
                  <c:v>806.7210500000001</c:v>
                </c:pt>
                <c:pt idx="3091">
                  <c:v>806.72241000000008</c:v>
                </c:pt>
                <c:pt idx="3092">
                  <c:v>806.72377000000006</c:v>
                </c:pt>
                <c:pt idx="3093">
                  <c:v>806.72514000000001</c:v>
                </c:pt>
                <c:pt idx="3094">
                  <c:v>806.72651000000008</c:v>
                </c:pt>
                <c:pt idx="3095">
                  <c:v>806.72788000000003</c:v>
                </c:pt>
                <c:pt idx="3096">
                  <c:v>806.72925000000009</c:v>
                </c:pt>
                <c:pt idx="3097">
                  <c:v>806.73061000000007</c:v>
                </c:pt>
                <c:pt idx="3098">
                  <c:v>806.73197000000005</c:v>
                </c:pt>
                <c:pt idx="3099">
                  <c:v>806.74290000000008</c:v>
                </c:pt>
                <c:pt idx="3100">
                  <c:v>806.74426000000005</c:v>
                </c:pt>
                <c:pt idx="3101">
                  <c:v>806.74562000000003</c:v>
                </c:pt>
                <c:pt idx="3102">
                  <c:v>806.7469900000001</c:v>
                </c:pt>
                <c:pt idx="3103">
                  <c:v>806.74836000000005</c:v>
                </c:pt>
                <c:pt idx="3104">
                  <c:v>806.74973000000011</c:v>
                </c:pt>
                <c:pt idx="3105">
                  <c:v>806.75110000000006</c:v>
                </c:pt>
                <c:pt idx="3106">
                  <c:v>806.75246000000004</c:v>
                </c:pt>
                <c:pt idx="3107">
                  <c:v>806.75382000000002</c:v>
                </c:pt>
                <c:pt idx="3108">
                  <c:v>806.75518000000011</c:v>
                </c:pt>
                <c:pt idx="3109">
                  <c:v>806.75655000000006</c:v>
                </c:pt>
                <c:pt idx="3110">
                  <c:v>806.75792000000001</c:v>
                </c:pt>
                <c:pt idx="3111">
                  <c:v>806.75929000000008</c:v>
                </c:pt>
                <c:pt idx="3112">
                  <c:v>806.77022000000011</c:v>
                </c:pt>
                <c:pt idx="3113">
                  <c:v>806.77159000000006</c:v>
                </c:pt>
                <c:pt idx="3114">
                  <c:v>806.77296000000001</c:v>
                </c:pt>
                <c:pt idx="3115">
                  <c:v>806.7743200000001</c:v>
                </c:pt>
                <c:pt idx="3116">
                  <c:v>806.77568000000008</c:v>
                </c:pt>
                <c:pt idx="3117">
                  <c:v>806.77704000000006</c:v>
                </c:pt>
                <c:pt idx="3118">
                  <c:v>806.77841000000012</c:v>
                </c:pt>
                <c:pt idx="3119">
                  <c:v>806.77978000000007</c:v>
                </c:pt>
                <c:pt idx="3120">
                  <c:v>806.78115000000003</c:v>
                </c:pt>
                <c:pt idx="3121">
                  <c:v>806.78252000000009</c:v>
                </c:pt>
                <c:pt idx="3122">
                  <c:v>806.78388000000007</c:v>
                </c:pt>
                <c:pt idx="3123">
                  <c:v>806.78524000000004</c:v>
                </c:pt>
                <c:pt idx="3124">
                  <c:v>806.78660000000002</c:v>
                </c:pt>
                <c:pt idx="3125">
                  <c:v>806.79753000000005</c:v>
                </c:pt>
                <c:pt idx="3126">
                  <c:v>806.79890000000012</c:v>
                </c:pt>
                <c:pt idx="3127">
                  <c:v>806.80027000000007</c:v>
                </c:pt>
                <c:pt idx="3128">
                  <c:v>806.80164000000002</c:v>
                </c:pt>
                <c:pt idx="3129">
                  <c:v>806.80301000000009</c:v>
                </c:pt>
                <c:pt idx="3130">
                  <c:v>806.80438000000004</c:v>
                </c:pt>
                <c:pt idx="3131">
                  <c:v>806.80574000000001</c:v>
                </c:pt>
                <c:pt idx="3132">
                  <c:v>806.80847000000006</c:v>
                </c:pt>
                <c:pt idx="3133">
                  <c:v>806.8098500000001</c:v>
                </c:pt>
                <c:pt idx="3134">
                  <c:v>806.81122000000005</c:v>
                </c:pt>
                <c:pt idx="3135">
                  <c:v>806.81259000000011</c:v>
                </c:pt>
                <c:pt idx="3136">
                  <c:v>806.81396000000007</c:v>
                </c:pt>
                <c:pt idx="3137">
                  <c:v>806.82488000000012</c:v>
                </c:pt>
                <c:pt idx="3138">
                  <c:v>806.8262400000001</c:v>
                </c:pt>
                <c:pt idx="3139">
                  <c:v>806.82760000000007</c:v>
                </c:pt>
                <c:pt idx="3140">
                  <c:v>806.82896000000005</c:v>
                </c:pt>
                <c:pt idx="3141">
                  <c:v>806.83033000000012</c:v>
                </c:pt>
                <c:pt idx="3142">
                  <c:v>806.83170000000007</c:v>
                </c:pt>
                <c:pt idx="3143">
                  <c:v>806.83307000000002</c:v>
                </c:pt>
                <c:pt idx="3144">
                  <c:v>806.83444000000009</c:v>
                </c:pt>
                <c:pt idx="3145">
                  <c:v>806.83581000000004</c:v>
                </c:pt>
                <c:pt idx="3146">
                  <c:v>806.83717000000001</c:v>
                </c:pt>
                <c:pt idx="3147">
                  <c:v>806.83853000000011</c:v>
                </c:pt>
                <c:pt idx="3148">
                  <c:v>806.83989000000008</c:v>
                </c:pt>
                <c:pt idx="3149">
                  <c:v>806.84126000000003</c:v>
                </c:pt>
                <c:pt idx="3150">
                  <c:v>806.8426300000001</c:v>
                </c:pt>
                <c:pt idx="3151">
                  <c:v>806.85356000000002</c:v>
                </c:pt>
                <c:pt idx="3152">
                  <c:v>806.85493000000008</c:v>
                </c:pt>
                <c:pt idx="3153">
                  <c:v>806.85630000000003</c:v>
                </c:pt>
                <c:pt idx="3154">
                  <c:v>806.85766000000001</c:v>
                </c:pt>
                <c:pt idx="3155">
                  <c:v>806.8590200000001</c:v>
                </c:pt>
                <c:pt idx="3156">
                  <c:v>806.86038000000008</c:v>
                </c:pt>
                <c:pt idx="3157">
                  <c:v>806.86174000000005</c:v>
                </c:pt>
                <c:pt idx="3158">
                  <c:v>806.86310000000003</c:v>
                </c:pt>
                <c:pt idx="3159">
                  <c:v>806.86446000000012</c:v>
                </c:pt>
                <c:pt idx="3160">
                  <c:v>806.8658200000001</c:v>
                </c:pt>
                <c:pt idx="3161">
                  <c:v>806.86719000000005</c:v>
                </c:pt>
                <c:pt idx="3162">
                  <c:v>806.86856000000012</c:v>
                </c:pt>
                <c:pt idx="3163">
                  <c:v>806.86993000000007</c:v>
                </c:pt>
                <c:pt idx="3164">
                  <c:v>806.87130000000002</c:v>
                </c:pt>
                <c:pt idx="3165">
                  <c:v>806.88220000000001</c:v>
                </c:pt>
                <c:pt idx="3166">
                  <c:v>806.8835600000001</c:v>
                </c:pt>
                <c:pt idx="3167">
                  <c:v>806.88492000000008</c:v>
                </c:pt>
                <c:pt idx="3168">
                  <c:v>806.88628000000006</c:v>
                </c:pt>
                <c:pt idx="3169">
                  <c:v>806.88765000000012</c:v>
                </c:pt>
                <c:pt idx="3170">
                  <c:v>806.8890100000001</c:v>
                </c:pt>
                <c:pt idx="3171">
                  <c:v>806.89038000000005</c:v>
                </c:pt>
                <c:pt idx="3172">
                  <c:v>806.89175000000012</c:v>
                </c:pt>
                <c:pt idx="3173">
                  <c:v>806.89312000000007</c:v>
                </c:pt>
                <c:pt idx="3174">
                  <c:v>806.89449000000002</c:v>
                </c:pt>
                <c:pt idx="3175">
                  <c:v>806.89585000000011</c:v>
                </c:pt>
                <c:pt idx="3176">
                  <c:v>806.89721000000009</c:v>
                </c:pt>
                <c:pt idx="3177">
                  <c:v>806.89857000000006</c:v>
                </c:pt>
                <c:pt idx="3178">
                  <c:v>806.89993000000004</c:v>
                </c:pt>
                <c:pt idx="3179">
                  <c:v>806.90129000000002</c:v>
                </c:pt>
                <c:pt idx="3180">
                  <c:v>806.91360000000009</c:v>
                </c:pt>
                <c:pt idx="3181">
                  <c:v>806.91496000000006</c:v>
                </c:pt>
                <c:pt idx="3182">
                  <c:v>806.91632000000004</c:v>
                </c:pt>
                <c:pt idx="3183">
                  <c:v>806.91768000000002</c:v>
                </c:pt>
                <c:pt idx="3184">
                  <c:v>806.91904000000011</c:v>
                </c:pt>
                <c:pt idx="3185">
                  <c:v>806.92040000000009</c:v>
                </c:pt>
                <c:pt idx="3186">
                  <c:v>806.92176000000006</c:v>
                </c:pt>
                <c:pt idx="3187">
                  <c:v>806.92312000000004</c:v>
                </c:pt>
                <c:pt idx="3188">
                  <c:v>806.92448000000002</c:v>
                </c:pt>
                <c:pt idx="3189">
                  <c:v>806.92584000000011</c:v>
                </c:pt>
                <c:pt idx="3190">
                  <c:v>806.92721000000006</c:v>
                </c:pt>
                <c:pt idx="3191">
                  <c:v>806.92858000000001</c:v>
                </c:pt>
                <c:pt idx="3192">
                  <c:v>806.92995000000008</c:v>
                </c:pt>
                <c:pt idx="3193">
                  <c:v>806.93132000000003</c:v>
                </c:pt>
                <c:pt idx="3194">
                  <c:v>806.94357000000002</c:v>
                </c:pt>
                <c:pt idx="3195">
                  <c:v>806.94493000000011</c:v>
                </c:pt>
                <c:pt idx="3196">
                  <c:v>806.94630000000006</c:v>
                </c:pt>
                <c:pt idx="3197">
                  <c:v>806.94767000000002</c:v>
                </c:pt>
                <c:pt idx="3198">
                  <c:v>806.94904000000008</c:v>
                </c:pt>
                <c:pt idx="3199">
                  <c:v>806.95041000000003</c:v>
                </c:pt>
                <c:pt idx="3200">
                  <c:v>806.9517800000001</c:v>
                </c:pt>
                <c:pt idx="3201">
                  <c:v>806.95315000000005</c:v>
                </c:pt>
                <c:pt idx="3202">
                  <c:v>806.95451000000003</c:v>
                </c:pt>
                <c:pt idx="3203">
                  <c:v>806.95587000000012</c:v>
                </c:pt>
                <c:pt idx="3204">
                  <c:v>806.9572300000001</c:v>
                </c:pt>
                <c:pt idx="3205">
                  <c:v>806.95859000000007</c:v>
                </c:pt>
                <c:pt idx="3206">
                  <c:v>806.95995000000005</c:v>
                </c:pt>
                <c:pt idx="3207">
                  <c:v>806.96131000000003</c:v>
                </c:pt>
                <c:pt idx="3208">
                  <c:v>806.97358000000008</c:v>
                </c:pt>
                <c:pt idx="3209">
                  <c:v>806.97494000000006</c:v>
                </c:pt>
                <c:pt idx="3210">
                  <c:v>806.97630000000004</c:v>
                </c:pt>
                <c:pt idx="3211">
                  <c:v>806.97766000000001</c:v>
                </c:pt>
                <c:pt idx="3212">
                  <c:v>806.97902000000011</c:v>
                </c:pt>
                <c:pt idx="3213">
                  <c:v>806.98038000000008</c:v>
                </c:pt>
                <c:pt idx="3214">
                  <c:v>806.98175000000003</c:v>
                </c:pt>
                <c:pt idx="3215">
                  <c:v>806.98311000000001</c:v>
                </c:pt>
                <c:pt idx="3216">
                  <c:v>806.9844700000001</c:v>
                </c:pt>
                <c:pt idx="3217">
                  <c:v>806.98583000000008</c:v>
                </c:pt>
                <c:pt idx="3218">
                  <c:v>806.98719000000006</c:v>
                </c:pt>
                <c:pt idx="3219">
                  <c:v>806.98855000000003</c:v>
                </c:pt>
                <c:pt idx="3220">
                  <c:v>806.98991000000012</c:v>
                </c:pt>
                <c:pt idx="3221">
                  <c:v>806.9912700000001</c:v>
                </c:pt>
                <c:pt idx="3222">
                  <c:v>806.99264000000005</c:v>
                </c:pt>
                <c:pt idx="3223">
                  <c:v>806.99400000000003</c:v>
                </c:pt>
                <c:pt idx="3224">
                  <c:v>807.00626000000011</c:v>
                </c:pt>
                <c:pt idx="3225">
                  <c:v>807.00763000000006</c:v>
                </c:pt>
                <c:pt idx="3226">
                  <c:v>807.00899000000004</c:v>
                </c:pt>
                <c:pt idx="3227">
                  <c:v>807.01035000000002</c:v>
                </c:pt>
                <c:pt idx="3228">
                  <c:v>807.01171000000011</c:v>
                </c:pt>
                <c:pt idx="3229">
                  <c:v>807.01307000000008</c:v>
                </c:pt>
                <c:pt idx="3230">
                  <c:v>807.01443000000006</c:v>
                </c:pt>
                <c:pt idx="3231">
                  <c:v>807.01579000000004</c:v>
                </c:pt>
                <c:pt idx="3232">
                  <c:v>807.0171600000001</c:v>
                </c:pt>
                <c:pt idx="3233">
                  <c:v>807.01852000000008</c:v>
                </c:pt>
                <c:pt idx="3234">
                  <c:v>807.01988000000006</c:v>
                </c:pt>
                <c:pt idx="3235">
                  <c:v>807.02124000000003</c:v>
                </c:pt>
                <c:pt idx="3236">
                  <c:v>807.0226100000001</c:v>
                </c:pt>
                <c:pt idx="3237">
                  <c:v>807.02397000000008</c:v>
                </c:pt>
                <c:pt idx="3238">
                  <c:v>807.02533000000005</c:v>
                </c:pt>
                <c:pt idx="3239">
                  <c:v>807.03760000000011</c:v>
                </c:pt>
                <c:pt idx="3240">
                  <c:v>807.03896000000009</c:v>
                </c:pt>
                <c:pt idx="3241">
                  <c:v>807.04032000000007</c:v>
                </c:pt>
                <c:pt idx="3242">
                  <c:v>807.04168000000004</c:v>
                </c:pt>
                <c:pt idx="3243">
                  <c:v>807.04305000000011</c:v>
                </c:pt>
                <c:pt idx="3244">
                  <c:v>807.04441000000008</c:v>
                </c:pt>
                <c:pt idx="3245">
                  <c:v>807.04577000000006</c:v>
                </c:pt>
                <c:pt idx="3246">
                  <c:v>807.04713000000004</c:v>
                </c:pt>
                <c:pt idx="3247">
                  <c:v>807.04849000000002</c:v>
                </c:pt>
                <c:pt idx="3248">
                  <c:v>807.04985000000011</c:v>
                </c:pt>
                <c:pt idx="3249">
                  <c:v>807.05121000000008</c:v>
                </c:pt>
                <c:pt idx="3250">
                  <c:v>807.05394000000001</c:v>
                </c:pt>
                <c:pt idx="3251">
                  <c:v>807.05531000000008</c:v>
                </c:pt>
                <c:pt idx="3252">
                  <c:v>807.05667000000005</c:v>
                </c:pt>
                <c:pt idx="3253">
                  <c:v>807.07028000000003</c:v>
                </c:pt>
                <c:pt idx="3254">
                  <c:v>807.07164000000012</c:v>
                </c:pt>
                <c:pt idx="3255">
                  <c:v>807.07300000000009</c:v>
                </c:pt>
                <c:pt idx="3256">
                  <c:v>807.07436000000007</c:v>
                </c:pt>
                <c:pt idx="3257">
                  <c:v>807.07572000000005</c:v>
                </c:pt>
                <c:pt idx="3258">
                  <c:v>807.07708000000002</c:v>
                </c:pt>
                <c:pt idx="3259">
                  <c:v>807.07844000000011</c:v>
                </c:pt>
                <c:pt idx="3260">
                  <c:v>807.07980000000009</c:v>
                </c:pt>
                <c:pt idx="3261">
                  <c:v>807.08116000000007</c:v>
                </c:pt>
                <c:pt idx="3262">
                  <c:v>807.08252000000005</c:v>
                </c:pt>
                <c:pt idx="3263">
                  <c:v>807.08388000000002</c:v>
                </c:pt>
                <c:pt idx="3264">
                  <c:v>807.08524000000011</c:v>
                </c:pt>
                <c:pt idx="3265">
                  <c:v>807.08660000000009</c:v>
                </c:pt>
                <c:pt idx="3266">
                  <c:v>807.08796000000007</c:v>
                </c:pt>
                <c:pt idx="3267">
                  <c:v>807.08932000000004</c:v>
                </c:pt>
                <c:pt idx="3268">
                  <c:v>807.09068000000002</c:v>
                </c:pt>
                <c:pt idx="3269">
                  <c:v>807.10428000000002</c:v>
                </c:pt>
                <c:pt idx="3270">
                  <c:v>807.10564000000011</c:v>
                </c:pt>
                <c:pt idx="3271">
                  <c:v>807.10700000000008</c:v>
                </c:pt>
                <c:pt idx="3272">
                  <c:v>807.10836000000006</c:v>
                </c:pt>
                <c:pt idx="3273">
                  <c:v>807.10972000000004</c:v>
                </c:pt>
                <c:pt idx="3274">
                  <c:v>807.11108000000002</c:v>
                </c:pt>
                <c:pt idx="3275">
                  <c:v>807.11244000000011</c:v>
                </c:pt>
                <c:pt idx="3276">
                  <c:v>807.11380000000008</c:v>
                </c:pt>
                <c:pt idx="3277">
                  <c:v>807.11516000000006</c:v>
                </c:pt>
                <c:pt idx="3278">
                  <c:v>807.11652000000004</c:v>
                </c:pt>
                <c:pt idx="3279">
                  <c:v>807.11788000000001</c:v>
                </c:pt>
                <c:pt idx="3280">
                  <c:v>807.1192400000001</c:v>
                </c:pt>
                <c:pt idx="3281">
                  <c:v>807.12060000000008</c:v>
                </c:pt>
                <c:pt idx="3282">
                  <c:v>807.12196000000006</c:v>
                </c:pt>
                <c:pt idx="3283">
                  <c:v>807.12332000000004</c:v>
                </c:pt>
                <c:pt idx="3284">
                  <c:v>807.12468000000001</c:v>
                </c:pt>
                <c:pt idx="3285">
                  <c:v>807.13828000000012</c:v>
                </c:pt>
                <c:pt idx="3286">
                  <c:v>807.1396400000001</c:v>
                </c:pt>
                <c:pt idx="3287">
                  <c:v>807.14100000000008</c:v>
                </c:pt>
                <c:pt idx="3288">
                  <c:v>807.14236000000005</c:v>
                </c:pt>
                <c:pt idx="3289">
                  <c:v>807.14372000000003</c:v>
                </c:pt>
                <c:pt idx="3290">
                  <c:v>807.14508000000012</c:v>
                </c:pt>
                <c:pt idx="3291">
                  <c:v>807.1464400000001</c:v>
                </c:pt>
                <c:pt idx="3292">
                  <c:v>807.14780000000007</c:v>
                </c:pt>
                <c:pt idx="3293">
                  <c:v>807.14916000000005</c:v>
                </c:pt>
                <c:pt idx="3294">
                  <c:v>807.15052000000003</c:v>
                </c:pt>
                <c:pt idx="3295">
                  <c:v>807.15188000000012</c:v>
                </c:pt>
                <c:pt idx="3296">
                  <c:v>807.1532400000001</c:v>
                </c:pt>
                <c:pt idx="3297">
                  <c:v>807.15460000000007</c:v>
                </c:pt>
                <c:pt idx="3298">
                  <c:v>807.15596000000005</c:v>
                </c:pt>
                <c:pt idx="3299">
                  <c:v>807.15732000000003</c:v>
                </c:pt>
                <c:pt idx="3300">
                  <c:v>807.15868000000012</c:v>
                </c:pt>
                <c:pt idx="3301">
                  <c:v>807.17092000000002</c:v>
                </c:pt>
                <c:pt idx="3302">
                  <c:v>807.17228000000011</c:v>
                </c:pt>
                <c:pt idx="3303">
                  <c:v>807.17364000000009</c:v>
                </c:pt>
                <c:pt idx="3304">
                  <c:v>807.17499000000009</c:v>
                </c:pt>
                <c:pt idx="3305">
                  <c:v>807.17635000000007</c:v>
                </c:pt>
                <c:pt idx="3306">
                  <c:v>807.17771000000005</c:v>
                </c:pt>
                <c:pt idx="3307">
                  <c:v>807.17906000000005</c:v>
                </c:pt>
                <c:pt idx="3308">
                  <c:v>807.18042000000003</c:v>
                </c:pt>
                <c:pt idx="3309">
                  <c:v>807.18178000000012</c:v>
                </c:pt>
                <c:pt idx="3310">
                  <c:v>807.18313000000012</c:v>
                </c:pt>
                <c:pt idx="3311">
                  <c:v>807.1844900000001</c:v>
                </c:pt>
                <c:pt idx="3312">
                  <c:v>807.18585000000007</c:v>
                </c:pt>
                <c:pt idx="3313">
                  <c:v>807.18720000000008</c:v>
                </c:pt>
                <c:pt idx="3314">
                  <c:v>807.18856000000005</c:v>
                </c:pt>
                <c:pt idx="3315">
                  <c:v>807.18992000000003</c:v>
                </c:pt>
                <c:pt idx="3316">
                  <c:v>807.19127000000003</c:v>
                </c:pt>
                <c:pt idx="3317">
                  <c:v>807.20620000000008</c:v>
                </c:pt>
                <c:pt idx="3318">
                  <c:v>807.20755000000008</c:v>
                </c:pt>
                <c:pt idx="3319">
                  <c:v>807.20891000000006</c:v>
                </c:pt>
                <c:pt idx="3320">
                  <c:v>807.21027000000004</c:v>
                </c:pt>
                <c:pt idx="3321">
                  <c:v>807.21162000000004</c:v>
                </c:pt>
                <c:pt idx="3322">
                  <c:v>807.21298000000002</c:v>
                </c:pt>
                <c:pt idx="3323">
                  <c:v>807.21434000000011</c:v>
                </c:pt>
                <c:pt idx="3324">
                  <c:v>807.21569000000011</c:v>
                </c:pt>
                <c:pt idx="3325">
                  <c:v>807.21705000000009</c:v>
                </c:pt>
                <c:pt idx="3326">
                  <c:v>807.21841000000006</c:v>
                </c:pt>
                <c:pt idx="3327">
                  <c:v>807.21976000000006</c:v>
                </c:pt>
                <c:pt idx="3328">
                  <c:v>807.22112000000004</c:v>
                </c:pt>
                <c:pt idx="3329">
                  <c:v>807.22248000000002</c:v>
                </c:pt>
                <c:pt idx="3330">
                  <c:v>807.22383000000002</c:v>
                </c:pt>
                <c:pt idx="3331">
                  <c:v>807.22519000000011</c:v>
                </c:pt>
                <c:pt idx="3332">
                  <c:v>807.22655000000009</c:v>
                </c:pt>
                <c:pt idx="3333">
                  <c:v>807.24012000000005</c:v>
                </c:pt>
                <c:pt idx="3334">
                  <c:v>807.24148000000002</c:v>
                </c:pt>
                <c:pt idx="3335">
                  <c:v>807.24284000000011</c:v>
                </c:pt>
                <c:pt idx="3336">
                  <c:v>807.24419000000012</c:v>
                </c:pt>
                <c:pt idx="3337">
                  <c:v>807.24555000000009</c:v>
                </c:pt>
                <c:pt idx="3338">
                  <c:v>807.24691000000007</c:v>
                </c:pt>
                <c:pt idx="3339">
                  <c:v>807.24827000000005</c:v>
                </c:pt>
                <c:pt idx="3340">
                  <c:v>807.24963000000002</c:v>
                </c:pt>
                <c:pt idx="3341">
                  <c:v>807.25099000000012</c:v>
                </c:pt>
                <c:pt idx="3342">
                  <c:v>807.25235000000009</c:v>
                </c:pt>
                <c:pt idx="3343">
                  <c:v>807.25371000000007</c:v>
                </c:pt>
                <c:pt idx="3344">
                  <c:v>807.25507000000005</c:v>
                </c:pt>
                <c:pt idx="3345">
                  <c:v>807.25643000000002</c:v>
                </c:pt>
                <c:pt idx="3346">
                  <c:v>807.25779000000011</c:v>
                </c:pt>
                <c:pt idx="3347">
                  <c:v>807.25915000000009</c:v>
                </c:pt>
                <c:pt idx="3348">
                  <c:v>807.26051000000007</c:v>
                </c:pt>
                <c:pt idx="3349">
                  <c:v>807.26187000000004</c:v>
                </c:pt>
                <c:pt idx="3350">
                  <c:v>807.27681000000007</c:v>
                </c:pt>
                <c:pt idx="3351">
                  <c:v>807.27817000000005</c:v>
                </c:pt>
                <c:pt idx="3352">
                  <c:v>807.27953000000002</c:v>
                </c:pt>
                <c:pt idx="3353">
                  <c:v>807.28089000000011</c:v>
                </c:pt>
                <c:pt idx="3354">
                  <c:v>807.28225000000009</c:v>
                </c:pt>
                <c:pt idx="3355">
                  <c:v>807.28361000000007</c:v>
                </c:pt>
                <c:pt idx="3356">
                  <c:v>807.28497000000004</c:v>
                </c:pt>
                <c:pt idx="3357">
                  <c:v>807.28632000000005</c:v>
                </c:pt>
                <c:pt idx="3358">
                  <c:v>807.28768000000002</c:v>
                </c:pt>
                <c:pt idx="3359">
                  <c:v>807.28904000000011</c:v>
                </c:pt>
                <c:pt idx="3360">
                  <c:v>807.29040000000009</c:v>
                </c:pt>
                <c:pt idx="3361">
                  <c:v>807.29175000000009</c:v>
                </c:pt>
                <c:pt idx="3362">
                  <c:v>807.29310000000009</c:v>
                </c:pt>
                <c:pt idx="3363">
                  <c:v>807.2944500000001</c:v>
                </c:pt>
                <c:pt idx="3364">
                  <c:v>807.2958000000001</c:v>
                </c:pt>
                <c:pt idx="3365">
                  <c:v>807.31209000000001</c:v>
                </c:pt>
                <c:pt idx="3366">
                  <c:v>807.31344000000001</c:v>
                </c:pt>
                <c:pt idx="3367">
                  <c:v>807.31479000000002</c:v>
                </c:pt>
                <c:pt idx="3368">
                  <c:v>807.31614000000002</c:v>
                </c:pt>
                <c:pt idx="3369">
                  <c:v>807.31749000000002</c:v>
                </c:pt>
                <c:pt idx="3370">
                  <c:v>807.31885000000011</c:v>
                </c:pt>
                <c:pt idx="3371">
                  <c:v>807.32021000000009</c:v>
                </c:pt>
                <c:pt idx="3372">
                  <c:v>807.32157000000007</c:v>
                </c:pt>
                <c:pt idx="3373">
                  <c:v>807.32293000000004</c:v>
                </c:pt>
                <c:pt idx="3374">
                  <c:v>807.32428000000004</c:v>
                </c:pt>
                <c:pt idx="3375">
                  <c:v>807.32563000000005</c:v>
                </c:pt>
                <c:pt idx="3376">
                  <c:v>807.32698000000005</c:v>
                </c:pt>
                <c:pt idx="3377">
                  <c:v>807.32834000000003</c:v>
                </c:pt>
                <c:pt idx="3378">
                  <c:v>807.32970000000012</c:v>
                </c:pt>
                <c:pt idx="3379">
                  <c:v>807.33106000000009</c:v>
                </c:pt>
                <c:pt idx="3380">
                  <c:v>807.33242000000007</c:v>
                </c:pt>
                <c:pt idx="3381">
                  <c:v>807.33378000000005</c:v>
                </c:pt>
                <c:pt idx="3382">
                  <c:v>807.33513000000005</c:v>
                </c:pt>
                <c:pt idx="3383">
                  <c:v>807.33648000000005</c:v>
                </c:pt>
                <c:pt idx="3384">
                  <c:v>807.33783000000005</c:v>
                </c:pt>
                <c:pt idx="3385">
                  <c:v>807.3527600000001</c:v>
                </c:pt>
                <c:pt idx="3386">
                  <c:v>807.35412000000008</c:v>
                </c:pt>
                <c:pt idx="3387">
                  <c:v>807.35547000000008</c:v>
                </c:pt>
                <c:pt idx="3388">
                  <c:v>807.35682000000008</c:v>
                </c:pt>
                <c:pt idx="3389">
                  <c:v>807.35817000000009</c:v>
                </c:pt>
                <c:pt idx="3390">
                  <c:v>807.35953000000006</c:v>
                </c:pt>
                <c:pt idx="3391">
                  <c:v>807.36089000000004</c:v>
                </c:pt>
                <c:pt idx="3392">
                  <c:v>807.36225000000002</c:v>
                </c:pt>
                <c:pt idx="3393">
                  <c:v>807.36361000000011</c:v>
                </c:pt>
                <c:pt idx="3394">
                  <c:v>807.36497000000008</c:v>
                </c:pt>
                <c:pt idx="3395">
                  <c:v>807.36632000000009</c:v>
                </c:pt>
                <c:pt idx="3396">
                  <c:v>807.36767000000009</c:v>
                </c:pt>
                <c:pt idx="3397">
                  <c:v>807.36902000000009</c:v>
                </c:pt>
                <c:pt idx="3398">
                  <c:v>807.37038000000007</c:v>
                </c:pt>
                <c:pt idx="3399">
                  <c:v>807.37174000000005</c:v>
                </c:pt>
                <c:pt idx="3400">
                  <c:v>807.37310000000002</c:v>
                </c:pt>
                <c:pt idx="3401">
                  <c:v>807.37446000000011</c:v>
                </c:pt>
                <c:pt idx="3402">
                  <c:v>807.37581000000011</c:v>
                </c:pt>
                <c:pt idx="3403">
                  <c:v>807.37716000000012</c:v>
                </c:pt>
                <c:pt idx="3404">
                  <c:v>807.39211000000012</c:v>
                </c:pt>
                <c:pt idx="3405">
                  <c:v>807.39347000000009</c:v>
                </c:pt>
                <c:pt idx="3406">
                  <c:v>807.39483000000007</c:v>
                </c:pt>
                <c:pt idx="3407">
                  <c:v>807.39618000000007</c:v>
                </c:pt>
                <c:pt idx="3408">
                  <c:v>807.39753000000007</c:v>
                </c:pt>
                <c:pt idx="3409">
                  <c:v>807.39888000000008</c:v>
                </c:pt>
                <c:pt idx="3410">
                  <c:v>807.40023000000008</c:v>
                </c:pt>
                <c:pt idx="3411">
                  <c:v>807.40158000000008</c:v>
                </c:pt>
                <c:pt idx="3412">
                  <c:v>807.40293000000008</c:v>
                </c:pt>
                <c:pt idx="3413">
                  <c:v>807.40428000000009</c:v>
                </c:pt>
                <c:pt idx="3414">
                  <c:v>807.40563000000009</c:v>
                </c:pt>
                <c:pt idx="3415">
                  <c:v>807.40698000000009</c:v>
                </c:pt>
                <c:pt idx="3416">
                  <c:v>807.40833000000009</c:v>
                </c:pt>
                <c:pt idx="3417">
                  <c:v>807.40969000000007</c:v>
                </c:pt>
                <c:pt idx="3418">
                  <c:v>807.41105000000005</c:v>
                </c:pt>
                <c:pt idx="3419">
                  <c:v>807.41241000000002</c:v>
                </c:pt>
                <c:pt idx="3420">
                  <c:v>807.41377000000011</c:v>
                </c:pt>
                <c:pt idx="3421">
                  <c:v>807.41513000000009</c:v>
                </c:pt>
                <c:pt idx="3422">
                  <c:v>807.41648000000009</c:v>
                </c:pt>
                <c:pt idx="3423">
                  <c:v>807.41783000000009</c:v>
                </c:pt>
                <c:pt idx="3424">
                  <c:v>807.43545000000006</c:v>
                </c:pt>
                <c:pt idx="3425">
                  <c:v>807.43680000000006</c:v>
                </c:pt>
                <c:pt idx="3426">
                  <c:v>807.43815000000006</c:v>
                </c:pt>
                <c:pt idx="3427">
                  <c:v>807.43950000000007</c:v>
                </c:pt>
                <c:pt idx="3428">
                  <c:v>807.44085000000007</c:v>
                </c:pt>
                <c:pt idx="3429">
                  <c:v>807.44220000000007</c:v>
                </c:pt>
                <c:pt idx="3430">
                  <c:v>807.44355000000007</c:v>
                </c:pt>
                <c:pt idx="3431">
                  <c:v>807.44490000000008</c:v>
                </c:pt>
                <c:pt idx="3432">
                  <c:v>807.44625000000008</c:v>
                </c:pt>
                <c:pt idx="3433">
                  <c:v>807.44761000000005</c:v>
                </c:pt>
                <c:pt idx="3434">
                  <c:v>807.44897000000003</c:v>
                </c:pt>
                <c:pt idx="3435">
                  <c:v>807.45033000000012</c:v>
                </c:pt>
                <c:pt idx="3436">
                  <c:v>807.4516900000001</c:v>
                </c:pt>
                <c:pt idx="3437">
                  <c:v>807.45305000000008</c:v>
                </c:pt>
                <c:pt idx="3438">
                  <c:v>807.45441000000005</c:v>
                </c:pt>
                <c:pt idx="3439">
                  <c:v>807.45576000000005</c:v>
                </c:pt>
                <c:pt idx="3440">
                  <c:v>807.45711000000006</c:v>
                </c:pt>
                <c:pt idx="3441">
                  <c:v>807.45846000000006</c:v>
                </c:pt>
                <c:pt idx="3442">
                  <c:v>807.45981000000006</c:v>
                </c:pt>
                <c:pt idx="3443">
                  <c:v>807.47608000000002</c:v>
                </c:pt>
                <c:pt idx="3444">
                  <c:v>807.47743000000003</c:v>
                </c:pt>
                <c:pt idx="3445">
                  <c:v>807.47878000000003</c:v>
                </c:pt>
                <c:pt idx="3446">
                  <c:v>807.48013000000003</c:v>
                </c:pt>
                <c:pt idx="3447">
                  <c:v>807.48148000000003</c:v>
                </c:pt>
                <c:pt idx="3448">
                  <c:v>807.48283000000004</c:v>
                </c:pt>
                <c:pt idx="3449">
                  <c:v>807.48418000000004</c:v>
                </c:pt>
                <c:pt idx="3450">
                  <c:v>807.48553000000004</c:v>
                </c:pt>
                <c:pt idx="3451">
                  <c:v>807.48689000000002</c:v>
                </c:pt>
                <c:pt idx="3452">
                  <c:v>807.48825000000011</c:v>
                </c:pt>
                <c:pt idx="3453">
                  <c:v>807.48961000000008</c:v>
                </c:pt>
                <c:pt idx="3454">
                  <c:v>807.49096000000009</c:v>
                </c:pt>
                <c:pt idx="3455">
                  <c:v>807.49231000000009</c:v>
                </c:pt>
                <c:pt idx="3456">
                  <c:v>807.49366000000009</c:v>
                </c:pt>
                <c:pt idx="3457">
                  <c:v>807.49502000000007</c:v>
                </c:pt>
                <c:pt idx="3458">
                  <c:v>807.49637000000007</c:v>
                </c:pt>
                <c:pt idx="3459">
                  <c:v>807.49772000000007</c:v>
                </c:pt>
                <c:pt idx="3460">
                  <c:v>807.49907000000007</c:v>
                </c:pt>
                <c:pt idx="3461">
                  <c:v>807.50042000000008</c:v>
                </c:pt>
                <c:pt idx="3462">
                  <c:v>807.50177000000008</c:v>
                </c:pt>
                <c:pt idx="3463">
                  <c:v>807.50312000000008</c:v>
                </c:pt>
                <c:pt idx="3464">
                  <c:v>807.52205000000004</c:v>
                </c:pt>
                <c:pt idx="3465">
                  <c:v>807.52340000000004</c:v>
                </c:pt>
                <c:pt idx="3466">
                  <c:v>807.52476000000001</c:v>
                </c:pt>
                <c:pt idx="3467">
                  <c:v>807.52611000000002</c:v>
                </c:pt>
                <c:pt idx="3468">
                  <c:v>807.52746000000002</c:v>
                </c:pt>
                <c:pt idx="3469">
                  <c:v>807.52881000000002</c:v>
                </c:pt>
                <c:pt idx="3470">
                  <c:v>807.53017000000011</c:v>
                </c:pt>
                <c:pt idx="3471">
                  <c:v>807.53152000000011</c:v>
                </c:pt>
                <c:pt idx="3472">
                  <c:v>807.53287000000012</c:v>
                </c:pt>
                <c:pt idx="3473">
                  <c:v>807.53422000000012</c:v>
                </c:pt>
                <c:pt idx="3474">
                  <c:v>807.53557000000012</c:v>
                </c:pt>
                <c:pt idx="3475">
                  <c:v>807.53692000000012</c:v>
                </c:pt>
                <c:pt idx="3476">
                  <c:v>807.53827000000001</c:v>
                </c:pt>
                <c:pt idx="3477">
                  <c:v>807.5396300000001</c:v>
                </c:pt>
                <c:pt idx="3478">
                  <c:v>807.54234000000008</c:v>
                </c:pt>
                <c:pt idx="3479">
                  <c:v>807.54370000000006</c:v>
                </c:pt>
                <c:pt idx="3480">
                  <c:v>807.54506000000003</c:v>
                </c:pt>
                <c:pt idx="3481">
                  <c:v>807.54641000000004</c:v>
                </c:pt>
                <c:pt idx="3482">
                  <c:v>807.54776000000004</c:v>
                </c:pt>
                <c:pt idx="3483">
                  <c:v>807.56533000000002</c:v>
                </c:pt>
                <c:pt idx="3484">
                  <c:v>807.56668000000002</c:v>
                </c:pt>
                <c:pt idx="3485">
                  <c:v>807.56803000000002</c:v>
                </c:pt>
                <c:pt idx="3486">
                  <c:v>807.56938000000002</c:v>
                </c:pt>
                <c:pt idx="3487">
                  <c:v>807.57073000000003</c:v>
                </c:pt>
                <c:pt idx="3488">
                  <c:v>807.57208000000003</c:v>
                </c:pt>
                <c:pt idx="3489">
                  <c:v>807.57343000000003</c:v>
                </c:pt>
                <c:pt idx="3490">
                  <c:v>807.57479000000012</c:v>
                </c:pt>
                <c:pt idx="3491">
                  <c:v>807.57614000000001</c:v>
                </c:pt>
                <c:pt idx="3492">
                  <c:v>807.57749000000001</c:v>
                </c:pt>
                <c:pt idx="3493">
                  <c:v>807.57884000000001</c:v>
                </c:pt>
                <c:pt idx="3494">
                  <c:v>807.5802000000001</c:v>
                </c:pt>
                <c:pt idx="3495">
                  <c:v>807.58155000000011</c:v>
                </c:pt>
                <c:pt idx="3496">
                  <c:v>807.58290000000011</c:v>
                </c:pt>
                <c:pt idx="3497">
                  <c:v>807.58425000000011</c:v>
                </c:pt>
                <c:pt idx="3498">
                  <c:v>807.58560000000011</c:v>
                </c:pt>
                <c:pt idx="3499">
                  <c:v>807.58695000000012</c:v>
                </c:pt>
                <c:pt idx="3500">
                  <c:v>807.58830000000012</c:v>
                </c:pt>
                <c:pt idx="3501">
                  <c:v>807.58965000000012</c:v>
                </c:pt>
                <c:pt idx="3502">
                  <c:v>807.59100000000012</c:v>
                </c:pt>
                <c:pt idx="3503">
                  <c:v>807.59235000000001</c:v>
                </c:pt>
                <c:pt idx="3504">
                  <c:v>807.61260000000004</c:v>
                </c:pt>
                <c:pt idx="3505">
                  <c:v>807.61394000000007</c:v>
                </c:pt>
                <c:pt idx="3506">
                  <c:v>807.61529000000007</c:v>
                </c:pt>
                <c:pt idx="3507">
                  <c:v>807.61664000000007</c:v>
                </c:pt>
                <c:pt idx="3508">
                  <c:v>807.61799000000008</c:v>
                </c:pt>
                <c:pt idx="3509">
                  <c:v>807.61934000000008</c:v>
                </c:pt>
                <c:pt idx="3510">
                  <c:v>807.62069000000008</c:v>
                </c:pt>
                <c:pt idx="3511">
                  <c:v>807.62204000000008</c:v>
                </c:pt>
                <c:pt idx="3512">
                  <c:v>807.62339000000009</c:v>
                </c:pt>
                <c:pt idx="3513">
                  <c:v>807.62474000000009</c:v>
                </c:pt>
                <c:pt idx="3514">
                  <c:v>807.62609000000009</c:v>
                </c:pt>
                <c:pt idx="3515">
                  <c:v>807.62744000000009</c:v>
                </c:pt>
                <c:pt idx="3516">
                  <c:v>807.62878000000012</c:v>
                </c:pt>
                <c:pt idx="3517">
                  <c:v>807.63013000000012</c:v>
                </c:pt>
                <c:pt idx="3518">
                  <c:v>807.63148000000001</c:v>
                </c:pt>
                <c:pt idx="3519">
                  <c:v>807.63283000000001</c:v>
                </c:pt>
                <c:pt idx="3520">
                  <c:v>807.63418000000001</c:v>
                </c:pt>
                <c:pt idx="3521">
                  <c:v>807.63553000000002</c:v>
                </c:pt>
                <c:pt idx="3522">
                  <c:v>807.63688000000002</c:v>
                </c:pt>
                <c:pt idx="3523">
                  <c:v>807.63823000000002</c:v>
                </c:pt>
                <c:pt idx="3524">
                  <c:v>807.63958000000002</c:v>
                </c:pt>
                <c:pt idx="3525">
                  <c:v>807.64093000000003</c:v>
                </c:pt>
                <c:pt idx="3526">
                  <c:v>807.66118000000006</c:v>
                </c:pt>
                <c:pt idx="3527">
                  <c:v>807.66253000000006</c:v>
                </c:pt>
                <c:pt idx="3528">
                  <c:v>807.66388000000006</c:v>
                </c:pt>
                <c:pt idx="3529">
                  <c:v>807.66523000000007</c:v>
                </c:pt>
                <c:pt idx="3530">
                  <c:v>807.66658000000007</c:v>
                </c:pt>
                <c:pt idx="3531">
                  <c:v>807.66793000000007</c:v>
                </c:pt>
                <c:pt idx="3532">
                  <c:v>807.66928000000007</c:v>
                </c:pt>
                <c:pt idx="3533">
                  <c:v>807.67063000000007</c:v>
                </c:pt>
                <c:pt idx="3534">
                  <c:v>807.67198000000008</c:v>
                </c:pt>
                <c:pt idx="3535">
                  <c:v>807.67333000000008</c:v>
                </c:pt>
                <c:pt idx="3536">
                  <c:v>807.67467000000011</c:v>
                </c:pt>
                <c:pt idx="3537">
                  <c:v>807.67602000000011</c:v>
                </c:pt>
                <c:pt idx="3538">
                  <c:v>807.67737000000011</c:v>
                </c:pt>
                <c:pt idx="3539">
                  <c:v>807.67872000000011</c:v>
                </c:pt>
                <c:pt idx="3540">
                  <c:v>807.68006000000003</c:v>
                </c:pt>
                <c:pt idx="3541">
                  <c:v>807.68141000000003</c:v>
                </c:pt>
                <c:pt idx="3542">
                  <c:v>807.68276000000003</c:v>
                </c:pt>
                <c:pt idx="3543">
                  <c:v>807.68410000000006</c:v>
                </c:pt>
                <c:pt idx="3544">
                  <c:v>807.68545000000006</c:v>
                </c:pt>
                <c:pt idx="3545">
                  <c:v>807.68680000000006</c:v>
                </c:pt>
                <c:pt idx="3546">
                  <c:v>807.68814000000009</c:v>
                </c:pt>
                <c:pt idx="3547">
                  <c:v>807.68949000000009</c:v>
                </c:pt>
                <c:pt idx="3548">
                  <c:v>807.69084000000009</c:v>
                </c:pt>
                <c:pt idx="3549">
                  <c:v>807.69218000000012</c:v>
                </c:pt>
                <c:pt idx="3550">
                  <c:v>807.71373000000006</c:v>
                </c:pt>
                <c:pt idx="3551">
                  <c:v>807.71508000000006</c:v>
                </c:pt>
                <c:pt idx="3552">
                  <c:v>807.71642000000008</c:v>
                </c:pt>
                <c:pt idx="3553">
                  <c:v>807.71777000000009</c:v>
                </c:pt>
                <c:pt idx="3554">
                  <c:v>807.71912000000009</c:v>
                </c:pt>
                <c:pt idx="3555">
                  <c:v>807.72046000000012</c:v>
                </c:pt>
                <c:pt idx="3556">
                  <c:v>807.72181000000012</c:v>
                </c:pt>
                <c:pt idx="3557">
                  <c:v>807.72316000000012</c:v>
                </c:pt>
                <c:pt idx="3558">
                  <c:v>807.72450000000003</c:v>
                </c:pt>
                <c:pt idx="3559">
                  <c:v>807.72585000000004</c:v>
                </c:pt>
                <c:pt idx="3560">
                  <c:v>807.72720000000004</c:v>
                </c:pt>
                <c:pt idx="3561">
                  <c:v>807.72854000000007</c:v>
                </c:pt>
                <c:pt idx="3562">
                  <c:v>807.72989000000007</c:v>
                </c:pt>
                <c:pt idx="3563">
                  <c:v>807.73124000000007</c:v>
                </c:pt>
                <c:pt idx="3564">
                  <c:v>807.7325800000001</c:v>
                </c:pt>
                <c:pt idx="3565">
                  <c:v>807.7339300000001</c:v>
                </c:pt>
                <c:pt idx="3566">
                  <c:v>807.7352800000001</c:v>
                </c:pt>
                <c:pt idx="3567">
                  <c:v>807.73662000000002</c:v>
                </c:pt>
                <c:pt idx="3568">
                  <c:v>807.73797000000002</c:v>
                </c:pt>
                <c:pt idx="3569">
                  <c:v>807.73932000000002</c:v>
                </c:pt>
                <c:pt idx="3570">
                  <c:v>807.74066000000005</c:v>
                </c:pt>
                <c:pt idx="3571">
                  <c:v>807.74201000000005</c:v>
                </c:pt>
                <c:pt idx="3572">
                  <c:v>807.74336000000005</c:v>
                </c:pt>
                <c:pt idx="3573">
                  <c:v>807.74470000000008</c:v>
                </c:pt>
                <c:pt idx="3574">
                  <c:v>807.76894000000004</c:v>
                </c:pt>
                <c:pt idx="3575">
                  <c:v>807.77029000000005</c:v>
                </c:pt>
                <c:pt idx="3576">
                  <c:v>807.77164000000005</c:v>
                </c:pt>
                <c:pt idx="3577">
                  <c:v>807.77299000000005</c:v>
                </c:pt>
                <c:pt idx="3578">
                  <c:v>807.77433000000008</c:v>
                </c:pt>
                <c:pt idx="3579">
                  <c:v>807.7756700000001</c:v>
                </c:pt>
                <c:pt idx="3580">
                  <c:v>807.77701000000002</c:v>
                </c:pt>
                <c:pt idx="3581">
                  <c:v>807.77836000000002</c:v>
                </c:pt>
                <c:pt idx="3582">
                  <c:v>807.77971000000002</c:v>
                </c:pt>
                <c:pt idx="3583">
                  <c:v>807.78106000000002</c:v>
                </c:pt>
                <c:pt idx="3584">
                  <c:v>807.78240000000005</c:v>
                </c:pt>
                <c:pt idx="3585">
                  <c:v>807.78509000000008</c:v>
                </c:pt>
                <c:pt idx="3586">
                  <c:v>807.78644000000008</c:v>
                </c:pt>
                <c:pt idx="3587">
                  <c:v>807.78779000000009</c:v>
                </c:pt>
                <c:pt idx="3588">
                  <c:v>807.78914000000009</c:v>
                </c:pt>
                <c:pt idx="3589">
                  <c:v>807.79049000000009</c:v>
                </c:pt>
                <c:pt idx="3590">
                  <c:v>807.79184000000009</c:v>
                </c:pt>
                <c:pt idx="3591">
                  <c:v>807.7931900000001</c:v>
                </c:pt>
                <c:pt idx="3592">
                  <c:v>807.79453000000012</c:v>
                </c:pt>
                <c:pt idx="3593">
                  <c:v>807.79587000000004</c:v>
                </c:pt>
                <c:pt idx="3594">
                  <c:v>807.79721000000006</c:v>
                </c:pt>
                <c:pt idx="3595">
                  <c:v>807.79856000000007</c:v>
                </c:pt>
                <c:pt idx="3596">
                  <c:v>807.79991000000007</c:v>
                </c:pt>
                <c:pt idx="3597">
                  <c:v>807.80126000000007</c:v>
                </c:pt>
                <c:pt idx="3598">
                  <c:v>807.80261000000007</c:v>
                </c:pt>
                <c:pt idx="3599">
                  <c:v>807.8039500000001</c:v>
                </c:pt>
                <c:pt idx="3600">
                  <c:v>807.83088000000009</c:v>
                </c:pt>
                <c:pt idx="3601">
                  <c:v>807.8322300000001</c:v>
                </c:pt>
                <c:pt idx="3602">
                  <c:v>807.8335800000001</c:v>
                </c:pt>
                <c:pt idx="3603">
                  <c:v>807.8349300000001</c:v>
                </c:pt>
                <c:pt idx="3604">
                  <c:v>807.83627000000001</c:v>
                </c:pt>
                <c:pt idx="3605">
                  <c:v>807.83761000000004</c:v>
                </c:pt>
                <c:pt idx="3606">
                  <c:v>807.83895000000007</c:v>
                </c:pt>
                <c:pt idx="3607">
                  <c:v>807.8402900000001</c:v>
                </c:pt>
                <c:pt idx="3608">
                  <c:v>807.84163000000012</c:v>
                </c:pt>
                <c:pt idx="3609">
                  <c:v>807.84297000000004</c:v>
                </c:pt>
                <c:pt idx="3610">
                  <c:v>807.84431000000006</c:v>
                </c:pt>
                <c:pt idx="3611">
                  <c:v>807.84565000000009</c:v>
                </c:pt>
                <c:pt idx="3612">
                  <c:v>807.84699000000012</c:v>
                </c:pt>
                <c:pt idx="3613">
                  <c:v>807.84834000000012</c:v>
                </c:pt>
                <c:pt idx="3614">
                  <c:v>807.84969000000001</c:v>
                </c:pt>
                <c:pt idx="3615">
                  <c:v>807.85104000000001</c:v>
                </c:pt>
                <c:pt idx="3616">
                  <c:v>807.85239000000001</c:v>
                </c:pt>
                <c:pt idx="3617">
                  <c:v>807.85374000000002</c:v>
                </c:pt>
                <c:pt idx="3618">
                  <c:v>807.85509000000002</c:v>
                </c:pt>
                <c:pt idx="3619">
                  <c:v>807.85643000000005</c:v>
                </c:pt>
                <c:pt idx="3620">
                  <c:v>807.85777000000007</c:v>
                </c:pt>
                <c:pt idx="3621">
                  <c:v>807.8591100000001</c:v>
                </c:pt>
                <c:pt idx="3622">
                  <c:v>807.86045000000001</c:v>
                </c:pt>
                <c:pt idx="3623">
                  <c:v>807.86179000000004</c:v>
                </c:pt>
                <c:pt idx="3624">
                  <c:v>807.86313000000007</c:v>
                </c:pt>
                <c:pt idx="3625">
                  <c:v>807.8644700000001</c:v>
                </c:pt>
                <c:pt idx="3626">
                  <c:v>807.86581000000001</c:v>
                </c:pt>
                <c:pt idx="3627">
                  <c:v>807.86715000000004</c:v>
                </c:pt>
                <c:pt idx="3628">
                  <c:v>807.86850000000004</c:v>
                </c:pt>
                <c:pt idx="3629">
                  <c:v>807.86985000000004</c:v>
                </c:pt>
                <c:pt idx="3630">
                  <c:v>807.87120000000004</c:v>
                </c:pt>
                <c:pt idx="3631">
                  <c:v>807.87255000000005</c:v>
                </c:pt>
                <c:pt idx="3632">
                  <c:v>807.87390000000005</c:v>
                </c:pt>
                <c:pt idx="3633">
                  <c:v>807.90878000000009</c:v>
                </c:pt>
                <c:pt idx="3634">
                  <c:v>807.91012000000012</c:v>
                </c:pt>
                <c:pt idx="3635">
                  <c:v>807.91146000000003</c:v>
                </c:pt>
                <c:pt idx="3636">
                  <c:v>807.91280000000006</c:v>
                </c:pt>
                <c:pt idx="3637">
                  <c:v>807.91414000000009</c:v>
                </c:pt>
                <c:pt idx="3638">
                  <c:v>807.91549000000009</c:v>
                </c:pt>
                <c:pt idx="3639">
                  <c:v>807.91683000000012</c:v>
                </c:pt>
                <c:pt idx="3640">
                  <c:v>807.91817000000003</c:v>
                </c:pt>
                <c:pt idx="3641">
                  <c:v>807.91951000000006</c:v>
                </c:pt>
                <c:pt idx="3642">
                  <c:v>807.92085000000009</c:v>
                </c:pt>
                <c:pt idx="3643">
                  <c:v>807.92219000000011</c:v>
                </c:pt>
                <c:pt idx="3644">
                  <c:v>807.92353000000003</c:v>
                </c:pt>
                <c:pt idx="3645">
                  <c:v>807.92488000000003</c:v>
                </c:pt>
                <c:pt idx="3646">
                  <c:v>807.92622000000006</c:v>
                </c:pt>
                <c:pt idx="3647">
                  <c:v>807.92756000000008</c:v>
                </c:pt>
                <c:pt idx="3648">
                  <c:v>807.92890000000011</c:v>
                </c:pt>
                <c:pt idx="3649">
                  <c:v>807.93025000000011</c:v>
                </c:pt>
                <c:pt idx="3650">
                  <c:v>807.93159000000003</c:v>
                </c:pt>
                <c:pt idx="3651">
                  <c:v>807.93293000000006</c:v>
                </c:pt>
                <c:pt idx="3652">
                  <c:v>807.93427000000008</c:v>
                </c:pt>
                <c:pt idx="3653">
                  <c:v>807.93562000000009</c:v>
                </c:pt>
                <c:pt idx="3654">
                  <c:v>807.93696000000011</c:v>
                </c:pt>
                <c:pt idx="3655">
                  <c:v>807.93830000000003</c:v>
                </c:pt>
                <c:pt idx="3656">
                  <c:v>807.93964000000005</c:v>
                </c:pt>
                <c:pt idx="3657">
                  <c:v>807.94098000000008</c:v>
                </c:pt>
                <c:pt idx="3658">
                  <c:v>807.94232000000011</c:v>
                </c:pt>
                <c:pt idx="3659">
                  <c:v>807.94366000000002</c:v>
                </c:pt>
                <c:pt idx="3660">
                  <c:v>807.94501000000002</c:v>
                </c:pt>
                <c:pt idx="3661">
                  <c:v>807.94635000000005</c:v>
                </c:pt>
                <c:pt idx="3662">
                  <c:v>807.94769000000008</c:v>
                </c:pt>
                <c:pt idx="3663">
                  <c:v>807.94903000000011</c:v>
                </c:pt>
                <c:pt idx="3664">
                  <c:v>807.95037000000002</c:v>
                </c:pt>
                <c:pt idx="3665">
                  <c:v>807.95171000000005</c:v>
                </c:pt>
                <c:pt idx="3666">
                  <c:v>807.95305000000008</c:v>
                </c:pt>
                <c:pt idx="3667">
                  <c:v>807.9543900000001</c:v>
                </c:pt>
                <c:pt idx="3668">
                  <c:v>807.95573000000002</c:v>
                </c:pt>
                <c:pt idx="3669">
                  <c:v>807.95707000000004</c:v>
                </c:pt>
                <c:pt idx="3670">
                  <c:v>807.95841000000007</c:v>
                </c:pt>
                <c:pt idx="3671">
                  <c:v>807.9597500000001</c:v>
                </c:pt>
                <c:pt idx="3672">
                  <c:v>807.96109000000001</c:v>
                </c:pt>
                <c:pt idx="3673">
                  <c:v>807.96243000000004</c:v>
                </c:pt>
                <c:pt idx="3674">
                  <c:v>807.96377000000007</c:v>
                </c:pt>
                <c:pt idx="3675">
                  <c:v>807.9651100000001</c:v>
                </c:pt>
                <c:pt idx="3676">
                  <c:v>807.96645000000012</c:v>
                </c:pt>
                <c:pt idx="3677">
                  <c:v>807.96779000000004</c:v>
                </c:pt>
                <c:pt idx="3678">
                  <c:v>807.96913000000006</c:v>
                </c:pt>
                <c:pt idx="3679">
                  <c:v>807.97047000000009</c:v>
                </c:pt>
                <c:pt idx="3680">
                  <c:v>808.02671000000009</c:v>
                </c:pt>
                <c:pt idx="3681">
                  <c:v>808.0280600000001</c:v>
                </c:pt>
                <c:pt idx="3682">
                  <c:v>808.02940000000001</c:v>
                </c:pt>
                <c:pt idx="3683">
                  <c:v>808.03073000000006</c:v>
                </c:pt>
                <c:pt idx="3684">
                  <c:v>808.03207000000009</c:v>
                </c:pt>
                <c:pt idx="3685">
                  <c:v>808.03341000000012</c:v>
                </c:pt>
                <c:pt idx="3686">
                  <c:v>808.03474000000006</c:v>
                </c:pt>
                <c:pt idx="3687">
                  <c:v>808.03608000000008</c:v>
                </c:pt>
                <c:pt idx="3688">
                  <c:v>808.03742000000011</c:v>
                </c:pt>
                <c:pt idx="3689">
                  <c:v>808.03875000000005</c:v>
                </c:pt>
                <c:pt idx="3690">
                  <c:v>808.04009000000008</c:v>
                </c:pt>
                <c:pt idx="3691">
                  <c:v>808.0414300000001</c:v>
                </c:pt>
                <c:pt idx="3692">
                  <c:v>808.04276000000004</c:v>
                </c:pt>
                <c:pt idx="3693">
                  <c:v>808.04410000000007</c:v>
                </c:pt>
                <c:pt idx="3694">
                  <c:v>808.0454400000001</c:v>
                </c:pt>
                <c:pt idx="3695">
                  <c:v>808.04677000000004</c:v>
                </c:pt>
                <c:pt idx="3696">
                  <c:v>808.04811000000007</c:v>
                </c:pt>
                <c:pt idx="3697">
                  <c:v>808.04945000000009</c:v>
                </c:pt>
                <c:pt idx="3698">
                  <c:v>808.05078000000003</c:v>
                </c:pt>
                <c:pt idx="3699">
                  <c:v>808.05212000000006</c:v>
                </c:pt>
                <c:pt idx="3700">
                  <c:v>808.05346000000009</c:v>
                </c:pt>
                <c:pt idx="3701">
                  <c:v>808.05479000000003</c:v>
                </c:pt>
                <c:pt idx="3702">
                  <c:v>808.05613000000005</c:v>
                </c:pt>
                <c:pt idx="3703">
                  <c:v>808.05747000000008</c:v>
                </c:pt>
                <c:pt idx="3704">
                  <c:v>808.05880000000002</c:v>
                </c:pt>
                <c:pt idx="3705">
                  <c:v>808.06014000000005</c:v>
                </c:pt>
                <c:pt idx="3706">
                  <c:v>808.06148000000007</c:v>
                </c:pt>
                <c:pt idx="3707">
                  <c:v>808.06281000000001</c:v>
                </c:pt>
                <c:pt idx="3708">
                  <c:v>808.06415000000004</c:v>
                </c:pt>
                <c:pt idx="3709">
                  <c:v>808.06549000000007</c:v>
                </c:pt>
                <c:pt idx="3710">
                  <c:v>808.06682000000012</c:v>
                </c:pt>
                <c:pt idx="3711">
                  <c:v>808.06816000000003</c:v>
                </c:pt>
                <c:pt idx="3712">
                  <c:v>808.06950000000006</c:v>
                </c:pt>
                <c:pt idx="3713">
                  <c:v>808.07083000000011</c:v>
                </c:pt>
                <c:pt idx="3714">
                  <c:v>808.07217000000003</c:v>
                </c:pt>
                <c:pt idx="3715">
                  <c:v>808.07351000000006</c:v>
                </c:pt>
                <c:pt idx="3716">
                  <c:v>808.07484000000011</c:v>
                </c:pt>
                <c:pt idx="3717">
                  <c:v>808.07617000000005</c:v>
                </c:pt>
                <c:pt idx="3718">
                  <c:v>808.07751000000007</c:v>
                </c:pt>
                <c:pt idx="3719">
                  <c:v>808.0788500000001</c:v>
                </c:pt>
                <c:pt idx="3720">
                  <c:v>808.08019000000002</c:v>
                </c:pt>
                <c:pt idx="3721">
                  <c:v>808.08153000000004</c:v>
                </c:pt>
                <c:pt idx="3722">
                  <c:v>808.08287000000007</c:v>
                </c:pt>
                <c:pt idx="3723">
                  <c:v>808.08420000000001</c:v>
                </c:pt>
                <c:pt idx="3724">
                  <c:v>808.08553000000006</c:v>
                </c:pt>
                <c:pt idx="3725">
                  <c:v>808.08686000000012</c:v>
                </c:pt>
                <c:pt idx="3726">
                  <c:v>808.08820000000003</c:v>
                </c:pt>
                <c:pt idx="3727">
                  <c:v>808.08954000000006</c:v>
                </c:pt>
                <c:pt idx="3728">
                  <c:v>808.09088000000008</c:v>
                </c:pt>
                <c:pt idx="3729">
                  <c:v>808.09222000000011</c:v>
                </c:pt>
                <c:pt idx="3730">
                  <c:v>808.09355000000005</c:v>
                </c:pt>
                <c:pt idx="3731">
                  <c:v>808.0948800000001</c:v>
                </c:pt>
                <c:pt idx="3732">
                  <c:v>808.09621000000004</c:v>
                </c:pt>
                <c:pt idx="3733">
                  <c:v>808.09754000000009</c:v>
                </c:pt>
                <c:pt idx="3734">
                  <c:v>808.09888000000012</c:v>
                </c:pt>
                <c:pt idx="3735">
                  <c:v>808.10022000000004</c:v>
                </c:pt>
                <c:pt idx="3736">
                  <c:v>808.10156000000006</c:v>
                </c:pt>
                <c:pt idx="3737">
                  <c:v>808.10290000000009</c:v>
                </c:pt>
                <c:pt idx="3738">
                  <c:v>808.10423000000003</c:v>
                </c:pt>
                <c:pt idx="3739">
                  <c:v>808.10556000000008</c:v>
                </c:pt>
                <c:pt idx="3740">
                  <c:v>808.10689000000002</c:v>
                </c:pt>
                <c:pt idx="3741">
                  <c:v>808.10823000000005</c:v>
                </c:pt>
                <c:pt idx="3742">
                  <c:v>808.10957000000008</c:v>
                </c:pt>
                <c:pt idx="3743">
                  <c:v>808.1109100000001</c:v>
                </c:pt>
                <c:pt idx="3744">
                  <c:v>808.11225000000002</c:v>
                </c:pt>
                <c:pt idx="3745">
                  <c:v>808.11359000000004</c:v>
                </c:pt>
                <c:pt idx="3746">
                  <c:v>808.1149200000001</c:v>
                </c:pt>
                <c:pt idx="3747">
                  <c:v>808.11625000000004</c:v>
                </c:pt>
                <c:pt idx="3748">
                  <c:v>808.11758000000009</c:v>
                </c:pt>
                <c:pt idx="3749">
                  <c:v>808.11892000000012</c:v>
                </c:pt>
                <c:pt idx="3750">
                  <c:v>808.12026000000003</c:v>
                </c:pt>
                <c:pt idx="3751">
                  <c:v>808.12160000000006</c:v>
                </c:pt>
                <c:pt idx="3752">
                  <c:v>808.12294000000009</c:v>
                </c:pt>
                <c:pt idx="3753">
                  <c:v>808.12427000000002</c:v>
                </c:pt>
                <c:pt idx="3754">
                  <c:v>808.12560000000008</c:v>
                </c:pt>
                <c:pt idx="3755">
                  <c:v>808.12693000000002</c:v>
                </c:pt>
                <c:pt idx="3756">
                  <c:v>808.12827000000004</c:v>
                </c:pt>
                <c:pt idx="3757">
                  <c:v>808.12961000000007</c:v>
                </c:pt>
                <c:pt idx="3758">
                  <c:v>808.1309500000001</c:v>
                </c:pt>
                <c:pt idx="3759">
                  <c:v>808.13229000000001</c:v>
                </c:pt>
                <c:pt idx="3760">
                  <c:v>808.13363000000004</c:v>
                </c:pt>
                <c:pt idx="3761">
                  <c:v>808.13496000000009</c:v>
                </c:pt>
                <c:pt idx="3762">
                  <c:v>808.13629000000003</c:v>
                </c:pt>
                <c:pt idx="3763">
                  <c:v>808.13762000000008</c:v>
                </c:pt>
                <c:pt idx="3764">
                  <c:v>808.13896000000011</c:v>
                </c:pt>
                <c:pt idx="3765">
                  <c:v>808.14030000000002</c:v>
                </c:pt>
                <c:pt idx="3766">
                  <c:v>808.14163000000008</c:v>
                </c:pt>
                <c:pt idx="3767">
                  <c:v>808.14296000000002</c:v>
                </c:pt>
                <c:pt idx="3768">
                  <c:v>808.14429000000007</c:v>
                </c:pt>
                <c:pt idx="3769">
                  <c:v>808.14562000000012</c:v>
                </c:pt>
                <c:pt idx="3770">
                  <c:v>808.14695000000006</c:v>
                </c:pt>
                <c:pt idx="3771">
                  <c:v>808.14828000000011</c:v>
                </c:pt>
                <c:pt idx="3772">
                  <c:v>808.14961000000005</c:v>
                </c:pt>
                <c:pt idx="3773">
                  <c:v>808.15094000000011</c:v>
                </c:pt>
                <c:pt idx="3774">
                  <c:v>808.15227000000004</c:v>
                </c:pt>
                <c:pt idx="3775">
                  <c:v>808.15361000000007</c:v>
                </c:pt>
                <c:pt idx="3776">
                  <c:v>808.15494000000001</c:v>
                </c:pt>
                <c:pt idx="3777">
                  <c:v>808.15628000000004</c:v>
                </c:pt>
                <c:pt idx="3778">
                  <c:v>808.15762000000007</c:v>
                </c:pt>
                <c:pt idx="3779">
                  <c:v>808.15896000000009</c:v>
                </c:pt>
                <c:pt idx="3780">
                  <c:v>808.16029000000003</c:v>
                </c:pt>
                <c:pt idx="3781">
                  <c:v>808.16162000000008</c:v>
                </c:pt>
                <c:pt idx="3782">
                  <c:v>808.16295000000002</c:v>
                </c:pt>
                <c:pt idx="3783">
                  <c:v>808.16428000000008</c:v>
                </c:pt>
                <c:pt idx="3784">
                  <c:v>808.16561000000002</c:v>
                </c:pt>
                <c:pt idx="3785">
                  <c:v>808.16694000000007</c:v>
                </c:pt>
                <c:pt idx="3786">
                  <c:v>808.16827000000012</c:v>
                </c:pt>
                <c:pt idx="3787">
                  <c:v>808.16960000000006</c:v>
                </c:pt>
                <c:pt idx="3788">
                  <c:v>808.17093000000011</c:v>
                </c:pt>
                <c:pt idx="3789">
                  <c:v>808.17227000000003</c:v>
                </c:pt>
                <c:pt idx="3790">
                  <c:v>808.17361000000005</c:v>
                </c:pt>
                <c:pt idx="3791">
                  <c:v>808.17494000000011</c:v>
                </c:pt>
                <c:pt idx="3792">
                  <c:v>808.17628000000002</c:v>
                </c:pt>
                <c:pt idx="3793">
                  <c:v>808.17762000000005</c:v>
                </c:pt>
                <c:pt idx="3794">
                  <c:v>808.17896000000007</c:v>
                </c:pt>
                <c:pt idx="3795">
                  <c:v>808.18029000000001</c:v>
                </c:pt>
                <c:pt idx="3796">
                  <c:v>808.18162000000007</c:v>
                </c:pt>
                <c:pt idx="3797">
                  <c:v>808.18295000000012</c:v>
                </c:pt>
                <c:pt idx="3798">
                  <c:v>808.18428000000006</c:v>
                </c:pt>
                <c:pt idx="3799">
                  <c:v>808.18561000000011</c:v>
                </c:pt>
                <c:pt idx="3800">
                  <c:v>808.18694000000005</c:v>
                </c:pt>
                <c:pt idx="3801">
                  <c:v>808.1882700000001</c:v>
                </c:pt>
                <c:pt idx="3802">
                  <c:v>808.18960000000004</c:v>
                </c:pt>
                <c:pt idx="3803">
                  <c:v>808.19093000000009</c:v>
                </c:pt>
                <c:pt idx="3804">
                  <c:v>808.19227000000012</c:v>
                </c:pt>
                <c:pt idx="3805">
                  <c:v>808.19361000000004</c:v>
                </c:pt>
                <c:pt idx="3806">
                  <c:v>808.19495000000006</c:v>
                </c:pt>
                <c:pt idx="3807">
                  <c:v>808.19629000000009</c:v>
                </c:pt>
                <c:pt idx="3808">
                  <c:v>808.19763000000012</c:v>
                </c:pt>
                <c:pt idx="3809">
                  <c:v>808.19897000000003</c:v>
                </c:pt>
                <c:pt idx="3810">
                  <c:v>808.20030000000008</c:v>
                </c:pt>
                <c:pt idx="3811">
                  <c:v>808.20163000000002</c:v>
                </c:pt>
                <c:pt idx="3812">
                  <c:v>808.20296000000008</c:v>
                </c:pt>
                <c:pt idx="3813">
                  <c:v>808.20429000000001</c:v>
                </c:pt>
                <c:pt idx="3814">
                  <c:v>808.20562000000007</c:v>
                </c:pt>
                <c:pt idx="3815">
                  <c:v>808.20695000000012</c:v>
                </c:pt>
                <c:pt idx="3816">
                  <c:v>808.20828000000006</c:v>
                </c:pt>
                <c:pt idx="3817">
                  <c:v>808.20961000000011</c:v>
                </c:pt>
                <c:pt idx="3818">
                  <c:v>808.21094000000005</c:v>
                </c:pt>
                <c:pt idx="3819">
                  <c:v>808.2122700000001</c:v>
                </c:pt>
                <c:pt idx="3820">
                  <c:v>808.21361000000002</c:v>
                </c:pt>
                <c:pt idx="3821">
                  <c:v>808.21494000000007</c:v>
                </c:pt>
                <c:pt idx="3822">
                  <c:v>808.21627000000012</c:v>
                </c:pt>
                <c:pt idx="3823">
                  <c:v>808.21760000000006</c:v>
                </c:pt>
                <c:pt idx="3824">
                  <c:v>808.21893000000011</c:v>
                </c:pt>
                <c:pt idx="3825">
                  <c:v>808.22026000000005</c:v>
                </c:pt>
                <c:pt idx="3826">
                  <c:v>808.22159000000011</c:v>
                </c:pt>
                <c:pt idx="3827">
                  <c:v>808.22292000000004</c:v>
                </c:pt>
                <c:pt idx="3828">
                  <c:v>808.22426000000007</c:v>
                </c:pt>
                <c:pt idx="3829">
                  <c:v>808.22559000000001</c:v>
                </c:pt>
                <c:pt idx="3830">
                  <c:v>808.22692000000006</c:v>
                </c:pt>
                <c:pt idx="3831">
                  <c:v>808.22825000000012</c:v>
                </c:pt>
                <c:pt idx="3832">
                  <c:v>808.22958000000006</c:v>
                </c:pt>
                <c:pt idx="3833">
                  <c:v>808.23091000000011</c:v>
                </c:pt>
                <c:pt idx="3834">
                  <c:v>808.23224000000005</c:v>
                </c:pt>
                <c:pt idx="3835">
                  <c:v>808.23358000000007</c:v>
                </c:pt>
                <c:pt idx="3836">
                  <c:v>808.23491000000001</c:v>
                </c:pt>
                <c:pt idx="3837">
                  <c:v>808.23624000000007</c:v>
                </c:pt>
                <c:pt idx="3838">
                  <c:v>808.23757000000012</c:v>
                </c:pt>
                <c:pt idx="3839">
                  <c:v>808.23890000000006</c:v>
                </c:pt>
                <c:pt idx="3840">
                  <c:v>808.24023000000011</c:v>
                </c:pt>
                <c:pt idx="3841">
                  <c:v>808.24156000000005</c:v>
                </c:pt>
                <c:pt idx="3842">
                  <c:v>808.2428900000001</c:v>
                </c:pt>
                <c:pt idx="3843">
                  <c:v>808.24423000000002</c:v>
                </c:pt>
                <c:pt idx="3844">
                  <c:v>808.24556000000007</c:v>
                </c:pt>
                <c:pt idx="3845">
                  <c:v>808.24689000000012</c:v>
                </c:pt>
                <c:pt idx="3846">
                  <c:v>808.24822000000006</c:v>
                </c:pt>
                <c:pt idx="3847">
                  <c:v>808.24955000000011</c:v>
                </c:pt>
                <c:pt idx="3848">
                  <c:v>808.25088000000005</c:v>
                </c:pt>
                <c:pt idx="3849">
                  <c:v>808.2522100000001</c:v>
                </c:pt>
                <c:pt idx="3850">
                  <c:v>808.25355000000002</c:v>
                </c:pt>
                <c:pt idx="3851">
                  <c:v>808.25488000000007</c:v>
                </c:pt>
                <c:pt idx="3852">
                  <c:v>808.25621000000001</c:v>
                </c:pt>
                <c:pt idx="3853">
                  <c:v>808.25754000000006</c:v>
                </c:pt>
                <c:pt idx="3854">
                  <c:v>808.25888000000009</c:v>
                </c:pt>
                <c:pt idx="3855">
                  <c:v>808.26021000000003</c:v>
                </c:pt>
                <c:pt idx="3856">
                  <c:v>808.26154000000008</c:v>
                </c:pt>
                <c:pt idx="3857">
                  <c:v>808.26287000000002</c:v>
                </c:pt>
                <c:pt idx="3858">
                  <c:v>808.26420000000007</c:v>
                </c:pt>
                <c:pt idx="3859">
                  <c:v>808.26687000000004</c:v>
                </c:pt>
                <c:pt idx="3860">
                  <c:v>808.26821000000007</c:v>
                </c:pt>
                <c:pt idx="3861">
                  <c:v>808.26954000000012</c:v>
                </c:pt>
                <c:pt idx="3862">
                  <c:v>808.27087000000006</c:v>
                </c:pt>
                <c:pt idx="3863">
                  <c:v>808.27220000000011</c:v>
                </c:pt>
                <c:pt idx="3864">
                  <c:v>808.27354000000003</c:v>
                </c:pt>
                <c:pt idx="3865">
                  <c:v>808.27487000000008</c:v>
                </c:pt>
                <c:pt idx="3866">
                  <c:v>808.27620000000002</c:v>
                </c:pt>
                <c:pt idx="3867">
                  <c:v>808.27753000000007</c:v>
                </c:pt>
                <c:pt idx="3868">
                  <c:v>808.27886000000012</c:v>
                </c:pt>
                <c:pt idx="3869">
                  <c:v>808.28019000000006</c:v>
                </c:pt>
                <c:pt idx="3870">
                  <c:v>808.28152000000011</c:v>
                </c:pt>
                <c:pt idx="3871">
                  <c:v>808.28285000000005</c:v>
                </c:pt>
                <c:pt idx="3872">
                  <c:v>808.28418000000011</c:v>
                </c:pt>
                <c:pt idx="3873">
                  <c:v>808.28551000000004</c:v>
                </c:pt>
                <c:pt idx="3874">
                  <c:v>808.2868400000001</c:v>
                </c:pt>
                <c:pt idx="3875">
                  <c:v>808.28817000000004</c:v>
                </c:pt>
                <c:pt idx="3876">
                  <c:v>808.28950000000009</c:v>
                </c:pt>
                <c:pt idx="3877">
                  <c:v>808.29083000000003</c:v>
                </c:pt>
                <c:pt idx="3878">
                  <c:v>808.29216000000008</c:v>
                </c:pt>
                <c:pt idx="3879">
                  <c:v>808.29349000000002</c:v>
                </c:pt>
                <c:pt idx="3880">
                  <c:v>808.29482000000007</c:v>
                </c:pt>
                <c:pt idx="3881">
                  <c:v>808.29615000000001</c:v>
                </c:pt>
                <c:pt idx="3882">
                  <c:v>808.29748000000006</c:v>
                </c:pt>
                <c:pt idx="3883">
                  <c:v>808.29881000000012</c:v>
                </c:pt>
                <c:pt idx="3884">
                  <c:v>808.30014000000006</c:v>
                </c:pt>
                <c:pt idx="3885">
                  <c:v>808.30147000000011</c:v>
                </c:pt>
                <c:pt idx="3886">
                  <c:v>808.30280000000005</c:v>
                </c:pt>
                <c:pt idx="3887">
                  <c:v>808.30412000000001</c:v>
                </c:pt>
                <c:pt idx="3888">
                  <c:v>808.30545000000006</c:v>
                </c:pt>
                <c:pt idx="3889">
                  <c:v>808.30678000000012</c:v>
                </c:pt>
                <c:pt idx="3890">
                  <c:v>808.30811000000006</c:v>
                </c:pt>
                <c:pt idx="3891">
                  <c:v>808.30944000000011</c:v>
                </c:pt>
                <c:pt idx="3892">
                  <c:v>808.31077000000005</c:v>
                </c:pt>
                <c:pt idx="3893">
                  <c:v>808.3121000000001</c:v>
                </c:pt>
                <c:pt idx="3894">
                  <c:v>808.31343000000004</c:v>
                </c:pt>
                <c:pt idx="3895">
                  <c:v>808.31476000000009</c:v>
                </c:pt>
                <c:pt idx="3896">
                  <c:v>808.31609000000003</c:v>
                </c:pt>
                <c:pt idx="3897">
                  <c:v>808.31742000000008</c:v>
                </c:pt>
                <c:pt idx="3898">
                  <c:v>808.31875000000002</c:v>
                </c:pt>
                <c:pt idx="3899">
                  <c:v>808.32008000000008</c:v>
                </c:pt>
                <c:pt idx="3900">
                  <c:v>808.32141000000001</c:v>
                </c:pt>
                <c:pt idx="3901">
                  <c:v>808.32274000000007</c:v>
                </c:pt>
                <c:pt idx="3902">
                  <c:v>808.32407000000012</c:v>
                </c:pt>
                <c:pt idx="3903">
                  <c:v>808.32540000000006</c:v>
                </c:pt>
                <c:pt idx="3904">
                  <c:v>808.32673000000011</c:v>
                </c:pt>
                <c:pt idx="3905">
                  <c:v>808.32806000000005</c:v>
                </c:pt>
                <c:pt idx="3906">
                  <c:v>808.3293900000001</c:v>
                </c:pt>
                <c:pt idx="3907">
                  <c:v>808.33072000000004</c:v>
                </c:pt>
                <c:pt idx="3908">
                  <c:v>808.33205000000009</c:v>
                </c:pt>
                <c:pt idx="3909">
                  <c:v>808.33338000000003</c:v>
                </c:pt>
                <c:pt idx="3910">
                  <c:v>808.33471000000009</c:v>
                </c:pt>
                <c:pt idx="3911">
                  <c:v>808.33604000000003</c:v>
                </c:pt>
                <c:pt idx="3912">
                  <c:v>808.33737000000008</c:v>
                </c:pt>
                <c:pt idx="3913">
                  <c:v>808.33870000000002</c:v>
                </c:pt>
                <c:pt idx="3914">
                  <c:v>808.34003000000007</c:v>
                </c:pt>
                <c:pt idx="3915">
                  <c:v>808.34135000000003</c:v>
                </c:pt>
                <c:pt idx="3916">
                  <c:v>808.34268000000009</c:v>
                </c:pt>
                <c:pt idx="3917">
                  <c:v>808.34401000000003</c:v>
                </c:pt>
                <c:pt idx="3918">
                  <c:v>808.34534000000008</c:v>
                </c:pt>
                <c:pt idx="3919">
                  <c:v>808.34668000000011</c:v>
                </c:pt>
                <c:pt idx="3920">
                  <c:v>808.34801000000004</c:v>
                </c:pt>
                <c:pt idx="3921">
                  <c:v>808.3493400000001</c:v>
                </c:pt>
                <c:pt idx="3922">
                  <c:v>808.35067000000004</c:v>
                </c:pt>
                <c:pt idx="3923">
                  <c:v>808.35200000000009</c:v>
                </c:pt>
                <c:pt idx="3924">
                  <c:v>808.35333000000003</c:v>
                </c:pt>
                <c:pt idx="3925">
                  <c:v>808.35466000000008</c:v>
                </c:pt>
                <c:pt idx="3926">
                  <c:v>808.35599000000002</c:v>
                </c:pt>
                <c:pt idx="3927">
                  <c:v>808.35732000000007</c:v>
                </c:pt>
                <c:pt idx="3928">
                  <c:v>808.35865000000001</c:v>
                </c:pt>
                <c:pt idx="3929">
                  <c:v>808.35998000000006</c:v>
                </c:pt>
                <c:pt idx="3930">
                  <c:v>808.36131000000012</c:v>
                </c:pt>
                <c:pt idx="3931">
                  <c:v>808.36264000000006</c:v>
                </c:pt>
                <c:pt idx="3932">
                  <c:v>808.36397000000011</c:v>
                </c:pt>
                <c:pt idx="3933">
                  <c:v>808.36529000000007</c:v>
                </c:pt>
                <c:pt idx="3934">
                  <c:v>808.36662000000001</c:v>
                </c:pt>
                <c:pt idx="3935">
                  <c:v>808.36795000000006</c:v>
                </c:pt>
                <c:pt idx="3936">
                  <c:v>808.36927000000003</c:v>
                </c:pt>
                <c:pt idx="3937">
                  <c:v>808.37060000000008</c:v>
                </c:pt>
                <c:pt idx="3938">
                  <c:v>808.37193000000002</c:v>
                </c:pt>
                <c:pt idx="3939">
                  <c:v>808.3732500000001</c:v>
                </c:pt>
                <c:pt idx="3940">
                  <c:v>808.37458000000004</c:v>
                </c:pt>
                <c:pt idx="3941">
                  <c:v>808.37591000000009</c:v>
                </c:pt>
                <c:pt idx="3942">
                  <c:v>808.37723000000005</c:v>
                </c:pt>
                <c:pt idx="3943">
                  <c:v>808.37856000000011</c:v>
                </c:pt>
                <c:pt idx="3944">
                  <c:v>808.37989000000005</c:v>
                </c:pt>
                <c:pt idx="3945">
                  <c:v>808.38121000000001</c:v>
                </c:pt>
                <c:pt idx="3946">
                  <c:v>808.38254000000006</c:v>
                </c:pt>
                <c:pt idx="3947">
                  <c:v>808.38387000000012</c:v>
                </c:pt>
                <c:pt idx="3948">
                  <c:v>808.38519000000008</c:v>
                </c:pt>
                <c:pt idx="3949">
                  <c:v>808.38652000000002</c:v>
                </c:pt>
                <c:pt idx="3950">
                  <c:v>808.38785000000007</c:v>
                </c:pt>
                <c:pt idx="3951">
                  <c:v>808.38917000000004</c:v>
                </c:pt>
                <c:pt idx="3952">
                  <c:v>808.39050000000009</c:v>
                </c:pt>
                <c:pt idx="3953">
                  <c:v>808.39183000000003</c:v>
                </c:pt>
                <c:pt idx="3954">
                  <c:v>808.39315000000011</c:v>
                </c:pt>
                <c:pt idx="3955">
                  <c:v>808.39448000000004</c:v>
                </c:pt>
                <c:pt idx="3956">
                  <c:v>808.3958100000001</c:v>
                </c:pt>
                <c:pt idx="3957">
                  <c:v>808.39713000000006</c:v>
                </c:pt>
                <c:pt idx="3958">
                  <c:v>808.39846000000011</c:v>
                </c:pt>
                <c:pt idx="3959">
                  <c:v>808.39979000000005</c:v>
                </c:pt>
                <c:pt idx="3960">
                  <c:v>808.40111000000002</c:v>
                </c:pt>
                <c:pt idx="3961">
                  <c:v>808.40244000000007</c:v>
                </c:pt>
                <c:pt idx="3962">
                  <c:v>808.40377000000012</c:v>
                </c:pt>
                <c:pt idx="3963">
                  <c:v>808.40509000000009</c:v>
                </c:pt>
                <c:pt idx="3964">
                  <c:v>808.40642000000003</c:v>
                </c:pt>
                <c:pt idx="3965">
                  <c:v>808.40775000000008</c:v>
                </c:pt>
                <c:pt idx="3966">
                  <c:v>808.40907000000004</c:v>
                </c:pt>
                <c:pt idx="3967">
                  <c:v>808.4104000000001</c:v>
                </c:pt>
                <c:pt idx="3968">
                  <c:v>808.41173000000003</c:v>
                </c:pt>
                <c:pt idx="3969">
                  <c:v>808.41305000000011</c:v>
                </c:pt>
                <c:pt idx="3970">
                  <c:v>808.41438000000005</c:v>
                </c:pt>
                <c:pt idx="3971">
                  <c:v>808.4157100000001</c:v>
                </c:pt>
                <c:pt idx="3972">
                  <c:v>808.41703000000007</c:v>
                </c:pt>
                <c:pt idx="3973">
                  <c:v>808.41836000000012</c:v>
                </c:pt>
                <c:pt idx="3974">
                  <c:v>808.41969000000006</c:v>
                </c:pt>
                <c:pt idx="3975">
                  <c:v>808.42101000000002</c:v>
                </c:pt>
                <c:pt idx="3976">
                  <c:v>808.42234000000008</c:v>
                </c:pt>
                <c:pt idx="3977">
                  <c:v>808.42367000000002</c:v>
                </c:pt>
                <c:pt idx="3978">
                  <c:v>808.42499000000009</c:v>
                </c:pt>
                <c:pt idx="3979">
                  <c:v>808.42632000000003</c:v>
                </c:pt>
                <c:pt idx="3980">
                  <c:v>808.42765000000009</c:v>
                </c:pt>
                <c:pt idx="3981">
                  <c:v>808.42897000000005</c:v>
                </c:pt>
                <c:pt idx="3982">
                  <c:v>808.4303000000001</c:v>
                </c:pt>
                <c:pt idx="3983">
                  <c:v>808.43163000000004</c:v>
                </c:pt>
                <c:pt idx="3984">
                  <c:v>808.43295000000012</c:v>
                </c:pt>
                <c:pt idx="3985">
                  <c:v>808.43428000000006</c:v>
                </c:pt>
                <c:pt idx="3986">
                  <c:v>808.43561000000011</c:v>
                </c:pt>
                <c:pt idx="3987">
                  <c:v>808.43693000000007</c:v>
                </c:pt>
                <c:pt idx="3988">
                  <c:v>808.43826000000001</c:v>
                </c:pt>
                <c:pt idx="3989">
                  <c:v>808.43959000000007</c:v>
                </c:pt>
                <c:pt idx="3990">
                  <c:v>808.44092000000012</c:v>
                </c:pt>
                <c:pt idx="3991">
                  <c:v>808.44225000000006</c:v>
                </c:pt>
                <c:pt idx="3992">
                  <c:v>808.44358000000011</c:v>
                </c:pt>
                <c:pt idx="3993">
                  <c:v>808.44491000000005</c:v>
                </c:pt>
                <c:pt idx="3994">
                  <c:v>808.4462400000001</c:v>
                </c:pt>
                <c:pt idx="3995">
                  <c:v>808.44757000000004</c:v>
                </c:pt>
                <c:pt idx="3996">
                  <c:v>808.44890000000009</c:v>
                </c:pt>
                <c:pt idx="3997">
                  <c:v>808.45022000000006</c:v>
                </c:pt>
                <c:pt idx="3998">
                  <c:v>808.45154000000002</c:v>
                </c:pt>
                <c:pt idx="3999">
                  <c:v>808.4528600000001</c:v>
                </c:pt>
                <c:pt idx="4000">
                  <c:v>808.45419000000004</c:v>
                </c:pt>
                <c:pt idx="4001">
                  <c:v>808.45552000000009</c:v>
                </c:pt>
                <c:pt idx="4002">
                  <c:v>808.45685000000003</c:v>
                </c:pt>
                <c:pt idx="4003">
                  <c:v>808.45817000000011</c:v>
                </c:pt>
                <c:pt idx="4004">
                  <c:v>808.45949000000007</c:v>
                </c:pt>
                <c:pt idx="4005">
                  <c:v>808.46081000000004</c:v>
                </c:pt>
                <c:pt idx="4006">
                  <c:v>808.46213000000012</c:v>
                </c:pt>
                <c:pt idx="4007">
                  <c:v>808.46346000000005</c:v>
                </c:pt>
                <c:pt idx="4008">
                  <c:v>808.46479000000011</c:v>
                </c:pt>
                <c:pt idx="4009">
                  <c:v>808.46612000000005</c:v>
                </c:pt>
                <c:pt idx="4010">
                  <c:v>808.4674500000001</c:v>
                </c:pt>
                <c:pt idx="4011">
                  <c:v>808.46878000000004</c:v>
                </c:pt>
                <c:pt idx="4012">
                  <c:v>808.47010000000012</c:v>
                </c:pt>
                <c:pt idx="4013">
                  <c:v>808.47142000000008</c:v>
                </c:pt>
                <c:pt idx="4014">
                  <c:v>808.47274000000004</c:v>
                </c:pt>
                <c:pt idx="4015">
                  <c:v>808.4740700000001</c:v>
                </c:pt>
                <c:pt idx="4016">
                  <c:v>808.47540000000004</c:v>
                </c:pt>
                <c:pt idx="4017">
                  <c:v>808.47673000000009</c:v>
                </c:pt>
                <c:pt idx="4018">
                  <c:v>808.47806000000003</c:v>
                </c:pt>
                <c:pt idx="4019">
                  <c:v>808.47938000000011</c:v>
                </c:pt>
                <c:pt idx="4020">
                  <c:v>808.48070000000007</c:v>
                </c:pt>
                <c:pt idx="4021">
                  <c:v>808.48202000000003</c:v>
                </c:pt>
                <c:pt idx="4022">
                  <c:v>808.48335000000009</c:v>
                </c:pt>
                <c:pt idx="4023">
                  <c:v>808.48468000000003</c:v>
                </c:pt>
                <c:pt idx="4024">
                  <c:v>808.48601000000008</c:v>
                </c:pt>
                <c:pt idx="4025">
                  <c:v>808.48733000000004</c:v>
                </c:pt>
                <c:pt idx="4026">
                  <c:v>808.4886600000001</c:v>
                </c:pt>
                <c:pt idx="4027">
                  <c:v>808.48998000000006</c:v>
                </c:pt>
                <c:pt idx="4028">
                  <c:v>808.49130000000002</c:v>
                </c:pt>
                <c:pt idx="4029">
                  <c:v>808.4926200000001</c:v>
                </c:pt>
                <c:pt idx="4030">
                  <c:v>808.49395000000004</c:v>
                </c:pt>
                <c:pt idx="4031">
                  <c:v>808.49528000000009</c:v>
                </c:pt>
                <c:pt idx="4032">
                  <c:v>808.49661000000003</c:v>
                </c:pt>
                <c:pt idx="4033">
                  <c:v>808.49794000000009</c:v>
                </c:pt>
                <c:pt idx="4034">
                  <c:v>808.49926000000005</c:v>
                </c:pt>
                <c:pt idx="4035">
                  <c:v>808.50058000000001</c:v>
                </c:pt>
                <c:pt idx="4036">
                  <c:v>808.50190000000009</c:v>
                </c:pt>
                <c:pt idx="4037">
                  <c:v>808.50323000000003</c:v>
                </c:pt>
                <c:pt idx="4038">
                  <c:v>808.50589000000002</c:v>
                </c:pt>
                <c:pt idx="4039">
                  <c:v>808.50722000000007</c:v>
                </c:pt>
                <c:pt idx="4040">
                  <c:v>808.50855000000001</c:v>
                </c:pt>
                <c:pt idx="4041">
                  <c:v>808.50987000000009</c:v>
                </c:pt>
                <c:pt idx="4042">
                  <c:v>808.51119000000006</c:v>
                </c:pt>
                <c:pt idx="4043">
                  <c:v>808.51251000000002</c:v>
                </c:pt>
                <c:pt idx="4044">
                  <c:v>808.51384000000007</c:v>
                </c:pt>
                <c:pt idx="4045">
                  <c:v>808.51517000000001</c:v>
                </c:pt>
                <c:pt idx="4046">
                  <c:v>808.51650000000006</c:v>
                </c:pt>
                <c:pt idx="4047">
                  <c:v>808.51783000000012</c:v>
                </c:pt>
                <c:pt idx="4048">
                  <c:v>808.51915000000008</c:v>
                </c:pt>
                <c:pt idx="4049">
                  <c:v>808.52047000000005</c:v>
                </c:pt>
                <c:pt idx="4050">
                  <c:v>808.52179000000001</c:v>
                </c:pt>
                <c:pt idx="4051">
                  <c:v>808.52312000000006</c:v>
                </c:pt>
                <c:pt idx="4052">
                  <c:v>808.52445000000012</c:v>
                </c:pt>
                <c:pt idx="4053">
                  <c:v>808.52578000000005</c:v>
                </c:pt>
                <c:pt idx="4054">
                  <c:v>808.52711000000011</c:v>
                </c:pt>
                <c:pt idx="4055">
                  <c:v>808.52843000000007</c:v>
                </c:pt>
                <c:pt idx="4056">
                  <c:v>808.52975000000004</c:v>
                </c:pt>
                <c:pt idx="4057">
                  <c:v>808.53107000000011</c:v>
                </c:pt>
                <c:pt idx="4058">
                  <c:v>808.53239000000008</c:v>
                </c:pt>
                <c:pt idx="4059">
                  <c:v>808.53372000000002</c:v>
                </c:pt>
                <c:pt idx="4060">
                  <c:v>808.53505000000007</c:v>
                </c:pt>
                <c:pt idx="4061">
                  <c:v>808.53638000000012</c:v>
                </c:pt>
                <c:pt idx="4062">
                  <c:v>808.53771000000006</c:v>
                </c:pt>
                <c:pt idx="4063">
                  <c:v>808.53903000000003</c:v>
                </c:pt>
                <c:pt idx="4064">
                  <c:v>808.54036000000008</c:v>
                </c:pt>
                <c:pt idx="4065">
                  <c:v>808.54169000000002</c:v>
                </c:pt>
                <c:pt idx="4066">
                  <c:v>808.54302000000007</c:v>
                </c:pt>
                <c:pt idx="4067">
                  <c:v>808.54435000000012</c:v>
                </c:pt>
                <c:pt idx="4068">
                  <c:v>808.54568000000006</c:v>
                </c:pt>
                <c:pt idx="4069">
                  <c:v>808.54701000000011</c:v>
                </c:pt>
                <c:pt idx="4070">
                  <c:v>808.54833000000008</c:v>
                </c:pt>
                <c:pt idx="4071">
                  <c:v>808.54965000000004</c:v>
                </c:pt>
                <c:pt idx="4072">
                  <c:v>808.55097000000012</c:v>
                </c:pt>
                <c:pt idx="4073">
                  <c:v>808.55229000000008</c:v>
                </c:pt>
                <c:pt idx="4074">
                  <c:v>808.55361000000005</c:v>
                </c:pt>
                <c:pt idx="4075">
                  <c:v>808.55493000000001</c:v>
                </c:pt>
                <c:pt idx="4076">
                  <c:v>808.55625000000009</c:v>
                </c:pt>
                <c:pt idx="4077">
                  <c:v>808.55757000000006</c:v>
                </c:pt>
                <c:pt idx="4078">
                  <c:v>808.55889000000002</c:v>
                </c:pt>
                <c:pt idx="4079">
                  <c:v>808.56022000000007</c:v>
                </c:pt>
                <c:pt idx="4080">
                  <c:v>808.56155000000001</c:v>
                </c:pt>
                <c:pt idx="4081">
                  <c:v>808.56288000000006</c:v>
                </c:pt>
                <c:pt idx="4082">
                  <c:v>808.56421000000012</c:v>
                </c:pt>
                <c:pt idx="4083">
                  <c:v>808.56554000000006</c:v>
                </c:pt>
                <c:pt idx="4084">
                  <c:v>808.56686000000002</c:v>
                </c:pt>
                <c:pt idx="4085">
                  <c:v>808.5681800000001</c:v>
                </c:pt>
                <c:pt idx="4086">
                  <c:v>808.56950000000006</c:v>
                </c:pt>
                <c:pt idx="4087">
                  <c:v>808.57082000000003</c:v>
                </c:pt>
                <c:pt idx="4088">
                  <c:v>808.5721400000001</c:v>
                </c:pt>
                <c:pt idx="4089">
                  <c:v>808.57346000000007</c:v>
                </c:pt>
                <c:pt idx="4090">
                  <c:v>808.57478000000003</c:v>
                </c:pt>
                <c:pt idx="4091">
                  <c:v>808.57610000000011</c:v>
                </c:pt>
                <c:pt idx="4092">
                  <c:v>808.57742000000007</c:v>
                </c:pt>
                <c:pt idx="4093">
                  <c:v>808.57875000000001</c:v>
                </c:pt>
                <c:pt idx="4094">
                  <c:v>808.58008000000007</c:v>
                </c:pt>
                <c:pt idx="4095">
                  <c:v>808.58140000000003</c:v>
                </c:pt>
                <c:pt idx="4096">
                  <c:v>808.58273000000008</c:v>
                </c:pt>
                <c:pt idx="4097">
                  <c:v>808.58406000000002</c:v>
                </c:pt>
                <c:pt idx="4098">
                  <c:v>808.58539000000007</c:v>
                </c:pt>
                <c:pt idx="4099">
                  <c:v>808.58671000000004</c:v>
                </c:pt>
                <c:pt idx="4100">
                  <c:v>808.58803000000012</c:v>
                </c:pt>
                <c:pt idx="4101">
                  <c:v>808.58935000000008</c:v>
                </c:pt>
                <c:pt idx="4102">
                  <c:v>808.59067000000005</c:v>
                </c:pt>
                <c:pt idx="4103">
                  <c:v>808.59199000000001</c:v>
                </c:pt>
                <c:pt idx="4104">
                  <c:v>808.59331000000009</c:v>
                </c:pt>
                <c:pt idx="4105">
                  <c:v>808.59463000000005</c:v>
                </c:pt>
                <c:pt idx="4106">
                  <c:v>808.59595000000002</c:v>
                </c:pt>
                <c:pt idx="4107">
                  <c:v>808.59727000000009</c:v>
                </c:pt>
                <c:pt idx="4108">
                  <c:v>808.59859000000006</c:v>
                </c:pt>
                <c:pt idx="4109">
                  <c:v>808.59992000000011</c:v>
                </c:pt>
                <c:pt idx="4110">
                  <c:v>808.60125000000005</c:v>
                </c:pt>
                <c:pt idx="4111">
                  <c:v>808.6025800000001</c:v>
                </c:pt>
                <c:pt idx="4112">
                  <c:v>808.60391000000004</c:v>
                </c:pt>
                <c:pt idx="4113">
                  <c:v>808.60524000000009</c:v>
                </c:pt>
                <c:pt idx="4114">
                  <c:v>808.60656000000006</c:v>
                </c:pt>
                <c:pt idx="4115">
                  <c:v>808.60788000000002</c:v>
                </c:pt>
                <c:pt idx="4116">
                  <c:v>808.6092000000001</c:v>
                </c:pt>
                <c:pt idx="4117">
                  <c:v>808.61052000000007</c:v>
                </c:pt>
                <c:pt idx="4118">
                  <c:v>808.61184000000003</c:v>
                </c:pt>
                <c:pt idx="4119">
                  <c:v>808.61316000000011</c:v>
                </c:pt>
                <c:pt idx="4120">
                  <c:v>808.61448000000007</c:v>
                </c:pt>
                <c:pt idx="4121">
                  <c:v>808.61580000000004</c:v>
                </c:pt>
                <c:pt idx="4122">
                  <c:v>808.61712000000011</c:v>
                </c:pt>
                <c:pt idx="4123">
                  <c:v>808.61845000000005</c:v>
                </c:pt>
                <c:pt idx="4124">
                  <c:v>808.61978000000011</c:v>
                </c:pt>
                <c:pt idx="4125">
                  <c:v>808.62110000000007</c:v>
                </c:pt>
                <c:pt idx="4126">
                  <c:v>808.62243000000012</c:v>
                </c:pt>
                <c:pt idx="4127">
                  <c:v>808.62376000000006</c:v>
                </c:pt>
                <c:pt idx="4128">
                  <c:v>808.62509000000011</c:v>
                </c:pt>
                <c:pt idx="4129">
                  <c:v>808.62641000000008</c:v>
                </c:pt>
                <c:pt idx="4130">
                  <c:v>808.62773000000004</c:v>
                </c:pt>
                <c:pt idx="4131">
                  <c:v>808.62905000000012</c:v>
                </c:pt>
                <c:pt idx="4132">
                  <c:v>808.63037000000008</c:v>
                </c:pt>
                <c:pt idx="4133">
                  <c:v>808.63169000000005</c:v>
                </c:pt>
                <c:pt idx="4134">
                  <c:v>808.63301000000001</c:v>
                </c:pt>
                <c:pt idx="4135">
                  <c:v>808.63433000000009</c:v>
                </c:pt>
                <c:pt idx="4136">
                  <c:v>808.63565000000006</c:v>
                </c:pt>
                <c:pt idx="4137">
                  <c:v>808.63697000000002</c:v>
                </c:pt>
                <c:pt idx="4138">
                  <c:v>808.6382900000001</c:v>
                </c:pt>
                <c:pt idx="4139">
                  <c:v>808.63962000000004</c:v>
                </c:pt>
                <c:pt idx="4140">
                  <c:v>808.64094000000011</c:v>
                </c:pt>
                <c:pt idx="4141">
                  <c:v>808.64226000000008</c:v>
                </c:pt>
                <c:pt idx="4142">
                  <c:v>808.64358000000004</c:v>
                </c:pt>
                <c:pt idx="4143">
                  <c:v>808.6449100000001</c:v>
                </c:pt>
                <c:pt idx="4144">
                  <c:v>808.64623000000006</c:v>
                </c:pt>
                <c:pt idx="4145">
                  <c:v>808.64755000000002</c:v>
                </c:pt>
                <c:pt idx="4146">
                  <c:v>808.6488700000001</c:v>
                </c:pt>
                <c:pt idx="4147">
                  <c:v>808.65019000000007</c:v>
                </c:pt>
                <c:pt idx="4148">
                  <c:v>808.65151000000003</c:v>
                </c:pt>
                <c:pt idx="4149">
                  <c:v>808.65283000000011</c:v>
                </c:pt>
                <c:pt idx="4150">
                  <c:v>808.65416000000005</c:v>
                </c:pt>
                <c:pt idx="4151">
                  <c:v>808.65548000000001</c:v>
                </c:pt>
                <c:pt idx="4152">
                  <c:v>808.65680000000009</c:v>
                </c:pt>
                <c:pt idx="4153">
                  <c:v>808.65812000000005</c:v>
                </c:pt>
                <c:pt idx="4154">
                  <c:v>808.65945000000011</c:v>
                </c:pt>
                <c:pt idx="4155">
                  <c:v>808.66077000000007</c:v>
                </c:pt>
                <c:pt idx="4156">
                  <c:v>808.66209000000003</c:v>
                </c:pt>
                <c:pt idx="4157">
                  <c:v>808.66341000000011</c:v>
                </c:pt>
                <c:pt idx="4158">
                  <c:v>808.66474000000005</c:v>
                </c:pt>
                <c:pt idx="4159">
                  <c:v>808.66606000000002</c:v>
                </c:pt>
                <c:pt idx="4160">
                  <c:v>808.66738000000009</c:v>
                </c:pt>
                <c:pt idx="4161">
                  <c:v>808.66870000000006</c:v>
                </c:pt>
                <c:pt idx="4162">
                  <c:v>808.67002000000002</c:v>
                </c:pt>
                <c:pt idx="4163">
                  <c:v>808.6713400000001</c:v>
                </c:pt>
                <c:pt idx="4164">
                  <c:v>808.67266000000006</c:v>
                </c:pt>
                <c:pt idx="4165">
                  <c:v>808.67399000000012</c:v>
                </c:pt>
                <c:pt idx="4166">
                  <c:v>808.67531000000008</c:v>
                </c:pt>
                <c:pt idx="4167">
                  <c:v>808.67663000000005</c:v>
                </c:pt>
                <c:pt idx="4168">
                  <c:v>808.67795000000001</c:v>
                </c:pt>
                <c:pt idx="4169">
                  <c:v>808.67928000000006</c:v>
                </c:pt>
                <c:pt idx="4170">
                  <c:v>808.68060000000003</c:v>
                </c:pt>
                <c:pt idx="4171">
                  <c:v>808.6819200000001</c:v>
                </c:pt>
                <c:pt idx="4172">
                  <c:v>808.68324000000007</c:v>
                </c:pt>
                <c:pt idx="4173">
                  <c:v>808.68457000000012</c:v>
                </c:pt>
                <c:pt idx="4174">
                  <c:v>808.68589000000009</c:v>
                </c:pt>
                <c:pt idx="4175">
                  <c:v>808.68721000000005</c:v>
                </c:pt>
                <c:pt idx="4176">
                  <c:v>808.6885400000001</c:v>
                </c:pt>
                <c:pt idx="4177">
                  <c:v>808.68986000000007</c:v>
                </c:pt>
                <c:pt idx="4178">
                  <c:v>808.69118000000003</c:v>
                </c:pt>
                <c:pt idx="4179">
                  <c:v>808.69250000000011</c:v>
                </c:pt>
                <c:pt idx="4180">
                  <c:v>808.69383000000005</c:v>
                </c:pt>
                <c:pt idx="4181">
                  <c:v>808.69515000000001</c:v>
                </c:pt>
                <c:pt idx="4182">
                  <c:v>808.69647000000009</c:v>
                </c:pt>
                <c:pt idx="4183">
                  <c:v>808.69779000000005</c:v>
                </c:pt>
                <c:pt idx="4184">
                  <c:v>808.69912000000011</c:v>
                </c:pt>
                <c:pt idx="4185">
                  <c:v>808.70044000000007</c:v>
                </c:pt>
                <c:pt idx="4186">
                  <c:v>808.70176000000004</c:v>
                </c:pt>
                <c:pt idx="4187">
                  <c:v>808.70308000000011</c:v>
                </c:pt>
                <c:pt idx="4188">
                  <c:v>808.70440000000008</c:v>
                </c:pt>
                <c:pt idx="4189">
                  <c:v>808.70572000000004</c:v>
                </c:pt>
                <c:pt idx="4190">
                  <c:v>808.70704000000012</c:v>
                </c:pt>
                <c:pt idx="4191">
                  <c:v>808.70837000000006</c:v>
                </c:pt>
                <c:pt idx="4192">
                  <c:v>808.70969000000002</c:v>
                </c:pt>
                <c:pt idx="4193">
                  <c:v>808.7110100000001</c:v>
                </c:pt>
                <c:pt idx="4194">
                  <c:v>808.71233000000007</c:v>
                </c:pt>
                <c:pt idx="4195">
                  <c:v>808.71366000000012</c:v>
                </c:pt>
                <c:pt idx="4196">
                  <c:v>808.71498000000008</c:v>
                </c:pt>
                <c:pt idx="4197">
                  <c:v>808.71625000000006</c:v>
                </c:pt>
                <c:pt idx="4198">
                  <c:v>808.71762000000001</c:v>
                </c:pt>
                <c:pt idx="4199">
                  <c:v>808.71895000000006</c:v>
                </c:pt>
                <c:pt idx="4200">
                  <c:v>808.72027000000003</c:v>
                </c:pt>
                <c:pt idx="4201">
                  <c:v>808.72159000000011</c:v>
                </c:pt>
                <c:pt idx="4202">
                  <c:v>808.72291000000007</c:v>
                </c:pt>
                <c:pt idx="4203">
                  <c:v>808.72423000000003</c:v>
                </c:pt>
                <c:pt idx="4204">
                  <c:v>808.72555000000011</c:v>
                </c:pt>
                <c:pt idx="4205">
                  <c:v>808.72687000000008</c:v>
                </c:pt>
                <c:pt idx="4206">
                  <c:v>808.72820000000002</c:v>
                </c:pt>
                <c:pt idx="4207">
                  <c:v>808.72952000000009</c:v>
                </c:pt>
                <c:pt idx="4208">
                  <c:v>808.73084000000006</c:v>
                </c:pt>
                <c:pt idx="4209">
                  <c:v>808.73216000000002</c:v>
                </c:pt>
                <c:pt idx="4210">
                  <c:v>808.7334800000001</c:v>
                </c:pt>
                <c:pt idx="4211">
                  <c:v>808.73480000000006</c:v>
                </c:pt>
                <c:pt idx="4212">
                  <c:v>808.73612000000003</c:v>
                </c:pt>
                <c:pt idx="4213">
                  <c:v>808.73744000000011</c:v>
                </c:pt>
                <c:pt idx="4214">
                  <c:v>808.73876000000007</c:v>
                </c:pt>
                <c:pt idx="4215">
                  <c:v>808.74008000000003</c:v>
                </c:pt>
                <c:pt idx="4216">
                  <c:v>808.74140000000011</c:v>
                </c:pt>
                <c:pt idx="4217">
                  <c:v>808.74404000000004</c:v>
                </c:pt>
                <c:pt idx="4218">
                  <c:v>808.74537000000009</c:v>
                </c:pt>
                <c:pt idx="4219">
                  <c:v>808.74669000000006</c:v>
                </c:pt>
                <c:pt idx="4220">
                  <c:v>808.74801000000002</c:v>
                </c:pt>
                <c:pt idx="4221">
                  <c:v>808.7493300000001</c:v>
                </c:pt>
                <c:pt idx="4222">
                  <c:v>808.75065000000006</c:v>
                </c:pt>
                <c:pt idx="4223">
                  <c:v>808.75197000000003</c:v>
                </c:pt>
                <c:pt idx="4224">
                  <c:v>808.75329000000011</c:v>
                </c:pt>
                <c:pt idx="4225">
                  <c:v>808.7546000000001</c:v>
                </c:pt>
                <c:pt idx="4226">
                  <c:v>808.75592000000006</c:v>
                </c:pt>
                <c:pt idx="4227">
                  <c:v>808.75724000000002</c:v>
                </c:pt>
                <c:pt idx="4228">
                  <c:v>808.7585600000001</c:v>
                </c:pt>
                <c:pt idx="4229">
                  <c:v>808.75988000000007</c:v>
                </c:pt>
                <c:pt idx="4230">
                  <c:v>808.76120000000003</c:v>
                </c:pt>
                <c:pt idx="4231">
                  <c:v>808.76252000000011</c:v>
                </c:pt>
                <c:pt idx="4232">
                  <c:v>808.76384000000007</c:v>
                </c:pt>
                <c:pt idx="4233">
                  <c:v>808.76516000000004</c:v>
                </c:pt>
                <c:pt idx="4234">
                  <c:v>808.76648000000012</c:v>
                </c:pt>
                <c:pt idx="4235">
                  <c:v>808.76780000000008</c:v>
                </c:pt>
                <c:pt idx="4236">
                  <c:v>808.76912000000004</c:v>
                </c:pt>
                <c:pt idx="4237">
                  <c:v>808.77044000000012</c:v>
                </c:pt>
                <c:pt idx="4238">
                  <c:v>808.77176000000009</c:v>
                </c:pt>
                <c:pt idx="4239">
                  <c:v>808.77308000000005</c:v>
                </c:pt>
                <c:pt idx="4240">
                  <c:v>808.77439000000004</c:v>
                </c:pt>
                <c:pt idx="4241">
                  <c:v>808.77571000000012</c:v>
                </c:pt>
                <c:pt idx="4242">
                  <c:v>808.77703000000008</c:v>
                </c:pt>
                <c:pt idx="4243">
                  <c:v>808.77835000000005</c:v>
                </c:pt>
                <c:pt idx="4244">
                  <c:v>808.77967000000001</c:v>
                </c:pt>
                <c:pt idx="4245">
                  <c:v>808.78099000000009</c:v>
                </c:pt>
                <c:pt idx="4246">
                  <c:v>808.78231000000005</c:v>
                </c:pt>
                <c:pt idx="4247">
                  <c:v>808.78363000000002</c:v>
                </c:pt>
                <c:pt idx="4248">
                  <c:v>808.78495000000009</c:v>
                </c:pt>
                <c:pt idx="4249">
                  <c:v>808.78627000000006</c:v>
                </c:pt>
                <c:pt idx="4250">
                  <c:v>808.78759000000002</c:v>
                </c:pt>
                <c:pt idx="4251">
                  <c:v>808.7889100000001</c:v>
                </c:pt>
                <c:pt idx="4252">
                  <c:v>808.79023000000007</c:v>
                </c:pt>
                <c:pt idx="4253">
                  <c:v>808.79155000000003</c:v>
                </c:pt>
                <c:pt idx="4254">
                  <c:v>808.79287000000011</c:v>
                </c:pt>
                <c:pt idx="4255">
                  <c:v>808.79419000000007</c:v>
                </c:pt>
                <c:pt idx="4256">
                  <c:v>808.79551000000004</c:v>
                </c:pt>
                <c:pt idx="4257">
                  <c:v>808.79683000000011</c:v>
                </c:pt>
                <c:pt idx="4258">
                  <c:v>808.79815000000008</c:v>
                </c:pt>
                <c:pt idx="4259">
                  <c:v>808.79947000000004</c:v>
                </c:pt>
                <c:pt idx="4260">
                  <c:v>808.82456000000002</c:v>
                </c:pt>
                <c:pt idx="4261">
                  <c:v>808.8258800000001</c:v>
                </c:pt>
                <c:pt idx="4262">
                  <c:v>808.82720000000006</c:v>
                </c:pt>
                <c:pt idx="4263">
                  <c:v>808.82852000000003</c:v>
                </c:pt>
                <c:pt idx="4264">
                  <c:v>808.8298400000001</c:v>
                </c:pt>
                <c:pt idx="4265">
                  <c:v>808.83116000000007</c:v>
                </c:pt>
                <c:pt idx="4266">
                  <c:v>808.83247000000006</c:v>
                </c:pt>
                <c:pt idx="4267">
                  <c:v>808.83379000000002</c:v>
                </c:pt>
                <c:pt idx="4268">
                  <c:v>808.8351100000001</c:v>
                </c:pt>
                <c:pt idx="4269">
                  <c:v>808.83642000000009</c:v>
                </c:pt>
                <c:pt idx="4270">
                  <c:v>808.83774000000005</c:v>
                </c:pt>
                <c:pt idx="4271">
                  <c:v>808.83906000000002</c:v>
                </c:pt>
                <c:pt idx="4272">
                  <c:v>808.84037000000012</c:v>
                </c:pt>
                <c:pt idx="4273">
                  <c:v>808.84169000000009</c:v>
                </c:pt>
                <c:pt idx="4274">
                  <c:v>808.84301000000005</c:v>
                </c:pt>
                <c:pt idx="4275">
                  <c:v>808.84432000000004</c:v>
                </c:pt>
                <c:pt idx="4276">
                  <c:v>808.84564000000012</c:v>
                </c:pt>
                <c:pt idx="4277">
                  <c:v>808.84695000000011</c:v>
                </c:pt>
                <c:pt idx="4278">
                  <c:v>808.8482600000001</c:v>
                </c:pt>
                <c:pt idx="4279">
                  <c:v>808.84958000000006</c:v>
                </c:pt>
                <c:pt idx="4280">
                  <c:v>808.85090000000002</c:v>
                </c:pt>
                <c:pt idx="4281">
                  <c:v>808.85221000000001</c:v>
                </c:pt>
                <c:pt idx="4282">
                  <c:v>808.85353000000009</c:v>
                </c:pt>
                <c:pt idx="4283">
                  <c:v>808.85485000000006</c:v>
                </c:pt>
                <c:pt idx="4284">
                  <c:v>808.85616000000005</c:v>
                </c:pt>
                <c:pt idx="4285">
                  <c:v>808.85748000000001</c:v>
                </c:pt>
                <c:pt idx="4286">
                  <c:v>808.85880000000009</c:v>
                </c:pt>
                <c:pt idx="4287">
                  <c:v>808.86011000000008</c:v>
                </c:pt>
                <c:pt idx="4288">
                  <c:v>808.86143000000004</c:v>
                </c:pt>
                <c:pt idx="4289">
                  <c:v>808.86275000000012</c:v>
                </c:pt>
                <c:pt idx="4290">
                  <c:v>808.86406000000011</c:v>
                </c:pt>
                <c:pt idx="4291">
                  <c:v>808.86538000000007</c:v>
                </c:pt>
                <c:pt idx="4292">
                  <c:v>808.86670000000004</c:v>
                </c:pt>
                <c:pt idx="4293">
                  <c:v>808.86801000000003</c:v>
                </c:pt>
                <c:pt idx="4294">
                  <c:v>808.8693300000001</c:v>
                </c:pt>
                <c:pt idx="4295">
                  <c:v>808.87065000000007</c:v>
                </c:pt>
                <c:pt idx="4296">
                  <c:v>808.87196000000006</c:v>
                </c:pt>
                <c:pt idx="4297">
                  <c:v>808.87328000000002</c:v>
                </c:pt>
                <c:pt idx="4298">
                  <c:v>808.87459000000001</c:v>
                </c:pt>
                <c:pt idx="4299">
                  <c:v>808.87590000000012</c:v>
                </c:pt>
                <c:pt idx="4300">
                  <c:v>808.87722000000008</c:v>
                </c:pt>
                <c:pt idx="4301">
                  <c:v>808.87854000000004</c:v>
                </c:pt>
                <c:pt idx="4302">
                  <c:v>808.87985000000003</c:v>
                </c:pt>
                <c:pt idx="4303">
                  <c:v>808.89961000000005</c:v>
                </c:pt>
                <c:pt idx="4304">
                  <c:v>808.90093000000002</c:v>
                </c:pt>
                <c:pt idx="4305">
                  <c:v>808.90225000000009</c:v>
                </c:pt>
                <c:pt idx="4306">
                  <c:v>808.90356000000008</c:v>
                </c:pt>
                <c:pt idx="4307">
                  <c:v>808.90488000000005</c:v>
                </c:pt>
                <c:pt idx="4308">
                  <c:v>808.90620000000001</c:v>
                </c:pt>
                <c:pt idx="4309">
                  <c:v>808.90751000000012</c:v>
                </c:pt>
                <c:pt idx="4310">
                  <c:v>808.90883000000008</c:v>
                </c:pt>
                <c:pt idx="4311">
                  <c:v>808.91015000000004</c:v>
                </c:pt>
                <c:pt idx="4312">
                  <c:v>808.91146000000003</c:v>
                </c:pt>
                <c:pt idx="4313">
                  <c:v>808.91278000000011</c:v>
                </c:pt>
                <c:pt idx="4314">
                  <c:v>808.91410000000008</c:v>
                </c:pt>
                <c:pt idx="4315">
                  <c:v>808.91541000000007</c:v>
                </c:pt>
                <c:pt idx="4316">
                  <c:v>808.91673000000003</c:v>
                </c:pt>
                <c:pt idx="4317">
                  <c:v>808.91805000000011</c:v>
                </c:pt>
                <c:pt idx="4318">
                  <c:v>808.9193600000001</c:v>
                </c:pt>
                <c:pt idx="4319">
                  <c:v>808.92068000000006</c:v>
                </c:pt>
                <c:pt idx="4320">
                  <c:v>808.92200000000003</c:v>
                </c:pt>
                <c:pt idx="4321">
                  <c:v>808.92331000000001</c:v>
                </c:pt>
                <c:pt idx="4322">
                  <c:v>808.92463000000009</c:v>
                </c:pt>
                <c:pt idx="4323">
                  <c:v>808.92595000000006</c:v>
                </c:pt>
                <c:pt idx="4324">
                  <c:v>808.92726000000005</c:v>
                </c:pt>
                <c:pt idx="4325">
                  <c:v>808.92858000000001</c:v>
                </c:pt>
                <c:pt idx="4326">
                  <c:v>808.92990000000009</c:v>
                </c:pt>
                <c:pt idx="4327">
                  <c:v>808.93121000000008</c:v>
                </c:pt>
                <c:pt idx="4328">
                  <c:v>808.93253000000004</c:v>
                </c:pt>
                <c:pt idx="4329">
                  <c:v>808.93385000000012</c:v>
                </c:pt>
                <c:pt idx="4330">
                  <c:v>808.93516000000011</c:v>
                </c:pt>
                <c:pt idx="4331">
                  <c:v>808.93648000000007</c:v>
                </c:pt>
                <c:pt idx="4332">
                  <c:v>808.93780000000004</c:v>
                </c:pt>
                <c:pt idx="4333">
                  <c:v>808.93912000000012</c:v>
                </c:pt>
                <c:pt idx="4334">
                  <c:v>808.94044000000008</c:v>
                </c:pt>
                <c:pt idx="4335">
                  <c:v>808.94175000000007</c:v>
                </c:pt>
                <c:pt idx="4336">
                  <c:v>808.94306000000006</c:v>
                </c:pt>
                <c:pt idx="4337">
                  <c:v>808.94437000000005</c:v>
                </c:pt>
                <c:pt idx="4338">
                  <c:v>808.94569000000001</c:v>
                </c:pt>
                <c:pt idx="4339">
                  <c:v>808.94701000000009</c:v>
                </c:pt>
                <c:pt idx="4340">
                  <c:v>808.94833000000006</c:v>
                </c:pt>
                <c:pt idx="4341">
                  <c:v>808.94965000000002</c:v>
                </c:pt>
                <c:pt idx="4342">
                  <c:v>808.9509700000001</c:v>
                </c:pt>
                <c:pt idx="4343">
                  <c:v>808.95228000000009</c:v>
                </c:pt>
                <c:pt idx="4344">
                  <c:v>808.95359000000008</c:v>
                </c:pt>
                <c:pt idx="4345">
                  <c:v>808.95490000000007</c:v>
                </c:pt>
                <c:pt idx="4346">
                  <c:v>808.95622000000003</c:v>
                </c:pt>
                <c:pt idx="4347">
                  <c:v>808.97464000000002</c:v>
                </c:pt>
                <c:pt idx="4348">
                  <c:v>808.9759600000001</c:v>
                </c:pt>
                <c:pt idx="4349">
                  <c:v>808.97728000000006</c:v>
                </c:pt>
                <c:pt idx="4350">
                  <c:v>808.97860000000003</c:v>
                </c:pt>
                <c:pt idx="4351">
                  <c:v>808.98124000000007</c:v>
                </c:pt>
                <c:pt idx="4352">
                  <c:v>808.98256000000003</c:v>
                </c:pt>
                <c:pt idx="4353">
                  <c:v>808.98387000000002</c:v>
                </c:pt>
                <c:pt idx="4354">
                  <c:v>808.9851900000001</c:v>
                </c:pt>
                <c:pt idx="4355">
                  <c:v>808.98651000000007</c:v>
                </c:pt>
                <c:pt idx="4356">
                  <c:v>808.98783000000003</c:v>
                </c:pt>
                <c:pt idx="4357">
                  <c:v>808.98915000000011</c:v>
                </c:pt>
                <c:pt idx="4358">
                  <c:v>808.99047000000007</c:v>
                </c:pt>
                <c:pt idx="4359">
                  <c:v>808.99178000000006</c:v>
                </c:pt>
                <c:pt idx="4360">
                  <c:v>808.99309000000005</c:v>
                </c:pt>
                <c:pt idx="4361">
                  <c:v>808.99440000000004</c:v>
                </c:pt>
                <c:pt idx="4362">
                  <c:v>808.99572000000012</c:v>
                </c:pt>
                <c:pt idx="4363">
                  <c:v>808.99704000000008</c:v>
                </c:pt>
                <c:pt idx="4364">
                  <c:v>808.99836000000005</c:v>
                </c:pt>
                <c:pt idx="4365">
                  <c:v>808.99968000000001</c:v>
                </c:pt>
                <c:pt idx="4366">
                  <c:v>809.00099000000012</c:v>
                </c:pt>
                <c:pt idx="4367">
                  <c:v>809.0023000000001</c:v>
                </c:pt>
                <c:pt idx="4368">
                  <c:v>809.00361000000009</c:v>
                </c:pt>
                <c:pt idx="4369">
                  <c:v>809.00492000000008</c:v>
                </c:pt>
                <c:pt idx="4370">
                  <c:v>809.00624000000005</c:v>
                </c:pt>
                <c:pt idx="4371">
                  <c:v>809.00756000000001</c:v>
                </c:pt>
                <c:pt idx="4372">
                  <c:v>809.00888000000009</c:v>
                </c:pt>
                <c:pt idx="4373">
                  <c:v>809.01020000000005</c:v>
                </c:pt>
                <c:pt idx="4374">
                  <c:v>809.01151000000004</c:v>
                </c:pt>
                <c:pt idx="4375">
                  <c:v>809.01282000000003</c:v>
                </c:pt>
                <c:pt idx="4376">
                  <c:v>809.01413000000002</c:v>
                </c:pt>
                <c:pt idx="4377">
                  <c:v>809.0154500000001</c:v>
                </c:pt>
                <c:pt idx="4378">
                  <c:v>809.01677000000007</c:v>
                </c:pt>
                <c:pt idx="4379">
                  <c:v>809.03519000000006</c:v>
                </c:pt>
                <c:pt idx="4380">
                  <c:v>809.03651000000002</c:v>
                </c:pt>
                <c:pt idx="4381">
                  <c:v>809.0378300000001</c:v>
                </c:pt>
                <c:pt idx="4382">
                  <c:v>809.03915000000006</c:v>
                </c:pt>
                <c:pt idx="4383">
                  <c:v>809.04047000000003</c:v>
                </c:pt>
                <c:pt idx="4384">
                  <c:v>809.04178000000002</c:v>
                </c:pt>
                <c:pt idx="4385">
                  <c:v>809.04309000000012</c:v>
                </c:pt>
                <c:pt idx="4386">
                  <c:v>809.04440000000011</c:v>
                </c:pt>
                <c:pt idx="4387">
                  <c:v>809.04572000000007</c:v>
                </c:pt>
                <c:pt idx="4388">
                  <c:v>809.04703000000006</c:v>
                </c:pt>
                <c:pt idx="4389">
                  <c:v>809.04834000000005</c:v>
                </c:pt>
                <c:pt idx="4390">
                  <c:v>809.04965000000004</c:v>
                </c:pt>
                <c:pt idx="4391">
                  <c:v>809.05096000000003</c:v>
                </c:pt>
                <c:pt idx="4392">
                  <c:v>809.05227000000002</c:v>
                </c:pt>
                <c:pt idx="4393">
                  <c:v>809.05358000000001</c:v>
                </c:pt>
                <c:pt idx="4394">
                  <c:v>809.05489000000011</c:v>
                </c:pt>
                <c:pt idx="4395">
                  <c:v>809.0562000000001</c:v>
                </c:pt>
                <c:pt idx="4396">
                  <c:v>809.05751000000009</c:v>
                </c:pt>
                <c:pt idx="4397">
                  <c:v>809.05883000000006</c:v>
                </c:pt>
                <c:pt idx="4398">
                  <c:v>809.06015000000002</c:v>
                </c:pt>
                <c:pt idx="4399">
                  <c:v>809.0614700000001</c:v>
                </c:pt>
                <c:pt idx="4400">
                  <c:v>809.06279000000006</c:v>
                </c:pt>
                <c:pt idx="4401">
                  <c:v>809.06411000000003</c:v>
                </c:pt>
                <c:pt idx="4402">
                  <c:v>809.06543000000011</c:v>
                </c:pt>
                <c:pt idx="4403">
                  <c:v>809.0667400000001</c:v>
                </c:pt>
                <c:pt idx="4404">
                  <c:v>809.06805000000008</c:v>
                </c:pt>
                <c:pt idx="4405">
                  <c:v>809.08382000000006</c:v>
                </c:pt>
                <c:pt idx="4406">
                  <c:v>809.08514000000002</c:v>
                </c:pt>
                <c:pt idx="4407">
                  <c:v>809.08645000000001</c:v>
                </c:pt>
                <c:pt idx="4408">
                  <c:v>809.08776000000012</c:v>
                </c:pt>
                <c:pt idx="4409">
                  <c:v>809.08907000000011</c:v>
                </c:pt>
                <c:pt idx="4410">
                  <c:v>809.0903800000001</c:v>
                </c:pt>
                <c:pt idx="4411">
                  <c:v>809.09169000000009</c:v>
                </c:pt>
                <c:pt idx="4412">
                  <c:v>809.09300000000007</c:v>
                </c:pt>
                <c:pt idx="4413">
                  <c:v>809.09431000000006</c:v>
                </c:pt>
                <c:pt idx="4414">
                  <c:v>809.09562000000005</c:v>
                </c:pt>
                <c:pt idx="4415">
                  <c:v>809.09693000000004</c:v>
                </c:pt>
                <c:pt idx="4416">
                  <c:v>809.09825000000012</c:v>
                </c:pt>
                <c:pt idx="4417">
                  <c:v>809.09957000000009</c:v>
                </c:pt>
                <c:pt idx="4418">
                  <c:v>809.10089000000005</c:v>
                </c:pt>
                <c:pt idx="4419">
                  <c:v>809.10221000000001</c:v>
                </c:pt>
                <c:pt idx="4420">
                  <c:v>809.10353000000009</c:v>
                </c:pt>
                <c:pt idx="4421">
                  <c:v>809.10485000000006</c:v>
                </c:pt>
                <c:pt idx="4422">
                  <c:v>809.10616000000005</c:v>
                </c:pt>
                <c:pt idx="4423">
                  <c:v>809.10747000000003</c:v>
                </c:pt>
                <c:pt idx="4424">
                  <c:v>809.10878000000002</c:v>
                </c:pt>
                <c:pt idx="4425">
                  <c:v>809.11009000000001</c:v>
                </c:pt>
                <c:pt idx="4426">
                  <c:v>809.11140000000012</c:v>
                </c:pt>
                <c:pt idx="4427">
                  <c:v>809.11271000000011</c:v>
                </c:pt>
                <c:pt idx="4428">
                  <c:v>809.12981000000002</c:v>
                </c:pt>
                <c:pt idx="4429">
                  <c:v>809.13112000000001</c:v>
                </c:pt>
                <c:pt idx="4430">
                  <c:v>809.13243000000011</c:v>
                </c:pt>
                <c:pt idx="4431">
                  <c:v>809.1337400000001</c:v>
                </c:pt>
                <c:pt idx="4432">
                  <c:v>809.13505000000009</c:v>
                </c:pt>
                <c:pt idx="4433">
                  <c:v>809.13636000000008</c:v>
                </c:pt>
                <c:pt idx="4434">
                  <c:v>809.13768000000005</c:v>
                </c:pt>
                <c:pt idx="4435">
                  <c:v>809.13900000000001</c:v>
                </c:pt>
                <c:pt idx="4436">
                  <c:v>809.14032000000009</c:v>
                </c:pt>
                <c:pt idx="4437">
                  <c:v>809.14164000000005</c:v>
                </c:pt>
                <c:pt idx="4438">
                  <c:v>809.14296000000002</c:v>
                </c:pt>
                <c:pt idx="4439">
                  <c:v>809.14428000000009</c:v>
                </c:pt>
                <c:pt idx="4440">
                  <c:v>809.14559000000008</c:v>
                </c:pt>
                <c:pt idx="4441">
                  <c:v>809.14690000000007</c:v>
                </c:pt>
                <c:pt idx="4442">
                  <c:v>809.14821000000006</c:v>
                </c:pt>
                <c:pt idx="4443">
                  <c:v>809.14952000000005</c:v>
                </c:pt>
                <c:pt idx="4444">
                  <c:v>809.15083000000004</c:v>
                </c:pt>
                <c:pt idx="4445">
                  <c:v>809.15214000000003</c:v>
                </c:pt>
                <c:pt idx="4446">
                  <c:v>809.15345000000002</c:v>
                </c:pt>
                <c:pt idx="4447">
                  <c:v>809.15476000000001</c:v>
                </c:pt>
                <c:pt idx="4448">
                  <c:v>809.15607000000011</c:v>
                </c:pt>
                <c:pt idx="4449">
                  <c:v>809.15739000000008</c:v>
                </c:pt>
                <c:pt idx="4450">
                  <c:v>809.15871000000004</c:v>
                </c:pt>
                <c:pt idx="4451">
                  <c:v>809.17316000000005</c:v>
                </c:pt>
                <c:pt idx="4452">
                  <c:v>809.17447000000004</c:v>
                </c:pt>
                <c:pt idx="4453">
                  <c:v>809.17578000000003</c:v>
                </c:pt>
                <c:pt idx="4454">
                  <c:v>809.17709000000002</c:v>
                </c:pt>
                <c:pt idx="4455">
                  <c:v>809.17840000000001</c:v>
                </c:pt>
                <c:pt idx="4456">
                  <c:v>809.17971000000011</c:v>
                </c:pt>
                <c:pt idx="4457">
                  <c:v>809.18103000000008</c:v>
                </c:pt>
                <c:pt idx="4458">
                  <c:v>809.18234000000007</c:v>
                </c:pt>
                <c:pt idx="4459">
                  <c:v>809.18365000000006</c:v>
                </c:pt>
                <c:pt idx="4460">
                  <c:v>809.18496000000005</c:v>
                </c:pt>
                <c:pt idx="4461">
                  <c:v>809.18627000000004</c:v>
                </c:pt>
                <c:pt idx="4462">
                  <c:v>809.18758000000003</c:v>
                </c:pt>
                <c:pt idx="4463">
                  <c:v>809.18889000000001</c:v>
                </c:pt>
                <c:pt idx="4464">
                  <c:v>809.19009000000005</c:v>
                </c:pt>
                <c:pt idx="4465">
                  <c:v>809.19151000000011</c:v>
                </c:pt>
                <c:pt idx="4466">
                  <c:v>809.1928200000001</c:v>
                </c:pt>
                <c:pt idx="4467">
                  <c:v>809.19413000000009</c:v>
                </c:pt>
                <c:pt idx="4468">
                  <c:v>809.19545000000005</c:v>
                </c:pt>
                <c:pt idx="4469">
                  <c:v>809.19676000000004</c:v>
                </c:pt>
                <c:pt idx="4470">
                  <c:v>809.19807000000003</c:v>
                </c:pt>
                <c:pt idx="4471">
                  <c:v>809.19938000000002</c:v>
                </c:pt>
                <c:pt idx="4472">
                  <c:v>809.2007000000001</c:v>
                </c:pt>
                <c:pt idx="4473">
                  <c:v>809.21382000000006</c:v>
                </c:pt>
                <c:pt idx="4474">
                  <c:v>809.21514000000002</c:v>
                </c:pt>
                <c:pt idx="4475">
                  <c:v>809.21777000000009</c:v>
                </c:pt>
                <c:pt idx="4476">
                  <c:v>809.21909000000005</c:v>
                </c:pt>
                <c:pt idx="4477">
                  <c:v>809.22040000000004</c:v>
                </c:pt>
                <c:pt idx="4478">
                  <c:v>809.22171000000003</c:v>
                </c:pt>
                <c:pt idx="4479">
                  <c:v>809.22302000000002</c:v>
                </c:pt>
                <c:pt idx="4480">
                  <c:v>809.22433000000012</c:v>
                </c:pt>
                <c:pt idx="4481">
                  <c:v>809.22564000000011</c:v>
                </c:pt>
                <c:pt idx="4482">
                  <c:v>809.2269500000001</c:v>
                </c:pt>
                <c:pt idx="4483">
                  <c:v>809.22826000000009</c:v>
                </c:pt>
                <c:pt idx="4484">
                  <c:v>809.22958000000006</c:v>
                </c:pt>
                <c:pt idx="4485">
                  <c:v>809.23089000000004</c:v>
                </c:pt>
                <c:pt idx="4486">
                  <c:v>809.23220000000003</c:v>
                </c:pt>
                <c:pt idx="4487">
                  <c:v>809.23351000000002</c:v>
                </c:pt>
                <c:pt idx="4488">
                  <c:v>809.23482000000001</c:v>
                </c:pt>
                <c:pt idx="4489">
                  <c:v>809.23613000000012</c:v>
                </c:pt>
                <c:pt idx="4490">
                  <c:v>809.23744000000011</c:v>
                </c:pt>
                <c:pt idx="4491">
                  <c:v>809.2387500000001</c:v>
                </c:pt>
                <c:pt idx="4492">
                  <c:v>809.24007000000006</c:v>
                </c:pt>
                <c:pt idx="4493">
                  <c:v>809.24138000000005</c:v>
                </c:pt>
                <c:pt idx="4494">
                  <c:v>809.24269000000004</c:v>
                </c:pt>
                <c:pt idx="4495">
                  <c:v>809.24400000000003</c:v>
                </c:pt>
                <c:pt idx="4496">
                  <c:v>809.25843000000009</c:v>
                </c:pt>
                <c:pt idx="4497">
                  <c:v>809.25975000000005</c:v>
                </c:pt>
                <c:pt idx="4498">
                  <c:v>809.26106000000004</c:v>
                </c:pt>
                <c:pt idx="4499">
                  <c:v>809.26237000000003</c:v>
                </c:pt>
                <c:pt idx="4500">
                  <c:v>809.26368000000002</c:v>
                </c:pt>
                <c:pt idx="4501">
                  <c:v>809.26499000000001</c:v>
                </c:pt>
                <c:pt idx="4502">
                  <c:v>809.26630000000011</c:v>
                </c:pt>
                <c:pt idx="4503">
                  <c:v>809.2676100000001</c:v>
                </c:pt>
                <c:pt idx="4504">
                  <c:v>809.26893000000007</c:v>
                </c:pt>
                <c:pt idx="4505">
                  <c:v>809.27024000000006</c:v>
                </c:pt>
                <c:pt idx="4506">
                  <c:v>809.27155000000005</c:v>
                </c:pt>
                <c:pt idx="4507">
                  <c:v>809.27286000000004</c:v>
                </c:pt>
                <c:pt idx="4508">
                  <c:v>809.27417000000003</c:v>
                </c:pt>
                <c:pt idx="4509">
                  <c:v>809.27548000000002</c:v>
                </c:pt>
                <c:pt idx="4510">
                  <c:v>809.27679000000012</c:v>
                </c:pt>
                <c:pt idx="4511">
                  <c:v>809.27810000000011</c:v>
                </c:pt>
                <c:pt idx="4512">
                  <c:v>809.2794100000001</c:v>
                </c:pt>
                <c:pt idx="4513">
                  <c:v>809.28072000000009</c:v>
                </c:pt>
                <c:pt idx="4514">
                  <c:v>809.28203000000008</c:v>
                </c:pt>
                <c:pt idx="4515">
                  <c:v>809.29513000000009</c:v>
                </c:pt>
                <c:pt idx="4516">
                  <c:v>809.29644000000008</c:v>
                </c:pt>
                <c:pt idx="4517">
                  <c:v>809.29775000000006</c:v>
                </c:pt>
                <c:pt idx="4518">
                  <c:v>809.29906000000005</c:v>
                </c:pt>
                <c:pt idx="4519">
                  <c:v>809.30037000000004</c:v>
                </c:pt>
                <c:pt idx="4520">
                  <c:v>809.30168000000003</c:v>
                </c:pt>
                <c:pt idx="4521">
                  <c:v>809.30299000000002</c:v>
                </c:pt>
                <c:pt idx="4522">
                  <c:v>809.30430000000001</c:v>
                </c:pt>
                <c:pt idx="4523">
                  <c:v>809.30561000000012</c:v>
                </c:pt>
                <c:pt idx="4524">
                  <c:v>809.3069200000001</c:v>
                </c:pt>
                <c:pt idx="4525">
                  <c:v>809.30823000000009</c:v>
                </c:pt>
                <c:pt idx="4526">
                  <c:v>809.30954000000008</c:v>
                </c:pt>
                <c:pt idx="4527">
                  <c:v>809.31085000000007</c:v>
                </c:pt>
                <c:pt idx="4528">
                  <c:v>809.31216000000006</c:v>
                </c:pt>
                <c:pt idx="4529">
                  <c:v>809.31347000000005</c:v>
                </c:pt>
                <c:pt idx="4530">
                  <c:v>809.31478000000004</c:v>
                </c:pt>
                <c:pt idx="4531">
                  <c:v>809.31609000000003</c:v>
                </c:pt>
                <c:pt idx="4532">
                  <c:v>809.31740000000002</c:v>
                </c:pt>
                <c:pt idx="4533">
                  <c:v>809.31871000000001</c:v>
                </c:pt>
                <c:pt idx="4534">
                  <c:v>809.33181000000002</c:v>
                </c:pt>
                <c:pt idx="4535">
                  <c:v>809.33312000000012</c:v>
                </c:pt>
                <c:pt idx="4536">
                  <c:v>809.33443000000011</c:v>
                </c:pt>
                <c:pt idx="4537">
                  <c:v>809.3357400000001</c:v>
                </c:pt>
                <c:pt idx="4538">
                  <c:v>809.33704000000012</c:v>
                </c:pt>
                <c:pt idx="4539">
                  <c:v>809.3383500000001</c:v>
                </c:pt>
                <c:pt idx="4540">
                  <c:v>809.33966000000009</c:v>
                </c:pt>
                <c:pt idx="4541">
                  <c:v>809.34097000000008</c:v>
                </c:pt>
                <c:pt idx="4542">
                  <c:v>809.34228000000007</c:v>
                </c:pt>
                <c:pt idx="4543">
                  <c:v>809.34359000000006</c:v>
                </c:pt>
                <c:pt idx="4544">
                  <c:v>809.34490000000005</c:v>
                </c:pt>
                <c:pt idx="4545">
                  <c:v>809.34621000000004</c:v>
                </c:pt>
                <c:pt idx="4546">
                  <c:v>809.34752000000003</c:v>
                </c:pt>
                <c:pt idx="4547">
                  <c:v>809.34883000000002</c:v>
                </c:pt>
                <c:pt idx="4548">
                  <c:v>809.35014000000001</c:v>
                </c:pt>
                <c:pt idx="4549">
                  <c:v>809.35145000000011</c:v>
                </c:pt>
                <c:pt idx="4550">
                  <c:v>809.3527600000001</c:v>
                </c:pt>
                <c:pt idx="4551">
                  <c:v>809.35407000000009</c:v>
                </c:pt>
                <c:pt idx="4552">
                  <c:v>809.35538000000008</c:v>
                </c:pt>
                <c:pt idx="4553">
                  <c:v>809.36847000000012</c:v>
                </c:pt>
                <c:pt idx="4554">
                  <c:v>809.36978000000011</c:v>
                </c:pt>
                <c:pt idx="4555">
                  <c:v>809.37109000000009</c:v>
                </c:pt>
                <c:pt idx="4556">
                  <c:v>809.37240000000008</c:v>
                </c:pt>
                <c:pt idx="4557">
                  <c:v>809.37371000000007</c:v>
                </c:pt>
                <c:pt idx="4558">
                  <c:v>809.37502000000006</c:v>
                </c:pt>
                <c:pt idx="4559">
                  <c:v>809.37633000000005</c:v>
                </c:pt>
                <c:pt idx="4560">
                  <c:v>809.37763000000007</c:v>
                </c:pt>
                <c:pt idx="4561">
                  <c:v>809.37894000000006</c:v>
                </c:pt>
                <c:pt idx="4562">
                  <c:v>809.38025000000005</c:v>
                </c:pt>
                <c:pt idx="4563">
                  <c:v>809.38155000000006</c:v>
                </c:pt>
                <c:pt idx="4564">
                  <c:v>809.38286000000005</c:v>
                </c:pt>
                <c:pt idx="4565">
                  <c:v>809.38417000000004</c:v>
                </c:pt>
                <c:pt idx="4566">
                  <c:v>809.38547000000005</c:v>
                </c:pt>
                <c:pt idx="4567">
                  <c:v>809.38678000000004</c:v>
                </c:pt>
                <c:pt idx="4568">
                  <c:v>809.38809000000003</c:v>
                </c:pt>
                <c:pt idx="4569">
                  <c:v>809.38939000000005</c:v>
                </c:pt>
                <c:pt idx="4570">
                  <c:v>809.39070000000004</c:v>
                </c:pt>
                <c:pt idx="4571">
                  <c:v>809.40377000000012</c:v>
                </c:pt>
                <c:pt idx="4572">
                  <c:v>809.40507000000002</c:v>
                </c:pt>
                <c:pt idx="4573">
                  <c:v>809.40638000000001</c:v>
                </c:pt>
                <c:pt idx="4574">
                  <c:v>809.40769000000012</c:v>
                </c:pt>
                <c:pt idx="4575">
                  <c:v>809.40899000000002</c:v>
                </c:pt>
                <c:pt idx="4576">
                  <c:v>809.41030000000012</c:v>
                </c:pt>
                <c:pt idx="4577">
                  <c:v>809.41161000000011</c:v>
                </c:pt>
                <c:pt idx="4578">
                  <c:v>809.41291000000001</c:v>
                </c:pt>
                <c:pt idx="4579">
                  <c:v>809.41422000000011</c:v>
                </c:pt>
                <c:pt idx="4580">
                  <c:v>809.4155300000001</c:v>
                </c:pt>
                <c:pt idx="4581">
                  <c:v>809.41683000000012</c:v>
                </c:pt>
                <c:pt idx="4582">
                  <c:v>809.41814000000011</c:v>
                </c:pt>
                <c:pt idx="4583">
                  <c:v>809.4194500000001</c:v>
                </c:pt>
                <c:pt idx="4584">
                  <c:v>809.42075000000011</c:v>
                </c:pt>
                <c:pt idx="4585">
                  <c:v>809.4220600000001</c:v>
                </c:pt>
                <c:pt idx="4586">
                  <c:v>809.42337000000009</c:v>
                </c:pt>
                <c:pt idx="4587">
                  <c:v>809.42467000000011</c:v>
                </c:pt>
                <c:pt idx="4588">
                  <c:v>809.43775000000005</c:v>
                </c:pt>
                <c:pt idx="4589">
                  <c:v>809.43906000000004</c:v>
                </c:pt>
                <c:pt idx="4590">
                  <c:v>809.44036000000006</c:v>
                </c:pt>
                <c:pt idx="4591">
                  <c:v>809.44167000000004</c:v>
                </c:pt>
                <c:pt idx="4592">
                  <c:v>809.44298000000003</c:v>
                </c:pt>
                <c:pt idx="4593">
                  <c:v>809.44428000000005</c:v>
                </c:pt>
                <c:pt idx="4594">
                  <c:v>809.44559000000004</c:v>
                </c:pt>
                <c:pt idx="4595">
                  <c:v>809.44690000000003</c:v>
                </c:pt>
                <c:pt idx="4596">
                  <c:v>809.44820000000004</c:v>
                </c:pt>
                <c:pt idx="4597">
                  <c:v>809.44951000000003</c:v>
                </c:pt>
                <c:pt idx="4598">
                  <c:v>809.45082000000002</c:v>
                </c:pt>
                <c:pt idx="4599">
                  <c:v>809.45344000000011</c:v>
                </c:pt>
                <c:pt idx="4600">
                  <c:v>809.4547500000001</c:v>
                </c:pt>
                <c:pt idx="4601">
                  <c:v>809.45605000000012</c:v>
                </c:pt>
                <c:pt idx="4602">
                  <c:v>809.45736000000011</c:v>
                </c:pt>
                <c:pt idx="4603">
                  <c:v>809.4586700000001</c:v>
                </c:pt>
                <c:pt idx="4604">
                  <c:v>809.45997000000011</c:v>
                </c:pt>
                <c:pt idx="4605">
                  <c:v>809.4612800000001</c:v>
                </c:pt>
                <c:pt idx="4606">
                  <c:v>809.47304000000008</c:v>
                </c:pt>
                <c:pt idx="4607">
                  <c:v>809.47435000000007</c:v>
                </c:pt>
                <c:pt idx="4608">
                  <c:v>809.47565000000009</c:v>
                </c:pt>
                <c:pt idx="4609">
                  <c:v>809.47696000000008</c:v>
                </c:pt>
                <c:pt idx="4610">
                  <c:v>809.47827000000007</c:v>
                </c:pt>
                <c:pt idx="4611">
                  <c:v>809.47957000000008</c:v>
                </c:pt>
                <c:pt idx="4612">
                  <c:v>809.48088000000007</c:v>
                </c:pt>
                <c:pt idx="4613">
                  <c:v>809.48219000000006</c:v>
                </c:pt>
                <c:pt idx="4614">
                  <c:v>809.48349000000007</c:v>
                </c:pt>
                <c:pt idx="4615">
                  <c:v>809.48479000000009</c:v>
                </c:pt>
                <c:pt idx="4616">
                  <c:v>809.4860900000001</c:v>
                </c:pt>
                <c:pt idx="4617">
                  <c:v>809.48740000000009</c:v>
                </c:pt>
                <c:pt idx="4618">
                  <c:v>809.48871000000008</c:v>
                </c:pt>
                <c:pt idx="4619">
                  <c:v>809.49002000000007</c:v>
                </c:pt>
                <c:pt idx="4620">
                  <c:v>809.49133000000006</c:v>
                </c:pt>
                <c:pt idx="4621">
                  <c:v>809.49263000000008</c:v>
                </c:pt>
                <c:pt idx="4622">
                  <c:v>809.5056800000001</c:v>
                </c:pt>
                <c:pt idx="4623">
                  <c:v>809.50699000000009</c:v>
                </c:pt>
                <c:pt idx="4624">
                  <c:v>809.50830000000008</c:v>
                </c:pt>
                <c:pt idx="4625">
                  <c:v>809.50961000000007</c:v>
                </c:pt>
                <c:pt idx="4626">
                  <c:v>809.51092000000006</c:v>
                </c:pt>
                <c:pt idx="4627">
                  <c:v>809.51223000000005</c:v>
                </c:pt>
                <c:pt idx="4628">
                  <c:v>809.51353000000006</c:v>
                </c:pt>
                <c:pt idx="4629">
                  <c:v>809.51483000000007</c:v>
                </c:pt>
                <c:pt idx="4630">
                  <c:v>809.51613000000009</c:v>
                </c:pt>
                <c:pt idx="4631">
                  <c:v>809.51744000000008</c:v>
                </c:pt>
                <c:pt idx="4632">
                  <c:v>809.51875000000007</c:v>
                </c:pt>
                <c:pt idx="4633">
                  <c:v>809.52006000000006</c:v>
                </c:pt>
                <c:pt idx="4634">
                  <c:v>809.52137000000005</c:v>
                </c:pt>
                <c:pt idx="4635">
                  <c:v>809.52267000000006</c:v>
                </c:pt>
                <c:pt idx="4636">
                  <c:v>809.52397000000008</c:v>
                </c:pt>
                <c:pt idx="4637">
                  <c:v>809.52527000000009</c:v>
                </c:pt>
                <c:pt idx="4638">
                  <c:v>809.5370200000001</c:v>
                </c:pt>
                <c:pt idx="4639">
                  <c:v>809.53833000000009</c:v>
                </c:pt>
                <c:pt idx="4640">
                  <c:v>809.53964000000008</c:v>
                </c:pt>
                <c:pt idx="4641">
                  <c:v>809.54095000000007</c:v>
                </c:pt>
                <c:pt idx="4642">
                  <c:v>809.54225000000008</c:v>
                </c:pt>
                <c:pt idx="4643">
                  <c:v>809.5435500000001</c:v>
                </c:pt>
                <c:pt idx="4644">
                  <c:v>809.54485000000011</c:v>
                </c:pt>
                <c:pt idx="4645">
                  <c:v>809.54615000000001</c:v>
                </c:pt>
                <c:pt idx="4646">
                  <c:v>809.54746000000011</c:v>
                </c:pt>
                <c:pt idx="4647">
                  <c:v>809.5487700000001</c:v>
                </c:pt>
                <c:pt idx="4648">
                  <c:v>809.55008000000009</c:v>
                </c:pt>
                <c:pt idx="4649">
                  <c:v>809.55139000000008</c:v>
                </c:pt>
                <c:pt idx="4650">
                  <c:v>809.5526900000001</c:v>
                </c:pt>
                <c:pt idx="4651">
                  <c:v>809.55399000000011</c:v>
                </c:pt>
                <c:pt idx="4652">
                  <c:v>809.55529000000001</c:v>
                </c:pt>
                <c:pt idx="4653">
                  <c:v>809.55660000000012</c:v>
                </c:pt>
                <c:pt idx="4654">
                  <c:v>809.5683600000001</c:v>
                </c:pt>
                <c:pt idx="4655">
                  <c:v>809.56966000000011</c:v>
                </c:pt>
                <c:pt idx="4656">
                  <c:v>809.5709700000001</c:v>
                </c:pt>
                <c:pt idx="4657">
                  <c:v>809.57227000000012</c:v>
                </c:pt>
                <c:pt idx="4658">
                  <c:v>809.57357000000002</c:v>
                </c:pt>
                <c:pt idx="4659">
                  <c:v>809.57487000000003</c:v>
                </c:pt>
                <c:pt idx="4660">
                  <c:v>809.57618000000002</c:v>
                </c:pt>
                <c:pt idx="4661">
                  <c:v>809.57749000000001</c:v>
                </c:pt>
                <c:pt idx="4662">
                  <c:v>809.57880000000011</c:v>
                </c:pt>
                <c:pt idx="4663">
                  <c:v>809.58010000000002</c:v>
                </c:pt>
                <c:pt idx="4664">
                  <c:v>809.58140000000003</c:v>
                </c:pt>
                <c:pt idx="4665">
                  <c:v>809.58270000000005</c:v>
                </c:pt>
                <c:pt idx="4666">
                  <c:v>809.58400000000006</c:v>
                </c:pt>
                <c:pt idx="4667">
                  <c:v>809.58531000000005</c:v>
                </c:pt>
                <c:pt idx="4668">
                  <c:v>809.58662000000004</c:v>
                </c:pt>
                <c:pt idx="4669">
                  <c:v>809.58793000000003</c:v>
                </c:pt>
                <c:pt idx="4670">
                  <c:v>809.58924000000002</c:v>
                </c:pt>
                <c:pt idx="4671">
                  <c:v>809.60099000000002</c:v>
                </c:pt>
                <c:pt idx="4672">
                  <c:v>809.60229000000004</c:v>
                </c:pt>
                <c:pt idx="4673">
                  <c:v>809.60359000000005</c:v>
                </c:pt>
                <c:pt idx="4674">
                  <c:v>809.60489000000007</c:v>
                </c:pt>
                <c:pt idx="4675">
                  <c:v>809.60619000000008</c:v>
                </c:pt>
                <c:pt idx="4676">
                  <c:v>809.6074900000001</c:v>
                </c:pt>
                <c:pt idx="4677">
                  <c:v>809.60879000000011</c:v>
                </c:pt>
                <c:pt idx="4678">
                  <c:v>809.61009000000001</c:v>
                </c:pt>
                <c:pt idx="4679">
                  <c:v>809.61139000000003</c:v>
                </c:pt>
                <c:pt idx="4680">
                  <c:v>809.61269000000004</c:v>
                </c:pt>
                <c:pt idx="4681">
                  <c:v>809.61400000000003</c:v>
                </c:pt>
                <c:pt idx="4682">
                  <c:v>809.61530000000005</c:v>
                </c:pt>
                <c:pt idx="4683">
                  <c:v>809.61660000000006</c:v>
                </c:pt>
                <c:pt idx="4684">
                  <c:v>809.61791000000005</c:v>
                </c:pt>
                <c:pt idx="4685">
                  <c:v>809.62964000000011</c:v>
                </c:pt>
                <c:pt idx="4686">
                  <c:v>809.63094000000001</c:v>
                </c:pt>
                <c:pt idx="4687">
                  <c:v>809.63224000000002</c:v>
                </c:pt>
                <c:pt idx="4688">
                  <c:v>809.63355000000001</c:v>
                </c:pt>
                <c:pt idx="4689">
                  <c:v>809.63486000000012</c:v>
                </c:pt>
                <c:pt idx="4690">
                  <c:v>809.63617000000011</c:v>
                </c:pt>
                <c:pt idx="4691">
                  <c:v>809.6374800000001</c:v>
                </c:pt>
                <c:pt idx="4692">
                  <c:v>809.63879000000009</c:v>
                </c:pt>
                <c:pt idx="4693">
                  <c:v>809.64010000000007</c:v>
                </c:pt>
                <c:pt idx="4694">
                  <c:v>809.64141000000006</c:v>
                </c:pt>
                <c:pt idx="4695">
                  <c:v>809.64271000000008</c:v>
                </c:pt>
                <c:pt idx="4696">
                  <c:v>809.64401000000009</c:v>
                </c:pt>
                <c:pt idx="4697">
                  <c:v>809.64531000000011</c:v>
                </c:pt>
                <c:pt idx="4698">
                  <c:v>809.64661000000001</c:v>
                </c:pt>
                <c:pt idx="4699">
                  <c:v>809.64791000000002</c:v>
                </c:pt>
                <c:pt idx="4700">
                  <c:v>809.64921000000004</c:v>
                </c:pt>
                <c:pt idx="4701">
                  <c:v>809.65965000000006</c:v>
                </c:pt>
                <c:pt idx="4702">
                  <c:v>809.66091000000006</c:v>
                </c:pt>
                <c:pt idx="4703">
                  <c:v>809.66226000000006</c:v>
                </c:pt>
                <c:pt idx="4704">
                  <c:v>809.66356000000007</c:v>
                </c:pt>
                <c:pt idx="4705">
                  <c:v>809.66486000000009</c:v>
                </c:pt>
                <c:pt idx="4706">
                  <c:v>809.6661600000001</c:v>
                </c:pt>
                <c:pt idx="4707">
                  <c:v>809.66746000000012</c:v>
                </c:pt>
                <c:pt idx="4708">
                  <c:v>809.66876000000002</c:v>
                </c:pt>
                <c:pt idx="4709">
                  <c:v>809.67006000000003</c:v>
                </c:pt>
                <c:pt idx="4710">
                  <c:v>809.67136000000005</c:v>
                </c:pt>
                <c:pt idx="4711">
                  <c:v>809.67266000000006</c:v>
                </c:pt>
                <c:pt idx="4712">
                  <c:v>809.67397000000005</c:v>
                </c:pt>
                <c:pt idx="4713">
                  <c:v>809.67528000000004</c:v>
                </c:pt>
                <c:pt idx="4714">
                  <c:v>809.67659000000003</c:v>
                </c:pt>
                <c:pt idx="4715">
                  <c:v>809.67790000000002</c:v>
                </c:pt>
                <c:pt idx="4716">
                  <c:v>809.67921000000001</c:v>
                </c:pt>
                <c:pt idx="4717">
                  <c:v>809.68964000000005</c:v>
                </c:pt>
                <c:pt idx="4718">
                  <c:v>809.69094000000007</c:v>
                </c:pt>
                <c:pt idx="4719">
                  <c:v>809.69224000000008</c:v>
                </c:pt>
                <c:pt idx="4720">
                  <c:v>809.69355000000007</c:v>
                </c:pt>
                <c:pt idx="4721">
                  <c:v>809.69485000000009</c:v>
                </c:pt>
                <c:pt idx="4722">
                  <c:v>809.69616000000008</c:v>
                </c:pt>
                <c:pt idx="4723">
                  <c:v>809.69747000000007</c:v>
                </c:pt>
                <c:pt idx="4724">
                  <c:v>809.69878000000006</c:v>
                </c:pt>
                <c:pt idx="4725">
                  <c:v>809.70009000000005</c:v>
                </c:pt>
                <c:pt idx="4726">
                  <c:v>809.70139000000006</c:v>
                </c:pt>
                <c:pt idx="4727">
                  <c:v>809.70269000000008</c:v>
                </c:pt>
                <c:pt idx="4728">
                  <c:v>809.70399000000009</c:v>
                </c:pt>
                <c:pt idx="4729">
                  <c:v>809.7052900000001</c:v>
                </c:pt>
                <c:pt idx="4730">
                  <c:v>809.70659000000012</c:v>
                </c:pt>
                <c:pt idx="4731">
                  <c:v>809.70789000000002</c:v>
                </c:pt>
                <c:pt idx="4732">
                  <c:v>809.70919000000004</c:v>
                </c:pt>
                <c:pt idx="4733">
                  <c:v>809.71965000000012</c:v>
                </c:pt>
                <c:pt idx="4734">
                  <c:v>809.72095000000002</c:v>
                </c:pt>
                <c:pt idx="4735">
                  <c:v>809.72225000000003</c:v>
                </c:pt>
                <c:pt idx="4736">
                  <c:v>809.72355000000005</c:v>
                </c:pt>
                <c:pt idx="4737">
                  <c:v>809.72485000000006</c:v>
                </c:pt>
                <c:pt idx="4738">
                  <c:v>809.72615000000008</c:v>
                </c:pt>
                <c:pt idx="4739">
                  <c:v>809.72745000000009</c:v>
                </c:pt>
                <c:pt idx="4740">
                  <c:v>809.7287500000001</c:v>
                </c:pt>
                <c:pt idx="4741">
                  <c:v>809.73005000000012</c:v>
                </c:pt>
                <c:pt idx="4742">
                  <c:v>809.73135000000002</c:v>
                </c:pt>
                <c:pt idx="4743">
                  <c:v>809.73266000000001</c:v>
                </c:pt>
                <c:pt idx="4744">
                  <c:v>809.73396000000002</c:v>
                </c:pt>
                <c:pt idx="4745">
                  <c:v>809.73527000000001</c:v>
                </c:pt>
                <c:pt idx="4746">
                  <c:v>809.73658000000012</c:v>
                </c:pt>
                <c:pt idx="4747">
                  <c:v>809.74831000000006</c:v>
                </c:pt>
                <c:pt idx="4748">
                  <c:v>809.74961000000008</c:v>
                </c:pt>
                <c:pt idx="4749">
                  <c:v>809.75092000000006</c:v>
                </c:pt>
                <c:pt idx="4750">
                  <c:v>809.75223000000005</c:v>
                </c:pt>
                <c:pt idx="4751">
                  <c:v>809.75354000000004</c:v>
                </c:pt>
                <c:pt idx="4752">
                  <c:v>809.75485000000003</c:v>
                </c:pt>
                <c:pt idx="4753">
                  <c:v>809.75616000000002</c:v>
                </c:pt>
                <c:pt idx="4754">
                  <c:v>809.75747000000001</c:v>
                </c:pt>
                <c:pt idx="4755">
                  <c:v>809.75878000000012</c:v>
                </c:pt>
                <c:pt idx="4756">
                  <c:v>809.76008000000002</c:v>
                </c:pt>
                <c:pt idx="4757">
                  <c:v>809.76138000000003</c:v>
                </c:pt>
                <c:pt idx="4758">
                  <c:v>809.76268000000005</c:v>
                </c:pt>
                <c:pt idx="4759">
                  <c:v>809.76398000000006</c:v>
                </c:pt>
                <c:pt idx="4760">
                  <c:v>809.76528000000008</c:v>
                </c:pt>
                <c:pt idx="4761">
                  <c:v>809.77701000000002</c:v>
                </c:pt>
                <c:pt idx="4762">
                  <c:v>809.77832000000012</c:v>
                </c:pt>
                <c:pt idx="4763">
                  <c:v>809.77962000000002</c:v>
                </c:pt>
                <c:pt idx="4764">
                  <c:v>809.78092000000004</c:v>
                </c:pt>
                <c:pt idx="4765">
                  <c:v>809.78222000000005</c:v>
                </c:pt>
                <c:pt idx="4766">
                  <c:v>809.78352000000007</c:v>
                </c:pt>
                <c:pt idx="4767">
                  <c:v>809.78482000000008</c:v>
                </c:pt>
                <c:pt idx="4768">
                  <c:v>809.7861200000001</c:v>
                </c:pt>
                <c:pt idx="4769">
                  <c:v>809.78742000000011</c:v>
                </c:pt>
                <c:pt idx="4770">
                  <c:v>809.7887300000001</c:v>
                </c:pt>
                <c:pt idx="4771">
                  <c:v>809.79003000000012</c:v>
                </c:pt>
                <c:pt idx="4772">
                  <c:v>809.7913400000001</c:v>
                </c:pt>
                <c:pt idx="4773">
                  <c:v>809.79265000000009</c:v>
                </c:pt>
                <c:pt idx="4774">
                  <c:v>809.79396000000008</c:v>
                </c:pt>
                <c:pt idx="4775">
                  <c:v>809.79527000000007</c:v>
                </c:pt>
                <c:pt idx="4776">
                  <c:v>809.79658000000006</c:v>
                </c:pt>
                <c:pt idx="4777">
                  <c:v>809.80699000000004</c:v>
                </c:pt>
                <c:pt idx="4778">
                  <c:v>809.80829000000006</c:v>
                </c:pt>
                <c:pt idx="4779">
                  <c:v>809.80959000000007</c:v>
                </c:pt>
                <c:pt idx="4780">
                  <c:v>809.81090000000006</c:v>
                </c:pt>
                <c:pt idx="4781">
                  <c:v>809.81221000000005</c:v>
                </c:pt>
                <c:pt idx="4782">
                  <c:v>809.81351000000006</c:v>
                </c:pt>
                <c:pt idx="4783">
                  <c:v>809.81482000000005</c:v>
                </c:pt>
                <c:pt idx="4784">
                  <c:v>809.81613000000004</c:v>
                </c:pt>
                <c:pt idx="4785">
                  <c:v>809.81744000000003</c:v>
                </c:pt>
                <c:pt idx="4786">
                  <c:v>809.81874000000005</c:v>
                </c:pt>
                <c:pt idx="4787">
                  <c:v>809.82004000000006</c:v>
                </c:pt>
                <c:pt idx="4788">
                  <c:v>809.82134000000008</c:v>
                </c:pt>
                <c:pt idx="4789">
                  <c:v>809.82264000000009</c:v>
                </c:pt>
                <c:pt idx="4790">
                  <c:v>809.82394000000011</c:v>
                </c:pt>
                <c:pt idx="4791">
                  <c:v>809.82524000000012</c:v>
                </c:pt>
                <c:pt idx="4792">
                  <c:v>809.83569000000011</c:v>
                </c:pt>
                <c:pt idx="4793">
                  <c:v>809.8370000000001</c:v>
                </c:pt>
                <c:pt idx="4794">
                  <c:v>809.83830000000012</c:v>
                </c:pt>
                <c:pt idx="4795">
                  <c:v>809.83960000000002</c:v>
                </c:pt>
                <c:pt idx="4796">
                  <c:v>809.84090000000003</c:v>
                </c:pt>
                <c:pt idx="4797">
                  <c:v>809.84220000000005</c:v>
                </c:pt>
                <c:pt idx="4798">
                  <c:v>809.84350000000006</c:v>
                </c:pt>
                <c:pt idx="4799">
                  <c:v>809.84480000000008</c:v>
                </c:pt>
                <c:pt idx="4800">
                  <c:v>809.84610000000009</c:v>
                </c:pt>
                <c:pt idx="4801">
                  <c:v>809.84740000000011</c:v>
                </c:pt>
                <c:pt idx="4802">
                  <c:v>809.84870000000012</c:v>
                </c:pt>
                <c:pt idx="4803">
                  <c:v>809.85001000000011</c:v>
                </c:pt>
                <c:pt idx="4804">
                  <c:v>809.8513200000001</c:v>
                </c:pt>
                <c:pt idx="4805">
                  <c:v>809.85262000000012</c:v>
                </c:pt>
                <c:pt idx="4806">
                  <c:v>809.85392000000002</c:v>
                </c:pt>
                <c:pt idx="4807">
                  <c:v>809.85522000000003</c:v>
                </c:pt>
                <c:pt idx="4808">
                  <c:v>809.86566000000005</c:v>
                </c:pt>
                <c:pt idx="4809">
                  <c:v>809.86697000000004</c:v>
                </c:pt>
                <c:pt idx="4810">
                  <c:v>809.86828000000003</c:v>
                </c:pt>
                <c:pt idx="4811">
                  <c:v>809.86959000000002</c:v>
                </c:pt>
                <c:pt idx="4812">
                  <c:v>809.87090000000012</c:v>
                </c:pt>
                <c:pt idx="4813">
                  <c:v>809.87221000000011</c:v>
                </c:pt>
                <c:pt idx="4814">
                  <c:v>809.87351000000001</c:v>
                </c:pt>
                <c:pt idx="4815">
                  <c:v>809.87481000000002</c:v>
                </c:pt>
                <c:pt idx="4816">
                  <c:v>809.87611000000004</c:v>
                </c:pt>
                <c:pt idx="4817">
                  <c:v>809.87742000000003</c:v>
                </c:pt>
                <c:pt idx="4818">
                  <c:v>809.87873000000002</c:v>
                </c:pt>
                <c:pt idx="4819">
                  <c:v>809.88004000000012</c:v>
                </c:pt>
                <c:pt idx="4820">
                  <c:v>809.88135000000011</c:v>
                </c:pt>
                <c:pt idx="4821">
                  <c:v>809.88265000000001</c:v>
                </c:pt>
                <c:pt idx="4822">
                  <c:v>809.88395000000003</c:v>
                </c:pt>
                <c:pt idx="4823">
                  <c:v>809.88525000000004</c:v>
                </c:pt>
                <c:pt idx="4824">
                  <c:v>809.88656000000003</c:v>
                </c:pt>
                <c:pt idx="4825">
                  <c:v>809.89832000000001</c:v>
                </c:pt>
                <c:pt idx="4826">
                  <c:v>809.89963000000012</c:v>
                </c:pt>
                <c:pt idx="4827">
                  <c:v>809.90094000000011</c:v>
                </c:pt>
                <c:pt idx="4828">
                  <c:v>809.90224000000012</c:v>
                </c:pt>
                <c:pt idx="4829">
                  <c:v>809.90354000000002</c:v>
                </c:pt>
                <c:pt idx="4830">
                  <c:v>809.90484000000004</c:v>
                </c:pt>
                <c:pt idx="4831">
                  <c:v>809.90615000000003</c:v>
                </c:pt>
                <c:pt idx="4832">
                  <c:v>809.90746000000001</c:v>
                </c:pt>
                <c:pt idx="4833">
                  <c:v>809.90877000000012</c:v>
                </c:pt>
                <c:pt idx="4834">
                  <c:v>809.91008000000011</c:v>
                </c:pt>
                <c:pt idx="4835">
                  <c:v>809.9113900000001</c:v>
                </c:pt>
                <c:pt idx="4836">
                  <c:v>809.91269000000011</c:v>
                </c:pt>
                <c:pt idx="4837">
                  <c:v>809.91399000000001</c:v>
                </c:pt>
                <c:pt idx="4838">
                  <c:v>809.91529000000003</c:v>
                </c:pt>
                <c:pt idx="4839">
                  <c:v>809.91660000000002</c:v>
                </c:pt>
                <c:pt idx="4840">
                  <c:v>809.92838000000006</c:v>
                </c:pt>
                <c:pt idx="4841">
                  <c:v>809.92969000000005</c:v>
                </c:pt>
                <c:pt idx="4842">
                  <c:v>809.93100000000004</c:v>
                </c:pt>
                <c:pt idx="4843">
                  <c:v>809.93230000000005</c:v>
                </c:pt>
                <c:pt idx="4844">
                  <c:v>809.93360000000007</c:v>
                </c:pt>
                <c:pt idx="4845">
                  <c:v>809.93490000000008</c:v>
                </c:pt>
                <c:pt idx="4846">
                  <c:v>809.93621000000007</c:v>
                </c:pt>
                <c:pt idx="4847">
                  <c:v>809.93752000000006</c:v>
                </c:pt>
                <c:pt idx="4848">
                  <c:v>809.93883000000005</c:v>
                </c:pt>
                <c:pt idx="4849">
                  <c:v>809.94013000000007</c:v>
                </c:pt>
                <c:pt idx="4850">
                  <c:v>809.94143000000008</c:v>
                </c:pt>
                <c:pt idx="4851">
                  <c:v>809.9427300000001</c:v>
                </c:pt>
                <c:pt idx="4852">
                  <c:v>809.94403000000011</c:v>
                </c:pt>
                <c:pt idx="4853">
                  <c:v>809.9453400000001</c:v>
                </c:pt>
                <c:pt idx="4854">
                  <c:v>809.94665000000009</c:v>
                </c:pt>
                <c:pt idx="4855">
                  <c:v>809.94796000000008</c:v>
                </c:pt>
                <c:pt idx="4856">
                  <c:v>809.94927000000007</c:v>
                </c:pt>
                <c:pt idx="4857">
                  <c:v>809.95971000000009</c:v>
                </c:pt>
                <c:pt idx="4858">
                  <c:v>809.9610100000001</c:v>
                </c:pt>
                <c:pt idx="4859">
                  <c:v>809.96231000000012</c:v>
                </c:pt>
                <c:pt idx="4860">
                  <c:v>809.96361000000002</c:v>
                </c:pt>
                <c:pt idx="4861">
                  <c:v>809.96492000000012</c:v>
                </c:pt>
                <c:pt idx="4862">
                  <c:v>809.96623000000011</c:v>
                </c:pt>
                <c:pt idx="4863">
                  <c:v>809.9675400000001</c:v>
                </c:pt>
                <c:pt idx="4864">
                  <c:v>809.96885000000009</c:v>
                </c:pt>
                <c:pt idx="4865">
                  <c:v>809.97016000000008</c:v>
                </c:pt>
                <c:pt idx="4866">
                  <c:v>809.97146000000009</c:v>
                </c:pt>
                <c:pt idx="4867">
                  <c:v>809.97276000000011</c:v>
                </c:pt>
                <c:pt idx="4868">
                  <c:v>809.97406000000012</c:v>
                </c:pt>
                <c:pt idx="4869">
                  <c:v>809.97537000000011</c:v>
                </c:pt>
                <c:pt idx="4870">
                  <c:v>809.9766800000001</c:v>
                </c:pt>
              </c:numCache>
            </c:numRef>
          </c:xVal>
          <c:yVal>
            <c:numRef>
              <c:f>Лист1!$E$2:$E$4872</c:f>
              <c:numCache>
                <c:formatCode>General</c:formatCode>
                <c:ptCount val="4871"/>
                <c:pt idx="1">
                  <c:v>5691</c:v>
                </c:pt>
                <c:pt idx="2">
                  <c:v>5691</c:v>
                </c:pt>
                <c:pt idx="3">
                  <c:v>5691</c:v>
                </c:pt>
                <c:pt idx="4">
                  <c:v>5691</c:v>
                </c:pt>
                <c:pt idx="5">
                  <c:v>5691</c:v>
                </c:pt>
                <c:pt idx="6">
                  <c:v>5691</c:v>
                </c:pt>
                <c:pt idx="7">
                  <c:v>5691</c:v>
                </c:pt>
                <c:pt idx="8">
                  <c:v>5691</c:v>
                </c:pt>
                <c:pt idx="9">
                  <c:v>5691</c:v>
                </c:pt>
                <c:pt idx="10">
                  <c:v>5691</c:v>
                </c:pt>
                <c:pt idx="11">
                  <c:v>5691</c:v>
                </c:pt>
                <c:pt idx="12">
                  <c:v>5691</c:v>
                </c:pt>
                <c:pt idx="13">
                  <c:v>5691</c:v>
                </c:pt>
                <c:pt idx="14">
                  <c:v>5691</c:v>
                </c:pt>
                <c:pt idx="15">
                  <c:v>5691</c:v>
                </c:pt>
                <c:pt idx="16">
                  <c:v>5691</c:v>
                </c:pt>
                <c:pt idx="17">
                  <c:v>5691</c:v>
                </c:pt>
                <c:pt idx="18">
                  <c:v>5691</c:v>
                </c:pt>
                <c:pt idx="19">
                  <c:v>5691</c:v>
                </c:pt>
                <c:pt idx="20">
                  <c:v>5691</c:v>
                </c:pt>
                <c:pt idx="21">
                  <c:v>5691</c:v>
                </c:pt>
                <c:pt idx="22">
                  <c:v>5691</c:v>
                </c:pt>
                <c:pt idx="23">
                  <c:v>5691</c:v>
                </c:pt>
                <c:pt idx="24">
                  <c:v>5691</c:v>
                </c:pt>
                <c:pt idx="25">
                  <c:v>5691</c:v>
                </c:pt>
                <c:pt idx="26">
                  <c:v>5691</c:v>
                </c:pt>
                <c:pt idx="27">
                  <c:v>5691</c:v>
                </c:pt>
                <c:pt idx="28">
                  <c:v>5691</c:v>
                </c:pt>
                <c:pt idx="29">
                  <c:v>5691</c:v>
                </c:pt>
                <c:pt idx="30">
                  <c:v>5691</c:v>
                </c:pt>
                <c:pt idx="31">
                  <c:v>5691</c:v>
                </c:pt>
                <c:pt idx="32">
                  <c:v>5691</c:v>
                </c:pt>
                <c:pt idx="33">
                  <c:v>5691</c:v>
                </c:pt>
                <c:pt idx="34">
                  <c:v>5691</c:v>
                </c:pt>
                <c:pt idx="35">
                  <c:v>5691</c:v>
                </c:pt>
                <c:pt idx="36">
                  <c:v>5691</c:v>
                </c:pt>
                <c:pt idx="37">
                  <c:v>5691</c:v>
                </c:pt>
                <c:pt idx="38">
                  <c:v>5691</c:v>
                </c:pt>
                <c:pt idx="39">
                  <c:v>5691</c:v>
                </c:pt>
                <c:pt idx="40">
                  <c:v>5691</c:v>
                </c:pt>
                <c:pt idx="41">
                  <c:v>5691</c:v>
                </c:pt>
                <c:pt idx="42">
                  <c:v>5691</c:v>
                </c:pt>
                <c:pt idx="43">
                  <c:v>5691</c:v>
                </c:pt>
                <c:pt idx="44">
                  <c:v>5691</c:v>
                </c:pt>
                <c:pt idx="45">
                  <c:v>5691</c:v>
                </c:pt>
                <c:pt idx="46">
                  <c:v>5691</c:v>
                </c:pt>
                <c:pt idx="47">
                  <c:v>5691</c:v>
                </c:pt>
                <c:pt idx="48">
                  <c:v>5691</c:v>
                </c:pt>
                <c:pt idx="49">
                  <c:v>5691</c:v>
                </c:pt>
                <c:pt idx="50">
                  <c:v>5691</c:v>
                </c:pt>
                <c:pt idx="51">
                  <c:v>5691</c:v>
                </c:pt>
                <c:pt idx="52">
                  <c:v>5691</c:v>
                </c:pt>
                <c:pt idx="53">
                  <c:v>5691</c:v>
                </c:pt>
                <c:pt idx="54">
                  <c:v>5691</c:v>
                </c:pt>
                <c:pt idx="55">
                  <c:v>5691</c:v>
                </c:pt>
                <c:pt idx="56">
                  <c:v>5691</c:v>
                </c:pt>
                <c:pt idx="57">
                  <c:v>5691</c:v>
                </c:pt>
                <c:pt idx="58">
                  <c:v>5691</c:v>
                </c:pt>
                <c:pt idx="59">
                  <c:v>5691</c:v>
                </c:pt>
                <c:pt idx="60">
                  <c:v>5691</c:v>
                </c:pt>
                <c:pt idx="61">
                  <c:v>5691</c:v>
                </c:pt>
                <c:pt idx="62">
                  <c:v>5691</c:v>
                </c:pt>
                <c:pt idx="63">
                  <c:v>5691</c:v>
                </c:pt>
                <c:pt idx="64">
                  <c:v>5691</c:v>
                </c:pt>
                <c:pt idx="65">
                  <c:v>5691</c:v>
                </c:pt>
                <c:pt idx="66">
                  <c:v>5691</c:v>
                </c:pt>
                <c:pt idx="67">
                  <c:v>5691</c:v>
                </c:pt>
                <c:pt idx="68">
                  <c:v>5691</c:v>
                </c:pt>
                <c:pt idx="69">
                  <c:v>5691</c:v>
                </c:pt>
                <c:pt idx="70">
                  <c:v>5691</c:v>
                </c:pt>
                <c:pt idx="71">
                  <c:v>5691</c:v>
                </c:pt>
                <c:pt idx="72">
                  <c:v>5691</c:v>
                </c:pt>
                <c:pt idx="73">
                  <c:v>5691</c:v>
                </c:pt>
                <c:pt idx="74">
                  <c:v>5691</c:v>
                </c:pt>
                <c:pt idx="75">
                  <c:v>5691</c:v>
                </c:pt>
                <c:pt idx="76">
                  <c:v>5691</c:v>
                </c:pt>
                <c:pt idx="77">
                  <c:v>5691</c:v>
                </c:pt>
                <c:pt idx="78">
                  <c:v>5691</c:v>
                </c:pt>
                <c:pt idx="79">
                  <c:v>5691</c:v>
                </c:pt>
                <c:pt idx="80">
                  <c:v>5691</c:v>
                </c:pt>
                <c:pt idx="81">
                  <c:v>5691</c:v>
                </c:pt>
                <c:pt idx="82">
                  <c:v>5691</c:v>
                </c:pt>
                <c:pt idx="83">
                  <c:v>5691</c:v>
                </c:pt>
                <c:pt idx="84">
                  <c:v>5691</c:v>
                </c:pt>
                <c:pt idx="85">
                  <c:v>5691</c:v>
                </c:pt>
                <c:pt idx="86">
                  <c:v>34715</c:v>
                </c:pt>
                <c:pt idx="87">
                  <c:v>34716</c:v>
                </c:pt>
                <c:pt idx="88">
                  <c:v>34716</c:v>
                </c:pt>
                <c:pt idx="89">
                  <c:v>34716</c:v>
                </c:pt>
                <c:pt idx="90">
                  <c:v>34716</c:v>
                </c:pt>
                <c:pt idx="91">
                  <c:v>34716</c:v>
                </c:pt>
                <c:pt idx="92">
                  <c:v>34716</c:v>
                </c:pt>
                <c:pt idx="93">
                  <c:v>34716</c:v>
                </c:pt>
                <c:pt idx="94">
                  <c:v>34715</c:v>
                </c:pt>
                <c:pt idx="95">
                  <c:v>34715</c:v>
                </c:pt>
                <c:pt idx="96">
                  <c:v>34715</c:v>
                </c:pt>
                <c:pt idx="97">
                  <c:v>34715</c:v>
                </c:pt>
                <c:pt idx="98">
                  <c:v>34715</c:v>
                </c:pt>
                <c:pt idx="99">
                  <c:v>34714</c:v>
                </c:pt>
                <c:pt idx="100">
                  <c:v>34715</c:v>
                </c:pt>
                <c:pt idx="101">
                  <c:v>34716</c:v>
                </c:pt>
                <c:pt idx="102">
                  <c:v>34716</c:v>
                </c:pt>
                <c:pt idx="103">
                  <c:v>34715</c:v>
                </c:pt>
                <c:pt idx="104">
                  <c:v>34715</c:v>
                </c:pt>
                <c:pt idx="105">
                  <c:v>34715</c:v>
                </c:pt>
                <c:pt idx="106">
                  <c:v>34714</c:v>
                </c:pt>
                <c:pt idx="107">
                  <c:v>34715</c:v>
                </c:pt>
                <c:pt idx="108">
                  <c:v>34715</c:v>
                </c:pt>
                <c:pt idx="109">
                  <c:v>34716</c:v>
                </c:pt>
                <c:pt idx="110">
                  <c:v>34716</c:v>
                </c:pt>
                <c:pt idx="111">
                  <c:v>34715</c:v>
                </c:pt>
                <c:pt idx="112">
                  <c:v>34716</c:v>
                </c:pt>
                <c:pt idx="113">
                  <c:v>34715</c:v>
                </c:pt>
                <c:pt idx="114">
                  <c:v>34715</c:v>
                </c:pt>
                <c:pt idx="115">
                  <c:v>34715</c:v>
                </c:pt>
                <c:pt idx="116">
                  <c:v>34715</c:v>
                </c:pt>
                <c:pt idx="117">
                  <c:v>34715</c:v>
                </c:pt>
                <c:pt idx="118">
                  <c:v>34715</c:v>
                </c:pt>
                <c:pt idx="119">
                  <c:v>34716</c:v>
                </c:pt>
                <c:pt idx="120">
                  <c:v>34714</c:v>
                </c:pt>
                <c:pt idx="121">
                  <c:v>34715</c:v>
                </c:pt>
                <c:pt idx="122">
                  <c:v>34714</c:v>
                </c:pt>
                <c:pt idx="123">
                  <c:v>34714</c:v>
                </c:pt>
                <c:pt idx="124">
                  <c:v>34714</c:v>
                </c:pt>
                <c:pt idx="125">
                  <c:v>34714</c:v>
                </c:pt>
                <c:pt idx="126">
                  <c:v>34714</c:v>
                </c:pt>
                <c:pt idx="127">
                  <c:v>34714</c:v>
                </c:pt>
                <c:pt idx="128">
                  <c:v>34713</c:v>
                </c:pt>
                <c:pt idx="129">
                  <c:v>34714</c:v>
                </c:pt>
                <c:pt idx="130">
                  <c:v>34714</c:v>
                </c:pt>
                <c:pt idx="131">
                  <c:v>34714</c:v>
                </c:pt>
                <c:pt idx="132">
                  <c:v>34714</c:v>
                </c:pt>
                <c:pt idx="133">
                  <c:v>34715</c:v>
                </c:pt>
                <c:pt idx="134">
                  <c:v>34714</c:v>
                </c:pt>
                <c:pt idx="135">
                  <c:v>34714</c:v>
                </c:pt>
                <c:pt idx="136">
                  <c:v>34715</c:v>
                </c:pt>
                <c:pt idx="137">
                  <c:v>34715</c:v>
                </c:pt>
                <c:pt idx="138">
                  <c:v>34715</c:v>
                </c:pt>
                <c:pt idx="139">
                  <c:v>34715</c:v>
                </c:pt>
                <c:pt idx="140">
                  <c:v>34715</c:v>
                </c:pt>
                <c:pt idx="141">
                  <c:v>34714</c:v>
                </c:pt>
                <c:pt idx="142">
                  <c:v>34714</c:v>
                </c:pt>
                <c:pt idx="143">
                  <c:v>34715</c:v>
                </c:pt>
                <c:pt idx="144">
                  <c:v>34714</c:v>
                </c:pt>
                <c:pt idx="145">
                  <c:v>34715</c:v>
                </c:pt>
                <c:pt idx="146">
                  <c:v>34715</c:v>
                </c:pt>
                <c:pt idx="147">
                  <c:v>34715</c:v>
                </c:pt>
                <c:pt idx="148">
                  <c:v>34715</c:v>
                </c:pt>
                <c:pt idx="149">
                  <c:v>34715</c:v>
                </c:pt>
                <c:pt idx="150">
                  <c:v>34715</c:v>
                </c:pt>
                <c:pt idx="151">
                  <c:v>34715</c:v>
                </c:pt>
                <c:pt idx="152">
                  <c:v>34715</c:v>
                </c:pt>
                <c:pt idx="153">
                  <c:v>34715</c:v>
                </c:pt>
                <c:pt idx="154">
                  <c:v>34716</c:v>
                </c:pt>
                <c:pt idx="155">
                  <c:v>34716</c:v>
                </c:pt>
                <c:pt idx="156">
                  <c:v>34715</c:v>
                </c:pt>
                <c:pt idx="157">
                  <c:v>34716</c:v>
                </c:pt>
                <c:pt idx="158">
                  <c:v>34715</c:v>
                </c:pt>
                <c:pt idx="159">
                  <c:v>34716</c:v>
                </c:pt>
                <c:pt idx="160">
                  <c:v>34716</c:v>
                </c:pt>
                <c:pt idx="161">
                  <c:v>34715</c:v>
                </c:pt>
                <c:pt idx="162">
                  <c:v>34715</c:v>
                </c:pt>
                <c:pt idx="163">
                  <c:v>34715</c:v>
                </c:pt>
                <c:pt idx="164">
                  <c:v>34715</c:v>
                </c:pt>
                <c:pt idx="165">
                  <c:v>34716</c:v>
                </c:pt>
                <c:pt idx="166">
                  <c:v>34715</c:v>
                </c:pt>
                <c:pt idx="167">
                  <c:v>34716</c:v>
                </c:pt>
                <c:pt idx="168">
                  <c:v>34715</c:v>
                </c:pt>
                <c:pt idx="169">
                  <c:v>34715</c:v>
                </c:pt>
                <c:pt idx="170">
                  <c:v>34715</c:v>
                </c:pt>
                <c:pt idx="171">
                  <c:v>34715</c:v>
                </c:pt>
                <c:pt idx="172">
                  <c:v>34714</c:v>
                </c:pt>
                <c:pt idx="173">
                  <c:v>34715</c:v>
                </c:pt>
                <c:pt idx="174">
                  <c:v>34716</c:v>
                </c:pt>
                <c:pt idx="175">
                  <c:v>34716</c:v>
                </c:pt>
                <c:pt idx="176">
                  <c:v>34716</c:v>
                </c:pt>
                <c:pt idx="177">
                  <c:v>34715</c:v>
                </c:pt>
                <c:pt idx="178">
                  <c:v>34715</c:v>
                </c:pt>
                <c:pt idx="179">
                  <c:v>34716</c:v>
                </c:pt>
                <c:pt idx="180">
                  <c:v>34715</c:v>
                </c:pt>
                <c:pt idx="181">
                  <c:v>34715</c:v>
                </c:pt>
                <c:pt idx="182">
                  <c:v>34716</c:v>
                </c:pt>
                <c:pt idx="183">
                  <c:v>34715</c:v>
                </c:pt>
                <c:pt idx="184">
                  <c:v>34715</c:v>
                </c:pt>
                <c:pt idx="185">
                  <c:v>34716</c:v>
                </c:pt>
                <c:pt idx="186">
                  <c:v>34715</c:v>
                </c:pt>
                <c:pt idx="187">
                  <c:v>34715</c:v>
                </c:pt>
                <c:pt idx="188">
                  <c:v>34715</c:v>
                </c:pt>
                <c:pt idx="189">
                  <c:v>34715</c:v>
                </c:pt>
                <c:pt idx="190">
                  <c:v>34715</c:v>
                </c:pt>
                <c:pt idx="191">
                  <c:v>34715</c:v>
                </c:pt>
                <c:pt idx="192">
                  <c:v>34715</c:v>
                </c:pt>
                <c:pt idx="193">
                  <c:v>34714</c:v>
                </c:pt>
                <c:pt idx="194">
                  <c:v>34715</c:v>
                </c:pt>
                <c:pt idx="195">
                  <c:v>34714</c:v>
                </c:pt>
                <c:pt idx="196">
                  <c:v>34715</c:v>
                </c:pt>
                <c:pt idx="197">
                  <c:v>34715</c:v>
                </c:pt>
                <c:pt idx="198">
                  <c:v>34714</c:v>
                </c:pt>
                <c:pt idx="199">
                  <c:v>34714</c:v>
                </c:pt>
                <c:pt idx="200">
                  <c:v>34715</c:v>
                </c:pt>
                <c:pt idx="201">
                  <c:v>34714</c:v>
                </c:pt>
                <c:pt idx="202">
                  <c:v>34714</c:v>
                </c:pt>
                <c:pt idx="203">
                  <c:v>34715</c:v>
                </c:pt>
                <c:pt idx="204">
                  <c:v>34715</c:v>
                </c:pt>
                <c:pt idx="205">
                  <c:v>34716</c:v>
                </c:pt>
                <c:pt idx="206">
                  <c:v>34715</c:v>
                </c:pt>
                <c:pt idx="207">
                  <c:v>34715</c:v>
                </c:pt>
                <c:pt idx="208">
                  <c:v>34715</c:v>
                </c:pt>
                <c:pt idx="209">
                  <c:v>34714</c:v>
                </c:pt>
                <c:pt idx="210">
                  <c:v>34715</c:v>
                </c:pt>
                <c:pt idx="211">
                  <c:v>34715</c:v>
                </c:pt>
                <c:pt idx="212">
                  <c:v>34715</c:v>
                </c:pt>
                <c:pt idx="213">
                  <c:v>34716</c:v>
                </c:pt>
                <c:pt idx="214">
                  <c:v>34716</c:v>
                </c:pt>
                <c:pt idx="215">
                  <c:v>34716</c:v>
                </c:pt>
                <c:pt idx="216">
                  <c:v>34716</c:v>
                </c:pt>
                <c:pt idx="217">
                  <c:v>34715</c:v>
                </c:pt>
                <c:pt idx="218">
                  <c:v>34715</c:v>
                </c:pt>
                <c:pt idx="219">
                  <c:v>34715</c:v>
                </c:pt>
                <c:pt idx="220">
                  <c:v>34716</c:v>
                </c:pt>
                <c:pt idx="221">
                  <c:v>34716</c:v>
                </c:pt>
                <c:pt idx="222">
                  <c:v>34715</c:v>
                </c:pt>
                <c:pt idx="223">
                  <c:v>34716</c:v>
                </c:pt>
                <c:pt idx="224">
                  <c:v>34716</c:v>
                </c:pt>
                <c:pt idx="225">
                  <c:v>34716</c:v>
                </c:pt>
                <c:pt idx="226">
                  <c:v>34716</c:v>
                </c:pt>
                <c:pt idx="227">
                  <c:v>34716</c:v>
                </c:pt>
                <c:pt idx="228">
                  <c:v>34716</c:v>
                </c:pt>
                <c:pt idx="229">
                  <c:v>34716</c:v>
                </c:pt>
                <c:pt idx="230">
                  <c:v>34715</c:v>
                </c:pt>
                <c:pt idx="231">
                  <c:v>34715</c:v>
                </c:pt>
                <c:pt idx="232">
                  <c:v>34716</c:v>
                </c:pt>
                <c:pt idx="233">
                  <c:v>34715</c:v>
                </c:pt>
                <c:pt idx="234">
                  <c:v>34715</c:v>
                </c:pt>
                <c:pt idx="235">
                  <c:v>34716</c:v>
                </c:pt>
                <c:pt idx="236">
                  <c:v>34716</c:v>
                </c:pt>
                <c:pt idx="237">
                  <c:v>34715</c:v>
                </c:pt>
                <c:pt idx="238">
                  <c:v>34715</c:v>
                </c:pt>
                <c:pt idx="239">
                  <c:v>34715</c:v>
                </c:pt>
                <c:pt idx="240">
                  <c:v>34714</c:v>
                </c:pt>
                <c:pt idx="241">
                  <c:v>34715</c:v>
                </c:pt>
                <c:pt idx="242">
                  <c:v>34715</c:v>
                </c:pt>
                <c:pt idx="243">
                  <c:v>34716</c:v>
                </c:pt>
                <c:pt idx="244">
                  <c:v>34715</c:v>
                </c:pt>
                <c:pt idx="245">
                  <c:v>34715</c:v>
                </c:pt>
                <c:pt idx="246">
                  <c:v>34712</c:v>
                </c:pt>
                <c:pt idx="247">
                  <c:v>34667</c:v>
                </c:pt>
                <c:pt idx="248">
                  <c:v>34574</c:v>
                </c:pt>
                <c:pt idx="249">
                  <c:v>34040</c:v>
                </c:pt>
                <c:pt idx="250">
                  <c:v>33787</c:v>
                </c:pt>
                <c:pt idx="251">
                  <c:v>33503</c:v>
                </c:pt>
                <c:pt idx="252">
                  <c:v>33190</c:v>
                </c:pt>
                <c:pt idx="253">
                  <c:v>32849</c:v>
                </c:pt>
                <c:pt idx="254">
                  <c:v>32108</c:v>
                </c:pt>
                <c:pt idx="255">
                  <c:v>31712</c:v>
                </c:pt>
                <c:pt idx="256">
                  <c:v>30717</c:v>
                </c:pt>
                <c:pt idx="257">
                  <c:v>30218</c:v>
                </c:pt>
                <c:pt idx="258">
                  <c:v>29720</c:v>
                </c:pt>
                <c:pt idx="259">
                  <c:v>27760</c:v>
                </c:pt>
                <c:pt idx="260">
                  <c:v>27284</c:v>
                </c:pt>
                <c:pt idx="261">
                  <c:v>26815</c:v>
                </c:pt>
                <c:pt idx="262">
                  <c:v>25015</c:v>
                </c:pt>
                <c:pt idx="263">
                  <c:v>24585</c:v>
                </c:pt>
                <c:pt idx="264">
                  <c:v>24165</c:v>
                </c:pt>
                <c:pt idx="265">
                  <c:v>23753</c:v>
                </c:pt>
                <c:pt idx="266">
                  <c:v>23351</c:v>
                </c:pt>
                <c:pt idx="267">
                  <c:v>22572</c:v>
                </c:pt>
                <c:pt idx="268">
                  <c:v>22196</c:v>
                </c:pt>
                <c:pt idx="269">
                  <c:v>21829</c:v>
                </c:pt>
                <c:pt idx="270">
                  <c:v>21829</c:v>
                </c:pt>
                <c:pt idx="271">
                  <c:v>20780</c:v>
                </c:pt>
                <c:pt idx="272">
                  <c:v>20447</c:v>
                </c:pt>
                <c:pt idx="273">
                  <c:v>19497</c:v>
                </c:pt>
                <c:pt idx="274">
                  <c:v>19497</c:v>
                </c:pt>
                <c:pt idx="275">
                  <c:v>19196</c:v>
                </c:pt>
                <c:pt idx="276">
                  <c:v>18615</c:v>
                </c:pt>
                <c:pt idx="277">
                  <c:v>18615</c:v>
                </c:pt>
                <c:pt idx="278">
                  <c:v>18615</c:v>
                </c:pt>
                <c:pt idx="279">
                  <c:v>17796</c:v>
                </c:pt>
                <c:pt idx="280">
                  <c:v>17537</c:v>
                </c:pt>
                <c:pt idx="281">
                  <c:v>17037</c:v>
                </c:pt>
                <c:pt idx="282">
                  <c:v>16561</c:v>
                </c:pt>
                <c:pt idx="283">
                  <c:v>16561</c:v>
                </c:pt>
                <c:pt idx="284">
                  <c:v>15890</c:v>
                </c:pt>
                <c:pt idx="285">
                  <c:v>15890</c:v>
                </c:pt>
                <c:pt idx="286">
                  <c:v>15469</c:v>
                </c:pt>
                <c:pt idx="287">
                  <c:v>14499</c:v>
                </c:pt>
                <c:pt idx="288">
                  <c:v>14499</c:v>
                </c:pt>
                <c:pt idx="289">
                  <c:v>14142</c:v>
                </c:pt>
                <c:pt idx="290">
                  <c:v>14142</c:v>
                </c:pt>
                <c:pt idx="291">
                  <c:v>13800</c:v>
                </c:pt>
                <c:pt idx="292">
                  <c:v>13474</c:v>
                </c:pt>
                <c:pt idx="293">
                  <c:v>13162</c:v>
                </c:pt>
                <c:pt idx="294">
                  <c:v>13162</c:v>
                </c:pt>
                <c:pt idx="295">
                  <c:v>12864</c:v>
                </c:pt>
                <c:pt idx="296">
                  <c:v>12577</c:v>
                </c:pt>
                <c:pt idx="297">
                  <c:v>12302</c:v>
                </c:pt>
                <c:pt idx="298">
                  <c:v>12302</c:v>
                </c:pt>
                <c:pt idx="299">
                  <c:v>12038</c:v>
                </c:pt>
                <c:pt idx="300">
                  <c:v>11785</c:v>
                </c:pt>
                <c:pt idx="301">
                  <c:v>11424</c:v>
                </c:pt>
                <c:pt idx="302">
                  <c:v>11424</c:v>
                </c:pt>
                <c:pt idx="303">
                  <c:v>10976</c:v>
                </c:pt>
                <c:pt idx="304">
                  <c:v>10976</c:v>
                </c:pt>
                <c:pt idx="305">
                  <c:v>10661</c:v>
                </c:pt>
                <c:pt idx="306">
                  <c:v>10462</c:v>
                </c:pt>
                <c:pt idx="307">
                  <c:v>10462</c:v>
                </c:pt>
                <c:pt idx="308">
                  <c:v>10462</c:v>
                </c:pt>
                <c:pt idx="309">
                  <c:v>10269</c:v>
                </c:pt>
                <c:pt idx="310">
                  <c:v>10269</c:v>
                </c:pt>
                <c:pt idx="311">
                  <c:v>9993</c:v>
                </c:pt>
                <c:pt idx="312">
                  <c:v>9818</c:v>
                </c:pt>
                <c:pt idx="313">
                  <c:v>9567</c:v>
                </c:pt>
                <c:pt idx="314">
                  <c:v>9567</c:v>
                </c:pt>
                <c:pt idx="315">
                  <c:v>9328</c:v>
                </c:pt>
                <c:pt idx="316">
                  <c:v>9328</c:v>
                </c:pt>
                <c:pt idx="317">
                  <c:v>9176</c:v>
                </c:pt>
                <c:pt idx="318">
                  <c:v>8958</c:v>
                </c:pt>
                <c:pt idx="319">
                  <c:v>8958</c:v>
                </c:pt>
                <c:pt idx="320">
                  <c:v>8958</c:v>
                </c:pt>
                <c:pt idx="321">
                  <c:v>8749</c:v>
                </c:pt>
                <c:pt idx="322">
                  <c:v>8551</c:v>
                </c:pt>
                <c:pt idx="323">
                  <c:v>8551</c:v>
                </c:pt>
                <c:pt idx="324">
                  <c:v>8551</c:v>
                </c:pt>
                <c:pt idx="325">
                  <c:v>8361</c:v>
                </c:pt>
                <c:pt idx="326">
                  <c:v>8361</c:v>
                </c:pt>
                <c:pt idx="327">
                  <c:v>8361</c:v>
                </c:pt>
                <c:pt idx="328">
                  <c:v>8180</c:v>
                </c:pt>
                <c:pt idx="329">
                  <c:v>8180</c:v>
                </c:pt>
                <c:pt idx="330">
                  <c:v>8180</c:v>
                </c:pt>
                <c:pt idx="331">
                  <c:v>8008</c:v>
                </c:pt>
                <c:pt idx="332">
                  <c:v>8242</c:v>
                </c:pt>
                <c:pt idx="333">
                  <c:v>8242</c:v>
                </c:pt>
                <c:pt idx="334">
                  <c:v>8242</c:v>
                </c:pt>
                <c:pt idx="335">
                  <c:v>8062</c:v>
                </c:pt>
                <c:pt idx="336">
                  <c:v>7890</c:v>
                </c:pt>
                <c:pt idx="337">
                  <c:v>7890</c:v>
                </c:pt>
                <c:pt idx="338">
                  <c:v>7890</c:v>
                </c:pt>
                <c:pt idx="339">
                  <c:v>7691</c:v>
                </c:pt>
                <c:pt idx="340">
                  <c:v>7691</c:v>
                </c:pt>
                <c:pt idx="341">
                  <c:v>7528</c:v>
                </c:pt>
                <c:pt idx="342">
                  <c:v>7528</c:v>
                </c:pt>
                <c:pt idx="343">
                  <c:v>7321</c:v>
                </c:pt>
                <c:pt idx="344">
                  <c:v>7321</c:v>
                </c:pt>
                <c:pt idx="345">
                  <c:v>7173</c:v>
                </c:pt>
                <c:pt idx="346">
                  <c:v>7173</c:v>
                </c:pt>
                <c:pt idx="347">
                  <c:v>6986</c:v>
                </c:pt>
                <c:pt idx="348">
                  <c:v>6986</c:v>
                </c:pt>
                <c:pt idx="349">
                  <c:v>6986</c:v>
                </c:pt>
                <c:pt idx="350">
                  <c:v>6853</c:v>
                </c:pt>
                <c:pt idx="351">
                  <c:v>6853</c:v>
                </c:pt>
                <c:pt idx="352">
                  <c:v>6682</c:v>
                </c:pt>
                <c:pt idx="353">
                  <c:v>6682</c:v>
                </c:pt>
                <c:pt idx="354">
                  <c:v>6559</c:v>
                </c:pt>
                <c:pt idx="355">
                  <c:v>6559</c:v>
                </c:pt>
                <c:pt idx="356">
                  <c:v>6559</c:v>
                </c:pt>
                <c:pt idx="357">
                  <c:v>6402</c:v>
                </c:pt>
                <c:pt idx="358">
                  <c:v>6402</c:v>
                </c:pt>
                <c:pt idx="359">
                  <c:v>6252</c:v>
                </c:pt>
                <c:pt idx="360">
                  <c:v>6252</c:v>
                </c:pt>
                <c:pt idx="361">
                  <c:v>6252</c:v>
                </c:pt>
                <c:pt idx="362">
                  <c:v>6108</c:v>
                </c:pt>
                <c:pt idx="363">
                  <c:v>6108</c:v>
                </c:pt>
                <c:pt idx="364">
                  <c:v>5970</c:v>
                </c:pt>
                <c:pt idx="365">
                  <c:v>5970</c:v>
                </c:pt>
                <c:pt idx="366">
                  <c:v>5970</c:v>
                </c:pt>
                <c:pt idx="367">
                  <c:v>5870</c:v>
                </c:pt>
                <c:pt idx="368">
                  <c:v>5870</c:v>
                </c:pt>
                <c:pt idx="369">
                  <c:v>5870</c:v>
                </c:pt>
                <c:pt idx="370">
                  <c:v>5711</c:v>
                </c:pt>
                <c:pt idx="371">
                  <c:v>5711</c:v>
                </c:pt>
                <c:pt idx="372">
                  <c:v>5711</c:v>
                </c:pt>
                <c:pt idx="373">
                  <c:v>5711</c:v>
                </c:pt>
                <c:pt idx="374">
                  <c:v>5588</c:v>
                </c:pt>
                <c:pt idx="375">
                  <c:v>5588</c:v>
                </c:pt>
                <c:pt idx="376">
                  <c:v>5526</c:v>
                </c:pt>
                <c:pt idx="377">
                  <c:v>5526</c:v>
                </c:pt>
                <c:pt idx="378">
                  <c:v>5401</c:v>
                </c:pt>
                <c:pt idx="379">
                  <c:v>5401</c:v>
                </c:pt>
                <c:pt idx="380">
                  <c:v>5401</c:v>
                </c:pt>
                <c:pt idx="381">
                  <c:v>5401</c:v>
                </c:pt>
                <c:pt idx="382">
                  <c:v>5401</c:v>
                </c:pt>
                <c:pt idx="383">
                  <c:v>5401</c:v>
                </c:pt>
                <c:pt idx="384">
                  <c:v>5401</c:v>
                </c:pt>
                <c:pt idx="385">
                  <c:v>5401</c:v>
                </c:pt>
                <c:pt idx="386">
                  <c:v>5146</c:v>
                </c:pt>
                <c:pt idx="387">
                  <c:v>4842</c:v>
                </c:pt>
                <c:pt idx="388">
                  <c:v>4739</c:v>
                </c:pt>
                <c:pt idx="389">
                  <c:v>4739</c:v>
                </c:pt>
                <c:pt idx="390">
                  <c:v>4739</c:v>
                </c:pt>
                <c:pt idx="391">
                  <c:v>4739</c:v>
                </c:pt>
                <c:pt idx="392">
                  <c:v>4739</c:v>
                </c:pt>
                <c:pt idx="393">
                  <c:v>4739</c:v>
                </c:pt>
                <c:pt idx="394">
                  <c:v>4739</c:v>
                </c:pt>
                <c:pt idx="395">
                  <c:v>4739</c:v>
                </c:pt>
                <c:pt idx="396">
                  <c:v>4569</c:v>
                </c:pt>
                <c:pt idx="397">
                  <c:v>4569</c:v>
                </c:pt>
                <c:pt idx="398">
                  <c:v>4480</c:v>
                </c:pt>
                <c:pt idx="399">
                  <c:v>4480</c:v>
                </c:pt>
                <c:pt idx="400">
                  <c:v>4480</c:v>
                </c:pt>
                <c:pt idx="401">
                  <c:v>4396</c:v>
                </c:pt>
                <c:pt idx="402">
                  <c:v>4396</c:v>
                </c:pt>
                <c:pt idx="403">
                  <c:v>4396</c:v>
                </c:pt>
                <c:pt idx="404">
                  <c:v>4396</c:v>
                </c:pt>
                <c:pt idx="405">
                  <c:v>4396</c:v>
                </c:pt>
                <c:pt idx="406">
                  <c:v>4331</c:v>
                </c:pt>
                <c:pt idx="407">
                  <c:v>4331</c:v>
                </c:pt>
                <c:pt idx="408">
                  <c:v>4331</c:v>
                </c:pt>
                <c:pt idx="409">
                  <c:v>4252</c:v>
                </c:pt>
                <c:pt idx="410">
                  <c:v>4252</c:v>
                </c:pt>
                <c:pt idx="411">
                  <c:v>4252</c:v>
                </c:pt>
                <c:pt idx="412">
                  <c:v>4176</c:v>
                </c:pt>
                <c:pt idx="413">
                  <c:v>4176</c:v>
                </c:pt>
                <c:pt idx="414">
                  <c:v>4103</c:v>
                </c:pt>
                <c:pt idx="415">
                  <c:v>4103</c:v>
                </c:pt>
                <c:pt idx="416">
                  <c:v>4018</c:v>
                </c:pt>
                <c:pt idx="417">
                  <c:v>4018</c:v>
                </c:pt>
                <c:pt idx="418">
                  <c:v>4018</c:v>
                </c:pt>
                <c:pt idx="419">
                  <c:v>3950</c:v>
                </c:pt>
                <c:pt idx="420">
                  <c:v>3950</c:v>
                </c:pt>
                <c:pt idx="421">
                  <c:v>3950</c:v>
                </c:pt>
                <c:pt idx="422">
                  <c:v>3884</c:v>
                </c:pt>
                <c:pt idx="423">
                  <c:v>3884</c:v>
                </c:pt>
                <c:pt idx="424">
                  <c:v>3884</c:v>
                </c:pt>
                <c:pt idx="425">
                  <c:v>3884</c:v>
                </c:pt>
                <c:pt idx="426">
                  <c:v>3819</c:v>
                </c:pt>
                <c:pt idx="427">
                  <c:v>3819</c:v>
                </c:pt>
                <c:pt idx="428">
                  <c:v>3819</c:v>
                </c:pt>
                <c:pt idx="429">
                  <c:v>3744</c:v>
                </c:pt>
                <c:pt idx="430">
                  <c:v>3744</c:v>
                </c:pt>
                <c:pt idx="431">
                  <c:v>3744</c:v>
                </c:pt>
                <c:pt idx="432">
                  <c:v>3744</c:v>
                </c:pt>
                <c:pt idx="433">
                  <c:v>3744</c:v>
                </c:pt>
                <c:pt idx="434">
                  <c:v>3744</c:v>
                </c:pt>
                <c:pt idx="435">
                  <c:v>3744</c:v>
                </c:pt>
                <c:pt idx="436">
                  <c:v>3613</c:v>
                </c:pt>
                <c:pt idx="437">
                  <c:v>3613</c:v>
                </c:pt>
                <c:pt idx="438">
                  <c:v>3613</c:v>
                </c:pt>
                <c:pt idx="439">
                  <c:v>3613</c:v>
                </c:pt>
                <c:pt idx="440">
                  <c:v>3556</c:v>
                </c:pt>
                <c:pt idx="441">
                  <c:v>3556</c:v>
                </c:pt>
                <c:pt idx="442">
                  <c:v>3556</c:v>
                </c:pt>
                <c:pt idx="443">
                  <c:v>3490</c:v>
                </c:pt>
                <c:pt idx="444">
                  <c:v>3490</c:v>
                </c:pt>
                <c:pt idx="445">
                  <c:v>3490</c:v>
                </c:pt>
                <c:pt idx="446">
                  <c:v>3425</c:v>
                </c:pt>
                <c:pt idx="447">
                  <c:v>3425</c:v>
                </c:pt>
                <c:pt idx="448">
                  <c:v>3425</c:v>
                </c:pt>
                <c:pt idx="449">
                  <c:v>3425</c:v>
                </c:pt>
                <c:pt idx="450">
                  <c:v>3363</c:v>
                </c:pt>
                <c:pt idx="451">
                  <c:v>3363</c:v>
                </c:pt>
                <c:pt idx="452">
                  <c:v>3363</c:v>
                </c:pt>
                <c:pt idx="453">
                  <c:v>3311</c:v>
                </c:pt>
                <c:pt idx="454">
                  <c:v>3311</c:v>
                </c:pt>
                <c:pt idx="455">
                  <c:v>3311</c:v>
                </c:pt>
                <c:pt idx="456">
                  <c:v>3311</c:v>
                </c:pt>
                <c:pt idx="457">
                  <c:v>3311</c:v>
                </c:pt>
                <c:pt idx="458">
                  <c:v>3252</c:v>
                </c:pt>
                <c:pt idx="459">
                  <c:v>3252</c:v>
                </c:pt>
                <c:pt idx="460">
                  <c:v>3252</c:v>
                </c:pt>
                <c:pt idx="461">
                  <c:v>3195</c:v>
                </c:pt>
                <c:pt idx="462">
                  <c:v>3195</c:v>
                </c:pt>
                <c:pt idx="463">
                  <c:v>3195</c:v>
                </c:pt>
                <c:pt idx="464">
                  <c:v>3129</c:v>
                </c:pt>
                <c:pt idx="465">
                  <c:v>3129</c:v>
                </c:pt>
                <c:pt idx="466">
                  <c:v>3129</c:v>
                </c:pt>
                <c:pt idx="467">
                  <c:v>3129</c:v>
                </c:pt>
                <c:pt idx="468">
                  <c:v>3129</c:v>
                </c:pt>
                <c:pt idx="469">
                  <c:v>3129</c:v>
                </c:pt>
                <c:pt idx="470">
                  <c:v>3075</c:v>
                </c:pt>
                <c:pt idx="471">
                  <c:v>3075</c:v>
                </c:pt>
                <c:pt idx="472">
                  <c:v>3075</c:v>
                </c:pt>
                <c:pt idx="473">
                  <c:v>3075</c:v>
                </c:pt>
                <c:pt idx="474">
                  <c:v>3013</c:v>
                </c:pt>
                <c:pt idx="475">
                  <c:v>3013</c:v>
                </c:pt>
                <c:pt idx="476">
                  <c:v>3013</c:v>
                </c:pt>
                <c:pt idx="477">
                  <c:v>3013</c:v>
                </c:pt>
                <c:pt idx="478">
                  <c:v>3013</c:v>
                </c:pt>
                <c:pt idx="479">
                  <c:v>3013</c:v>
                </c:pt>
                <c:pt idx="480">
                  <c:v>3013</c:v>
                </c:pt>
                <c:pt idx="481">
                  <c:v>3013</c:v>
                </c:pt>
                <c:pt idx="482">
                  <c:v>3013</c:v>
                </c:pt>
                <c:pt idx="483">
                  <c:v>3013</c:v>
                </c:pt>
                <c:pt idx="484">
                  <c:v>3013</c:v>
                </c:pt>
                <c:pt idx="485">
                  <c:v>3013</c:v>
                </c:pt>
                <c:pt idx="486">
                  <c:v>2887</c:v>
                </c:pt>
                <c:pt idx="487">
                  <c:v>2887</c:v>
                </c:pt>
                <c:pt idx="488">
                  <c:v>2887</c:v>
                </c:pt>
                <c:pt idx="489">
                  <c:v>2887</c:v>
                </c:pt>
                <c:pt idx="490">
                  <c:v>2887</c:v>
                </c:pt>
                <c:pt idx="491">
                  <c:v>2862</c:v>
                </c:pt>
                <c:pt idx="492">
                  <c:v>2862</c:v>
                </c:pt>
                <c:pt idx="493">
                  <c:v>2862</c:v>
                </c:pt>
                <c:pt idx="494">
                  <c:v>2862</c:v>
                </c:pt>
                <c:pt idx="495">
                  <c:v>2862</c:v>
                </c:pt>
                <c:pt idx="496">
                  <c:v>2862</c:v>
                </c:pt>
                <c:pt idx="497">
                  <c:v>2862</c:v>
                </c:pt>
                <c:pt idx="498">
                  <c:v>2862</c:v>
                </c:pt>
                <c:pt idx="499">
                  <c:v>2841</c:v>
                </c:pt>
                <c:pt idx="500">
                  <c:v>2841</c:v>
                </c:pt>
                <c:pt idx="501">
                  <c:v>2841</c:v>
                </c:pt>
                <c:pt idx="502">
                  <c:v>2841</c:v>
                </c:pt>
                <c:pt idx="503">
                  <c:v>2838</c:v>
                </c:pt>
                <c:pt idx="504">
                  <c:v>2838</c:v>
                </c:pt>
                <c:pt idx="505">
                  <c:v>2838</c:v>
                </c:pt>
                <c:pt idx="506">
                  <c:v>2838</c:v>
                </c:pt>
                <c:pt idx="507">
                  <c:v>2838</c:v>
                </c:pt>
                <c:pt idx="508">
                  <c:v>2838</c:v>
                </c:pt>
                <c:pt idx="509">
                  <c:v>2838</c:v>
                </c:pt>
                <c:pt idx="510">
                  <c:v>2841</c:v>
                </c:pt>
                <c:pt idx="511">
                  <c:v>2841</c:v>
                </c:pt>
                <c:pt idx="512">
                  <c:v>2841</c:v>
                </c:pt>
                <c:pt idx="513">
                  <c:v>2841</c:v>
                </c:pt>
                <c:pt idx="514">
                  <c:v>2846</c:v>
                </c:pt>
                <c:pt idx="515">
                  <c:v>2846</c:v>
                </c:pt>
                <c:pt idx="516">
                  <c:v>2846</c:v>
                </c:pt>
                <c:pt idx="517">
                  <c:v>2846</c:v>
                </c:pt>
                <c:pt idx="518">
                  <c:v>2846</c:v>
                </c:pt>
                <c:pt idx="519">
                  <c:v>2846</c:v>
                </c:pt>
                <c:pt idx="520">
                  <c:v>2846</c:v>
                </c:pt>
                <c:pt idx="521">
                  <c:v>2846</c:v>
                </c:pt>
                <c:pt idx="522">
                  <c:v>2858</c:v>
                </c:pt>
                <c:pt idx="523">
                  <c:v>2858</c:v>
                </c:pt>
                <c:pt idx="524">
                  <c:v>2858</c:v>
                </c:pt>
                <c:pt idx="525">
                  <c:v>2865</c:v>
                </c:pt>
                <c:pt idx="526">
                  <c:v>2865</c:v>
                </c:pt>
                <c:pt idx="527">
                  <c:v>2865</c:v>
                </c:pt>
                <c:pt idx="528">
                  <c:v>2865</c:v>
                </c:pt>
                <c:pt idx="529">
                  <c:v>2865</c:v>
                </c:pt>
                <c:pt idx="530">
                  <c:v>2874</c:v>
                </c:pt>
                <c:pt idx="531">
                  <c:v>2874</c:v>
                </c:pt>
                <c:pt idx="532">
                  <c:v>2874</c:v>
                </c:pt>
                <c:pt idx="533">
                  <c:v>2882</c:v>
                </c:pt>
                <c:pt idx="534">
                  <c:v>2882</c:v>
                </c:pt>
                <c:pt idx="535">
                  <c:v>2882</c:v>
                </c:pt>
                <c:pt idx="536">
                  <c:v>2882</c:v>
                </c:pt>
                <c:pt idx="537">
                  <c:v>2882</c:v>
                </c:pt>
                <c:pt idx="538">
                  <c:v>2882</c:v>
                </c:pt>
                <c:pt idx="539">
                  <c:v>2882</c:v>
                </c:pt>
                <c:pt idx="540">
                  <c:v>2882</c:v>
                </c:pt>
                <c:pt idx="541">
                  <c:v>2882</c:v>
                </c:pt>
                <c:pt idx="542">
                  <c:v>2898</c:v>
                </c:pt>
                <c:pt idx="543">
                  <c:v>2898</c:v>
                </c:pt>
                <c:pt idx="544">
                  <c:v>2898</c:v>
                </c:pt>
                <c:pt idx="545">
                  <c:v>2907</c:v>
                </c:pt>
                <c:pt idx="546">
                  <c:v>2907</c:v>
                </c:pt>
                <c:pt idx="547">
                  <c:v>2907</c:v>
                </c:pt>
                <c:pt idx="548">
                  <c:v>2907</c:v>
                </c:pt>
                <c:pt idx="549">
                  <c:v>2907</c:v>
                </c:pt>
                <c:pt idx="550">
                  <c:v>2916</c:v>
                </c:pt>
                <c:pt idx="551">
                  <c:v>2916</c:v>
                </c:pt>
                <c:pt idx="552">
                  <c:v>2916</c:v>
                </c:pt>
                <c:pt idx="553">
                  <c:v>2924</c:v>
                </c:pt>
                <c:pt idx="554">
                  <c:v>2924</c:v>
                </c:pt>
                <c:pt idx="555">
                  <c:v>2924</c:v>
                </c:pt>
                <c:pt idx="556">
                  <c:v>2924</c:v>
                </c:pt>
                <c:pt idx="557">
                  <c:v>2924</c:v>
                </c:pt>
                <c:pt idx="558">
                  <c:v>2924</c:v>
                </c:pt>
                <c:pt idx="559">
                  <c:v>2924</c:v>
                </c:pt>
                <c:pt idx="560">
                  <c:v>2924</c:v>
                </c:pt>
                <c:pt idx="561">
                  <c:v>2924</c:v>
                </c:pt>
                <c:pt idx="562">
                  <c:v>2924</c:v>
                </c:pt>
                <c:pt idx="563">
                  <c:v>2924</c:v>
                </c:pt>
                <c:pt idx="564">
                  <c:v>2924</c:v>
                </c:pt>
                <c:pt idx="565">
                  <c:v>2950</c:v>
                </c:pt>
                <c:pt idx="566">
                  <c:v>2950</c:v>
                </c:pt>
                <c:pt idx="567">
                  <c:v>2950</c:v>
                </c:pt>
                <c:pt idx="568">
                  <c:v>2950</c:v>
                </c:pt>
                <c:pt idx="569">
                  <c:v>2950</c:v>
                </c:pt>
                <c:pt idx="570">
                  <c:v>2950</c:v>
                </c:pt>
                <c:pt idx="571">
                  <c:v>2950</c:v>
                </c:pt>
                <c:pt idx="572">
                  <c:v>2950</c:v>
                </c:pt>
                <c:pt idx="573">
                  <c:v>2950</c:v>
                </c:pt>
                <c:pt idx="574">
                  <c:v>2950</c:v>
                </c:pt>
                <c:pt idx="575">
                  <c:v>2950</c:v>
                </c:pt>
                <c:pt idx="576">
                  <c:v>2950</c:v>
                </c:pt>
                <c:pt idx="577">
                  <c:v>2950</c:v>
                </c:pt>
                <c:pt idx="578">
                  <c:v>2977</c:v>
                </c:pt>
                <c:pt idx="579">
                  <c:v>2977</c:v>
                </c:pt>
                <c:pt idx="580">
                  <c:v>2977</c:v>
                </c:pt>
                <c:pt idx="581">
                  <c:v>2986</c:v>
                </c:pt>
                <c:pt idx="582">
                  <c:v>2986</c:v>
                </c:pt>
                <c:pt idx="583">
                  <c:v>2986</c:v>
                </c:pt>
                <c:pt idx="584">
                  <c:v>2986</c:v>
                </c:pt>
                <c:pt idx="585">
                  <c:v>2994</c:v>
                </c:pt>
                <c:pt idx="586">
                  <c:v>2994</c:v>
                </c:pt>
                <c:pt idx="587">
                  <c:v>2994</c:v>
                </c:pt>
                <c:pt idx="588">
                  <c:v>2994</c:v>
                </c:pt>
                <c:pt idx="589">
                  <c:v>2994</c:v>
                </c:pt>
                <c:pt idx="590">
                  <c:v>2994</c:v>
                </c:pt>
                <c:pt idx="591">
                  <c:v>3003</c:v>
                </c:pt>
                <c:pt idx="592">
                  <c:v>3003</c:v>
                </c:pt>
                <c:pt idx="593">
                  <c:v>3003</c:v>
                </c:pt>
                <c:pt idx="594">
                  <c:v>3003</c:v>
                </c:pt>
                <c:pt idx="595">
                  <c:v>3003</c:v>
                </c:pt>
                <c:pt idx="596">
                  <c:v>3003</c:v>
                </c:pt>
                <c:pt idx="597">
                  <c:v>3012</c:v>
                </c:pt>
                <c:pt idx="598">
                  <c:v>3012</c:v>
                </c:pt>
                <c:pt idx="599">
                  <c:v>3012</c:v>
                </c:pt>
                <c:pt idx="600">
                  <c:v>3012</c:v>
                </c:pt>
                <c:pt idx="601">
                  <c:v>3012</c:v>
                </c:pt>
                <c:pt idx="602">
                  <c:v>3018</c:v>
                </c:pt>
                <c:pt idx="603">
                  <c:v>3018</c:v>
                </c:pt>
                <c:pt idx="604">
                  <c:v>3018</c:v>
                </c:pt>
                <c:pt idx="605">
                  <c:v>3018</c:v>
                </c:pt>
                <c:pt idx="606">
                  <c:v>3018</c:v>
                </c:pt>
                <c:pt idx="607">
                  <c:v>3018</c:v>
                </c:pt>
                <c:pt idx="608">
                  <c:v>3028</c:v>
                </c:pt>
                <c:pt idx="609">
                  <c:v>3028</c:v>
                </c:pt>
                <c:pt idx="610">
                  <c:v>3028</c:v>
                </c:pt>
                <c:pt idx="611">
                  <c:v>3028</c:v>
                </c:pt>
                <c:pt idx="612">
                  <c:v>3028</c:v>
                </c:pt>
                <c:pt idx="613">
                  <c:v>3037</c:v>
                </c:pt>
                <c:pt idx="614">
                  <c:v>3037</c:v>
                </c:pt>
                <c:pt idx="615">
                  <c:v>3037</c:v>
                </c:pt>
                <c:pt idx="616">
                  <c:v>3037</c:v>
                </c:pt>
                <c:pt idx="617">
                  <c:v>3037</c:v>
                </c:pt>
                <c:pt idx="618">
                  <c:v>3037</c:v>
                </c:pt>
                <c:pt idx="619">
                  <c:v>3046</c:v>
                </c:pt>
                <c:pt idx="620">
                  <c:v>3046</c:v>
                </c:pt>
                <c:pt idx="621">
                  <c:v>3046</c:v>
                </c:pt>
                <c:pt idx="622">
                  <c:v>3046</c:v>
                </c:pt>
                <c:pt idx="623">
                  <c:v>3046</c:v>
                </c:pt>
                <c:pt idx="624">
                  <c:v>3046</c:v>
                </c:pt>
                <c:pt idx="625">
                  <c:v>3055</c:v>
                </c:pt>
                <c:pt idx="626">
                  <c:v>3055</c:v>
                </c:pt>
                <c:pt idx="627">
                  <c:v>3055</c:v>
                </c:pt>
                <c:pt idx="628">
                  <c:v>3055</c:v>
                </c:pt>
                <c:pt idx="629">
                  <c:v>3055</c:v>
                </c:pt>
                <c:pt idx="630">
                  <c:v>3055</c:v>
                </c:pt>
                <c:pt idx="631">
                  <c:v>3064</c:v>
                </c:pt>
                <c:pt idx="632">
                  <c:v>3064</c:v>
                </c:pt>
                <c:pt idx="633">
                  <c:v>3064</c:v>
                </c:pt>
                <c:pt idx="634">
                  <c:v>3064</c:v>
                </c:pt>
                <c:pt idx="635">
                  <c:v>3064</c:v>
                </c:pt>
                <c:pt idx="636">
                  <c:v>3064</c:v>
                </c:pt>
                <c:pt idx="637">
                  <c:v>3075</c:v>
                </c:pt>
                <c:pt idx="638">
                  <c:v>3075</c:v>
                </c:pt>
                <c:pt idx="639">
                  <c:v>3075</c:v>
                </c:pt>
                <c:pt idx="640">
                  <c:v>3084</c:v>
                </c:pt>
                <c:pt idx="641">
                  <c:v>3084</c:v>
                </c:pt>
                <c:pt idx="642">
                  <c:v>3084</c:v>
                </c:pt>
                <c:pt idx="643">
                  <c:v>3092</c:v>
                </c:pt>
                <c:pt idx="644">
                  <c:v>3092</c:v>
                </c:pt>
                <c:pt idx="645">
                  <c:v>3092</c:v>
                </c:pt>
                <c:pt idx="646">
                  <c:v>3092</c:v>
                </c:pt>
                <c:pt idx="647">
                  <c:v>3101</c:v>
                </c:pt>
                <c:pt idx="648">
                  <c:v>3101</c:v>
                </c:pt>
                <c:pt idx="649">
                  <c:v>3101</c:v>
                </c:pt>
                <c:pt idx="650">
                  <c:v>3101</c:v>
                </c:pt>
                <c:pt idx="651">
                  <c:v>3101</c:v>
                </c:pt>
                <c:pt idx="652">
                  <c:v>3110</c:v>
                </c:pt>
                <c:pt idx="653">
                  <c:v>3110</c:v>
                </c:pt>
                <c:pt idx="654">
                  <c:v>3110</c:v>
                </c:pt>
                <c:pt idx="655">
                  <c:v>3117</c:v>
                </c:pt>
                <c:pt idx="656">
                  <c:v>3117</c:v>
                </c:pt>
                <c:pt idx="657">
                  <c:v>3117</c:v>
                </c:pt>
                <c:pt idx="658">
                  <c:v>3117</c:v>
                </c:pt>
                <c:pt idx="659">
                  <c:v>3117</c:v>
                </c:pt>
                <c:pt idx="660">
                  <c:v>3126</c:v>
                </c:pt>
                <c:pt idx="661">
                  <c:v>3126</c:v>
                </c:pt>
                <c:pt idx="662">
                  <c:v>3126</c:v>
                </c:pt>
                <c:pt idx="663">
                  <c:v>3126</c:v>
                </c:pt>
                <c:pt idx="664">
                  <c:v>3135</c:v>
                </c:pt>
                <c:pt idx="665">
                  <c:v>3135</c:v>
                </c:pt>
                <c:pt idx="666">
                  <c:v>3135</c:v>
                </c:pt>
                <c:pt idx="667">
                  <c:v>3135</c:v>
                </c:pt>
                <c:pt idx="668">
                  <c:v>3135</c:v>
                </c:pt>
                <c:pt idx="669">
                  <c:v>3135</c:v>
                </c:pt>
                <c:pt idx="670">
                  <c:v>3135</c:v>
                </c:pt>
                <c:pt idx="671">
                  <c:v>3135</c:v>
                </c:pt>
                <c:pt idx="672">
                  <c:v>3153</c:v>
                </c:pt>
                <c:pt idx="673">
                  <c:v>3153</c:v>
                </c:pt>
                <c:pt idx="674">
                  <c:v>3153</c:v>
                </c:pt>
                <c:pt idx="675">
                  <c:v>3162</c:v>
                </c:pt>
                <c:pt idx="676">
                  <c:v>3162</c:v>
                </c:pt>
                <c:pt idx="677">
                  <c:v>3162</c:v>
                </c:pt>
                <c:pt idx="678">
                  <c:v>3162</c:v>
                </c:pt>
                <c:pt idx="679">
                  <c:v>3171</c:v>
                </c:pt>
                <c:pt idx="680">
                  <c:v>3171</c:v>
                </c:pt>
                <c:pt idx="681">
                  <c:v>3171</c:v>
                </c:pt>
                <c:pt idx="682">
                  <c:v>3171</c:v>
                </c:pt>
                <c:pt idx="683">
                  <c:v>3178</c:v>
                </c:pt>
                <c:pt idx="684">
                  <c:v>3178</c:v>
                </c:pt>
                <c:pt idx="685">
                  <c:v>3178</c:v>
                </c:pt>
                <c:pt idx="686">
                  <c:v>3178</c:v>
                </c:pt>
                <c:pt idx="687">
                  <c:v>3178</c:v>
                </c:pt>
                <c:pt idx="688">
                  <c:v>3188</c:v>
                </c:pt>
                <c:pt idx="689">
                  <c:v>3188</c:v>
                </c:pt>
                <c:pt idx="690">
                  <c:v>3188</c:v>
                </c:pt>
                <c:pt idx="691">
                  <c:v>3188</c:v>
                </c:pt>
                <c:pt idx="692">
                  <c:v>3197</c:v>
                </c:pt>
                <c:pt idx="693">
                  <c:v>3197</c:v>
                </c:pt>
                <c:pt idx="694">
                  <c:v>3197</c:v>
                </c:pt>
                <c:pt idx="695">
                  <c:v>3205</c:v>
                </c:pt>
                <c:pt idx="696">
                  <c:v>3205</c:v>
                </c:pt>
                <c:pt idx="697">
                  <c:v>3205</c:v>
                </c:pt>
                <c:pt idx="698">
                  <c:v>3205</c:v>
                </c:pt>
                <c:pt idx="699">
                  <c:v>3205</c:v>
                </c:pt>
                <c:pt idx="700">
                  <c:v>3205</c:v>
                </c:pt>
                <c:pt idx="701">
                  <c:v>3205</c:v>
                </c:pt>
                <c:pt idx="702">
                  <c:v>3205</c:v>
                </c:pt>
                <c:pt idx="703">
                  <c:v>3205</c:v>
                </c:pt>
                <c:pt idx="704">
                  <c:v>3223</c:v>
                </c:pt>
                <c:pt idx="705">
                  <c:v>3223</c:v>
                </c:pt>
                <c:pt idx="706">
                  <c:v>3223</c:v>
                </c:pt>
                <c:pt idx="707">
                  <c:v>3223</c:v>
                </c:pt>
                <c:pt idx="708">
                  <c:v>3231</c:v>
                </c:pt>
                <c:pt idx="709">
                  <c:v>3231</c:v>
                </c:pt>
                <c:pt idx="710">
                  <c:v>3231</c:v>
                </c:pt>
                <c:pt idx="711">
                  <c:v>3239</c:v>
                </c:pt>
                <c:pt idx="712">
                  <c:v>3239</c:v>
                </c:pt>
                <c:pt idx="713">
                  <c:v>3239</c:v>
                </c:pt>
                <c:pt idx="714">
                  <c:v>3239</c:v>
                </c:pt>
                <c:pt idx="715">
                  <c:v>3239</c:v>
                </c:pt>
                <c:pt idx="716">
                  <c:v>3239</c:v>
                </c:pt>
                <c:pt idx="717">
                  <c:v>3239</c:v>
                </c:pt>
                <c:pt idx="718">
                  <c:v>3239</c:v>
                </c:pt>
                <c:pt idx="719">
                  <c:v>3258</c:v>
                </c:pt>
                <c:pt idx="720">
                  <c:v>3258</c:v>
                </c:pt>
                <c:pt idx="721">
                  <c:v>3258</c:v>
                </c:pt>
                <c:pt idx="722">
                  <c:v>3258</c:v>
                </c:pt>
                <c:pt idx="723">
                  <c:v>3266</c:v>
                </c:pt>
                <c:pt idx="724">
                  <c:v>3266</c:v>
                </c:pt>
                <c:pt idx="725">
                  <c:v>3266</c:v>
                </c:pt>
                <c:pt idx="726">
                  <c:v>3266</c:v>
                </c:pt>
                <c:pt idx="727">
                  <c:v>3273</c:v>
                </c:pt>
                <c:pt idx="728">
                  <c:v>3273</c:v>
                </c:pt>
                <c:pt idx="729">
                  <c:v>3273</c:v>
                </c:pt>
                <c:pt idx="730">
                  <c:v>3273</c:v>
                </c:pt>
                <c:pt idx="731">
                  <c:v>3282</c:v>
                </c:pt>
                <c:pt idx="732">
                  <c:v>3282</c:v>
                </c:pt>
                <c:pt idx="733">
                  <c:v>3282</c:v>
                </c:pt>
                <c:pt idx="734">
                  <c:v>3289</c:v>
                </c:pt>
                <c:pt idx="735">
                  <c:v>3289</c:v>
                </c:pt>
                <c:pt idx="736">
                  <c:v>3289</c:v>
                </c:pt>
                <c:pt idx="737">
                  <c:v>3289</c:v>
                </c:pt>
                <c:pt idx="738">
                  <c:v>3297</c:v>
                </c:pt>
                <c:pt idx="739">
                  <c:v>3297</c:v>
                </c:pt>
                <c:pt idx="740">
                  <c:v>3297</c:v>
                </c:pt>
                <c:pt idx="741">
                  <c:v>3297</c:v>
                </c:pt>
                <c:pt idx="742">
                  <c:v>3306</c:v>
                </c:pt>
                <c:pt idx="743">
                  <c:v>3306</c:v>
                </c:pt>
                <c:pt idx="744">
                  <c:v>3306</c:v>
                </c:pt>
                <c:pt idx="745">
                  <c:v>3306</c:v>
                </c:pt>
                <c:pt idx="746">
                  <c:v>3316</c:v>
                </c:pt>
                <c:pt idx="747">
                  <c:v>3316</c:v>
                </c:pt>
                <c:pt idx="748">
                  <c:v>3316</c:v>
                </c:pt>
                <c:pt idx="749">
                  <c:v>3316</c:v>
                </c:pt>
                <c:pt idx="750">
                  <c:v>3316</c:v>
                </c:pt>
                <c:pt idx="751">
                  <c:v>3316</c:v>
                </c:pt>
                <c:pt idx="752">
                  <c:v>3316</c:v>
                </c:pt>
                <c:pt idx="753">
                  <c:v>3332</c:v>
                </c:pt>
                <c:pt idx="754">
                  <c:v>3332</c:v>
                </c:pt>
                <c:pt idx="755">
                  <c:v>3332</c:v>
                </c:pt>
                <c:pt idx="756">
                  <c:v>3340</c:v>
                </c:pt>
                <c:pt idx="757">
                  <c:v>3340</c:v>
                </c:pt>
                <c:pt idx="758">
                  <c:v>3340</c:v>
                </c:pt>
                <c:pt idx="759">
                  <c:v>3340</c:v>
                </c:pt>
                <c:pt idx="760">
                  <c:v>3340</c:v>
                </c:pt>
                <c:pt idx="761">
                  <c:v>3340</c:v>
                </c:pt>
                <c:pt idx="762">
                  <c:v>3340</c:v>
                </c:pt>
                <c:pt idx="763">
                  <c:v>3340</c:v>
                </c:pt>
                <c:pt idx="764">
                  <c:v>3358</c:v>
                </c:pt>
                <c:pt idx="765">
                  <c:v>3358</c:v>
                </c:pt>
                <c:pt idx="766">
                  <c:v>3358</c:v>
                </c:pt>
                <c:pt idx="767">
                  <c:v>3358</c:v>
                </c:pt>
                <c:pt idx="768">
                  <c:v>3366</c:v>
                </c:pt>
                <c:pt idx="769">
                  <c:v>3366</c:v>
                </c:pt>
                <c:pt idx="770">
                  <c:v>3366</c:v>
                </c:pt>
                <c:pt idx="771">
                  <c:v>3375</c:v>
                </c:pt>
                <c:pt idx="772">
                  <c:v>3375</c:v>
                </c:pt>
                <c:pt idx="773">
                  <c:v>3375</c:v>
                </c:pt>
                <c:pt idx="774">
                  <c:v>3375</c:v>
                </c:pt>
                <c:pt idx="775">
                  <c:v>3383</c:v>
                </c:pt>
                <c:pt idx="776">
                  <c:v>3383</c:v>
                </c:pt>
                <c:pt idx="777">
                  <c:v>3383</c:v>
                </c:pt>
                <c:pt idx="778">
                  <c:v>3391</c:v>
                </c:pt>
                <c:pt idx="779">
                  <c:v>3391</c:v>
                </c:pt>
                <c:pt idx="780">
                  <c:v>3391</c:v>
                </c:pt>
                <c:pt idx="781">
                  <c:v>3391</c:v>
                </c:pt>
                <c:pt idx="782">
                  <c:v>3391</c:v>
                </c:pt>
                <c:pt idx="783">
                  <c:v>3391</c:v>
                </c:pt>
                <c:pt idx="784">
                  <c:v>3391</c:v>
                </c:pt>
                <c:pt idx="785">
                  <c:v>3391</c:v>
                </c:pt>
                <c:pt idx="786">
                  <c:v>3410</c:v>
                </c:pt>
                <c:pt idx="787">
                  <c:v>3410</c:v>
                </c:pt>
                <c:pt idx="788">
                  <c:v>3410</c:v>
                </c:pt>
                <c:pt idx="789">
                  <c:v>3410</c:v>
                </c:pt>
                <c:pt idx="790">
                  <c:v>3410</c:v>
                </c:pt>
                <c:pt idx="791">
                  <c:v>3410</c:v>
                </c:pt>
                <c:pt idx="792">
                  <c:v>3410</c:v>
                </c:pt>
                <c:pt idx="793">
                  <c:v>3426</c:v>
                </c:pt>
                <c:pt idx="794">
                  <c:v>3426</c:v>
                </c:pt>
                <c:pt idx="795">
                  <c:v>3426</c:v>
                </c:pt>
                <c:pt idx="796">
                  <c:v>3426</c:v>
                </c:pt>
                <c:pt idx="797">
                  <c:v>3426</c:v>
                </c:pt>
                <c:pt idx="798">
                  <c:v>3426</c:v>
                </c:pt>
                <c:pt idx="799">
                  <c:v>3426</c:v>
                </c:pt>
                <c:pt idx="800">
                  <c:v>3442</c:v>
                </c:pt>
                <c:pt idx="801">
                  <c:v>3442</c:v>
                </c:pt>
                <c:pt idx="802">
                  <c:v>3442</c:v>
                </c:pt>
                <c:pt idx="803">
                  <c:v>3442</c:v>
                </c:pt>
                <c:pt idx="804">
                  <c:v>3442</c:v>
                </c:pt>
                <c:pt idx="805">
                  <c:v>3442</c:v>
                </c:pt>
                <c:pt idx="806">
                  <c:v>3442</c:v>
                </c:pt>
                <c:pt idx="807">
                  <c:v>3459</c:v>
                </c:pt>
                <c:pt idx="808">
                  <c:v>3459</c:v>
                </c:pt>
                <c:pt idx="809">
                  <c:v>3459</c:v>
                </c:pt>
                <c:pt idx="810">
                  <c:v>3459</c:v>
                </c:pt>
                <c:pt idx="811">
                  <c:v>3459</c:v>
                </c:pt>
                <c:pt idx="812">
                  <c:v>3459</c:v>
                </c:pt>
                <c:pt idx="813">
                  <c:v>3459</c:v>
                </c:pt>
                <c:pt idx="814">
                  <c:v>3476</c:v>
                </c:pt>
                <c:pt idx="815">
                  <c:v>3476</c:v>
                </c:pt>
                <c:pt idx="816">
                  <c:v>3476</c:v>
                </c:pt>
                <c:pt idx="817">
                  <c:v>3476</c:v>
                </c:pt>
                <c:pt idx="818">
                  <c:v>3476</c:v>
                </c:pt>
                <c:pt idx="819">
                  <c:v>3476</c:v>
                </c:pt>
                <c:pt idx="820">
                  <c:v>3476</c:v>
                </c:pt>
                <c:pt idx="821">
                  <c:v>3491</c:v>
                </c:pt>
                <c:pt idx="822">
                  <c:v>3491</c:v>
                </c:pt>
                <c:pt idx="823">
                  <c:v>3491</c:v>
                </c:pt>
                <c:pt idx="824">
                  <c:v>3491</c:v>
                </c:pt>
                <c:pt idx="825">
                  <c:v>3500</c:v>
                </c:pt>
                <c:pt idx="826">
                  <c:v>3500</c:v>
                </c:pt>
                <c:pt idx="827">
                  <c:v>3500</c:v>
                </c:pt>
                <c:pt idx="828">
                  <c:v>3500</c:v>
                </c:pt>
                <c:pt idx="829">
                  <c:v>3507</c:v>
                </c:pt>
                <c:pt idx="830">
                  <c:v>3507</c:v>
                </c:pt>
                <c:pt idx="831">
                  <c:v>3507</c:v>
                </c:pt>
                <c:pt idx="832">
                  <c:v>3516</c:v>
                </c:pt>
                <c:pt idx="833">
                  <c:v>3516</c:v>
                </c:pt>
                <c:pt idx="834">
                  <c:v>3516</c:v>
                </c:pt>
                <c:pt idx="835">
                  <c:v>3516</c:v>
                </c:pt>
                <c:pt idx="836">
                  <c:v>3516</c:v>
                </c:pt>
                <c:pt idx="837">
                  <c:v>3516</c:v>
                </c:pt>
                <c:pt idx="838">
                  <c:v>3516</c:v>
                </c:pt>
                <c:pt idx="839">
                  <c:v>3533</c:v>
                </c:pt>
                <c:pt idx="840">
                  <c:v>3533</c:v>
                </c:pt>
                <c:pt idx="841">
                  <c:v>3533</c:v>
                </c:pt>
                <c:pt idx="842">
                  <c:v>3533</c:v>
                </c:pt>
                <c:pt idx="843">
                  <c:v>3541</c:v>
                </c:pt>
                <c:pt idx="844">
                  <c:v>3541</c:v>
                </c:pt>
                <c:pt idx="845">
                  <c:v>3541</c:v>
                </c:pt>
                <c:pt idx="846">
                  <c:v>3541</c:v>
                </c:pt>
                <c:pt idx="847">
                  <c:v>3548</c:v>
                </c:pt>
                <c:pt idx="848">
                  <c:v>3548</c:v>
                </c:pt>
                <c:pt idx="849">
                  <c:v>3554</c:v>
                </c:pt>
                <c:pt idx="850">
                  <c:v>3554</c:v>
                </c:pt>
                <c:pt idx="851">
                  <c:v>3554</c:v>
                </c:pt>
                <c:pt idx="852">
                  <c:v>3554</c:v>
                </c:pt>
                <c:pt idx="853">
                  <c:v>3554</c:v>
                </c:pt>
                <c:pt idx="854">
                  <c:v>3554</c:v>
                </c:pt>
                <c:pt idx="855">
                  <c:v>3554</c:v>
                </c:pt>
                <c:pt idx="856">
                  <c:v>3571</c:v>
                </c:pt>
                <c:pt idx="857">
                  <c:v>3571</c:v>
                </c:pt>
                <c:pt idx="858">
                  <c:v>3571</c:v>
                </c:pt>
                <c:pt idx="859">
                  <c:v>3580</c:v>
                </c:pt>
                <c:pt idx="860">
                  <c:v>3580</c:v>
                </c:pt>
                <c:pt idx="861">
                  <c:v>3580</c:v>
                </c:pt>
                <c:pt idx="862">
                  <c:v>3580</c:v>
                </c:pt>
                <c:pt idx="863">
                  <c:v>3580</c:v>
                </c:pt>
                <c:pt idx="864">
                  <c:v>3580</c:v>
                </c:pt>
                <c:pt idx="865">
                  <c:v>3580</c:v>
                </c:pt>
                <c:pt idx="866">
                  <c:v>3580</c:v>
                </c:pt>
                <c:pt idx="867">
                  <c:v>3596</c:v>
                </c:pt>
                <c:pt idx="868">
                  <c:v>3596</c:v>
                </c:pt>
                <c:pt idx="869">
                  <c:v>3596</c:v>
                </c:pt>
                <c:pt idx="870">
                  <c:v>3605</c:v>
                </c:pt>
                <c:pt idx="871">
                  <c:v>3605</c:v>
                </c:pt>
                <c:pt idx="872">
                  <c:v>3605</c:v>
                </c:pt>
                <c:pt idx="873">
                  <c:v>3605</c:v>
                </c:pt>
                <c:pt idx="874">
                  <c:v>3605</c:v>
                </c:pt>
                <c:pt idx="875">
                  <c:v>3605</c:v>
                </c:pt>
                <c:pt idx="876">
                  <c:v>3605</c:v>
                </c:pt>
                <c:pt idx="877">
                  <c:v>3621</c:v>
                </c:pt>
                <c:pt idx="878">
                  <c:v>3621</c:v>
                </c:pt>
                <c:pt idx="879">
                  <c:v>3621</c:v>
                </c:pt>
                <c:pt idx="880">
                  <c:v>3630</c:v>
                </c:pt>
                <c:pt idx="881">
                  <c:v>3630</c:v>
                </c:pt>
                <c:pt idx="882">
                  <c:v>3630</c:v>
                </c:pt>
                <c:pt idx="883">
                  <c:v>3630</c:v>
                </c:pt>
                <c:pt idx="884">
                  <c:v>3638</c:v>
                </c:pt>
                <c:pt idx="885">
                  <c:v>3638</c:v>
                </c:pt>
                <c:pt idx="886">
                  <c:v>3638</c:v>
                </c:pt>
                <c:pt idx="887">
                  <c:v>3638</c:v>
                </c:pt>
                <c:pt idx="888">
                  <c:v>3645</c:v>
                </c:pt>
                <c:pt idx="889">
                  <c:v>3645</c:v>
                </c:pt>
                <c:pt idx="890">
                  <c:v>3653</c:v>
                </c:pt>
                <c:pt idx="891">
                  <c:v>3653</c:v>
                </c:pt>
                <c:pt idx="892">
                  <c:v>3653</c:v>
                </c:pt>
                <c:pt idx="893">
                  <c:v>3662</c:v>
                </c:pt>
                <c:pt idx="894">
                  <c:v>3662</c:v>
                </c:pt>
                <c:pt idx="895">
                  <c:v>3662</c:v>
                </c:pt>
                <c:pt idx="896">
                  <c:v>3670</c:v>
                </c:pt>
                <c:pt idx="897">
                  <c:v>3670</c:v>
                </c:pt>
                <c:pt idx="898">
                  <c:v>3670</c:v>
                </c:pt>
                <c:pt idx="899">
                  <c:v>3670</c:v>
                </c:pt>
                <c:pt idx="900">
                  <c:v>3678</c:v>
                </c:pt>
                <c:pt idx="901">
                  <c:v>3678</c:v>
                </c:pt>
                <c:pt idx="902">
                  <c:v>3685</c:v>
                </c:pt>
                <c:pt idx="903">
                  <c:v>3685</c:v>
                </c:pt>
                <c:pt idx="904">
                  <c:v>3685</c:v>
                </c:pt>
                <c:pt idx="905">
                  <c:v>3695</c:v>
                </c:pt>
                <c:pt idx="906">
                  <c:v>3695</c:v>
                </c:pt>
                <c:pt idx="907">
                  <c:v>3695</c:v>
                </c:pt>
                <c:pt idx="908">
                  <c:v>3695</c:v>
                </c:pt>
                <c:pt idx="909">
                  <c:v>3702</c:v>
                </c:pt>
                <c:pt idx="910">
                  <c:v>3702</c:v>
                </c:pt>
                <c:pt idx="911">
                  <c:v>3702</c:v>
                </c:pt>
                <c:pt idx="912">
                  <c:v>3702</c:v>
                </c:pt>
                <c:pt idx="913">
                  <c:v>3702</c:v>
                </c:pt>
                <c:pt idx="914">
                  <c:v>3702</c:v>
                </c:pt>
                <c:pt idx="915">
                  <c:v>3702</c:v>
                </c:pt>
                <c:pt idx="916">
                  <c:v>3717</c:v>
                </c:pt>
                <c:pt idx="917">
                  <c:v>3717</c:v>
                </c:pt>
                <c:pt idx="918">
                  <c:v>3727</c:v>
                </c:pt>
                <c:pt idx="919">
                  <c:v>3727</c:v>
                </c:pt>
                <c:pt idx="920">
                  <c:v>3727</c:v>
                </c:pt>
                <c:pt idx="921">
                  <c:v>3727</c:v>
                </c:pt>
                <c:pt idx="922">
                  <c:v>3734</c:v>
                </c:pt>
                <c:pt idx="923">
                  <c:v>3734</c:v>
                </c:pt>
                <c:pt idx="924">
                  <c:v>3734</c:v>
                </c:pt>
                <c:pt idx="925">
                  <c:v>3742</c:v>
                </c:pt>
                <c:pt idx="926">
                  <c:v>3742</c:v>
                </c:pt>
                <c:pt idx="927">
                  <c:v>3742</c:v>
                </c:pt>
                <c:pt idx="928">
                  <c:v>3742</c:v>
                </c:pt>
                <c:pt idx="929">
                  <c:v>3742</c:v>
                </c:pt>
                <c:pt idx="930">
                  <c:v>3742</c:v>
                </c:pt>
                <c:pt idx="931">
                  <c:v>3742</c:v>
                </c:pt>
                <c:pt idx="932">
                  <c:v>3758</c:v>
                </c:pt>
                <c:pt idx="933">
                  <c:v>3758</c:v>
                </c:pt>
                <c:pt idx="934">
                  <c:v>3758</c:v>
                </c:pt>
                <c:pt idx="935">
                  <c:v>3758</c:v>
                </c:pt>
                <c:pt idx="936">
                  <c:v>3758</c:v>
                </c:pt>
                <c:pt idx="937">
                  <c:v>3758</c:v>
                </c:pt>
                <c:pt idx="938">
                  <c:v>3758</c:v>
                </c:pt>
                <c:pt idx="939">
                  <c:v>3758</c:v>
                </c:pt>
                <c:pt idx="940">
                  <c:v>3758</c:v>
                </c:pt>
                <c:pt idx="941">
                  <c:v>3758</c:v>
                </c:pt>
                <c:pt idx="942">
                  <c:v>3782</c:v>
                </c:pt>
                <c:pt idx="943">
                  <c:v>3782</c:v>
                </c:pt>
                <c:pt idx="944">
                  <c:v>3790</c:v>
                </c:pt>
                <c:pt idx="945">
                  <c:v>3790</c:v>
                </c:pt>
                <c:pt idx="946">
                  <c:v>3790</c:v>
                </c:pt>
                <c:pt idx="947">
                  <c:v>3799</c:v>
                </c:pt>
                <c:pt idx="948">
                  <c:v>3799</c:v>
                </c:pt>
                <c:pt idx="949">
                  <c:v>3799</c:v>
                </c:pt>
                <c:pt idx="950">
                  <c:v>3807</c:v>
                </c:pt>
                <c:pt idx="951">
                  <c:v>3807</c:v>
                </c:pt>
                <c:pt idx="952">
                  <c:v>3807</c:v>
                </c:pt>
                <c:pt idx="953">
                  <c:v>3807</c:v>
                </c:pt>
                <c:pt idx="954">
                  <c:v>3814</c:v>
                </c:pt>
                <c:pt idx="955">
                  <c:v>3814</c:v>
                </c:pt>
                <c:pt idx="956">
                  <c:v>3814</c:v>
                </c:pt>
                <c:pt idx="957">
                  <c:v>3814</c:v>
                </c:pt>
                <c:pt idx="958">
                  <c:v>3822</c:v>
                </c:pt>
                <c:pt idx="959">
                  <c:v>3822</c:v>
                </c:pt>
                <c:pt idx="960">
                  <c:v>3822</c:v>
                </c:pt>
                <c:pt idx="961">
                  <c:v>3828</c:v>
                </c:pt>
                <c:pt idx="962">
                  <c:v>3828</c:v>
                </c:pt>
                <c:pt idx="963">
                  <c:v>3828</c:v>
                </c:pt>
                <c:pt idx="964">
                  <c:v>3828</c:v>
                </c:pt>
                <c:pt idx="965">
                  <c:v>3828</c:v>
                </c:pt>
                <c:pt idx="966">
                  <c:v>3828</c:v>
                </c:pt>
                <c:pt idx="967">
                  <c:v>3828</c:v>
                </c:pt>
                <c:pt idx="968">
                  <c:v>3828</c:v>
                </c:pt>
                <c:pt idx="969">
                  <c:v>3828</c:v>
                </c:pt>
                <c:pt idx="970">
                  <c:v>3828</c:v>
                </c:pt>
                <c:pt idx="971">
                  <c:v>3828</c:v>
                </c:pt>
                <c:pt idx="972">
                  <c:v>3849</c:v>
                </c:pt>
                <c:pt idx="973">
                  <c:v>3849</c:v>
                </c:pt>
                <c:pt idx="974">
                  <c:v>3849</c:v>
                </c:pt>
                <c:pt idx="975">
                  <c:v>3856</c:v>
                </c:pt>
                <c:pt idx="976">
                  <c:v>3856</c:v>
                </c:pt>
                <c:pt idx="977">
                  <c:v>3856</c:v>
                </c:pt>
                <c:pt idx="978">
                  <c:v>3862</c:v>
                </c:pt>
                <c:pt idx="979">
                  <c:v>3862</c:v>
                </c:pt>
                <c:pt idx="980">
                  <c:v>3862</c:v>
                </c:pt>
                <c:pt idx="981">
                  <c:v>3870</c:v>
                </c:pt>
                <c:pt idx="982">
                  <c:v>3870</c:v>
                </c:pt>
                <c:pt idx="983">
                  <c:v>3870</c:v>
                </c:pt>
                <c:pt idx="984">
                  <c:v>3876</c:v>
                </c:pt>
                <c:pt idx="985">
                  <c:v>3876</c:v>
                </c:pt>
                <c:pt idx="986">
                  <c:v>3876</c:v>
                </c:pt>
                <c:pt idx="987">
                  <c:v>3876</c:v>
                </c:pt>
                <c:pt idx="988">
                  <c:v>3882</c:v>
                </c:pt>
                <c:pt idx="989">
                  <c:v>3882</c:v>
                </c:pt>
                <c:pt idx="990">
                  <c:v>3882</c:v>
                </c:pt>
                <c:pt idx="991">
                  <c:v>3889</c:v>
                </c:pt>
                <c:pt idx="992">
                  <c:v>3889</c:v>
                </c:pt>
                <c:pt idx="993">
                  <c:v>3889</c:v>
                </c:pt>
                <c:pt idx="994">
                  <c:v>3889</c:v>
                </c:pt>
                <c:pt idx="995">
                  <c:v>3895</c:v>
                </c:pt>
                <c:pt idx="996">
                  <c:v>3895</c:v>
                </c:pt>
                <c:pt idx="997">
                  <c:v>3895</c:v>
                </c:pt>
                <c:pt idx="998">
                  <c:v>3901</c:v>
                </c:pt>
                <c:pt idx="999">
                  <c:v>3901</c:v>
                </c:pt>
                <c:pt idx="1000">
                  <c:v>3901</c:v>
                </c:pt>
                <c:pt idx="1001">
                  <c:v>3907</c:v>
                </c:pt>
                <c:pt idx="1002">
                  <c:v>3907</c:v>
                </c:pt>
                <c:pt idx="1003">
                  <c:v>3907</c:v>
                </c:pt>
                <c:pt idx="1004">
                  <c:v>3907</c:v>
                </c:pt>
                <c:pt idx="1005">
                  <c:v>3913</c:v>
                </c:pt>
                <c:pt idx="1006">
                  <c:v>3913</c:v>
                </c:pt>
                <c:pt idx="1007">
                  <c:v>3913</c:v>
                </c:pt>
                <c:pt idx="1008">
                  <c:v>3913</c:v>
                </c:pt>
                <c:pt idx="1009">
                  <c:v>3919</c:v>
                </c:pt>
                <c:pt idx="1010">
                  <c:v>3919</c:v>
                </c:pt>
                <c:pt idx="1011">
                  <c:v>3919</c:v>
                </c:pt>
                <c:pt idx="1012">
                  <c:v>3924</c:v>
                </c:pt>
                <c:pt idx="1013">
                  <c:v>3924</c:v>
                </c:pt>
                <c:pt idx="1014">
                  <c:v>3924</c:v>
                </c:pt>
                <c:pt idx="1015">
                  <c:v>3930</c:v>
                </c:pt>
                <c:pt idx="1016">
                  <c:v>3930</c:v>
                </c:pt>
                <c:pt idx="1017">
                  <c:v>3930</c:v>
                </c:pt>
                <c:pt idx="1018">
                  <c:v>3930</c:v>
                </c:pt>
                <c:pt idx="1019">
                  <c:v>3936</c:v>
                </c:pt>
                <c:pt idx="1020">
                  <c:v>3936</c:v>
                </c:pt>
                <c:pt idx="1021">
                  <c:v>3936</c:v>
                </c:pt>
                <c:pt idx="1022">
                  <c:v>3936</c:v>
                </c:pt>
                <c:pt idx="1023">
                  <c:v>3943</c:v>
                </c:pt>
                <c:pt idx="1024">
                  <c:v>3943</c:v>
                </c:pt>
                <c:pt idx="1025">
                  <c:v>3943</c:v>
                </c:pt>
                <c:pt idx="1026">
                  <c:v>3943</c:v>
                </c:pt>
                <c:pt idx="1027">
                  <c:v>3949</c:v>
                </c:pt>
                <c:pt idx="1028">
                  <c:v>3949</c:v>
                </c:pt>
                <c:pt idx="1029">
                  <c:v>3949</c:v>
                </c:pt>
                <c:pt idx="1030">
                  <c:v>3949</c:v>
                </c:pt>
                <c:pt idx="1031">
                  <c:v>3955</c:v>
                </c:pt>
                <c:pt idx="1032">
                  <c:v>3955</c:v>
                </c:pt>
                <c:pt idx="1033">
                  <c:v>3955</c:v>
                </c:pt>
                <c:pt idx="1034">
                  <c:v>3955</c:v>
                </c:pt>
                <c:pt idx="1035">
                  <c:v>3961</c:v>
                </c:pt>
                <c:pt idx="1036">
                  <c:v>3961</c:v>
                </c:pt>
                <c:pt idx="1037">
                  <c:v>3961</c:v>
                </c:pt>
                <c:pt idx="1038">
                  <c:v>3961</c:v>
                </c:pt>
                <c:pt idx="1039">
                  <c:v>3967</c:v>
                </c:pt>
                <c:pt idx="1040">
                  <c:v>3967</c:v>
                </c:pt>
                <c:pt idx="1041">
                  <c:v>3967</c:v>
                </c:pt>
                <c:pt idx="1042">
                  <c:v>3967</c:v>
                </c:pt>
                <c:pt idx="1043">
                  <c:v>3971</c:v>
                </c:pt>
                <c:pt idx="1044">
                  <c:v>3971</c:v>
                </c:pt>
                <c:pt idx="1045">
                  <c:v>3971</c:v>
                </c:pt>
                <c:pt idx="1046">
                  <c:v>3971</c:v>
                </c:pt>
                <c:pt idx="1047">
                  <c:v>3977</c:v>
                </c:pt>
                <c:pt idx="1048">
                  <c:v>3977</c:v>
                </c:pt>
                <c:pt idx="1049">
                  <c:v>3977</c:v>
                </c:pt>
                <c:pt idx="1050">
                  <c:v>3983</c:v>
                </c:pt>
                <c:pt idx="1051">
                  <c:v>3983</c:v>
                </c:pt>
                <c:pt idx="1052">
                  <c:v>3983</c:v>
                </c:pt>
                <c:pt idx="1053">
                  <c:v>3988</c:v>
                </c:pt>
                <c:pt idx="1054">
                  <c:v>3988</c:v>
                </c:pt>
                <c:pt idx="1055">
                  <c:v>3988</c:v>
                </c:pt>
                <c:pt idx="1056">
                  <c:v>3988</c:v>
                </c:pt>
                <c:pt idx="1057">
                  <c:v>3995</c:v>
                </c:pt>
                <c:pt idx="1058">
                  <c:v>3995</c:v>
                </c:pt>
                <c:pt idx="1059">
                  <c:v>3995</c:v>
                </c:pt>
                <c:pt idx="1060">
                  <c:v>3995</c:v>
                </c:pt>
                <c:pt idx="1061">
                  <c:v>4000</c:v>
                </c:pt>
                <c:pt idx="1062">
                  <c:v>4000</c:v>
                </c:pt>
                <c:pt idx="1063">
                  <c:v>4000</c:v>
                </c:pt>
                <c:pt idx="1064">
                  <c:v>4006</c:v>
                </c:pt>
                <c:pt idx="1065">
                  <c:v>4006</c:v>
                </c:pt>
                <c:pt idx="1066">
                  <c:v>4006</c:v>
                </c:pt>
                <c:pt idx="1067">
                  <c:v>4006</c:v>
                </c:pt>
                <c:pt idx="1068">
                  <c:v>4012</c:v>
                </c:pt>
                <c:pt idx="1069">
                  <c:v>4012</c:v>
                </c:pt>
                <c:pt idx="1070">
                  <c:v>4012</c:v>
                </c:pt>
                <c:pt idx="1071">
                  <c:v>4012</c:v>
                </c:pt>
                <c:pt idx="1072">
                  <c:v>4012</c:v>
                </c:pt>
                <c:pt idx="1073">
                  <c:v>4012</c:v>
                </c:pt>
                <c:pt idx="1074">
                  <c:v>4012</c:v>
                </c:pt>
                <c:pt idx="1075">
                  <c:v>4012</c:v>
                </c:pt>
                <c:pt idx="1076">
                  <c:v>4012</c:v>
                </c:pt>
                <c:pt idx="1077">
                  <c:v>4012</c:v>
                </c:pt>
                <c:pt idx="1078">
                  <c:v>4012</c:v>
                </c:pt>
                <c:pt idx="1079">
                  <c:v>4012</c:v>
                </c:pt>
                <c:pt idx="1080">
                  <c:v>4035</c:v>
                </c:pt>
                <c:pt idx="1081">
                  <c:v>4035</c:v>
                </c:pt>
                <c:pt idx="1082">
                  <c:v>4035</c:v>
                </c:pt>
                <c:pt idx="1083">
                  <c:v>4035</c:v>
                </c:pt>
                <c:pt idx="1084">
                  <c:v>4041</c:v>
                </c:pt>
                <c:pt idx="1085">
                  <c:v>4041</c:v>
                </c:pt>
                <c:pt idx="1086">
                  <c:v>4045</c:v>
                </c:pt>
                <c:pt idx="1087">
                  <c:v>4045</c:v>
                </c:pt>
                <c:pt idx="1088">
                  <c:v>4045</c:v>
                </c:pt>
                <c:pt idx="1089">
                  <c:v>4051</c:v>
                </c:pt>
                <c:pt idx="1090">
                  <c:v>4051</c:v>
                </c:pt>
                <c:pt idx="1091">
                  <c:v>4051</c:v>
                </c:pt>
                <c:pt idx="1092">
                  <c:v>4057</c:v>
                </c:pt>
                <c:pt idx="1093">
                  <c:v>4057</c:v>
                </c:pt>
                <c:pt idx="1094">
                  <c:v>4057</c:v>
                </c:pt>
                <c:pt idx="1095">
                  <c:v>4057</c:v>
                </c:pt>
                <c:pt idx="1096">
                  <c:v>4062</c:v>
                </c:pt>
                <c:pt idx="1097">
                  <c:v>4062</c:v>
                </c:pt>
                <c:pt idx="1098">
                  <c:v>4062</c:v>
                </c:pt>
                <c:pt idx="1099">
                  <c:v>4062</c:v>
                </c:pt>
                <c:pt idx="1100">
                  <c:v>4068</c:v>
                </c:pt>
                <c:pt idx="1101">
                  <c:v>4068</c:v>
                </c:pt>
                <c:pt idx="1102">
                  <c:v>4068</c:v>
                </c:pt>
                <c:pt idx="1103">
                  <c:v>4074</c:v>
                </c:pt>
                <c:pt idx="1104">
                  <c:v>4074</c:v>
                </c:pt>
                <c:pt idx="1105">
                  <c:v>4074</c:v>
                </c:pt>
                <c:pt idx="1106">
                  <c:v>4074</c:v>
                </c:pt>
                <c:pt idx="1107">
                  <c:v>4074</c:v>
                </c:pt>
                <c:pt idx="1108">
                  <c:v>4074</c:v>
                </c:pt>
                <c:pt idx="1109">
                  <c:v>4086</c:v>
                </c:pt>
                <c:pt idx="1110">
                  <c:v>4086</c:v>
                </c:pt>
                <c:pt idx="1111">
                  <c:v>4086</c:v>
                </c:pt>
                <c:pt idx="1112">
                  <c:v>4086</c:v>
                </c:pt>
                <c:pt idx="1113">
                  <c:v>4092</c:v>
                </c:pt>
                <c:pt idx="1114">
                  <c:v>4092</c:v>
                </c:pt>
                <c:pt idx="1115">
                  <c:v>4092</c:v>
                </c:pt>
                <c:pt idx="1116">
                  <c:v>4098</c:v>
                </c:pt>
                <c:pt idx="1117">
                  <c:v>4098</c:v>
                </c:pt>
                <c:pt idx="1118">
                  <c:v>4098</c:v>
                </c:pt>
                <c:pt idx="1119">
                  <c:v>4104</c:v>
                </c:pt>
                <c:pt idx="1120">
                  <c:v>4104</c:v>
                </c:pt>
                <c:pt idx="1121">
                  <c:v>4104</c:v>
                </c:pt>
                <c:pt idx="1122">
                  <c:v>4104</c:v>
                </c:pt>
                <c:pt idx="1123">
                  <c:v>4109</c:v>
                </c:pt>
                <c:pt idx="1124">
                  <c:v>4109</c:v>
                </c:pt>
                <c:pt idx="1125">
                  <c:v>4109</c:v>
                </c:pt>
                <c:pt idx="1126">
                  <c:v>4109</c:v>
                </c:pt>
                <c:pt idx="1127">
                  <c:v>4114</c:v>
                </c:pt>
                <c:pt idx="1128">
                  <c:v>4114</c:v>
                </c:pt>
                <c:pt idx="1129">
                  <c:v>4114</c:v>
                </c:pt>
                <c:pt idx="1130">
                  <c:v>4114</c:v>
                </c:pt>
                <c:pt idx="1131">
                  <c:v>4126</c:v>
                </c:pt>
                <c:pt idx="1132">
                  <c:v>4126</c:v>
                </c:pt>
                <c:pt idx="1133">
                  <c:v>4126</c:v>
                </c:pt>
                <c:pt idx="1134">
                  <c:v>4126</c:v>
                </c:pt>
                <c:pt idx="1135">
                  <c:v>4132</c:v>
                </c:pt>
                <c:pt idx="1136">
                  <c:v>4132</c:v>
                </c:pt>
                <c:pt idx="1137">
                  <c:v>4138</c:v>
                </c:pt>
                <c:pt idx="1138">
                  <c:v>4138</c:v>
                </c:pt>
                <c:pt idx="1139">
                  <c:v>4138</c:v>
                </c:pt>
                <c:pt idx="1140">
                  <c:v>4143</c:v>
                </c:pt>
                <c:pt idx="1141">
                  <c:v>4143</c:v>
                </c:pt>
                <c:pt idx="1142">
                  <c:v>4143</c:v>
                </c:pt>
                <c:pt idx="1143">
                  <c:v>4143</c:v>
                </c:pt>
                <c:pt idx="1144">
                  <c:v>4143</c:v>
                </c:pt>
                <c:pt idx="1145">
                  <c:v>4148</c:v>
                </c:pt>
                <c:pt idx="1146">
                  <c:v>4148</c:v>
                </c:pt>
                <c:pt idx="1147">
                  <c:v>4148</c:v>
                </c:pt>
                <c:pt idx="1148">
                  <c:v>4148</c:v>
                </c:pt>
                <c:pt idx="1149">
                  <c:v>4148</c:v>
                </c:pt>
                <c:pt idx="1150">
                  <c:v>4148</c:v>
                </c:pt>
                <c:pt idx="1151">
                  <c:v>4148</c:v>
                </c:pt>
                <c:pt idx="1152">
                  <c:v>4148</c:v>
                </c:pt>
                <c:pt idx="1153">
                  <c:v>4148</c:v>
                </c:pt>
                <c:pt idx="1154">
                  <c:v>4148</c:v>
                </c:pt>
                <c:pt idx="1155">
                  <c:v>4165</c:v>
                </c:pt>
                <c:pt idx="1156">
                  <c:v>4165</c:v>
                </c:pt>
                <c:pt idx="1157">
                  <c:v>4171</c:v>
                </c:pt>
                <c:pt idx="1158">
                  <c:v>4171</c:v>
                </c:pt>
                <c:pt idx="1159">
                  <c:v>4171</c:v>
                </c:pt>
                <c:pt idx="1160">
                  <c:v>4177</c:v>
                </c:pt>
                <c:pt idx="1161">
                  <c:v>4177</c:v>
                </c:pt>
                <c:pt idx="1162">
                  <c:v>4177</c:v>
                </c:pt>
                <c:pt idx="1163">
                  <c:v>4177</c:v>
                </c:pt>
                <c:pt idx="1164">
                  <c:v>4181</c:v>
                </c:pt>
                <c:pt idx="1165">
                  <c:v>4181</c:v>
                </c:pt>
                <c:pt idx="1166">
                  <c:v>4181</c:v>
                </c:pt>
                <c:pt idx="1167">
                  <c:v>4181</c:v>
                </c:pt>
                <c:pt idx="1168">
                  <c:v>4181</c:v>
                </c:pt>
                <c:pt idx="1169">
                  <c:v>4181</c:v>
                </c:pt>
                <c:pt idx="1170">
                  <c:v>4193</c:v>
                </c:pt>
                <c:pt idx="1171">
                  <c:v>4193</c:v>
                </c:pt>
                <c:pt idx="1172">
                  <c:v>4199</c:v>
                </c:pt>
                <c:pt idx="1173">
                  <c:v>4199</c:v>
                </c:pt>
                <c:pt idx="1174">
                  <c:v>4199</c:v>
                </c:pt>
                <c:pt idx="1175">
                  <c:v>4203</c:v>
                </c:pt>
                <c:pt idx="1176">
                  <c:v>4203</c:v>
                </c:pt>
                <c:pt idx="1177">
                  <c:v>4203</c:v>
                </c:pt>
                <c:pt idx="1178">
                  <c:v>4203</c:v>
                </c:pt>
                <c:pt idx="1179">
                  <c:v>4209</c:v>
                </c:pt>
                <c:pt idx="1180">
                  <c:v>4209</c:v>
                </c:pt>
                <c:pt idx="1181">
                  <c:v>4215</c:v>
                </c:pt>
                <c:pt idx="1182">
                  <c:v>4215</c:v>
                </c:pt>
                <c:pt idx="1183">
                  <c:v>4215</c:v>
                </c:pt>
                <c:pt idx="1184">
                  <c:v>4215</c:v>
                </c:pt>
                <c:pt idx="1185">
                  <c:v>4221</c:v>
                </c:pt>
                <c:pt idx="1186">
                  <c:v>4221</c:v>
                </c:pt>
                <c:pt idx="1187">
                  <c:v>4227</c:v>
                </c:pt>
                <c:pt idx="1188">
                  <c:v>4227</c:v>
                </c:pt>
                <c:pt idx="1189">
                  <c:v>4227</c:v>
                </c:pt>
                <c:pt idx="1190">
                  <c:v>4227</c:v>
                </c:pt>
                <c:pt idx="1191">
                  <c:v>4227</c:v>
                </c:pt>
                <c:pt idx="1192">
                  <c:v>4231</c:v>
                </c:pt>
                <c:pt idx="1193">
                  <c:v>4231</c:v>
                </c:pt>
                <c:pt idx="1194">
                  <c:v>4231</c:v>
                </c:pt>
                <c:pt idx="1195">
                  <c:v>4231</c:v>
                </c:pt>
                <c:pt idx="1196">
                  <c:v>4231</c:v>
                </c:pt>
                <c:pt idx="1197">
                  <c:v>4231</c:v>
                </c:pt>
                <c:pt idx="1198">
                  <c:v>4242</c:v>
                </c:pt>
                <c:pt idx="1199">
                  <c:v>4242</c:v>
                </c:pt>
                <c:pt idx="1200">
                  <c:v>4248</c:v>
                </c:pt>
                <c:pt idx="1201">
                  <c:v>4248</c:v>
                </c:pt>
                <c:pt idx="1202">
                  <c:v>4248</c:v>
                </c:pt>
                <c:pt idx="1203">
                  <c:v>4248</c:v>
                </c:pt>
                <c:pt idx="1204">
                  <c:v>4253</c:v>
                </c:pt>
                <c:pt idx="1205">
                  <c:v>4253</c:v>
                </c:pt>
                <c:pt idx="1206">
                  <c:v>4253</c:v>
                </c:pt>
                <c:pt idx="1207">
                  <c:v>4253</c:v>
                </c:pt>
                <c:pt idx="1208">
                  <c:v>4253</c:v>
                </c:pt>
                <c:pt idx="1209">
                  <c:v>4253</c:v>
                </c:pt>
                <c:pt idx="1210">
                  <c:v>4262</c:v>
                </c:pt>
                <c:pt idx="1211">
                  <c:v>4267</c:v>
                </c:pt>
                <c:pt idx="1212">
                  <c:v>4267</c:v>
                </c:pt>
                <c:pt idx="1213">
                  <c:v>4267</c:v>
                </c:pt>
                <c:pt idx="1214">
                  <c:v>4267</c:v>
                </c:pt>
                <c:pt idx="1215">
                  <c:v>4267</c:v>
                </c:pt>
                <c:pt idx="1216">
                  <c:v>4271</c:v>
                </c:pt>
                <c:pt idx="1217">
                  <c:v>4271</c:v>
                </c:pt>
                <c:pt idx="1218">
                  <c:v>4276</c:v>
                </c:pt>
                <c:pt idx="1219">
                  <c:v>4276</c:v>
                </c:pt>
                <c:pt idx="1220">
                  <c:v>4276</c:v>
                </c:pt>
                <c:pt idx="1221">
                  <c:v>4276</c:v>
                </c:pt>
                <c:pt idx="1222">
                  <c:v>4281</c:v>
                </c:pt>
                <c:pt idx="1223">
                  <c:v>4281</c:v>
                </c:pt>
                <c:pt idx="1224">
                  <c:v>4281</c:v>
                </c:pt>
                <c:pt idx="1225">
                  <c:v>4285</c:v>
                </c:pt>
                <c:pt idx="1226">
                  <c:v>4285</c:v>
                </c:pt>
                <c:pt idx="1227">
                  <c:v>4285</c:v>
                </c:pt>
                <c:pt idx="1228">
                  <c:v>4285</c:v>
                </c:pt>
                <c:pt idx="1229">
                  <c:v>4285</c:v>
                </c:pt>
                <c:pt idx="1230">
                  <c:v>4285</c:v>
                </c:pt>
                <c:pt idx="1231">
                  <c:v>4285</c:v>
                </c:pt>
                <c:pt idx="1232">
                  <c:v>4294</c:v>
                </c:pt>
                <c:pt idx="1233">
                  <c:v>4294</c:v>
                </c:pt>
                <c:pt idx="1234">
                  <c:v>4297</c:v>
                </c:pt>
                <c:pt idx="1235">
                  <c:v>4297</c:v>
                </c:pt>
                <c:pt idx="1236">
                  <c:v>4297</c:v>
                </c:pt>
                <c:pt idx="1237">
                  <c:v>4297</c:v>
                </c:pt>
                <c:pt idx="1238">
                  <c:v>4297</c:v>
                </c:pt>
                <c:pt idx="1239">
                  <c:v>4302</c:v>
                </c:pt>
                <c:pt idx="1240">
                  <c:v>4302</c:v>
                </c:pt>
                <c:pt idx="1241">
                  <c:v>4302</c:v>
                </c:pt>
                <c:pt idx="1242">
                  <c:v>4302</c:v>
                </c:pt>
                <c:pt idx="1243">
                  <c:v>4302</c:v>
                </c:pt>
                <c:pt idx="1244">
                  <c:v>4310</c:v>
                </c:pt>
                <c:pt idx="1245">
                  <c:v>4310</c:v>
                </c:pt>
                <c:pt idx="1246">
                  <c:v>4315</c:v>
                </c:pt>
                <c:pt idx="1247">
                  <c:v>4315</c:v>
                </c:pt>
                <c:pt idx="1248">
                  <c:v>4315</c:v>
                </c:pt>
                <c:pt idx="1249">
                  <c:v>4315</c:v>
                </c:pt>
                <c:pt idx="1250">
                  <c:v>4315</c:v>
                </c:pt>
                <c:pt idx="1251">
                  <c:v>4315</c:v>
                </c:pt>
                <c:pt idx="1252">
                  <c:v>4315</c:v>
                </c:pt>
                <c:pt idx="1253">
                  <c:v>4322</c:v>
                </c:pt>
                <c:pt idx="1254">
                  <c:v>4322</c:v>
                </c:pt>
                <c:pt idx="1255">
                  <c:v>4327</c:v>
                </c:pt>
                <c:pt idx="1256">
                  <c:v>4327</c:v>
                </c:pt>
                <c:pt idx="1257">
                  <c:v>4327</c:v>
                </c:pt>
                <c:pt idx="1258">
                  <c:v>4327</c:v>
                </c:pt>
                <c:pt idx="1259">
                  <c:v>4327</c:v>
                </c:pt>
                <c:pt idx="1260">
                  <c:v>4330</c:v>
                </c:pt>
                <c:pt idx="1261">
                  <c:v>4334</c:v>
                </c:pt>
                <c:pt idx="1262">
                  <c:v>4334</c:v>
                </c:pt>
                <c:pt idx="1263">
                  <c:v>4334</c:v>
                </c:pt>
                <c:pt idx="1264">
                  <c:v>4334</c:v>
                </c:pt>
                <c:pt idx="1265">
                  <c:v>4338</c:v>
                </c:pt>
                <c:pt idx="1266">
                  <c:v>4338</c:v>
                </c:pt>
                <c:pt idx="1267">
                  <c:v>4338</c:v>
                </c:pt>
                <c:pt idx="1268">
                  <c:v>4338</c:v>
                </c:pt>
                <c:pt idx="1269">
                  <c:v>4342</c:v>
                </c:pt>
                <c:pt idx="1270">
                  <c:v>4342</c:v>
                </c:pt>
                <c:pt idx="1271">
                  <c:v>4342</c:v>
                </c:pt>
                <c:pt idx="1272">
                  <c:v>4342</c:v>
                </c:pt>
                <c:pt idx="1273">
                  <c:v>4342</c:v>
                </c:pt>
                <c:pt idx="1274">
                  <c:v>4342</c:v>
                </c:pt>
                <c:pt idx="1275">
                  <c:v>4350</c:v>
                </c:pt>
                <c:pt idx="1276">
                  <c:v>4350</c:v>
                </c:pt>
                <c:pt idx="1277">
                  <c:v>4350</c:v>
                </c:pt>
                <c:pt idx="1278">
                  <c:v>4354</c:v>
                </c:pt>
                <c:pt idx="1279">
                  <c:v>4354</c:v>
                </c:pt>
                <c:pt idx="1280">
                  <c:v>4354</c:v>
                </c:pt>
                <c:pt idx="1281">
                  <c:v>4354</c:v>
                </c:pt>
                <c:pt idx="1282">
                  <c:v>4354</c:v>
                </c:pt>
                <c:pt idx="1283">
                  <c:v>4354</c:v>
                </c:pt>
                <c:pt idx="1284">
                  <c:v>4354</c:v>
                </c:pt>
                <c:pt idx="1285">
                  <c:v>4362</c:v>
                </c:pt>
                <c:pt idx="1286">
                  <c:v>4362</c:v>
                </c:pt>
                <c:pt idx="1287">
                  <c:v>4366</c:v>
                </c:pt>
                <c:pt idx="1288">
                  <c:v>4366</c:v>
                </c:pt>
                <c:pt idx="1289">
                  <c:v>4366</c:v>
                </c:pt>
                <c:pt idx="1290">
                  <c:v>4366</c:v>
                </c:pt>
                <c:pt idx="1291">
                  <c:v>4366</c:v>
                </c:pt>
                <c:pt idx="1292">
                  <c:v>4366</c:v>
                </c:pt>
                <c:pt idx="1293">
                  <c:v>4366</c:v>
                </c:pt>
                <c:pt idx="1294">
                  <c:v>4374</c:v>
                </c:pt>
                <c:pt idx="1295">
                  <c:v>4374</c:v>
                </c:pt>
                <c:pt idx="1296">
                  <c:v>4378</c:v>
                </c:pt>
                <c:pt idx="1297">
                  <c:v>4378</c:v>
                </c:pt>
                <c:pt idx="1298">
                  <c:v>4378</c:v>
                </c:pt>
                <c:pt idx="1299">
                  <c:v>4378</c:v>
                </c:pt>
                <c:pt idx="1300">
                  <c:v>4378</c:v>
                </c:pt>
                <c:pt idx="1301">
                  <c:v>4378</c:v>
                </c:pt>
                <c:pt idx="1302">
                  <c:v>4378</c:v>
                </c:pt>
                <c:pt idx="1303">
                  <c:v>4378</c:v>
                </c:pt>
                <c:pt idx="1304">
                  <c:v>4386</c:v>
                </c:pt>
                <c:pt idx="1305">
                  <c:v>4386</c:v>
                </c:pt>
                <c:pt idx="1306">
                  <c:v>4390</c:v>
                </c:pt>
                <c:pt idx="1307">
                  <c:v>4390</c:v>
                </c:pt>
                <c:pt idx="1308">
                  <c:v>4390</c:v>
                </c:pt>
                <c:pt idx="1309">
                  <c:v>4390</c:v>
                </c:pt>
                <c:pt idx="1310">
                  <c:v>4390</c:v>
                </c:pt>
                <c:pt idx="1311">
                  <c:v>4390</c:v>
                </c:pt>
                <c:pt idx="1312">
                  <c:v>4390</c:v>
                </c:pt>
                <c:pt idx="1313">
                  <c:v>4397</c:v>
                </c:pt>
                <c:pt idx="1314">
                  <c:v>4397</c:v>
                </c:pt>
                <c:pt idx="1315">
                  <c:v>4397</c:v>
                </c:pt>
                <c:pt idx="1316">
                  <c:v>4400</c:v>
                </c:pt>
                <c:pt idx="1317">
                  <c:v>4400</c:v>
                </c:pt>
                <c:pt idx="1318">
                  <c:v>4400</c:v>
                </c:pt>
                <c:pt idx="1319">
                  <c:v>4400</c:v>
                </c:pt>
                <c:pt idx="1320">
                  <c:v>4400</c:v>
                </c:pt>
                <c:pt idx="1321">
                  <c:v>4400</c:v>
                </c:pt>
                <c:pt idx="1322">
                  <c:v>4409</c:v>
                </c:pt>
                <c:pt idx="1323">
                  <c:v>4409</c:v>
                </c:pt>
                <c:pt idx="1324">
                  <c:v>4409</c:v>
                </c:pt>
                <c:pt idx="1325">
                  <c:v>4409</c:v>
                </c:pt>
                <c:pt idx="1326">
                  <c:v>4411</c:v>
                </c:pt>
                <c:pt idx="1327">
                  <c:v>4416</c:v>
                </c:pt>
                <c:pt idx="1328">
                  <c:v>4416</c:v>
                </c:pt>
                <c:pt idx="1329">
                  <c:v>4416</c:v>
                </c:pt>
                <c:pt idx="1330">
                  <c:v>4420</c:v>
                </c:pt>
                <c:pt idx="1331">
                  <c:v>4420</c:v>
                </c:pt>
                <c:pt idx="1332">
                  <c:v>4420</c:v>
                </c:pt>
                <c:pt idx="1333">
                  <c:v>4420</c:v>
                </c:pt>
                <c:pt idx="1334">
                  <c:v>4420</c:v>
                </c:pt>
                <c:pt idx="1335">
                  <c:v>4423</c:v>
                </c:pt>
                <c:pt idx="1336">
                  <c:v>4423</c:v>
                </c:pt>
                <c:pt idx="1337">
                  <c:v>4423</c:v>
                </c:pt>
                <c:pt idx="1338">
                  <c:v>4423</c:v>
                </c:pt>
                <c:pt idx="1339">
                  <c:v>4428</c:v>
                </c:pt>
                <c:pt idx="1340">
                  <c:v>4432</c:v>
                </c:pt>
                <c:pt idx="1341">
                  <c:v>4432</c:v>
                </c:pt>
                <c:pt idx="1342">
                  <c:v>4432</c:v>
                </c:pt>
                <c:pt idx="1343">
                  <c:v>4432</c:v>
                </c:pt>
                <c:pt idx="1344">
                  <c:v>4432</c:v>
                </c:pt>
                <c:pt idx="1345">
                  <c:v>4432</c:v>
                </c:pt>
                <c:pt idx="1346">
                  <c:v>4432</c:v>
                </c:pt>
                <c:pt idx="1347">
                  <c:v>4440</c:v>
                </c:pt>
                <c:pt idx="1348">
                  <c:v>4440</c:v>
                </c:pt>
                <c:pt idx="1349">
                  <c:v>4440</c:v>
                </c:pt>
                <c:pt idx="1350">
                  <c:v>4440</c:v>
                </c:pt>
                <c:pt idx="1351">
                  <c:v>4440</c:v>
                </c:pt>
                <c:pt idx="1352">
                  <c:v>4443</c:v>
                </c:pt>
                <c:pt idx="1353">
                  <c:v>4447</c:v>
                </c:pt>
                <c:pt idx="1354">
                  <c:v>4447</c:v>
                </c:pt>
                <c:pt idx="1355">
                  <c:v>4451</c:v>
                </c:pt>
                <c:pt idx="1356">
                  <c:v>4451</c:v>
                </c:pt>
                <c:pt idx="1357">
                  <c:v>4451</c:v>
                </c:pt>
                <c:pt idx="1358">
                  <c:v>4451</c:v>
                </c:pt>
                <c:pt idx="1359">
                  <c:v>4451</c:v>
                </c:pt>
                <c:pt idx="1360">
                  <c:v>4451</c:v>
                </c:pt>
                <c:pt idx="1361">
                  <c:v>4451</c:v>
                </c:pt>
                <c:pt idx="1362">
                  <c:v>4451</c:v>
                </c:pt>
                <c:pt idx="1363">
                  <c:v>4451</c:v>
                </c:pt>
                <c:pt idx="1364">
                  <c:v>4459</c:v>
                </c:pt>
                <c:pt idx="1365">
                  <c:v>4459</c:v>
                </c:pt>
                <c:pt idx="1366">
                  <c:v>4459</c:v>
                </c:pt>
                <c:pt idx="1367">
                  <c:v>4466</c:v>
                </c:pt>
                <c:pt idx="1368">
                  <c:v>4466</c:v>
                </c:pt>
                <c:pt idx="1369">
                  <c:v>4466</c:v>
                </c:pt>
                <c:pt idx="1370">
                  <c:v>4466</c:v>
                </c:pt>
                <c:pt idx="1371">
                  <c:v>4471</c:v>
                </c:pt>
                <c:pt idx="1372">
                  <c:v>4471</c:v>
                </c:pt>
                <c:pt idx="1373">
                  <c:v>4471</c:v>
                </c:pt>
                <c:pt idx="1374">
                  <c:v>4471</c:v>
                </c:pt>
                <c:pt idx="1375">
                  <c:v>4471</c:v>
                </c:pt>
                <c:pt idx="1376">
                  <c:v>4474</c:v>
                </c:pt>
                <c:pt idx="1377">
                  <c:v>4474</c:v>
                </c:pt>
                <c:pt idx="1378">
                  <c:v>4474</c:v>
                </c:pt>
                <c:pt idx="1379">
                  <c:v>4474</c:v>
                </c:pt>
                <c:pt idx="1380">
                  <c:v>4478</c:v>
                </c:pt>
                <c:pt idx="1381">
                  <c:v>4478</c:v>
                </c:pt>
                <c:pt idx="1382">
                  <c:v>4478</c:v>
                </c:pt>
                <c:pt idx="1383">
                  <c:v>4485</c:v>
                </c:pt>
                <c:pt idx="1384">
                  <c:v>4485</c:v>
                </c:pt>
                <c:pt idx="1385">
                  <c:v>4485</c:v>
                </c:pt>
                <c:pt idx="1386">
                  <c:v>4489</c:v>
                </c:pt>
                <c:pt idx="1387">
                  <c:v>4489</c:v>
                </c:pt>
                <c:pt idx="1388">
                  <c:v>4489</c:v>
                </c:pt>
                <c:pt idx="1389">
                  <c:v>4489</c:v>
                </c:pt>
                <c:pt idx="1390">
                  <c:v>4489</c:v>
                </c:pt>
                <c:pt idx="1391">
                  <c:v>4489</c:v>
                </c:pt>
                <c:pt idx="1392">
                  <c:v>4489</c:v>
                </c:pt>
                <c:pt idx="1393">
                  <c:v>4489</c:v>
                </c:pt>
                <c:pt idx="1394">
                  <c:v>4489</c:v>
                </c:pt>
                <c:pt idx="1395">
                  <c:v>4497</c:v>
                </c:pt>
                <c:pt idx="1396">
                  <c:v>4497</c:v>
                </c:pt>
                <c:pt idx="1397">
                  <c:v>4497</c:v>
                </c:pt>
                <c:pt idx="1398">
                  <c:v>4497</c:v>
                </c:pt>
                <c:pt idx="1399">
                  <c:v>4497</c:v>
                </c:pt>
                <c:pt idx="1400">
                  <c:v>4500</c:v>
                </c:pt>
                <c:pt idx="1401">
                  <c:v>4508</c:v>
                </c:pt>
                <c:pt idx="1402">
                  <c:v>4508</c:v>
                </c:pt>
                <c:pt idx="1403">
                  <c:v>4508</c:v>
                </c:pt>
                <c:pt idx="1404">
                  <c:v>4508</c:v>
                </c:pt>
                <c:pt idx="1405">
                  <c:v>4508</c:v>
                </c:pt>
                <c:pt idx="1406">
                  <c:v>4508</c:v>
                </c:pt>
                <c:pt idx="1407">
                  <c:v>4508</c:v>
                </c:pt>
                <c:pt idx="1408">
                  <c:v>4516</c:v>
                </c:pt>
                <c:pt idx="1409">
                  <c:v>4516</c:v>
                </c:pt>
                <c:pt idx="1410">
                  <c:v>4516</c:v>
                </c:pt>
                <c:pt idx="1411">
                  <c:v>4516</c:v>
                </c:pt>
                <c:pt idx="1412">
                  <c:v>4516</c:v>
                </c:pt>
                <c:pt idx="1413">
                  <c:v>4516</c:v>
                </c:pt>
                <c:pt idx="1414">
                  <c:v>4519</c:v>
                </c:pt>
                <c:pt idx="1415">
                  <c:v>4519</c:v>
                </c:pt>
                <c:pt idx="1416">
                  <c:v>4519</c:v>
                </c:pt>
                <c:pt idx="1417">
                  <c:v>4519</c:v>
                </c:pt>
                <c:pt idx="1418">
                  <c:v>4523</c:v>
                </c:pt>
                <c:pt idx="1419">
                  <c:v>4523</c:v>
                </c:pt>
                <c:pt idx="1420">
                  <c:v>4523</c:v>
                </c:pt>
                <c:pt idx="1421">
                  <c:v>4523</c:v>
                </c:pt>
                <c:pt idx="1422">
                  <c:v>4523</c:v>
                </c:pt>
                <c:pt idx="1423">
                  <c:v>4526</c:v>
                </c:pt>
                <c:pt idx="1424">
                  <c:v>4535</c:v>
                </c:pt>
                <c:pt idx="1425">
                  <c:v>4535</c:v>
                </c:pt>
                <c:pt idx="1426">
                  <c:v>4535</c:v>
                </c:pt>
                <c:pt idx="1427">
                  <c:v>4535</c:v>
                </c:pt>
                <c:pt idx="1428">
                  <c:v>4535</c:v>
                </c:pt>
                <c:pt idx="1429">
                  <c:v>4535</c:v>
                </c:pt>
                <c:pt idx="1430">
                  <c:v>4541</c:v>
                </c:pt>
                <c:pt idx="1431">
                  <c:v>4541</c:v>
                </c:pt>
                <c:pt idx="1432">
                  <c:v>4541</c:v>
                </c:pt>
                <c:pt idx="1433">
                  <c:v>4541</c:v>
                </c:pt>
                <c:pt idx="1434">
                  <c:v>4541</c:v>
                </c:pt>
                <c:pt idx="1435">
                  <c:v>4541</c:v>
                </c:pt>
                <c:pt idx="1436">
                  <c:v>4541</c:v>
                </c:pt>
                <c:pt idx="1437">
                  <c:v>4541</c:v>
                </c:pt>
                <c:pt idx="1438">
                  <c:v>4541</c:v>
                </c:pt>
                <c:pt idx="1439">
                  <c:v>4549</c:v>
                </c:pt>
                <c:pt idx="1440">
                  <c:v>4549</c:v>
                </c:pt>
                <c:pt idx="1441">
                  <c:v>4549</c:v>
                </c:pt>
                <c:pt idx="1442">
                  <c:v>4549</c:v>
                </c:pt>
                <c:pt idx="1443">
                  <c:v>4549</c:v>
                </c:pt>
                <c:pt idx="1444">
                  <c:v>4549</c:v>
                </c:pt>
                <c:pt idx="1445">
                  <c:v>4549</c:v>
                </c:pt>
                <c:pt idx="1446">
                  <c:v>4549</c:v>
                </c:pt>
                <c:pt idx="1447">
                  <c:v>4549</c:v>
                </c:pt>
                <c:pt idx="1448">
                  <c:v>4557</c:v>
                </c:pt>
                <c:pt idx="1449">
                  <c:v>4557</c:v>
                </c:pt>
                <c:pt idx="1450">
                  <c:v>4557</c:v>
                </c:pt>
                <c:pt idx="1451">
                  <c:v>4557</c:v>
                </c:pt>
                <c:pt idx="1452">
                  <c:v>4558</c:v>
                </c:pt>
                <c:pt idx="1453">
                  <c:v>4558</c:v>
                </c:pt>
                <c:pt idx="1454">
                  <c:v>4558</c:v>
                </c:pt>
                <c:pt idx="1455">
                  <c:v>4558</c:v>
                </c:pt>
                <c:pt idx="1456">
                  <c:v>4562</c:v>
                </c:pt>
                <c:pt idx="1457">
                  <c:v>4562</c:v>
                </c:pt>
                <c:pt idx="1458">
                  <c:v>4562</c:v>
                </c:pt>
                <c:pt idx="1459">
                  <c:v>4562</c:v>
                </c:pt>
                <c:pt idx="1460">
                  <c:v>4562</c:v>
                </c:pt>
                <c:pt idx="1461">
                  <c:v>4565</c:v>
                </c:pt>
                <c:pt idx="1462">
                  <c:v>4565</c:v>
                </c:pt>
                <c:pt idx="1463">
                  <c:v>4565</c:v>
                </c:pt>
                <c:pt idx="1464">
                  <c:v>4565</c:v>
                </c:pt>
                <c:pt idx="1465">
                  <c:v>4569</c:v>
                </c:pt>
                <c:pt idx="1466">
                  <c:v>4569</c:v>
                </c:pt>
                <c:pt idx="1467">
                  <c:v>4569</c:v>
                </c:pt>
                <c:pt idx="1468">
                  <c:v>4569</c:v>
                </c:pt>
                <c:pt idx="1469">
                  <c:v>4569</c:v>
                </c:pt>
                <c:pt idx="1470">
                  <c:v>4572</c:v>
                </c:pt>
                <c:pt idx="1471">
                  <c:v>4572</c:v>
                </c:pt>
                <c:pt idx="1472">
                  <c:v>4572</c:v>
                </c:pt>
                <c:pt idx="1473">
                  <c:v>4572</c:v>
                </c:pt>
                <c:pt idx="1474">
                  <c:v>4575</c:v>
                </c:pt>
                <c:pt idx="1475">
                  <c:v>4575</c:v>
                </c:pt>
                <c:pt idx="1476">
                  <c:v>4575</c:v>
                </c:pt>
                <c:pt idx="1477">
                  <c:v>4575</c:v>
                </c:pt>
                <c:pt idx="1478">
                  <c:v>4575</c:v>
                </c:pt>
                <c:pt idx="1479">
                  <c:v>4577</c:v>
                </c:pt>
                <c:pt idx="1480">
                  <c:v>4577</c:v>
                </c:pt>
                <c:pt idx="1481">
                  <c:v>4577</c:v>
                </c:pt>
                <c:pt idx="1482">
                  <c:v>4577</c:v>
                </c:pt>
                <c:pt idx="1483">
                  <c:v>4581</c:v>
                </c:pt>
                <c:pt idx="1484">
                  <c:v>4581</c:v>
                </c:pt>
                <c:pt idx="1485">
                  <c:v>4581</c:v>
                </c:pt>
                <c:pt idx="1486">
                  <c:v>4581</c:v>
                </c:pt>
                <c:pt idx="1487">
                  <c:v>4581</c:v>
                </c:pt>
                <c:pt idx="1488">
                  <c:v>4584</c:v>
                </c:pt>
                <c:pt idx="1489">
                  <c:v>4584</c:v>
                </c:pt>
                <c:pt idx="1490">
                  <c:v>4584</c:v>
                </c:pt>
                <c:pt idx="1491">
                  <c:v>4584</c:v>
                </c:pt>
                <c:pt idx="1492">
                  <c:v>4587</c:v>
                </c:pt>
                <c:pt idx="1493">
                  <c:v>4587</c:v>
                </c:pt>
                <c:pt idx="1494">
                  <c:v>4587</c:v>
                </c:pt>
                <c:pt idx="1495">
                  <c:v>4587</c:v>
                </c:pt>
                <c:pt idx="1496">
                  <c:v>4587</c:v>
                </c:pt>
                <c:pt idx="1497">
                  <c:v>4589</c:v>
                </c:pt>
                <c:pt idx="1498">
                  <c:v>4589</c:v>
                </c:pt>
                <c:pt idx="1499">
                  <c:v>4589</c:v>
                </c:pt>
                <c:pt idx="1500">
                  <c:v>4589</c:v>
                </c:pt>
                <c:pt idx="1501">
                  <c:v>4592</c:v>
                </c:pt>
                <c:pt idx="1502">
                  <c:v>4592</c:v>
                </c:pt>
                <c:pt idx="1503">
                  <c:v>4592</c:v>
                </c:pt>
                <c:pt idx="1504">
                  <c:v>4592</c:v>
                </c:pt>
                <c:pt idx="1505">
                  <c:v>4592</c:v>
                </c:pt>
                <c:pt idx="1506">
                  <c:v>4595</c:v>
                </c:pt>
                <c:pt idx="1507">
                  <c:v>4595</c:v>
                </c:pt>
                <c:pt idx="1508">
                  <c:v>4595</c:v>
                </c:pt>
                <c:pt idx="1509">
                  <c:v>4595</c:v>
                </c:pt>
                <c:pt idx="1510">
                  <c:v>4598</c:v>
                </c:pt>
                <c:pt idx="1511">
                  <c:v>4598</c:v>
                </c:pt>
                <c:pt idx="1512">
                  <c:v>4598</c:v>
                </c:pt>
                <c:pt idx="1513">
                  <c:v>4598</c:v>
                </c:pt>
                <c:pt idx="1514">
                  <c:v>4598</c:v>
                </c:pt>
                <c:pt idx="1515">
                  <c:v>4600</c:v>
                </c:pt>
                <c:pt idx="1516">
                  <c:v>4600</c:v>
                </c:pt>
                <c:pt idx="1517">
                  <c:v>4600</c:v>
                </c:pt>
                <c:pt idx="1518">
                  <c:v>4600</c:v>
                </c:pt>
                <c:pt idx="1519">
                  <c:v>4603</c:v>
                </c:pt>
                <c:pt idx="1520">
                  <c:v>4603</c:v>
                </c:pt>
                <c:pt idx="1521">
                  <c:v>4603</c:v>
                </c:pt>
                <c:pt idx="1522">
                  <c:v>4603</c:v>
                </c:pt>
                <c:pt idx="1523">
                  <c:v>4603</c:v>
                </c:pt>
                <c:pt idx="1524">
                  <c:v>4606</c:v>
                </c:pt>
                <c:pt idx="1525">
                  <c:v>4606</c:v>
                </c:pt>
                <c:pt idx="1526">
                  <c:v>4606</c:v>
                </c:pt>
                <c:pt idx="1527">
                  <c:v>4606</c:v>
                </c:pt>
                <c:pt idx="1528">
                  <c:v>4609</c:v>
                </c:pt>
                <c:pt idx="1529">
                  <c:v>4609</c:v>
                </c:pt>
                <c:pt idx="1530">
                  <c:v>4609</c:v>
                </c:pt>
                <c:pt idx="1531">
                  <c:v>4609</c:v>
                </c:pt>
                <c:pt idx="1532">
                  <c:v>4609</c:v>
                </c:pt>
                <c:pt idx="1533">
                  <c:v>4611</c:v>
                </c:pt>
                <c:pt idx="1534">
                  <c:v>4611</c:v>
                </c:pt>
                <c:pt idx="1535">
                  <c:v>4611</c:v>
                </c:pt>
                <c:pt idx="1536">
                  <c:v>4611</c:v>
                </c:pt>
                <c:pt idx="1537">
                  <c:v>4614</c:v>
                </c:pt>
                <c:pt idx="1538">
                  <c:v>4614</c:v>
                </c:pt>
                <c:pt idx="1539">
                  <c:v>4614</c:v>
                </c:pt>
                <c:pt idx="1540">
                  <c:v>4614</c:v>
                </c:pt>
                <c:pt idx="1541">
                  <c:v>4614</c:v>
                </c:pt>
                <c:pt idx="1542">
                  <c:v>4616</c:v>
                </c:pt>
                <c:pt idx="1543">
                  <c:v>4616</c:v>
                </c:pt>
                <c:pt idx="1544">
                  <c:v>4616</c:v>
                </c:pt>
                <c:pt idx="1545">
                  <c:v>4616</c:v>
                </c:pt>
                <c:pt idx="1546">
                  <c:v>4620</c:v>
                </c:pt>
                <c:pt idx="1547">
                  <c:v>4620</c:v>
                </c:pt>
                <c:pt idx="1548">
                  <c:v>4620</c:v>
                </c:pt>
                <c:pt idx="1549">
                  <c:v>4620</c:v>
                </c:pt>
                <c:pt idx="1550">
                  <c:v>4620</c:v>
                </c:pt>
                <c:pt idx="1551">
                  <c:v>4622</c:v>
                </c:pt>
                <c:pt idx="1552">
                  <c:v>4622</c:v>
                </c:pt>
                <c:pt idx="1553">
                  <c:v>4622</c:v>
                </c:pt>
                <c:pt idx="1554">
                  <c:v>4622</c:v>
                </c:pt>
                <c:pt idx="1555">
                  <c:v>4625</c:v>
                </c:pt>
                <c:pt idx="1556">
                  <c:v>4625</c:v>
                </c:pt>
                <c:pt idx="1557">
                  <c:v>4625</c:v>
                </c:pt>
                <c:pt idx="1558">
                  <c:v>4625</c:v>
                </c:pt>
                <c:pt idx="1559">
                  <c:v>4625</c:v>
                </c:pt>
                <c:pt idx="1560">
                  <c:v>4627</c:v>
                </c:pt>
                <c:pt idx="1561">
                  <c:v>4627</c:v>
                </c:pt>
                <c:pt idx="1562">
                  <c:v>4627</c:v>
                </c:pt>
                <c:pt idx="1563">
                  <c:v>4627</c:v>
                </c:pt>
                <c:pt idx="1564">
                  <c:v>4630</c:v>
                </c:pt>
                <c:pt idx="1565">
                  <c:v>4630</c:v>
                </c:pt>
                <c:pt idx="1566">
                  <c:v>4630</c:v>
                </c:pt>
                <c:pt idx="1567">
                  <c:v>4630</c:v>
                </c:pt>
                <c:pt idx="1568">
                  <c:v>4630</c:v>
                </c:pt>
                <c:pt idx="1569">
                  <c:v>4633</c:v>
                </c:pt>
                <c:pt idx="1570">
                  <c:v>4633</c:v>
                </c:pt>
                <c:pt idx="1571">
                  <c:v>4633</c:v>
                </c:pt>
                <c:pt idx="1572">
                  <c:v>4633</c:v>
                </c:pt>
                <c:pt idx="1573">
                  <c:v>4636</c:v>
                </c:pt>
                <c:pt idx="1574">
                  <c:v>4636</c:v>
                </c:pt>
                <c:pt idx="1575">
                  <c:v>4636</c:v>
                </c:pt>
                <c:pt idx="1576">
                  <c:v>4636</c:v>
                </c:pt>
                <c:pt idx="1577">
                  <c:v>4636</c:v>
                </c:pt>
                <c:pt idx="1578">
                  <c:v>4638</c:v>
                </c:pt>
                <c:pt idx="1579">
                  <c:v>4638</c:v>
                </c:pt>
                <c:pt idx="1580">
                  <c:v>4638</c:v>
                </c:pt>
                <c:pt idx="1581">
                  <c:v>4638</c:v>
                </c:pt>
                <c:pt idx="1582">
                  <c:v>4641</c:v>
                </c:pt>
                <c:pt idx="1583">
                  <c:v>4641</c:v>
                </c:pt>
                <c:pt idx="1584">
                  <c:v>4641</c:v>
                </c:pt>
                <c:pt idx="1585">
                  <c:v>4641</c:v>
                </c:pt>
                <c:pt idx="1586">
                  <c:v>4641</c:v>
                </c:pt>
                <c:pt idx="1587">
                  <c:v>4644</c:v>
                </c:pt>
                <c:pt idx="1588">
                  <c:v>4644</c:v>
                </c:pt>
                <c:pt idx="1589">
                  <c:v>4644</c:v>
                </c:pt>
                <c:pt idx="1590">
                  <c:v>4644</c:v>
                </c:pt>
                <c:pt idx="1591">
                  <c:v>4647</c:v>
                </c:pt>
                <c:pt idx="1592">
                  <c:v>4647</c:v>
                </c:pt>
                <c:pt idx="1593">
                  <c:v>4647</c:v>
                </c:pt>
                <c:pt idx="1594">
                  <c:v>4647</c:v>
                </c:pt>
                <c:pt idx="1595">
                  <c:v>4647</c:v>
                </c:pt>
                <c:pt idx="1596">
                  <c:v>4649</c:v>
                </c:pt>
                <c:pt idx="1597">
                  <c:v>4649</c:v>
                </c:pt>
                <c:pt idx="1598">
                  <c:v>4649</c:v>
                </c:pt>
                <c:pt idx="1599">
                  <c:v>4649</c:v>
                </c:pt>
                <c:pt idx="1600">
                  <c:v>4651</c:v>
                </c:pt>
                <c:pt idx="1601">
                  <c:v>4651</c:v>
                </c:pt>
                <c:pt idx="1602">
                  <c:v>4651</c:v>
                </c:pt>
                <c:pt idx="1603">
                  <c:v>4651</c:v>
                </c:pt>
                <c:pt idx="1604">
                  <c:v>4651</c:v>
                </c:pt>
                <c:pt idx="1605">
                  <c:v>4654</c:v>
                </c:pt>
                <c:pt idx="1606">
                  <c:v>4654</c:v>
                </c:pt>
                <c:pt idx="1607">
                  <c:v>4654</c:v>
                </c:pt>
                <c:pt idx="1608">
                  <c:v>4654</c:v>
                </c:pt>
                <c:pt idx="1609">
                  <c:v>4658</c:v>
                </c:pt>
                <c:pt idx="1610">
                  <c:v>4658</c:v>
                </c:pt>
                <c:pt idx="1611">
                  <c:v>4658</c:v>
                </c:pt>
                <c:pt idx="1612">
                  <c:v>4658</c:v>
                </c:pt>
                <c:pt idx="1613">
                  <c:v>4658</c:v>
                </c:pt>
                <c:pt idx="1614">
                  <c:v>4660</c:v>
                </c:pt>
                <c:pt idx="1615">
                  <c:v>4660</c:v>
                </c:pt>
                <c:pt idx="1616">
                  <c:v>4660</c:v>
                </c:pt>
                <c:pt idx="1617">
                  <c:v>4660</c:v>
                </c:pt>
                <c:pt idx="1618">
                  <c:v>4662</c:v>
                </c:pt>
                <c:pt idx="1619">
                  <c:v>4662</c:v>
                </c:pt>
                <c:pt idx="1620">
                  <c:v>4662</c:v>
                </c:pt>
                <c:pt idx="1621">
                  <c:v>4662</c:v>
                </c:pt>
                <c:pt idx="1622">
                  <c:v>4662</c:v>
                </c:pt>
                <c:pt idx="1623">
                  <c:v>4665</c:v>
                </c:pt>
                <c:pt idx="1624">
                  <c:v>4665</c:v>
                </c:pt>
                <c:pt idx="1625">
                  <c:v>4665</c:v>
                </c:pt>
                <c:pt idx="1626">
                  <c:v>4665</c:v>
                </c:pt>
                <c:pt idx="1627">
                  <c:v>4668</c:v>
                </c:pt>
                <c:pt idx="1628">
                  <c:v>4668</c:v>
                </c:pt>
                <c:pt idx="1629">
                  <c:v>4668</c:v>
                </c:pt>
                <c:pt idx="1630">
                  <c:v>4668</c:v>
                </c:pt>
                <c:pt idx="1631">
                  <c:v>4669</c:v>
                </c:pt>
                <c:pt idx="1632">
                  <c:v>4669</c:v>
                </c:pt>
                <c:pt idx="1633">
                  <c:v>4669</c:v>
                </c:pt>
                <c:pt idx="1634">
                  <c:v>4669</c:v>
                </c:pt>
                <c:pt idx="1635">
                  <c:v>4672</c:v>
                </c:pt>
                <c:pt idx="1636">
                  <c:v>4672</c:v>
                </c:pt>
                <c:pt idx="1637">
                  <c:v>4672</c:v>
                </c:pt>
                <c:pt idx="1638">
                  <c:v>4672</c:v>
                </c:pt>
                <c:pt idx="1639">
                  <c:v>4672</c:v>
                </c:pt>
                <c:pt idx="1640">
                  <c:v>4672</c:v>
                </c:pt>
                <c:pt idx="1641">
                  <c:v>4672</c:v>
                </c:pt>
                <c:pt idx="1642">
                  <c:v>4672</c:v>
                </c:pt>
                <c:pt idx="1643">
                  <c:v>4672</c:v>
                </c:pt>
                <c:pt idx="1644">
                  <c:v>4678</c:v>
                </c:pt>
                <c:pt idx="1645">
                  <c:v>4678</c:v>
                </c:pt>
                <c:pt idx="1646">
                  <c:v>4678</c:v>
                </c:pt>
                <c:pt idx="1647">
                  <c:v>4678</c:v>
                </c:pt>
                <c:pt idx="1648">
                  <c:v>4678</c:v>
                </c:pt>
                <c:pt idx="1649">
                  <c:v>4678</c:v>
                </c:pt>
                <c:pt idx="1650">
                  <c:v>4678</c:v>
                </c:pt>
                <c:pt idx="1651">
                  <c:v>4678</c:v>
                </c:pt>
                <c:pt idx="1652">
                  <c:v>4678</c:v>
                </c:pt>
                <c:pt idx="1653">
                  <c:v>4684</c:v>
                </c:pt>
                <c:pt idx="1654">
                  <c:v>4684</c:v>
                </c:pt>
                <c:pt idx="1655">
                  <c:v>4684</c:v>
                </c:pt>
                <c:pt idx="1656">
                  <c:v>4684</c:v>
                </c:pt>
                <c:pt idx="1657">
                  <c:v>4684</c:v>
                </c:pt>
                <c:pt idx="1658">
                  <c:v>4684</c:v>
                </c:pt>
                <c:pt idx="1659">
                  <c:v>4684</c:v>
                </c:pt>
                <c:pt idx="1660">
                  <c:v>4684</c:v>
                </c:pt>
                <c:pt idx="1661">
                  <c:v>4684</c:v>
                </c:pt>
                <c:pt idx="1662">
                  <c:v>4688</c:v>
                </c:pt>
                <c:pt idx="1663">
                  <c:v>4688</c:v>
                </c:pt>
                <c:pt idx="1664">
                  <c:v>4705</c:v>
                </c:pt>
                <c:pt idx="1665">
                  <c:v>4705</c:v>
                </c:pt>
                <c:pt idx="1666">
                  <c:v>4707</c:v>
                </c:pt>
                <c:pt idx="1667">
                  <c:v>4707</c:v>
                </c:pt>
                <c:pt idx="1668">
                  <c:v>4707</c:v>
                </c:pt>
                <c:pt idx="1669">
                  <c:v>4707</c:v>
                </c:pt>
                <c:pt idx="1670">
                  <c:v>4710</c:v>
                </c:pt>
                <c:pt idx="1671">
                  <c:v>4710</c:v>
                </c:pt>
                <c:pt idx="1672">
                  <c:v>4710</c:v>
                </c:pt>
                <c:pt idx="1673">
                  <c:v>4710</c:v>
                </c:pt>
                <c:pt idx="1674">
                  <c:v>4710</c:v>
                </c:pt>
                <c:pt idx="1675">
                  <c:v>4712</c:v>
                </c:pt>
                <c:pt idx="1676">
                  <c:v>4712</c:v>
                </c:pt>
                <c:pt idx="1677">
                  <c:v>4712</c:v>
                </c:pt>
                <c:pt idx="1678">
                  <c:v>4712</c:v>
                </c:pt>
                <c:pt idx="1679">
                  <c:v>4715</c:v>
                </c:pt>
                <c:pt idx="1680">
                  <c:v>4715</c:v>
                </c:pt>
                <c:pt idx="1681">
                  <c:v>4715</c:v>
                </c:pt>
                <c:pt idx="1682">
                  <c:v>4715</c:v>
                </c:pt>
                <c:pt idx="1683">
                  <c:v>4715</c:v>
                </c:pt>
                <c:pt idx="1684">
                  <c:v>4715</c:v>
                </c:pt>
                <c:pt idx="1685">
                  <c:v>4715</c:v>
                </c:pt>
                <c:pt idx="1686">
                  <c:v>4715</c:v>
                </c:pt>
                <c:pt idx="1687">
                  <c:v>4715</c:v>
                </c:pt>
                <c:pt idx="1688">
                  <c:v>4721</c:v>
                </c:pt>
                <c:pt idx="1689">
                  <c:v>4721</c:v>
                </c:pt>
                <c:pt idx="1690">
                  <c:v>4721</c:v>
                </c:pt>
                <c:pt idx="1691">
                  <c:v>4721</c:v>
                </c:pt>
                <c:pt idx="1692">
                  <c:v>4721</c:v>
                </c:pt>
                <c:pt idx="1693">
                  <c:v>4731</c:v>
                </c:pt>
                <c:pt idx="1694">
                  <c:v>4733</c:v>
                </c:pt>
                <c:pt idx="1695">
                  <c:v>4733</c:v>
                </c:pt>
                <c:pt idx="1696">
                  <c:v>4733</c:v>
                </c:pt>
                <c:pt idx="1697">
                  <c:v>4733</c:v>
                </c:pt>
                <c:pt idx="1698">
                  <c:v>4736</c:v>
                </c:pt>
                <c:pt idx="1699">
                  <c:v>4736</c:v>
                </c:pt>
                <c:pt idx="1700">
                  <c:v>4736</c:v>
                </c:pt>
                <c:pt idx="1701">
                  <c:v>4736</c:v>
                </c:pt>
                <c:pt idx="1702">
                  <c:v>4736</c:v>
                </c:pt>
                <c:pt idx="1703">
                  <c:v>4738</c:v>
                </c:pt>
                <c:pt idx="1704">
                  <c:v>4738</c:v>
                </c:pt>
                <c:pt idx="1705">
                  <c:v>4738</c:v>
                </c:pt>
                <c:pt idx="1706">
                  <c:v>4738</c:v>
                </c:pt>
                <c:pt idx="1707">
                  <c:v>4742</c:v>
                </c:pt>
                <c:pt idx="1708">
                  <c:v>4742</c:v>
                </c:pt>
                <c:pt idx="1709">
                  <c:v>4742</c:v>
                </c:pt>
                <c:pt idx="1710">
                  <c:v>4742</c:v>
                </c:pt>
                <c:pt idx="1711">
                  <c:v>4742</c:v>
                </c:pt>
                <c:pt idx="1712">
                  <c:v>4742</c:v>
                </c:pt>
                <c:pt idx="1713">
                  <c:v>4742</c:v>
                </c:pt>
                <c:pt idx="1714">
                  <c:v>4742</c:v>
                </c:pt>
                <c:pt idx="1715">
                  <c:v>4742</c:v>
                </c:pt>
                <c:pt idx="1716">
                  <c:v>4754</c:v>
                </c:pt>
                <c:pt idx="1717">
                  <c:v>4754</c:v>
                </c:pt>
                <c:pt idx="1718">
                  <c:v>4754</c:v>
                </c:pt>
                <c:pt idx="1719">
                  <c:v>4754</c:v>
                </c:pt>
                <c:pt idx="1720">
                  <c:v>4757</c:v>
                </c:pt>
                <c:pt idx="1721">
                  <c:v>4757</c:v>
                </c:pt>
                <c:pt idx="1722">
                  <c:v>4757</c:v>
                </c:pt>
                <c:pt idx="1723">
                  <c:v>4757</c:v>
                </c:pt>
                <c:pt idx="1724">
                  <c:v>4759</c:v>
                </c:pt>
                <c:pt idx="1725">
                  <c:v>4759</c:v>
                </c:pt>
                <c:pt idx="1726">
                  <c:v>4759</c:v>
                </c:pt>
                <c:pt idx="1727">
                  <c:v>4759</c:v>
                </c:pt>
                <c:pt idx="1728">
                  <c:v>4759</c:v>
                </c:pt>
                <c:pt idx="1729">
                  <c:v>4759</c:v>
                </c:pt>
                <c:pt idx="1730">
                  <c:v>4759</c:v>
                </c:pt>
                <c:pt idx="1731">
                  <c:v>4759</c:v>
                </c:pt>
                <c:pt idx="1732">
                  <c:v>4759</c:v>
                </c:pt>
                <c:pt idx="1733">
                  <c:v>4764</c:v>
                </c:pt>
                <c:pt idx="1734">
                  <c:v>4764</c:v>
                </c:pt>
                <c:pt idx="1735">
                  <c:v>4764</c:v>
                </c:pt>
                <c:pt idx="1736">
                  <c:v>4772</c:v>
                </c:pt>
                <c:pt idx="1737">
                  <c:v>4772</c:v>
                </c:pt>
                <c:pt idx="1738">
                  <c:v>4772</c:v>
                </c:pt>
                <c:pt idx="1739">
                  <c:v>4773</c:v>
                </c:pt>
                <c:pt idx="1740">
                  <c:v>4773</c:v>
                </c:pt>
                <c:pt idx="1741">
                  <c:v>4773</c:v>
                </c:pt>
                <c:pt idx="1742">
                  <c:v>4773</c:v>
                </c:pt>
                <c:pt idx="1743">
                  <c:v>4773</c:v>
                </c:pt>
                <c:pt idx="1744">
                  <c:v>4775</c:v>
                </c:pt>
                <c:pt idx="1745">
                  <c:v>4775</c:v>
                </c:pt>
                <c:pt idx="1746">
                  <c:v>4775</c:v>
                </c:pt>
                <c:pt idx="1747">
                  <c:v>4775</c:v>
                </c:pt>
                <c:pt idx="1748">
                  <c:v>4778</c:v>
                </c:pt>
                <c:pt idx="1749">
                  <c:v>4778</c:v>
                </c:pt>
                <c:pt idx="1750">
                  <c:v>4778</c:v>
                </c:pt>
                <c:pt idx="1751">
                  <c:v>4778</c:v>
                </c:pt>
                <c:pt idx="1752">
                  <c:v>4778</c:v>
                </c:pt>
                <c:pt idx="1753">
                  <c:v>4778</c:v>
                </c:pt>
                <c:pt idx="1754">
                  <c:v>4778</c:v>
                </c:pt>
                <c:pt idx="1755">
                  <c:v>4788</c:v>
                </c:pt>
                <c:pt idx="1756">
                  <c:v>4788</c:v>
                </c:pt>
                <c:pt idx="1757">
                  <c:v>4788</c:v>
                </c:pt>
                <c:pt idx="1758">
                  <c:v>4788</c:v>
                </c:pt>
                <c:pt idx="1759">
                  <c:v>4788</c:v>
                </c:pt>
                <c:pt idx="1760">
                  <c:v>4789</c:v>
                </c:pt>
                <c:pt idx="1761">
                  <c:v>4789</c:v>
                </c:pt>
                <c:pt idx="1762">
                  <c:v>4789</c:v>
                </c:pt>
                <c:pt idx="1763">
                  <c:v>4789</c:v>
                </c:pt>
                <c:pt idx="1764">
                  <c:v>4791</c:v>
                </c:pt>
                <c:pt idx="1765">
                  <c:v>4791</c:v>
                </c:pt>
                <c:pt idx="1766">
                  <c:v>4791</c:v>
                </c:pt>
                <c:pt idx="1767">
                  <c:v>4791</c:v>
                </c:pt>
                <c:pt idx="1768">
                  <c:v>4791</c:v>
                </c:pt>
                <c:pt idx="1769">
                  <c:v>4791</c:v>
                </c:pt>
                <c:pt idx="1770">
                  <c:v>4791</c:v>
                </c:pt>
                <c:pt idx="1771">
                  <c:v>4791</c:v>
                </c:pt>
                <c:pt idx="1772">
                  <c:v>4791</c:v>
                </c:pt>
                <c:pt idx="1773">
                  <c:v>4799</c:v>
                </c:pt>
                <c:pt idx="1774">
                  <c:v>4799</c:v>
                </c:pt>
                <c:pt idx="1775">
                  <c:v>4799</c:v>
                </c:pt>
                <c:pt idx="1776">
                  <c:v>4799</c:v>
                </c:pt>
                <c:pt idx="1777">
                  <c:v>4799</c:v>
                </c:pt>
                <c:pt idx="1778">
                  <c:v>4801</c:v>
                </c:pt>
                <c:pt idx="1779">
                  <c:v>4801</c:v>
                </c:pt>
                <c:pt idx="1780">
                  <c:v>4801</c:v>
                </c:pt>
                <c:pt idx="1781">
                  <c:v>4801</c:v>
                </c:pt>
                <c:pt idx="1782">
                  <c:v>4803</c:v>
                </c:pt>
                <c:pt idx="1783">
                  <c:v>4803</c:v>
                </c:pt>
                <c:pt idx="1784">
                  <c:v>4803</c:v>
                </c:pt>
                <c:pt idx="1785">
                  <c:v>4803</c:v>
                </c:pt>
                <c:pt idx="1786">
                  <c:v>4803</c:v>
                </c:pt>
                <c:pt idx="1787">
                  <c:v>4803</c:v>
                </c:pt>
                <c:pt idx="1788">
                  <c:v>4803</c:v>
                </c:pt>
                <c:pt idx="1789">
                  <c:v>4803</c:v>
                </c:pt>
                <c:pt idx="1790">
                  <c:v>4803</c:v>
                </c:pt>
                <c:pt idx="1791">
                  <c:v>4808</c:v>
                </c:pt>
                <c:pt idx="1792">
                  <c:v>4808</c:v>
                </c:pt>
                <c:pt idx="1793">
                  <c:v>4808</c:v>
                </c:pt>
                <c:pt idx="1794">
                  <c:v>4808</c:v>
                </c:pt>
                <c:pt idx="1795">
                  <c:v>4810</c:v>
                </c:pt>
                <c:pt idx="1796">
                  <c:v>4810</c:v>
                </c:pt>
                <c:pt idx="1797">
                  <c:v>4810</c:v>
                </c:pt>
                <c:pt idx="1798">
                  <c:v>4810</c:v>
                </c:pt>
                <c:pt idx="1799">
                  <c:v>4810</c:v>
                </c:pt>
                <c:pt idx="1800">
                  <c:v>4810</c:v>
                </c:pt>
                <c:pt idx="1801">
                  <c:v>4810</c:v>
                </c:pt>
                <c:pt idx="1802">
                  <c:v>4810</c:v>
                </c:pt>
                <c:pt idx="1803">
                  <c:v>4810</c:v>
                </c:pt>
                <c:pt idx="1804">
                  <c:v>4815</c:v>
                </c:pt>
                <c:pt idx="1805">
                  <c:v>4815</c:v>
                </c:pt>
                <c:pt idx="1806">
                  <c:v>4815</c:v>
                </c:pt>
                <c:pt idx="1807">
                  <c:v>4819</c:v>
                </c:pt>
                <c:pt idx="1808">
                  <c:v>4819</c:v>
                </c:pt>
                <c:pt idx="1809">
                  <c:v>4820</c:v>
                </c:pt>
                <c:pt idx="1810">
                  <c:v>4820</c:v>
                </c:pt>
                <c:pt idx="1811">
                  <c:v>4820</c:v>
                </c:pt>
                <c:pt idx="1812">
                  <c:v>4820</c:v>
                </c:pt>
                <c:pt idx="1813">
                  <c:v>4822</c:v>
                </c:pt>
                <c:pt idx="1814">
                  <c:v>4822</c:v>
                </c:pt>
                <c:pt idx="1815">
                  <c:v>4822</c:v>
                </c:pt>
                <c:pt idx="1816">
                  <c:v>4822</c:v>
                </c:pt>
                <c:pt idx="1817">
                  <c:v>4822</c:v>
                </c:pt>
                <c:pt idx="1818">
                  <c:v>4822</c:v>
                </c:pt>
                <c:pt idx="1819">
                  <c:v>4822</c:v>
                </c:pt>
                <c:pt idx="1820">
                  <c:v>4822</c:v>
                </c:pt>
                <c:pt idx="1821">
                  <c:v>4822</c:v>
                </c:pt>
                <c:pt idx="1822">
                  <c:v>4826</c:v>
                </c:pt>
                <c:pt idx="1823">
                  <c:v>4828</c:v>
                </c:pt>
                <c:pt idx="1824">
                  <c:v>4828</c:v>
                </c:pt>
                <c:pt idx="1825">
                  <c:v>4828</c:v>
                </c:pt>
                <c:pt idx="1826">
                  <c:v>4828</c:v>
                </c:pt>
                <c:pt idx="1827">
                  <c:v>4831</c:v>
                </c:pt>
                <c:pt idx="1828">
                  <c:v>4831</c:v>
                </c:pt>
                <c:pt idx="1829">
                  <c:v>4831</c:v>
                </c:pt>
                <c:pt idx="1830">
                  <c:v>4831</c:v>
                </c:pt>
                <c:pt idx="1831">
                  <c:v>4831</c:v>
                </c:pt>
                <c:pt idx="1832">
                  <c:v>4831</c:v>
                </c:pt>
                <c:pt idx="1833">
                  <c:v>4831</c:v>
                </c:pt>
                <c:pt idx="1834">
                  <c:v>4831</c:v>
                </c:pt>
                <c:pt idx="1835">
                  <c:v>4831</c:v>
                </c:pt>
                <c:pt idx="1836">
                  <c:v>4835</c:v>
                </c:pt>
                <c:pt idx="1837">
                  <c:v>4835</c:v>
                </c:pt>
                <c:pt idx="1838">
                  <c:v>4837</c:v>
                </c:pt>
                <c:pt idx="1839">
                  <c:v>4837</c:v>
                </c:pt>
                <c:pt idx="1840">
                  <c:v>4837</c:v>
                </c:pt>
                <c:pt idx="1841">
                  <c:v>4839</c:v>
                </c:pt>
                <c:pt idx="1842">
                  <c:v>4839</c:v>
                </c:pt>
                <c:pt idx="1843">
                  <c:v>4839</c:v>
                </c:pt>
                <c:pt idx="1844">
                  <c:v>4839</c:v>
                </c:pt>
                <c:pt idx="1845">
                  <c:v>4839</c:v>
                </c:pt>
                <c:pt idx="1846">
                  <c:v>4840</c:v>
                </c:pt>
                <c:pt idx="1847">
                  <c:v>4840</c:v>
                </c:pt>
                <c:pt idx="1848">
                  <c:v>4840</c:v>
                </c:pt>
                <c:pt idx="1849">
                  <c:v>4840</c:v>
                </c:pt>
                <c:pt idx="1850">
                  <c:v>4842</c:v>
                </c:pt>
                <c:pt idx="1851">
                  <c:v>4842</c:v>
                </c:pt>
                <c:pt idx="1852">
                  <c:v>4842</c:v>
                </c:pt>
                <c:pt idx="1853">
                  <c:v>4847</c:v>
                </c:pt>
                <c:pt idx="1854">
                  <c:v>4847</c:v>
                </c:pt>
                <c:pt idx="1855">
                  <c:v>4849</c:v>
                </c:pt>
                <c:pt idx="1856">
                  <c:v>4849</c:v>
                </c:pt>
                <c:pt idx="1857">
                  <c:v>4849</c:v>
                </c:pt>
                <c:pt idx="1858">
                  <c:v>4849</c:v>
                </c:pt>
                <c:pt idx="1859">
                  <c:v>4850</c:v>
                </c:pt>
                <c:pt idx="1860">
                  <c:v>4850</c:v>
                </c:pt>
                <c:pt idx="1861">
                  <c:v>4850</c:v>
                </c:pt>
                <c:pt idx="1862">
                  <c:v>4850</c:v>
                </c:pt>
                <c:pt idx="1863">
                  <c:v>4852</c:v>
                </c:pt>
                <c:pt idx="1864">
                  <c:v>4852</c:v>
                </c:pt>
                <c:pt idx="1865">
                  <c:v>4852</c:v>
                </c:pt>
                <c:pt idx="1866">
                  <c:v>4854</c:v>
                </c:pt>
                <c:pt idx="1867">
                  <c:v>4854</c:v>
                </c:pt>
                <c:pt idx="1868">
                  <c:v>4856</c:v>
                </c:pt>
                <c:pt idx="1869">
                  <c:v>4856</c:v>
                </c:pt>
                <c:pt idx="1870">
                  <c:v>4856</c:v>
                </c:pt>
                <c:pt idx="1871">
                  <c:v>4856</c:v>
                </c:pt>
                <c:pt idx="1872">
                  <c:v>4856</c:v>
                </c:pt>
                <c:pt idx="1873">
                  <c:v>4856</c:v>
                </c:pt>
                <c:pt idx="1874">
                  <c:v>4856</c:v>
                </c:pt>
                <c:pt idx="1875">
                  <c:v>4856</c:v>
                </c:pt>
                <c:pt idx="1876">
                  <c:v>4856</c:v>
                </c:pt>
                <c:pt idx="1877">
                  <c:v>4860</c:v>
                </c:pt>
                <c:pt idx="1878">
                  <c:v>4860</c:v>
                </c:pt>
                <c:pt idx="1879">
                  <c:v>4864</c:v>
                </c:pt>
                <c:pt idx="1880">
                  <c:v>4864</c:v>
                </c:pt>
                <c:pt idx="1881">
                  <c:v>4864</c:v>
                </c:pt>
                <c:pt idx="1882">
                  <c:v>4864</c:v>
                </c:pt>
                <c:pt idx="1883">
                  <c:v>4866</c:v>
                </c:pt>
                <c:pt idx="1884">
                  <c:v>4866</c:v>
                </c:pt>
                <c:pt idx="1885">
                  <c:v>4866</c:v>
                </c:pt>
                <c:pt idx="1886">
                  <c:v>4866</c:v>
                </c:pt>
                <c:pt idx="1887">
                  <c:v>4866</c:v>
                </c:pt>
                <c:pt idx="1888">
                  <c:v>4866</c:v>
                </c:pt>
                <c:pt idx="1889">
                  <c:v>4866</c:v>
                </c:pt>
                <c:pt idx="1890">
                  <c:v>4866</c:v>
                </c:pt>
                <c:pt idx="1891">
                  <c:v>4866</c:v>
                </c:pt>
                <c:pt idx="1892">
                  <c:v>4871</c:v>
                </c:pt>
                <c:pt idx="1893">
                  <c:v>4871</c:v>
                </c:pt>
                <c:pt idx="1894">
                  <c:v>4872</c:v>
                </c:pt>
                <c:pt idx="1895">
                  <c:v>4872</c:v>
                </c:pt>
                <c:pt idx="1896">
                  <c:v>4872</c:v>
                </c:pt>
                <c:pt idx="1897">
                  <c:v>4872</c:v>
                </c:pt>
                <c:pt idx="1898">
                  <c:v>4872</c:v>
                </c:pt>
                <c:pt idx="1899">
                  <c:v>4872</c:v>
                </c:pt>
                <c:pt idx="1900">
                  <c:v>4872</c:v>
                </c:pt>
                <c:pt idx="1901">
                  <c:v>4872</c:v>
                </c:pt>
                <c:pt idx="1902">
                  <c:v>4872</c:v>
                </c:pt>
                <c:pt idx="1903">
                  <c:v>4875</c:v>
                </c:pt>
                <c:pt idx="1904">
                  <c:v>4875</c:v>
                </c:pt>
                <c:pt idx="1905">
                  <c:v>4877</c:v>
                </c:pt>
                <c:pt idx="1906">
                  <c:v>4880</c:v>
                </c:pt>
                <c:pt idx="1907">
                  <c:v>4880</c:v>
                </c:pt>
                <c:pt idx="1908">
                  <c:v>4880</c:v>
                </c:pt>
                <c:pt idx="1909">
                  <c:v>4880</c:v>
                </c:pt>
                <c:pt idx="1910">
                  <c:v>4882</c:v>
                </c:pt>
                <c:pt idx="1911">
                  <c:v>4882</c:v>
                </c:pt>
                <c:pt idx="1912">
                  <c:v>4882</c:v>
                </c:pt>
                <c:pt idx="1913">
                  <c:v>4882</c:v>
                </c:pt>
                <c:pt idx="1914">
                  <c:v>4882</c:v>
                </c:pt>
                <c:pt idx="1915">
                  <c:v>4882</c:v>
                </c:pt>
                <c:pt idx="1916">
                  <c:v>4882</c:v>
                </c:pt>
                <c:pt idx="1917">
                  <c:v>4886</c:v>
                </c:pt>
                <c:pt idx="1918">
                  <c:v>4886</c:v>
                </c:pt>
                <c:pt idx="1919">
                  <c:v>4886</c:v>
                </c:pt>
                <c:pt idx="1920">
                  <c:v>4886</c:v>
                </c:pt>
                <c:pt idx="1921">
                  <c:v>4886</c:v>
                </c:pt>
                <c:pt idx="1922">
                  <c:v>4887</c:v>
                </c:pt>
                <c:pt idx="1923">
                  <c:v>4887</c:v>
                </c:pt>
                <c:pt idx="1924">
                  <c:v>4887</c:v>
                </c:pt>
                <c:pt idx="1925">
                  <c:v>4887</c:v>
                </c:pt>
                <c:pt idx="1926">
                  <c:v>4889</c:v>
                </c:pt>
                <c:pt idx="1927">
                  <c:v>4889</c:v>
                </c:pt>
                <c:pt idx="1928">
                  <c:v>4889</c:v>
                </c:pt>
                <c:pt idx="1929">
                  <c:v>4889</c:v>
                </c:pt>
                <c:pt idx="1930">
                  <c:v>4892</c:v>
                </c:pt>
                <c:pt idx="1931">
                  <c:v>4892</c:v>
                </c:pt>
                <c:pt idx="1932">
                  <c:v>4892</c:v>
                </c:pt>
                <c:pt idx="1933">
                  <c:v>4895</c:v>
                </c:pt>
                <c:pt idx="1934">
                  <c:v>4895</c:v>
                </c:pt>
                <c:pt idx="1935">
                  <c:v>4895</c:v>
                </c:pt>
                <c:pt idx="1936">
                  <c:v>4895</c:v>
                </c:pt>
                <c:pt idx="1937">
                  <c:v>4895</c:v>
                </c:pt>
                <c:pt idx="1938">
                  <c:v>4895</c:v>
                </c:pt>
                <c:pt idx="1939">
                  <c:v>4895</c:v>
                </c:pt>
                <c:pt idx="1940">
                  <c:v>4895</c:v>
                </c:pt>
                <c:pt idx="1941">
                  <c:v>4900</c:v>
                </c:pt>
                <c:pt idx="1942">
                  <c:v>4900</c:v>
                </c:pt>
                <c:pt idx="1943">
                  <c:v>4900</c:v>
                </c:pt>
                <c:pt idx="1944">
                  <c:v>4900</c:v>
                </c:pt>
                <c:pt idx="1945">
                  <c:v>4902</c:v>
                </c:pt>
                <c:pt idx="1946">
                  <c:v>4902</c:v>
                </c:pt>
                <c:pt idx="1947">
                  <c:v>4902</c:v>
                </c:pt>
                <c:pt idx="1948">
                  <c:v>4902</c:v>
                </c:pt>
                <c:pt idx="1949">
                  <c:v>4903</c:v>
                </c:pt>
                <c:pt idx="1950">
                  <c:v>4903</c:v>
                </c:pt>
                <c:pt idx="1951">
                  <c:v>4903</c:v>
                </c:pt>
                <c:pt idx="1952">
                  <c:v>4903</c:v>
                </c:pt>
                <c:pt idx="1953">
                  <c:v>4906</c:v>
                </c:pt>
                <c:pt idx="1954">
                  <c:v>4906</c:v>
                </c:pt>
                <c:pt idx="1955">
                  <c:v>4906</c:v>
                </c:pt>
                <c:pt idx="1956">
                  <c:v>4907</c:v>
                </c:pt>
                <c:pt idx="1957">
                  <c:v>4907</c:v>
                </c:pt>
                <c:pt idx="1958">
                  <c:v>4907</c:v>
                </c:pt>
                <c:pt idx="1959">
                  <c:v>4907</c:v>
                </c:pt>
                <c:pt idx="1960">
                  <c:v>4907</c:v>
                </c:pt>
                <c:pt idx="1961">
                  <c:v>4907</c:v>
                </c:pt>
                <c:pt idx="1962">
                  <c:v>4907</c:v>
                </c:pt>
                <c:pt idx="1963">
                  <c:v>4907</c:v>
                </c:pt>
                <c:pt idx="1964">
                  <c:v>4914</c:v>
                </c:pt>
                <c:pt idx="1965">
                  <c:v>4914</c:v>
                </c:pt>
                <c:pt idx="1966">
                  <c:v>4914</c:v>
                </c:pt>
                <c:pt idx="1967">
                  <c:v>4914</c:v>
                </c:pt>
                <c:pt idx="1968">
                  <c:v>4916</c:v>
                </c:pt>
                <c:pt idx="1969">
                  <c:v>4916</c:v>
                </c:pt>
                <c:pt idx="1970">
                  <c:v>4916</c:v>
                </c:pt>
                <c:pt idx="1971">
                  <c:v>4916</c:v>
                </c:pt>
                <c:pt idx="1972">
                  <c:v>4918</c:v>
                </c:pt>
                <c:pt idx="1973">
                  <c:v>4918</c:v>
                </c:pt>
                <c:pt idx="1974">
                  <c:v>4918</c:v>
                </c:pt>
                <c:pt idx="1975">
                  <c:v>4919</c:v>
                </c:pt>
                <c:pt idx="1976">
                  <c:v>4920</c:v>
                </c:pt>
                <c:pt idx="1977">
                  <c:v>4920</c:v>
                </c:pt>
                <c:pt idx="1978">
                  <c:v>4920</c:v>
                </c:pt>
                <c:pt idx="1979">
                  <c:v>4920</c:v>
                </c:pt>
                <c:pt idx="1980">
                  <c:v>4921</c:v>
                </c:pt>
                <c:pt idx="1981">
                  <c:v>4921</c:v>
                </c:pt>
                <c:pt idx="1982">
                  <c:v>4921</c:v>
                </c:pt>
                <c:pt idx="1983">
                  <c:v>4921</c:v>
                </c:pt>
                <c:pt idx="1984">
                  <c:v>4921</c:v>
                </c:pt>
                <c:pt idx="1985">
                  <c:v>4921</c:v>
                </c:pt>
                <c:pt idx="1986">
                  <c:v>4924</c:v>
                </c:pt>
                <c:pt idx="1987">
                  <c:v>4925</c:v>
                </c:pt>
                <c:pt idx="1988">
                  <c:v>4925</c:v>
                </c:pt>
                <c:pt idx="1989">
                  <c:v>4925</c:v>
                </c:pt>
                <c:pt idx="1990">
                  <c:v>4925</c:v>
                </c:pt>
                <c:pt idx="1991">
                  <c:v>4925</c:v>
                </c:pt>
                <c:pt idx="1992">
                  <c:v>4926</c:v>
                </c:pt>
                <c:pt idx="1993">
                  <c:v>4926</c:v>
                </c:pt>
                <c:pt idx="1994">
                  <c:v>4926</c:v>
                </c:pt>
                <c:pt idx="1995">
                  <c:v>4926</c:v>
                </c:pt>
                <c:pt idx="1996">
                  <c:v>4927</c:v>
                </c:pt>
                <c:pt idx="1997">
                  <c:v>4929</c:v>
                </c:pt>
                <c:pt idx="1998">
                  <c:v>4929</c:v>
                </c:pt>
                <c:pt idx="1999">
                  <c:v>4931</c:v>
                </c:pt>
                <c:pt idx="2000">
                  <c:v>4931</c:v>
                </c:pt>
                <c:pt idx="2001">
                  <c:v>4931</c:v>
                </c:pt>
                <c:pt idx="2002">
                  <c:v>4931</c:v>
                </c:pt>
                <c:pt idx="2003">
                  <c:v>4934</c:v>
                </c:pt>
                <c:pt idx="2004">
                  <c:v>4934</c:v>
                </c:pt>
                <c:pt idx="2005">
                  <c:v>4934</c:v>
                </c:pt>
                <c:pt idx="2006">
                  <c:v>4934</c:v>
                </c:pt>
                <c:pt idx="2007">
                  <c:v>4937</c:v>
                </c:pt>
                <c:pt idx="2008">
                  <c:v>4937</c:v>
                </c:pt>
                <c:pt idx="2009">
                  <c:v>4937</c:v>
                </c:pt>
                <c:pt idx="2010">
                  <c:v>4939</c:v>
                </c:pt>
                <c:pt idx="2011">
                  <c:v>4939</c:v>
                </c:pt>
                <c:pt idx="2012">
                  <c:v>4939</c:v>
                </c:pt>
                <c:pt idx="2013">
                  <c:v>4939</c:v>
                </c:pt>
                <c:pt idx="2014">
                  <c:v>4939</c:v>
                </c:pt>
                <c:pt idx="2015">
                  <c:v>4939</c:v>
                </c:pt>
                <c:pt idx="2016">
                  <c:v>4939</c:v>
                </c:pt>
                <c:pt idx="2017">
                  <c:v>4942</c:v>
                </c:pt>
                <c:pt idx="2018">
                  <c:v>4942</c:v>
                </c:pt>
                <c:pt idx="2019">
                  <c:v>4942</c:v>
                </c:pt>
                <c:pt idx="2020">
                  <c:v>4942</c:v>
                </c:pt>
                <c:pt idx="2021">
                  <c:v>4942</c:v>
                </c:pt>
                <c:pt idx="2022">
                  <c:v>4943</c:v>
                </c:pt>
                <c:pt idx="2023">
                  <c:v>4943</c:v>
                </c:pt>
                <c:pt idx="2024">
                  <c:v>4943</c:v>
                </c:pt>
                <c:pt idx="2025">
                  <c:v>4943</c:v>
                </c:pt>
                <c:pt idx="2026">
                  <c:v>4944</c:v>
                </c:pt>
                <c:pt idx="2027">
                  <c:v>4945</c:v>
                </c:pt>
                <c:pt idx="2028">
                  <c:v>4945</c:v>
                </c:pt>
                <c:pt idx="2029">
                  <c:v>4946</c:v>
                </c:pt>
                <c:pt idx="2030">
                  <c:v>4946</c:v>
                </c:pt>
                <c:pt idx="2031">
                  <c:v>4946</c:v>
                </c:pt>
                <c:pt idx="2032">
                  <c:v>4946</c:v>
                </c:pt>
                <c:pt idx="2033">
                  <c:v>4947</c:v>
                </c:pt>
                <c:pt idx="2034">
                  <c:v>4947</c:v>
                </c:pt>
                <c:pt idx="2035">
                  <c:v>4947</c:v>
                </c:pt>
                <c:pt idx="2036">
                  <c:v>4947</c:v>
                </c:pt>
                <c:pt idx="2037">
                  <c:v>4949</c:v>
                </c:pt>
                <c:pt idx="2038">
                  <c:v>4949</c:v>
                </c:pt>
                <c:pt idx="2039">
                  <c:v>4949</c:v>
                </c:pt>
                <c:pt idx="2040">
                  <c:v>4952</c:v>
                </c:pt>
                <c:pt idx="2041">
                  <c:v>4952</c:v>
                </c:pt>
                <c:pt idx="2042">
                  <c:v>4952</c:v>
                </c:pt>
                <c:pt idx="2043">
                  <c:v>4952</c:v>
                </c:pt>
                <c:pt idx="2044">
                  <c:v>4952</c:v>
                </c:pt>
                <c:pt idx="2045">
                  <c:v>4952</c:v>
                </c:pt>
                <c:pt idx="2046">
                  <c:v>4956</c:v>
                </c:pt>
                <c:pt idx="2047">
                  <c:v>4958</c:v>
                </c:pt>
                <c:pt idx="2048">
                  <c:v>4958</c:v>
                </c:pt>
                <c:pt idx="2049">
                  <c:v>4958</c:v>
                </c:pt>
                <c:pt idx="2050">
                  <c:v>4958</c:v>
                </c:pt>
                <c:pt idx="2051">
                  <c:v>4958</c:v>
                </c:pt>
                <c:pt idx="2052">
                  <c:v>4958</c:v>
                </c:pt>
                <c:pt idx="2053">
                  <c:v>4958</c:v>
                </c:pt>
                <c:pt idx="2054">
                  <c:v>4958</c:v>
                </c:pt>
                <c:pt idx="2055">
                  <c:v>4962</c:v>
                </c:pt>
                <c:pt idx="2056">
                  <c:v>4962</c:v>
                </c:pt>
                <c:pt idx="2057">
                  <c:v>4962</c:v>
                </c:pt>
                <c:pt idx="2058">
                  <c:v>4962</c:v>
                </c:pt>
                <c:pt idx="2059">
                  <c:v>4963</c:v>
                </c:pt>
                <c:pt idx="2060">
                  <c:v>4963</c:v>
                </c:pt>
                <c:pt idx="2061">
                  <c:v>4963</c:v>
                </c:pt>
                <c:pt idx="2062">
                  <c:v>4963</c:v>
                </c:pt>
                <c:pt idx="2063">
                  <c:v>4964</c:v>
                </c:pt>
                <c:pt idx="2064">
                  <c:v>4964</c:v>
                </c:pt>
                <c:pt idx="2065">
                  <c:v>4965</c:v>
                </c:pt>
                <c:pt idx="2066">
                  <c:v>4965</c:v>
                </c:pt>
                <c:pt idx="2067">
                  <c:v>4966</c:v>
                </c:pt>
                <c:pt idx="2068">
                  <c:v>4966</c:v>
                </c:pt>
                <c:pt idx="2069">
                  <c:v>4966</c:v>
                </c:pt>
                <c:pt idx="2070">
                  <c:v>4966</c:v>
                </c:pt>
                <c:pt idx="2071">
                  <c:v>4967</c:v>
                </c:pt>
                <c:pt idx="2072">
                  <c:v>4967</c:v>
                </c:pt>
                <c:pt idx="2073">
                  <c:v>4967</c:v>
                </c:pt>
                <c:pt idx="2074">
                  <c:v>4967</c:v>
                </c:pt>
                <c:pt idx="2075">
                  <c:v>4969</c:v>
                </c:pt>
                <c:pt idx="2076">
                  <c:v>4969</c:v>
                </c:pt>
                <c:pt idx="2077">
                  <c:v>4969</c:v>
                </c:pt>
                <c:pt idx="2078">
                  <c:v>4970</c:v>
                </c:pt>
                <c:pt idx="2079">
                  <c:v>4970</c:v>
                </c:pt>
                <c:pt idx="2080">
                  <c:v>4970</c:v>
                </c:pt>
                <c:pt idx="2081">
                  <c:v>4970</c:v>
                </c:pt>
                <c:pt idx="2082">
                  <c:v>4970</c:v>
                </c:pt>
                <c:pt idx="2083">
                  <c:v>4970</c:v>
                </c:pt>
                <c:pt idx="2084">
                  <c:v>4973</c:v>
                </c:pt>
                <c:pt idx="2085">
                  <c:v>4973</c:v>
                </c:pt>
                <c:pt idx="2086">
                  <c:v>4975</c:v>
                </c:pt>
                <c:pt idx="2087">
                  <c:v>4975</c:v>
                </c:pt>
                <c:pt idx="2088">
                  <c:v>4975</c:v>
                </c:pt>
                <c:pt idx="2089">
                  <c:v>4975</c:v>
                </c:pt>
                <c:pt idx="2090">
                  <c:v>4975</c:v>
                </c:pt>
                <c:pt idx="2091">
                  <c:v>4975</c:v>
                </c:pt>
                <c:pt idx="2092">
                  <c:v>4979</c:v>
                </c:pt>
                <c:pt idx="2093">
                  <c:v>4981</c:v>
                </c:pt>
                <c:pt idx="2094">
                  <c:v>4981</c:v>
                </c:pt>
                <c:pt idx="2095">
                  <c:v>4981</c:v>
                </c:pt>
                <c:pt idx="2096">
                  <c:v>4981</c:v>
                </c:pt>
                <c:pt idx="2097">
                  <c:v>4981</c:v>
                </c:pt>
                <c:pt idx="2098">
                  <c:v>4981</c:v>
                </c:pt>
                <c:pt idx="2099">
                  <c:v>4981</c:v>
                </c:pt>
                <c:pt idx="2100">
                  <c:v>4981</c:v>
                </c:pt>
                <c:pt idx="2101">
                  <c:v>4981</c:v>
                </c:pt>
                <c:pt idx="2102">
                  <c:v>4985</c:v>
                </c:pt>
                <c:pt idx="2103">
                  <c:v>4985</c:v>
                </c:pt>
                <c:pt idx="2104">
                  <c:v>4985</c:v>
                </c:pt>
                <c:pt idx="2105">
                  <c:v>4985</c:v>
                </c:pt>
                <c:pt idx="2106">
                  <c:v>4986</c:v>
                </c:pt>
                <c:pt idx="2107">
                  <c:v>4986</c:v>
                </c:pt>
                <c:pt idx="2108">
                  <c:v>4986</c:v>
                </c:pt>
                <c:pt idx="2109">
                  <c:v>4986</c:v>
                </c:pt>
                <c:pt idx="2110">
                  <c:v>4988</c:v>
                </c:pt>
                <c:pt idx="2111">
                  <c:v>4988</c:v>
                </c:pt>
                <c:pt idx="2112">
                  <c:v>4989</c:v>
                </c:pt>
                <c:pt idx="2113">
                  <c:v>4989</c:v>
                </c:pt>
                <c:pt idx="2114">
                  <c:v>4990</c:v>
                </c:pt>
                <c:pt idx="2115">
                  <c:v>4990</c:v>
                </c:pt>
                <c:pt idx="2116">
                  <c:v>4990</c:v>
                </c:pt>
                <c:pt idx="2117">
                  <c:v>4990</c:v>
                </c:pt>
                <c:pt idx="2118">
                  <c:v>4990</c:v>
                </c:pt>
                <c:pt idx="2119">
                  <c:v>4990</c:v>
                </c:pt>
                <c:pt idx="2120">
                  <c:v>4990</c:v>
                </c:pt>
                <c:pt idx="2121">
                  <c:v>4992</c:v>
                </c:pt>
                <c:pt idx="2122">
                  <c:v>4993</c:v>
                </c:pt>
                <c:pt idx="2123">
                  <c:v>4993</c:v>
                </c:pt>
                <c:pt idx="2124">
                  <c:v>4993</c:v>
                </c:pt>
                <c:pt idx="2125">
                  <c:v>4993</c:v>
                </c:pt>
                <c:pt idx="2126">
                  <c:v>4993</c:v>
                </c:pt>
                <c:pt idx="2127">
                  <c:v>4993</c:v>
                </c:pt>
                <c:pt idx="2128">
                  <c:v>4993</c:v>
                </c:pt>
                <c:pt idx="2129">
                  <c:v>4993</c:v>
                </c:pt>
                <c:pt idx="2130">
                  <c:v>4993</c:v>
                </c:pt>
                <c:pt idx="2131">
                  <c:v>4996</c:v>
                </c:pt>
                <c:pt idx="2132">
                  <c:v>4996</c:v>
                </c:pt>
                <c:pt idx="2133">
                  <c:v>4996</c:v>
                </c:pt>
                <c:pt idx="2134">
                  <c:v>4996</c:v>
                </c:pt>
                <c:pt idx="2135">
                  <c:v>4999</c:v>
                </c:pt>
                <c:pt idx="2136">
                  <c:v>4999</c:v>
                </c:pt>
                <c:pt idx="2137">
                  <c:v>4999</c:v>
                </c:pt>
                <c:pt idx="2138">
                  <c:v>4999</c:v>
                </c:pt>
                <c:pt idx="2139">
                  <c:v>4999</c:v>
                </c:pt>
                <c:pt idx="2140">
                  <c:v>4999</c:v>
                </c:pt>
                <c:pt idx="2141">
                  <c:v>5021</c:v>
                </c:pt>
                <c:pt idx="2142">
                  <c:v>5021</c:v>
                </c:pt>
                <c:pt idx="2143">
                  <c:v>5021</c:v>
                </c:pt>
                <c:pt idx="2144">
                  <c:v>5021</c:v>
                </c:pt>
                <c:pt idx="2145">
                  <c:v>5022</c:v>
                </c:pt>
                <c:pt idx="2146">
                  <c:v>5022</c:v>
                </c:pt>
                <c:pt idx="2147">
                  <c:v>5022</c:v>
                </c:pt>
                <c:pt idx="2148">
                  <c:v>5022</c:v>
                </c:pt>
                <c:pt idx="2149">
                  <c:v>5024</c:v>
                </c:pt>
                <c:pt idx="2150">
                  <c:v>5024</c:v>
                </c:pt>
                <c:pt idx="2151">
                  <c:v>5025</c:v>
                </c:pt>
                <c:pt idx="2152">
                  <c:v>5025</c:v>
                </c:pt>
                <c:pt idx="2153">
                  <c:v>5025</c:v>
                </c:pt>
                <c:pt idx="2154">
                  <c:v>5025</c:v>
                </c:pt>
                <c:pt idx="2155">
                  <c:v>5025</c:v>
                </c:pt>
                <c:pt idx="2156">
                  <c:v>5025</c:v>
                </c:pt>
                <c:pt idx="2157">
                  <c:v>5026</c:v>
                </c:pt>
                <c:pt idx="2158">
                  <c:v>5026</c:v>
                </c:pt>
                <c:pt idx="2159">
                  <c:v>5026</c:v>
                </c:pt>
                <c:pt idx="2160">
                  <c:v>5026</c:v>
                </c:pt>
                <c:pt idx="2161">
                  <c:v>5028</c:v>
                </c:pt>
                <c:pt idx="2162">
                  <c:v>5028</c:v>
                </c:pt>
                <c:pt idx="2163">
                  <c:v>5028</c:v>
                </c:pt>
                <c:pt idx="2164">
                  <c:v>5028</c:v>
                </c:pt>
                <c:pt idx="2165">
                  <c:v>5028</c:v>
                </c:pt>
                <c:pt idx="2166">
                  <c:v>5028</c:v>
                </c:pt>
                <c:pt idx="2167">
                  <c:v>5028</c:v>
                </c:pt>
                <c:pt idx="2168">
                  <c:v>5028</c:v>
                </c:pt>
                <c:pt idx="2169">
                  <c:v>5028</c:v>
                </c:pt>
                <c:pt idx="2170">
                  <c:v>5030</c:v>
                </c:pt>
                <c:pt idx="2171">
                  <c:v>5030</c:v>
                </c:pt>
                <c:pt idx="2172">
                  <c:v>5030</c:v>
                </c:pt>
                <c:pt idx="2173">
                  <c:v>5030</c:v>
                </c:pt>
                <c:pt idx="2174">
                  <c:v>5030</c:v>
                </c:pt>
                <c:pt idx="2175">
                  <c:v>5030</c:v>
                </c:pt>
                <c:pt idx="2176">
                  <c:v>5030</c:v>
                </c:pt>
                <c:pt idx="2177">
                  <c:v>5030</c:v>
                </c:pt>
                <c:pt idx="2178">
                  <c:v>5030</c:v>
                </c:pt>
                <c:pt idx="2179">
                  <c:v>5031</c:v>
                </c:pt>
                <c:pt idx="2180">
                  <c:v>5031</c:v>
                </c:pt>
                <c:pt idx="2181">
                  <c:v>5032</c:v>
                </c:pt>
                <c:pt idx="2182">
                  <c:v>5032</c:v>
                </c:pt>
                <c:pt idx="2183">
                  <c:v>5032</c:v>
                </c:pt>
                <c:pt idx="2184">
                  <c:v>5032</c:v>
                </c:pt>
                <c:pt idx="2185">
                  <c:v>5032</c:v>
                </c:pt>
                <c:pt idx="2186">
                  <c:v>5032</c:v>
                </c:pt>
                <c:pt idx="2187">
                  <c:v>5032</c:v>
                </c:pt>
                <c:pt idx="2188">
                  <c:v>5036</c:v>
                </c:pt>
                <c:pt idx="2189">
                  <c:v>5036</c:v>
                </c:pt>
                <c:pt idx="2190">
                  <c:v>5037</c:v>
                </c:pt>
                <c:pt idx="2191">
                  <c:v>5037</c:v>
                </c:pt>
                <c:pt idx="2192">
                  <c:v>5037</c:v>
                </c:pt>
                <c:pt idx="2193">
                  <c:v>5037</c:v>
                </c:pt>
                <c:pt idx="2194">
                  <c:v>5037</c:v>
                </c:pt>
                <c:pt idx="2195">
                  <c:v>5037</c:v>
                </c:pt>
                <c:pt idx="2196">
                  <c:v>5037</c:v>
                </c:pt>
                <c:pt idx="2197">
                  <c:v>5040</c:v>
                </c:pt>
                <c:pt idx="2198">
                  <c:v>5041</c:v>
                </c:pt>
                <c:pt idx="2199">
                  <c:v>5041</c:v>
                </c:pt>
                <c:pt idx="2200">
                  <c:v>5041</c:v>
                </c:pt>
                <c:pt idx="2201">
                  <c:v>5041</c:v>
                </c:pt>
                <c:pt idx="2202">
                  <c:v>5041</c:v>
                </c:pt>
                <c:pt idx="2203">
                  <c:v>5041</c:v>
                </c:pt>
                <c:pt idx="2204">
                  <c:v>5041</c:v>
                </c:pt>
                <c:pt idx="2205">
                  <c:v>5043</c:v>
                </c:pt>
                <c:pt idx="2206">
                  <c:v>5044</c:v>
                </c:pt>
                <c:pt idx="2207">
                  <c:v>5044</c:v>
                </c:pt>
                <c:pt idx="2208">
                  <c:v>5044</c:v>
                </c:pt>
                <c:pt idx="2209">
                  <c:v>5044</c:v>
                </c:pt>
                <c:pt idx="2210">
                  <c:v>5044</c:v>
                </c:pt>
                <c:pt idx="2211">
                  <c:v>5044</c:v>
                </c:pt>
                <c:pt idx="2212">
                  <c:v>5044</c:v>
                </c:pt>
                <c:pt idx="2213">
                  <c:v>5045</c:v>
                </c:pt>
                <c:pt idx="2214">
                  <c:v>5046</c:v>
                </c:pt>
                <c:pt idx="2215">
                  <c:v>5046</c:v>
                </c:pt>
                <c:pt idx="2216">
                  <c:v>5046</c:v>
                </c:pt>
                <c:pt idx="2217">
                  <c:v>5046</c:v>
                </c:pt>
                <c:pt idx="2218">
                  <c:v>5046</c:v>
                </c:pt>
                <c:pt idx="2219">
                  <c:v>5046</c:v>
                </c:pt>
                <c:pt idx="2220">
                  <c:v>5046</c:v>
                </c:pt>
                <c:pt idx="2221">
                  <c:v>5047</c:v>
                </c:pt>
                <c:pt idx="2222">
                  <c:v>5048</c:v>
                </c:pt>
                <c:pt idx="2223">
                  <c:v>5048</c:v>
                </c:pt>
                <c:pt idx="2224">
                  <c:v>5048</c:v>
                </c:pt>
                <c:pt idx="2225">
                  <c:v>5048</c:v>
                </c:pt>
                <c:pt idx="2226">
                  <c:v>5048</c:v>
                </c:pt>
                <c:pt idx="2227">
                  <c:v>5048</c:v>
                </c:pt>
                <c:pt idx="2228">
                  <c:v>5048</c:v>
                </c:pt>
                <c:pt idx="2229">
                  <c:v>5048</c:v>
                </c:pt>
                <c:pt idx="2230">
                  <c:v>5048</c:v>
                </c:pt>
                <c:pt idx="2231">
                  <c:v>5049</c:v>
                </c:pt>
                <c:pt idx="2232">
                  <c:v>5049</c:v>
                </c:pt>
                <c:pt idx="2233">
                  <c:v>5049</c:v>
                </c:pt>
                <c:pt idx="2234">
                  <c:v>5049</c:v>
                </c:pt>
                <c:pt idx="2235">
                  <c:v>5049</c:v>
                </c:pt>
                <c:pt idx="2236">
                  <c:v>5050</c:v>
                </c:pt>
                <c:pt idx="2237">
                  <c:v>5050</c:v>
                </c:pt>
                <c:pt idx="2238">
                  <c:v>5050</c:v>
                </c:pt>
                <c:pt idx="2239">
                  <c:v>5050</c:v>
                </c:pt>
                <c:pt idx="2240">
                  <c:v>5051</c:v>
                </c:pt>
                <c:pt idx="2241">
                  <c:v>5051</c:v>
                </c:pt>
                <c:pt idx="2242">
                  <c:v>5051</c:v>
                </c:pt>
                <c:pt idx="2243">
                  <c:v>5051</c:v>
                </c:pt>
                <c:pt idx="2244">
                  <c:v>5050</c:v>
                </c:pt>
                <c:pt idx="2245">
                  <c:v>5050</c:v>
                </c:pt>
                <c:pt idx="2246">
                  <c:v>5050</c:v>
                </c:pt>
                <c:pt idx="2247">
                  <c:v>5050</c:v>
                </c:pt>
                <c:pt idx="2248">
                  <c:v>5049</c:v>
                </c:pt>
                <c:pt idx="2249">
                  <c:v>5048</c:v>
                </c:pt>
                <c:pt idx="2250">
                  <c:v>5048</c:v>
                </c:pt>
                <c:pt idx="2251">
                  <c:v>5048</c:v>
                </c:pt>
                <c:pt idx="2252">
                  <c:v>5048</c:v>
                </c:pt>
                <c:pt idx="2253">
                  <c:v>5048</c:v>
                </c:pt>
                <c:pt idx="2254">
                  <c:v>5048</c:v>
                </c:pt>
                <c:pt idx="2255">
                  <c:v>5048</c:v>
                </c:pt>
                <c:pt idx="2256">
                  <c:v>5048</c:v>
                </c:pt>
                <c:pt idx="2257">
                  <c:v>5048</c:v>
                </c:pt>
                <c:pt idx="2258">
                  <c:v>5048</c:v>
                </c:pt>
                <c:pt idx="2259">
                  <c:v>5048</c:v>
                </c:pt>
                <c:pt idx="2260">
                  <c:v>5048</c:v>
                </c:pt>
                <c:pt idx="2261">
                  <c:v>5048</c:v>
                </c:pt>
                <c:pt idx="2262">
                  <c:v>5048</c:v>
                </c:pt>
                <c:pt idx="2263">
                  <c:v>5048</c:v>
                </c:pt>
                <c:pt idx="2264">
                  <c:v>5048</c:v>
                </c:pt>
                <c:pt idx="2265">
                  <c:v>5048</c:v>
                </c:pt>
                <c:pt idx="2266">
                  <c:v>5048</c:v>
                </c:pt>
                <c:pt idx="2267">
                  <c:v>5048</c:v>
                </c:pt>
                <c:pt idx="2268">
                  <c:v>5049</c:v>
                </c:pt>
                <c:pt idx="2269">
                  <c:v>5049</c:v>
                </c:pt>
                <c:pt idx="2270">
                  <c:v>5049</c:v>
                </c:pt>
                <c:pt idx="2271">
                  <c:v>5049</c:v>
                </c:pt>
                <c:pt idx="2272">
                  <c:v>5049</c:v>
                </c:pt>
                <c:pt idx="2273">
                  <c:v>5049</c:v>
                </c:pt>
                <c:pt idx="2274">
                  <c:v>5049</c:v>
                </c:pt>
                <c:pt idx="2275">
                  <c:v>5049</c:v>
                </c:pt>
                <c:pt idx="2276">
                  <c:v>5049</c:v>
                </c:pt>
                <c:pt idx="2277">
                  <c:v>5050</c:v>
                </c:pt>
                <c:pt idx="2278">
                  <c:v>5050</c:v>
                </c:pt>
                <c:pt idx="2279">
                  <c:v>5050</c:v>
                </c:pt>
                <c:pt idx="2280">
                  <c:v>5049</c:v>
                </c:pt>
                <c:pt idx="2281">
                  <c:v>5049</c:v>
                </c:pt>
                <c:pt idx="2282">
                  <c:v>5049</c:v>
                </c:pt>
                <c:pt idx="2283">
                  <c:v>5049</c:v>
                </c:pt>
                <c:pt idx="2284">
                  <c:v>5049</c:v>
                </c:pt>
                <c:pt idx="2285">
                  <c:v>5049</c:v>
                </c:pt>
                <c:pt idx="2286">
                  <c:v>5049</c:v>
                </c:pt>
                <c:pt idx="2287">
                  <c:v>5049</c:v>
                </c:pt>
                <c:pt idx="2288">
                  <c:v>5049</c:v>
                </c:pt>
                <c:pt idx="2289">
                  <c:v>5049</c:v>
                </c:pt>
                <c:pt idx="2290">
                  <c:v>5049</c:v>
                </c:pt>
                <c:pt idx="2291">
                  <c:v>5049</c:v>
                </c:pt>
                <c:pt idx="2292">
                  <c:v>5049</c:v>
                </c:pt>
                <c:pt idx="2293">
                  <c:v>5049</c:v>
                </c:pt>
                <c:pt idx="2294">
                  <c:v>5049</c:v>
                </c:pt>
                <c:pt idx="2295">
                  <c:v>5049</c:v>
                </c:pt>
                <c:pt idx="2296">
                  <c:v>5053</c:v>
                </c:pt>
                <c:pt idx="2297">
                  <c:v>5053</c:v>
                </c:pt>
                <c:pt idx="2298">
                  <c:v>5053</c:v>
                </c:pt>
                <c:pt idx="2299">
                  <c:v>5053</c:v>
                </c:pt>
                <c:pt idx="2300">
                  <c:v>5053</c:v>
                </c:pt>
                <c:pt idx="2301">
                  <c:v>5053</c:v>
                </c:pt>
                <c:pt idx="2302">
                  <c:v>5053</c:v>
                </c:pt>
                <c:pt idx="2303">
                  <c:v>5053</c:v>
                </c:pt>
                <c:pt idx="2304">
                  <c:v>5053</c:v>
                </c:pt>
                <c:pt idx="2305">
                  <c:v>5055</c:v>
                </c:pt>
                <c:pt idx="2306">
                  <c:v>5055</c:v>
                </c:pt>
                <c:pt idx="2307">
                  <c:v>5055</c:v>
                </c:pt>
                <c:pt idx="2308">
                  <c:v>5055</c:v>
                </c:pt>
                <c:pt idx="2309">
                  <c:v>5055</c:v>
                </c:pt>
                <c:pt idx="2310">
                  <c:v>5055</c:v>
                </c:pt>
                <c:pt idx="2311">
                  <c:v>5055</c:v>
                </c:pt>
                <c:pt idx="2312">
                  <c:v>5055</c:v>
                </c:pt>
                <c:pt idx="2313">
                  <c:v>5056</c:v>
                </c:pt>
                <c:pt idx="2314">
                  <c:v>5056</c:v>
                </c:pt>
                <c:pt idx="2315">
                  <c:v>5056</c:v>
                </c:pt>
                <c:pt idx="2316">
                  <c:v>5056</c:v>
                </c:pt>
                <c:pt idx="2317">
                  <c:v>5057</c:v>
                </c:pt>
                <c:pt idx="2318">
                  <c:v>5057</c:v>
                </c:pt>
                <c:pt idx="2319">
                  <c:v>5057</c:v>
                </c:pt>
                <c:pt idx="2320">
                  <c:v>5057</c:v>
                </c:pt>
                <c:pt idx="2321">
                  <c:v>5057</c:v>
                </c:pt>
                <c:pt idx="2322">
                  <c:v>5057</c:v>
                </c:pt>
                <c:pt idx="2323">
                  <c:v>5057</c:v>
                </c:pt>
                <c:pt idx="2324">
                  <c:v>5057</c:v>
                </c:pt>
                <c:pt idx="2325">
                  <c:v>5057</c:v>
                </c:pt>
                <c:pt idx="2326">
                  <c:v>5058</c:v>
                </c:pt>
                <c:pt idx="2327">
                  <c:v>5058</c:v>
                </c:pt>
                <c:pt idx="2328">
                  <c:v>5058</c:v>
                </c:pt>
                <c:pt idx="2329">
                  <c:v>5058</c:v>
                </c:pt>
                <c:pt idx="2330">
                  <c:v>5058</c:v>
                </c:pt>
                <c:pt idx="2331">
                  <c:v>5058</c:v>
                </c:pt>
                <c:pt idx="2332">
                  <c:v>5058</c:v>
                </c:pt>
                <c:pt idx="2333">
                  <c:v>5058</c:v>
                </c:pt>
                <c:pt idx="2334">
                  <c:v>5060</c:v>
                </c:pt>
                <c:pt idx="2335">
                  <c:v>5060</c:v>
                </c:pt>
                <c:pt idx="2336">
                  <c:v>5060</c:v>
                </c:pt>
                <c:pt idx="2337">
                  <c:v>5060</c:v>
                </c:pt>
                <c:pt idx="2338">
                  <c:v>5060</c:v>
                </c:pt>
                <c:pt idx="2339">
                  <c:v>5060</c:v>
                </c:pt>
                <c:pt idx="2340">
                  <c:v>5060</c:v>
                </c:pt>
                <c:pt idx="2341">
                  <c:v>5060</c:v>
                </c:pt>
                <c:pt idx="2342">
                  <c:v>5060</c:v>
                </c:pt>
                <c:pt idx="2343">
                  <c:v>5061</c:v>
                </c:pt>
                <c:pt idx="2344">
                  <c:v>5061</c:v>
                </c:pt>
                <c:pt idx="2345">
                  <c:v>5061</c:v>
                </c:pt>
                <c:pt idx="2346">
                  <c:v>5061</c:v>
                </c:pt>
                <c:pt idx="2347">
                  <c:v>5062</c:v>
                </c:pt>
                <c:pt idx="2348">
                  <c:v>5062</c:v>
                </c:pt>
                <c:pt idx="2349">
                  <c:v>5062</c:v>
                </c:pt>
                <c:pt idx="2350">
                  <c:v>5062</c:v>
                </c:pt>
                <c:pt idx="2351">
                  <c:v>5061</c:v>
                </c:pt>
                <c:pt idx="2352">
                  <c:v>5061</c:v>
                </c:pt>
                <c:pt idx="2353">
                  <c:v>5060</c:v>
                </c:pt>
                <c:pt idx="2354">
                  <c:v>5060</c:v>
                </c:pt>
                <c:pt idx="2355">
                  <c:v>5059</c:v>
                </c:pt>
                <c:pt idx="2356">
                  <c:v>5059</c:v>
                </c:pt>
                <c:pt idx="2357">
                  <c:v>5059</c:v>
                </c:pt>
                <c:pt idx="2358">
                  <c:v>5059</c:v>
                </c:pt>
                <c:pt idx="2359">
                  <c:v>5059</c:v>
                </c:pt>
                <c:pt idx="2360">
                  <c:v>5059</c:v>
                </c:pt>
                <c:pt idx="2361">
                  <c:v>5059</c:v>
                </c:pt>
                <c:pt idx="2362">
                  <c:v>5059</c:v>
                </c:pt>
                <c:pt idx="2363">
                  <c:v>5059</c:v>
                </c:pt>
                <c:pt idx="2364">
                  <c:v>5059</c:v>
                </c:pt>
                <c:pt idx="2365">
                  <c:v>5059</c:v>
                </c:pt>
                <c:pt idx="2366">
                  <c:v>5059</c:v>
                </c:pt>
                <c:pt idx="2367">
                  <c:v>5059</c:v>
                </c:pt>
                <c:pt idx="2368">
                  <c:v>5059</c:v>
                </c:pt>
                <c:pt idx="2369">
                  <c:v>5059</c:v>
                </c:pt>
                <c:pt idx="2370">
                  <c:v>5059</c:v>
                </c:pt>
                <c:pt idx="2371">
                  <c:v>5059</c:v>
                </c:pt>
                <c:pt idx="2372">
                  <c:v>5059</c:v>
                </c:pt>
                <c:pt idx="2373">
                  <c:v>5059</c:v>
                </c:pt>
                <c:pt idx="2374">
                  <c:v>5059</c:v>
                </c:pt>
                <c:pt idx="2375">
                  <c:v>5060</c:v>
                </c:pt>
                <c:pt idx="2376">
                  <c:v>5060</c:v>
                </c:pt>
                <c:pt idx="2377">
                  <c:v>5060</c:v>
                </c:pt>
                <c:pt idx="2378">
                  <c:v>5060</c:v>
                </c:pt>
                <c:pt idx="2379">
                  <c:v>5060</c:v>
                </c:pt>
                <c:pt idx="2380">
                  <c:v>5060</c:v>
                </c:pt>
                <c:pt idx="2381">
                  <c:v>5060</c:v>
                </c:pt>
                <c:pt idx="2382">
                  <c:v>5060</c:v>
                </c:pt>
                <c:pt idx="2383">
                  <c:v>5061</c:v>
                </c:pt>
                <c:pt idx="2384">
                  <c:v>5061</c:v>
                </c:pt>
                <c:pt idx="2385">
                  <c:v>5061</c:v>
                </c:pt>
                <c:pt idx="2386">
                  <c:v>5061</c:v>
                </c:pt>
                <c:pt idx="2387">
                  <c:v>5061</c:v>
                </c:pt>
                <c:pt idx="2388">
                  <c:v>5061</c:v>
                </c:pt>
                <c:pt idx="2389">
                  <c:v>5061</c:v>
                </c:pt>
                <c:pt idx="2390">
                  <c:v>5061</c:v>
                </c:pt>
                <c:pt idx="2391">
                  <c:v>5061</c:v>
                </c:pt>
                <c:pt idx="2392">
                  <c:v>5062</c:v>
                </c:pt>
                <c:pt idx="2393">
                  <c:v>5062</c:v>
                </c:pt>
                <c:pt idx="2394">
                  <c:v>5062</c:v>
                </c:pt>
                <c:pt idx="2395">
                  <c:v>5063</c:v>
                </c:pt>
                <c:pt idx="2396">
                  <c:v>5063</c:v>
                </c:pt>
                <c:pt idx="2397">
                  <c:v>5063</c:v>
                </c:pt>
                <c:pt idx="2398">
                  <c:v>5063</c:v>
                </c:pt>
                <c:pt idx="2399">
                  <c:v>5063</c:v>
                </c:pt>
                <c:pt idx="2400">
                  <c:v>5063</c:v>
                </c:pt>
                <c:pt idx="2401">
                  <c:v>5063</c:v>
                </c:pt>
                <c:pt idx="2402">
                  <c:v>5064</c:v>
                </c:pt>
                <c:pt idx="2403">
                  <c:v>5064</c:v>
                </c:pt>
                <c:pt idx="2404">
                  <c:v>5064</c:v>
                </c:pt>
                <c:pt idx="2405">
                  <c:v>5064</c:v>
                </c:pt>
                <c:pt idx="2406">
                  <c:v>5064</c:v>
                </c:pt>
                <c:pt idx="2407">
                  <c:v>5065</c:v>
                </c:pt>
                <c:pt idx="2408">
                  <c:v>5065</c:v>
                </c:pt>
                <c:pt idx="2409">
                  <c:v>5065</c:v>
                </c:pt>
                <c:pt idx="2410">
                  <c:v>5065</c:v>
                </c:pt>
                <c:pt idx="2411">
                  <c:v>5065</c:v>
                </c:pt>
                <c:pt idx="2412">
                  <c:v>5066</c:v>
                </c:pt>
                <c:pt idx="2413">
                  <c:v>5066</c:v>
                </c:pt>
                <c:pt idx="2414">
                  <c:v>5066</c:v>
                </c:pt>
                <c:pt idx="2415">
                  <c:v>5066</c:v>
                </c:pt>
                <c:pt idx="2416">
                  <c:v>5066</c:v>
                </c:pt>
                <c:pt idx="2417">
                  <c:v>5066</c:v>
                </c:pt>
                <c:pt idx="2418">
                  <c:v>5066</c:v>
                </c:pt>
                <c:pt idx="2419">
                  <c:v>5066</c:v>
                </c:pt>
                <c:pt idx="2420">
                  <c:v>5067</c:v>
                </c:pt>
                <c:pt idx="2421">
                  <c:v>5067</c:v>
                </c:pt>
                <c:pt idx="2422">
                  <c:v>5067</c:v>
                </c:pt>
                <c:pt idx="2423">
                  <c:v>5067</c:v>
                </c:pt>
                <c:pt idx="2424">
                  <c:v>5068</c:v>
                </c:pt>
                <c:pt idx="2425">
                  <c:v>5068</c:v>
                </c:pt>
                <c:pt idx="2426">
                  <c:v>5068</c:v>
                </c:pt>
                <c:pt idx="2427">
                  <c:v>5068</c:v>
                </c:pt>
                <c:pt idx="2428">
                  <c:v>5069</c:v>
                </c:pt>
                <c:pt idx="2429">
                  <c:v>5069</c:v>
                </c:pt>
                <c:pt idx="2430">
                  <c:v>5069</c:v>
                </c:pt>
                <c:pt idx="2431">
                  <c:v>5069</c:v>
                </c:pt>
                <c:pt idx="2432">
                  <c:v>5070</c:v>
                </c:pt>
                <c:pt idx="2433">
                  <c:v>5070</c:v>
                </c:pt>
                <c:pt idx="2434">
                  <c:v>5070</c:v>
                </c:pt>
                <c:pt idx="2435">
                  <c:v>5070</c:v>
                </c:pt>
                <c:pt idx="2436">
                  <c:v>5070</c:v>
                </c:pt>
                <c:pt idx="2437">
                  <c:v>5070</c:v>
                </c:pt>
                <c:pt idx="2438">
                  <c:v>5070</c:v>
                </c:pt>
                <c:pt idx="2439">
                  <c:v>5070</c:v>
                </c:pt>
                <c:pt idx="2440">
                  <c:v>5070</c:v>
                </c:pt>
                <c:pt idx="2441">
                  <c:v>5071</c:v>
                </c:pt>
                <c:pt idx="2442">
                  <c:v>5071</c:v>
                </c:pt>
                <c:pt idx="2443">
                  <c:v>5071</c:v>
                </c:pt>
                <c:pt idx="2444">
                  <c:v>5071</c:v>
                </c:pt>
                <c:pt idx="2445">
                  <c:v>5072</c:v>
                </c:pt>
                <c:pt idx="2446">
                  <c:v>5072</c:v>
                </c:pt>
                <c:pt idx="2447">
                  <c:v>5072</c:v>
                </c:pt>
                <c:pt idx="2448">
                  <c:v>5072</c:v>
                </c:pt>
                <c:pt idx="2449">
                  <c:v>5091</c:v>
                </c:pt>
                <c:pt idx="2450">
                  <c:v>5092</c:v>
                </c:pt>
                <c:pt idx="2451">
                  <c:v>5092</c:v>
                </c:pt>
                <c:pt idx="2452">
                  <c:v>5093</c:v>
                </c:pt>
                <c:pt idx="2453">
                  <c:v>5093</c:v>
                </c:pt>
                <c:pt idx="2454">
                  <c:v>5093</c:v>
                </c:pt>
                <c:pt idx="2455">
                  <c:v>5093</c:v>
                </c:pt>
                <c:pt idx="2456">
                  <c:v>5093</c:v>
                </c:pt>
                <c:pt idx="2457">
                  <c:v>5093</c:v>
                </c:pt>
                <c:pt idx="2458">
                  <c:v>5093</c:v>
                </c:pt>
                <c:pt idx="2459">
                  <c:v>5092</c:v>
                </c:pt>
                <c:pt idx="2460">
                  <c:v>5092</c:v>
                </c:pt>
                <c:pt idx="2461">
                  <c:v>5092</c:v>
                </c:pt>
                <c:pt idx="2462">
                  <c:v>5092</c:v>
                </c:pt>
                <c:pt idx="2463">
                  <c:v>5092</c:v>
                </c:pt>
                <c:pt idx="2464">
                  <c:v>5092</c:v>
                </c:pt>
                <c:pt idx="2465">
                  <c:v>5092</c:v>
                </c:pt>
                <c:pt idx="2466">
                  <c:v>5092</c:v>
                </c:pt>
                <c:pt idx="2467">
                  <c:v>5092</c:v>
                </c:pt>
                <c:pt idx="2468">
                  <c:v>5092</c:v>
                </c:pt>
                <c:pt idx="2469">
                  <c:v>5092</c:v>
                </c:pt>
                <c:pt idx="2470">
                  <c:v>5092</c:v>
                </c:pt>
                <c:pt idx="2471">
                  <c:v>5092</c:v>
                </c:pt>
                <c:pt idx="2472">
                  <c:v>5092</c:v>
                </c:pt>
                <c:pt idx="2473">
                  <c:v>5092</c:v>
                </c:pt>
                <c:pt idx="2474">
                  <c:v>5092</c:v>
                </c:pt>
                <c:pt idx="2475">
                  <c:v>5092</c:v>
                </c:pt>
                <c:pt idx="2476">
                  <c:v>5092</c:v>
                </c:pt>
                <c:pt idx="2477">
                  <c:v>5092</c:v>
                </c:pt>
                <c:pt idx="2478">
                  <c:v>5094</c:v>
                </c:pt>
                <c:pt idx="2479">
                  <c:v>5094</c:v>
                </c:pt>
                <c:pt idx="2480">
                  <c:v>5094</c:v>
                </c:pt>
                <c:pt idx="2481">
                  <c:v>5094</c:v>
                </c:pt>
                <c:pt idx="2482">
                  <c:v>5094</c:v>
                </c:pt>
                <c:pt idx="2483">
                  <c:v>5094</c:v>
                </c:pt>
                <c:pt idx="2484">
                  <c:v>5094</c:v>
                </c:pt>
                <c:pt idx="2485">
                  <c:v>5094</c:v>
                </c:pt>
                <c:pt idx="2486">
                  <c:v>5094</c:v>
                </c:pt>
                <c:pt idx="2487">
                  <c:v>5096</c:v>
                </c:pt>
                <c:pt idx="2488">
                  <c:v>5096</c:v>
                </c:pt>
                <c:pt idx="2489">
                  <c:v>5096</c:v>
                </c:pt>
                <c:pt idx="2490">
                  <c:v>5097</c:v>
                </c:pt>
                <c:pt idx="2491">
                  <c:v>5097</c:v>
                </c:pt>
                <c:pt idx="2492">
                  <c:v>5097</c:v>
                </c:pt>
                <c:pt idx="2493">
                  <c:v>5097</c:v>
                </c:pt>
                <c:pt idx="2494">
                  <c:v>5098</c:v>
                </c:pt>
                <c:pt idx="2495">
                  <c:v>5098</c:v>
                </c:pt>
                <c:pt idx="2496">
                  <c:v>5099</c:v>
                </c:pt>
                <c:pt idx="2497">
                  <c:v>5099</c:v>
                </c:pt>
                <c:pt idx="2498">
                  <c:v>5099</c:v>
                </c:pt>
                <c:pt idx="2499">
                  <c:v>5099</c:v>
                </c:pt>
                <c:pt idx="2500">
                  <c:v>5099</c:v>
                </c:pt>
                <c:pt idx="2501">
                  <c:v>5100</c:v>
                </c:pt>
                <c:pt idx="2502">
                  <c:v>5100</c:v>
                </c:pt>
                <c:pt idx="2503">
                  <c:v>5100</c:v>
                </c:pt>
                <c:pt idx="2504">
                  <c:v>5100</c:v>
                </c:pt>
                <c:pt idx="2505">
                  <c:v>5102</c:v>
                </c:pt>
                <c:pt idx="2506">
                  <c:v>5102</c:v>
                </c:pt>
                <c:pt idx="2507">
                  <c:v>5102</c:v>
                </c:pt>
                <c:pt idx="2508">
                  <c:v>5102</c:v>
                </c:pt>
                <c:pt idx="2509">
                  <c:v>5103</c:v>
                </c:pt>
                <c:pt idx="2510">
                  <c:v>5103</c:v>
                </c:pt>
                <c:pt idx="2511">
                  <c:v>5103</c:v>
                </c:pt>
                <c:pt idx="2512">
                  <c:v>5103</c:v>
                </c:pt>
                <c:pt idx="2513">
                  <c:v>5103</c:v>
                </c:pt>
                <c:pt idx="2514">
                  <c:v>5103</c:v>
                </c:pt>
                <c:pt idx="2515">
                  <c:v>5105</c:v>
                </c:pt>
                <c:pt idx="2516">
                  <c:v>5106</c:v>
                </c:pt>
                <c:pt idx="2517">
                  <c:v>5106</c:v>
                </c:pt>
                <c:pt idx="2518">
                  <c:v>5106</c:v>
                </c:pt>
                <c:pt idx="2519">
                  <c:v>5106</c:v>
                </c:pt>
                <c:pt idx="2520">
                  <c:v>5106</c:v>
                </c:pt>
                <c:pt idx="2521">
                  <c:v>5106</c:v>
                </c:pt>
                <c:pt idx="2522">
                  <c:v>5106</c:v>
                </c:pt>
                <c:pt idx="2523">
                  <c:v>5106</c:v>
                </c:pt>
                <c:pt idx="2524">
                  <c:v>5109</c:v>
                </c:pt>
                <c:pt idx="2525">
                  <c:v>5109</c:v>
                </c:pt>
                <c:pt idx="2526">
                  <c:v>5109</c:v>
                </c:pt>
                <c:pt idx="2527">
                  <c:v>5109</c:v>
                </c:pt>
                <c:pt idx="2528">
                  <c:v>5110</c:v>
                </c:pt>
                <c:pt idx="2529">
                  <c:v>5110</c:v>
                </c:pt>
                <c:pt idx="2530">
                  <c:v>5110</c:v>
                </c:pt>
                <c:pt idx="2531">
                  <c:v>5110</c:v>
                </c:pt>
                <c:pt idx="2532">
                  <c:v>5111</c:v>
                </c:pt>
                <c:pt idx="2533">
                  <c:v>5111</c:v>
                </c:pt>
                <c:pt idx="2534">
                  <c:v>5111</c:v>
                </c:pt>
                <c:pt idx="2535">
                  <c:v>5112</c:v>
                </c:pt>
                <c:pt idx="2536">
                  <c:v>5112</c:v>
                </c:pt>
                <c:pt idx="2537">
                  <c:v>5112</c:v>
                </c:pt>
                <c:pt idx="2538">
                  <c:v>5112</c:v>
                </c:pt>
                <c:pt idx="2539">
                  <c:v>5111</c:v>
                </c:pt>
                <c:pt idx="2540">
                  <c:v>5111</c:v>
                </c:pt>
                <c:pt idx="2541">
                  <c:v>5111</c:v>
                </c:pt>
                <c:pt idx="2542">
                  <c:v>5111</c:v>
                </c:pt>
                <c:pt idx="2543">
                  <c:v>5111</c:v>
                </c:pt>
                <c:pt idx="2544">
                  <c:v>5111</c:v>
                </c:pt>
                <c:pt idx="2545">
                  <c:v>5111</c:v>
                </c:pt>
                <c:pt idx="2546">
                  <c:v>5111</c:v>
                </c:pt>
                <c:pt idx="2547">
                  <c:v>5111</c:v>
                </c:pt>
                <c:pt idx="2548">
                  <c:v>5111</c:v>
                </c:pt>
                <c:pt idx="2549">
                  <c:v>5111</c:v>
                </c:pt>
                <c:pt idx="2550">
                  <c:v>5111</c:v>
                </c:pt>
                <c:pt idx="2551">
                  <c:v>5111</c:v>
                </c:pt>
                <c:pt idx="2552">
                  <c:v>5111</c:v>
                </c:pt>
                <c:pt idx="2553">
                  <c:v>5111</c:v>
                </c:pt>
                <c:pt idx="2554">
                  <c:v>5112</c:v>
                </c:pt>
                <c:pt idx="2555">
                  <c:v>5112</c:v>
                </c:pt>
                <c:pt idx="2556">
                  <c:v>5112</c:v>
                </c:pt>
                <c:pt idx="2557">
                  <c:v>5112</c:v>
                </c:pt>
                <c:pt idx="2558">
                  <c:v>5112</c:v>
                </c:pt>
                <c:pt idx="2559">
                  <c:v>5112</c:v>
                </c:pt>
                <c:pt idx="2560">
                  <c:v>5112</c:v>
                </c:pt>
                <c:pt idx="2561">
                  <c:v>5112</c:v>
                </c:pt>
                <c:pt idx="2562">
                  <c:v>5114</c:v>
                </c:pt>
                <c:pt idx="2563">
                  <c:v>5114</c:v>
                </c:pt>
                <c:pt idx="2564">
                  <c:v>5114</c:v>
                </c:pt>
                <c:pt idx="2565">
                  <c:v>5114</c:v>
                </c:pt>
                <c:pt idx="2566">
                  <c:v>5114</c:v>
                </c:pt>
                <c:pt idx="2567">
                  <c:v>5114</c:v>
                </c:pt>
                <c:pt idx="2568">
                  <c:v>5114</c:v>
                </c:pt>
                <c:pt idx="2569">
                  <c:v>5114</c:v>
                </c:pt>
                <c:pt idx="2570">
                  <c:v>5115</c:v>
                </c:pt>
                <c:pt idx="2571">
                  <c:v>5115</c:v>
                </c:pt>
                <c:pt idx="2572">
                  <c:v>5116</c:v>
                </c:pt>
                <c:pt idx="2573">
                  <c:v>5117</c:v>
                </c:pt>
                <c:pt idx="2574">
                  <c:v>5117</c:v>
                </c:pt>
                <c:pt idx="2575">
                  <c:v>5117</c:v>
                </c:pt>
                <c:pt idx="2576">
                  <c:v>5117</c:v>
                </c:pt>
                <c:pt idx="2577">
                  <c:v>5118</c:v>
                </c:pt>
                <c:pt idx="2578">
                  <c:v>5118</c:v>
                </c:pt>
                <c:pt idx="2579">
                  <c:v>5118</c:v>
                </c:pt>
                <c:pt idx="2580">
                  <c:v>5118</c:v>
                </c:pt>
                <c:pt idx="2581">
                  <c:v>5118</c:v>
                </c:pt>
                <c:pt idx="2582">
                  <c:v>5119</c:v>
                </c:pt>
                <c:pt idx="2583">
                  <c:v>5119</c:v>
                </c:pt>
                <c:pt idx="2584">
                  <c:v>5120</c:v>
                </c:pt>
                <c:pt idx="2585">
                  <c:v>5120</c:v>
                </c:pt>
                <c:pt idx="2586">
                  <c:v>5120</c:v>
                </c:pt>
                <c:pt idx="2587">
                  <c:v>5120</c:v>
                </c:pt>
                <c:pt idx="2588">
                  <c:v>5120</c:v>
                </c:pt>
                <c:pt idx="2589">
                  <c:v>5120</c:v>
                </c:pt>
                <c:pt idx="2590">
                  <c:v>5120</c:v>
                </c:pt>
                <c:pt idx="2591">
                  <c:v>5120</c:v>
                </c:pt>
                <c:pt idx="2592">
                  <c:v>5123</c:v>
                </c:pt>
                <c:pt idx="2593">
                  <c:v>5123</c:v>
                </c:pt>
                <c:pt idx="2594">
                  <c:v>5123</c:v>
                </c:pt>
                <c:pt idx="2595">
                  <c:v>5123</c:v>
                </c:pt>
                <c:pt idx="2596">
                  <c:v>5124</c:v>
                </c:pt>
                <c:pt idx="2597">
                  <c:v>5124</c:v>
                </c:pt>
                <c:pt idx="2598">
                  <c:v>5124</c:v>
                </c:pt>
                <c:pt idx="2599">
                  <c:v>5124</c:v>
                </c:pt>
                <c:pt idx="2600">
                  <c:v>5125</c:v>
                </c:pt>
                <c:pt idx="2601">
                  <c:v>5125</c:v>
                </c:pt>
                <c:pt idx="2602">
                  <c:v>5126</c:v>
                </c:pt>
                <c:pt idx="2603">
                  <c:v>5127</c:v>
                </c:pt>
                <c:pt idx="2604">
                  <c:v>5127</c:v>
                </c:pt>
                <c:pt idx="2605">
                  <c:v>5127</c:v>
                </c:pt>
                <c:pt idx="2606">
                  <c:v>5127</c:v>
                </c:pt>
                <c:pt idx="2607">
                  <c:v>5128</c:v>
                </c:pt>
                <c:pt idx="2608">
                  <c:v>5128</c:v>
                </c:pt>
                <c:pt idx="2609">
                  <c:v>5128</c:v>
                </c:pt>
                <c:pt idx="2610">
                  <c:v>5128</c:v>
                </c:pt>
                <c:pt idx="2611">
                  <c:v>5128</c:v>
                </c:pt>
                <c:pt idx="2612">
                  <c:v>5130</c:v>
                </c:pt>
                <c:pt idx="2613">
                  <c:v>5130</c:v>
                </c:pt>
                <c:pt idx="2614">
                  <c:v>5131</c:v>
                </c:pt>
                <c:pt idx="2615">
                  <c:v>5131</c:v>
                </c:pt>
                <c:pt idx="2616">
                  <c:v>5131</c:v>
                </c:pt>
                <c:pt idx="2617">
                  <c:v>5131</c:v>
                </c:pt>
                <c:pt idx="2618">
                  <c:v>5131</c:v>
                </c:pt>
                <c:pt idx="2619">
                  <c:v>5131</c:v>
                </c:pt>
                <c:pt idx="2620">
                  <c:v>5131</c:v>
                </c:pt>
                <c:pt idx="2621">
                  <c:v>5131</c:v>
                </c:pt>
                <c:pt idx="2622">
                  <c:v>5134</c:v>
                </c:pt>
                <c:pt idx="2623">
                  <c:v>5134</c:v>
                </c:pt>
                <c:pt idx="2624">
                  <c:v>5134</c:v>
                </c:pt>
                <c:pt idx="2625">
                  <c:v>5134</c:v>
                </c:pt>
                <c:pt idx="2626">
                  <c:v>5133</c:v>
                </c:pt>
                <c:pt idx="2627">
                  <c:v>5133</c:v>
                </c:pt>
                <c:pt idx="2628">
                  <c:v>5133</c:v>
                </c:pt>
                <c:pt idx="2629">
                  <c:v>5133</c:v>
                </c:pt>
                <c:pt idx="2630">
                  <c:v>5133</c:v>
                </c:pt>
                <c:pt idx="2631">
                  <c:v>5133</c:v>
                </c:pt>
                <c:pt idx="2632">
                  <c:v>5133</c:v>
                </c:pt>
                <c:pt idx="2633">
                  <c:v>5133</c:v>
                </c:pt>
                <c:pt idx="2634">
                  <c:v>5133</c:v>
                </c:pt>
                <c:pt idx="2635">
                  <c:v>5133</c:v>
                </c:pt>
                <c:pt idx="2636">
                  <c:v>5133</c:v>
                </c:pt>
                <c:pt idx="2637">
                  <c:v>5132</c:v>
                </c:pt>
                <c:pt idx="2638">
                  <c:v>5132</c:v>
                </c:pt>
                <c:pt idx="2639">
                  <c:v>5132</c:v>
                </c:pt>
                <c:pt idx="2640">
                  <c:v>5132</c:v>
                </c:pt>
                <c:pt idx="2641">
                  <c:v>5132</c:v>
                </c:pt>
                <c:pt idx="2642">
                  <c:v>5132</c:v>
                </c:pt>
                <c:pt idx="2643">
                  <c:v>5133</c:v>
                </c:pt>
                <c:pt idx="2644">
                  <c:v>5134</c:v>
                </c:pt>
                <c:pt idx="2645">
                  <c:v>5134</c:v>
                </c:pt>
                <c:pt idx="2646">
                  <c:v>5134</c:v>
                </c:pt>
                <c:pt idx="2647">
                  <c:v>5134</c:v>
                </c:pt>
                <c:pt idx="2648">
                  <c:v>5134</c:v>
                </c:pt>
                <c:pt idx="2649">
                  <c:v>5134</c:v>
                </c:pt>
                <c:pt idx="2650">
                  <c:v>5134</c:v>
                </c:pt>
                <c:pt idx="2651">
                  <c:v>5134</c:v>
                </c:pt>
                <c:pt idx="2652">
                  <c:v>5134</c:v>
                </c:pt>
                <c:pt idx="2653">
                  <c:v>5135</c:v>
                </c:pt>
                <c:pt idx="2654">
                  <c:v>5136</c:v>
                </c:pt>
                <c:pt idx="2655">
                  <c:v>5136</c:v>
                </c:pt>
                <c:pt idx="2656">
                  <c:v>5136</c:v>
                </c:pt>
                <c:pt idx="2657">
                  <c:v>5137</c:v>
                </c:pt>
                <c:pt idx="2658">
                  <c:v>5137</c:v>
                </c:pt>
                <c:pt idx="2659">
                  <c:v>5137</c:v>
                </c:pt>
                <c:pt idx="2660">
                  <c:v>5137</c:v>
                </c:pt>
                <c:pt idx="2661">
                  <c:v>5137</c:v>
                </c:pt>
                <c:pt idx="2662">
                  <c:v>5137</c:v>
                </c:pt>
                <c:pt idx="2663">
                  <c:v>5137</c:v>
                </c:pt>
                <c:pt idx="2664">
                  <c:v>5137</c:v>
                </c:pt>
                <c:pt idx="2665">
                  <c:v>5139</c:v>
                </c:pt>
                <c:pt idx="2666">
                  <c:v>5139</c:v>
                </c:pt>
                <c:pt idx="2667">
                  <c:v>5139</c:v>
                </c:pt>
                <c:pt idx="2668">
                  <c:v>5140</c:v>
                </c:pt>
                <c:pt idx="2669">
                  <c:v>5140</c:v>
                </c:pt>
                <c:pt idx="2670">
                  <c:v>5140</c:v>
                </c:pt>
                <c:pt idx="2671">
                  <c:v>5140</c:v>
                </c:pt>
                <c:pt idx="2672">
                  <c:v>5141</c:v>
                </c:pt>
                <c:pt idx="2673">
                  <c:v>5141</c:v>
                </c:pt>
                <c:pt idx="2674">
                  <c:v>5142</c:v>
                </c:pt>
                <c:pt idx="2675">
                  <c:v>5142</c:v>
                </c:pt>
                <c:pt idx="2676">
                  <c:v>5143</c:v>
                </c:pt>
                <c:pt idx="2677">
                  <c:v>5143</c:v>
                </c:pt>
                <c:pt idx="2678">
                  <c:v>5143</c:v>
                </c:pt>
                <c:pt idx="2679">
                  <c:v>5143</c:v>
                </c:pt>
                <c:pt idx="2680">
                  <c:v>5144</c:v>
                </c:pt>
                <c:pt idx="2681">
                  <c:v>5144</c:v>
                </c:pt>
                <c:pt idx="2682">
                  <c:v>5144</c:v>
                </c:pt>
                <c:pt idx="2683">
                  <c:v>5144</c:v>
                </c:pt>
                <c:pt idx="2684">
                  <c:v>5146</c:v>
                </c:pt>
                <c:pt idx="2685">
                  <c:v>5146</c:v>
                </c:pt>
                <c:pt idx="2686">
                  <c:v>5146</c:v>
                </c:pt>
                <c:pt idx="2687">
                  <c:v>5147</c:v>
                </c:pt>
                <c:pt idx="2688">
                  <c:v>5147</c:v>
                </c:pt>
                <c:pt idx="2689">
                  <c:v>5147</c:v>
                </c:pt>
                <c:pt idx="2690">
                  <c:v>5147</c:v>
                </c:pt>
                <c:pt idx="2691">
                  <c:v>5147</c:v>
                </c:pt>
                <c:pt idx="2692">
                  <c:v>5147</c:v>
                </c:pt>
                <c:pt idx="2693">
                  <c:v>5147</c:v>
                </c:pt>
                <c:pt idx="2694">
                  <c:v>5147</c:v>
                </c:pt>
                <c:pt idx="2695">
                  <c:v>5150</c:v>
                </c:pt>
                <c:pt idx="2696">
                  <c:v>5150</c:v>
                </c:pt>
                <c:pt idx="2697">
                  <c:v>5150</c:v>
                </c:pt>
                <c:pt idx="2698">
                  <c:v>5150</c:v>
                </c:pt>
                <c:pt idx="2699">
                  <c:v>5151</c:v>
                </c:pt>
                <c:pt idx="2700">
                  <c:v>5151</c:v>
                </c:pt>
                <c:pt idx="2701">
                  <c:v>5151</c:v>
                </c:pt>
                <c:pt idx="2702">
                  <c:v>5151</c:v>
                </c:pt>
                <c:pt idx="2703">
                  <c:v>5152</c:v>
                </c:pt>
                <c:pt idx="2704">
                  <c:v>5152</c:v>
                </c:pt>
                <c:pt idx="2705">
                  <c:v>5152</c:v>
                </c:pt>
                <c:pt idx="2706">
                  <c:v>5153</c:v>
                </c:pt>
                <c:pt idx="2707">
                  <c:v>5154</c:v>
                </c:pt>
                <c:pt idx="2708">
                  <c:v>5154</c:v>
                </c:pt>
                <c:pt idx="2709">
                  <c:v>5154</c:v>
                </c:pt>
                <c:pt idx="2710">
                  <c:v>5154</c:v>
                </c:pt>
                <c:pt idx="2711">
                  <c:v>5155</c:v>
                </c:pt>
                <c:pt idx="2712">
                  <c:v>5155</c:v>
                </c:pt>
                <c:pt idx="2713">
                  <c:v>5155</c:v>
                </c:pt>
                <c:pt idx="2714">
                  <c:v>5155</c:v>
                </c:pt>
                <c:pt idx="2715">
                  <c:v>5155</c:v>
                </c:pt>
                <c:pt idx="2716">
                  <c:v>5155</c:v>
                </c:pt>
                <c:pt idx="2717">
                  <c:v>5157</c:v>
                </c:pt>
                <c:pt idx="2718">
                  <c:v>5158</c:v>
                </c:pt>
                <c:pt idx="2719">
                  <c:v>5158</c:v>
                </c:pt>
                <c:pt idx="2720">
                  <c:v>5158</c:v>
                </c:pt>
                <c:pt idx="2721">
                  <c:v>5158</c:v>
                </c:pt>
                <c:pt idx="2722">
                  <c:v>5158</c:v>
                </c:pt>
                <c:pt idx="2723">
                  <c:v>5158</c:v>
                </c:pt>
                <c:pt idx="2724">
                  <c:v>5158</c:v>
                </c:pt>
                <c:pt idx="2725">
                  <c:v>5158</c:v>
                </c:pt>
                <c:pt idx="2726">
                  <c:v>5158</c:v>
                </c:pt>
                <c:pt idx="2727">
                  <c:v>5161</c:v>
                </c:pt>
                <c:pt idx="2728">
                  <c:v>5161</c:v>
                </c:pt>
                <c:pt idx="2729">
                  <c:v>5161</c:v>
                </c:pt>
                <c:pt idx="2730">
                  <c:v>5162</c:v>
                </c:pt>
                <c:pt idx="2731">
                  <c:v>5162</c:v>
                </c:pt>
                <c:pt idx="2732">
                  <c:v>5162</c:v>
                </c:pt>
                <c:pt idx="2733">
                  <c:v>5162</c:v>
                </c:pt>
                <c:pt idx="2734">
                  <c:v>5164</c:v>
                </c:pt>
                <c:pt idx="2735">
                  <c:v>5164</c:v>
                </c:pt>
                <c:pt idx="2736">
                  <c:v>5164</c:v>
                </c:pt>
                <c:pt idx="2737">
                  <c:v>5164</c:v>
                </c:pt>
                <c:pt idx="2738">
                  <c:v>5165</c:v>
                </c:pt>
                <c:pt idx="2739">
                  <c:v>5165</c:v>
                </c:pt>
                <c:pt idx="2740">
                  <c:v>5165</c:v>
                </c:pt>
                <c:pt idx="2741">
                  <c:v>5166</c:v>
                </c:pt>
                <c:pt idx="2742">
                  <c:v>5166</c:v>
                </c:pt>
                <c:pt idx="2743">
                  <c:v>5166</c:v>
                </c:pt>
                <c:pt idx="2744">
                  <c:v>5166</c:v>
                </c:pt>
                <c:pt idx="2745">
                  <c:v>5166</c:v>
                </c:pt>
                <c:pt idx="2746">
                  <c:v>5166</c:v>
                </c:pt>
                <c:pt idx="2747">
                  <c:v>5166</c:v>
                </c:pt>
                <c:pt idx="2748">
                  <c:v>5169</c:v>
                </c:pt>
                <c:pt idx="2749">
                  <c:v>5169</c:v>
                </c:pt>
                <c:pt idx="2750">
                  <c:v>5169</c:v>
                </c:pt>
                <c:pt idx="2751">
                  <c:v>5169</c:v>
                </c:pt>
                <c:pt idx="2752">
                  <c:v>5169</c:v>
                </c:pt>
                <c:pt idx="2753">
                  <c:v>5170</c:v>
                </c:pt>
                <c:pt idx="2754">
                  <c:v>5170</c:v>
                </c:pt>
                <c:pt idx="2755">
                  <c:v>5170</c:v>
                </c:pt>
                <c:pt idx="2756">
                  <c:v>5170</c:v>
                </c:pt>
                <c:pt idx="2757">
                  <c:v>5171</c:v>
                </c:pt>
                <c:pt idx="2758">
                  <c:v>5172</c:v>
                </c:pt>
                <c:pt idx="2759">
                  <c:v>5172</c:v>
                </c:pt>
                <c:pt idx="2760">
                  <c:v>5173</c:v>
                </c:pt>
                <c:pt idx="2761">
                  <c:v>5173</c:v>
                </c:pt>
                <c:pt idx="2762">
                  <c:v>5173</c:v>
                </c:pt>
                <c:pt idx="2763">
                  <c:v>5173</c:v>
                </c:pt>
                <c:pt idx="2764">
                  <c:v>5174</c:v>
                </c:pt>
                <c:pt idx="2765">
                  <c:v>5174</c:v>
                </c:pt>
                <c:pt idx="2766">
                  <c:v>5174</c:v>
                </c:pt>
                <c:pt idx="2767">
                  <c:v>5174</c:v>
                </c:pt>
                <c:pt idx="2768">
                  <c:v>5174</c:v>
                </c:pt>
                <c:pt idx="2769">
                  <c:v>5174</c:v>
                </c:pt>
                <c:pt idx="2770">
                  <c:v>5176</c:v>
                </c:pt>
                <c:pt idx="2771">
                  <c:v>5176</c:v>
                </c:pt>
                <c:pt idx="2772">
                  <c:v>5178</c:v>
                </c:pt>
                <c:pt idx="2773">
                  <c:v>5178</c:v>
                </c:pt>
                <c:pt idx="2774">
                  <c:v>5178</c:v>
                </c:pt>
                <c:pt idx="2775">
                  <c:v>5178</c:v>
                </c:pt>
                <c:pt idx="2776">
                  <c:v>5178</c:v>
                </c:pt>
                <c:pt idx="2777">
                  <c:v>5178</c:v>
                </c:pt>
                <c:pt idx="2778">
                  <c:v>5178</c:v>
                </c:pt>
                <c:pt idx="2779">
                  <c:v>5178</c:v>
                </c:pt>
                <c:pt idx="2780">
                  <c:v>5178</c:v>
                </c:pt>
                <c:pt idx="2781">
                  <c:v>5180</c:v>
                </c:pt>
                <c:pt idx="2782">
                  <c:v>5180</c:v>
                </c:pt>
                <c:pt idx="2783">
                  <c:v>5181</c:v>
                </c:pt>
                <c:pt idx="2784">
                  <c:v>5181</c:v>
                </c:pt>
                <c:pt idx="2785">
                  <c:v>5181</c:v>
                </c:pt>
                <c:pt idx="2786">
                  <c:v>5181</c:v>
                </c:pt>
                <c:pt idx="2787">
                  <c:v>5182</c:v>
                </c:pt>
                <c:pt idx="2788">
                  <c:v>5182</c:v>
                </c:pt>
                <c:pt idx="2789">
                  <c:v>5182</c:v>
                </c:pt>
                <c:pt idx="2790">
                  <c:v>5181</c:v>
                </c:pt>
                <c:pt idx="2791">
                  <c:v>5181</c:v>
                </c:pt>
                <c:pt idx="2792">
                  <c:v>5181</c:v>
                </c:pt>
                <c:pt idx="2793">
                  <c:v>5181</c:v>
                </c:pt>
                <c:pt idx="2794">
                  <c:v>5181</c:v>
                </c:pt>
                <c:pt idx="2795">
                  <c:v>5181</c:v>
                </c:pt>
                <c:pt idx="2796">
                  <c:v>5181</c:v>
                </c:pt>
                <c:pt idx="2797">
                  <c:v>5181</c:v>
                </c:pt>
                <c:pt idx="2798">
                  <c:v>5181</c:v>
                </c:pt>
                <c:pt idx="2799">
                  <c:v>5181</c:v>
                </c:pt>
                <c:pt idx="2800">
                  <c:v>5181</c:v>
                </c:pt>
                <c:pt idx="2801">
                  <c:v>5181</c:v>
                </c:pt>
                <c:pt idx="2802">
                  <c:v>5182</c:v>
                </c:pt>
                <c:pt idx="2803">
                  <c:v>5182</c:v>
                </c:pt>
                <c:pt idx="2804">
                  <c:v>5182</c:v>
                </c:pt>
                <c:pt idx="2805">
                  <c:v>5182</c:v>
                </c:pt>
                <c:pt idx="2806">
                  <c:v>5182</c:v>
                </c:pt>
                <c:pt idx="2807">
                  <c:v>5182</c:v>
                </c:pt>
                <c:pt idx="2808">
                  <c:v>5182</c:v>
                </c:pt>
                <c:pt idx="2809">
                  <c:v>5182</c:v>
                </c:pt>
                <c:pt idx="2810">
                  <c:v>5182</c:v>
                </c:pt>
                <c:pt idx="2811">
                  <c:v>5182</c:v>
                </c:pt>
                <c:pt idx="2812">
                  <c:v>5184</c:v>
                </c:pt>
                <c:pt idx="2813">
                  <c:v>5184</c:v>
                </c:pt>
                <c:pt idx="2814">
                  <c:v>5184</c:v>
                </c:pt>
                <c:pt idx="2815">
                  <c:v>5184</c:v>
                </c:pt>
                <c:pt idx="2816">
                  <c:v>5184</c:v>
                </c:pt>
                <c:pt idx="2817">
                  <c:v>5185</c:v>
                </c:pt>
                <c:pt idx="2818">
                  <c:v>5185</c:v>
                </c:pt>
                <c:pt idx="2819">
                  <c:v>5185</c:v>
                </c:pt>
                <c:pt idx="2820">
                  <c:v>5185</c:v>
                </c:pt>
                <c:pt idx="2821">
                  <c:v>5186</c:v>
                </c:pt>
                <c:pt idx="2822">
                  <c:v>5186</c:v>
                </c:pt>
                <c:pt idx="2823">
                  <c:v>5187</c:v>
                </c:pt>
                <c:pt idx="2824">
                  <c:v>5188</c:v>
                </c:pt>
                <c:pt idx="2825">
                  <c:v>5188</c:v>
                </c:pt>
                <c:pt idx="2826">
                  <c:v>5188</c:v>
                </c:pt>
                <c:pt idx="2827">
                  <c:v>5188</c:v>
                </c:pt>
                <c:pt idx="2828">
                  <c:v>5189</c:v>
                </c:pt>
                <c:pt idx="2829">
                  <c:v>5189</c:v>
                </c:pt>
                <c:pt idx="2830">
                  <c:v>5189</c:v>
                </c:pt>
                <c:pt idx="2831">
                  <c:v>5189</c:v>
                </c:pt>
                <c:pt idx="2832">
                  <c:v>5189</c:v>
                </c:pt>
                <c:pt idx="2833">
                  <c:v>5189</c:v>
                </c:pt>
                <c:pt idx="2834">
                  <c:v>5189</c:v>
                </c:pt>
                <c:pt idx="2835">
                  <c:v>5192</c:v>
                </c:pt>
                <c:pt idx="2836">
                  <c:v>5192</c:v>
                </c:pt>
                <c:pt idx="2837">
                  <c:v>5192</c:v>
                </c:pt>
                <c:pt idx="2838">
                  <c:v>5192</c:v>
                </c:pt>
                <c:pt idx="2839">
                  <c:v>5193</c:v>
                </c:pt>
                <c:pt idx="2840">
                  <c:v>5193</c:v>
                </c:pt>
                <c:pt idx="2841">
                  <c:v>5193</c:v>
                </c:pt>
                <c:pt idx="2842">
                  <c:v>5193</c:v>
                </c:pt>
                <c:pt idx="2843">
                  <c:v>5194</c:v>
                </c:pt>
                <c:pt idx="2844">
                  <c:v>5194</c:v>
                </c:pt>
                <c:pt idx="2845">
                  <c:v>5194</c:v>
                </c:pt>
                <c:pt idx="2846">
                  <c:v>5196</c:v>
                </c:pt>
                <c:pt idx="2847">
                  <c:v>5196</c:v>
                </c:pt>
                <c:pt idx="2848">
                  <c:v>5196</c:v>
                </c:pt>
                <c:pt idx="2849">
                  <c:v>5196</c:v>
                </c:pt>
                <c:pt idx="2850">
                  <c:v>5197</c:v>
                </c:pt>
                <c:pt idx="2851">
                  <c:v>5197</c:v>
                </c:pt>
                <c:pt idx="2852">
                  <c:v>5197</c:v>
                </c:pt>
                <c:pt idx="2853">
                  <c:v>5197</c:v>
                </c:pt>
                <c:pt idx="2854">
                  <c:v>5197</c:v>
                </c:pt>
                <c:pt idx="2855">
                  <c:v>5197</c:v>
                </c:pt>
                <c:pt idx="2856">
                  <c:v>5197</c:v>
                </c:pt>
                <c:pt idx="2857">
                  <c:v>5197</c:v>
                </c:pt>
                <c:pt idx="2858">
                  <c:v>5200</c:v>
                </c:pt>
                <c:pt idx="2859">
                  <c:v>5200</c:v>
                </c:pt>
                <c:pt idx="2860">
                  <c:v>5200</c:v>
                </c:pt>
                <c:pt idx="2861">
                  <c:v>5200</c:v>
                </c:pt>
                <c:pt idx="2862">
                  <c:v>5202</c:v>
                </c:pt>
                <c:pt idx="2863">
                  <c:v>5202</c:v>
                </c:pt>
                <c:pt idx="2864">
                  <c:v>5202</c:v>
                </c:pt>
                <c:pt idx="2865">
                  <c:v>5202</c:v>
                </c:pt>
                <c:pt idx="2866">
                  <c:v>5202</c:v>
                </c:pt>
                <c:pt idx="2867">
                  <c:v>5202</c:v>
                </c:pt>
                <c:pt idx="2868">
                  <c:v>5202</c:v>
                </c:pt>
                <c:pt idx="2869">
                  <c:v>5202</c:v>
                </c:pt>
                <c:pt idx="2870">
                  <c:v>5205</c:v>
                </c:pt>
                <c:pt idx="2871">
                  <c:v>5205</c:v>
                </c:pt>
                <c:pt idx="2872">
                  <c:v>5205</c:v>
                </c:pt>
                <c:pt idx="2873">
                  <c:v>5205</c:v>
                </c:pt>
                <c:pt idx="2874">
                  <c:v>5206</c:v>
                </c:pt>
                <c:pt idx="2875">
                  <c:v>5206</c:v>
                </c:pt>
                <c:pt idx="2876">
                  <c:v>5206</c:v>
                </c:pt>
                <c:pt idx="2877">
                  <c:v>5206</c:v>
                </c:pt>
                <c:pt idx="2878">
                  <c:v>5206</c:v>
                </c:pt>
                <c:pt idx="2879">
                  <c:v>5206</c:v>
                </c:pt>
                <c:pt idx="2880">
                  <c:v>5206</c:v>
                </c:pt>
                <c:pt idx="2881">
                  <c:v>5206</c:v>
                </c:pt>
                <c:pt idx="2882">
                  <c:v>5209</c:v>
                </c:pt>
                <c:pt idx="2883">
                  <c:v>5209</c:v>
                </c:pt>
                <c:pt idx="2884">
                  <c:v>5209</c:v>
                </c:pt>
                <c:pt idx="2885">
                  <c:v>5209</c:v>
                </c:pt>
                <c:pt idx="2886">
                  <c:v>5210</c:v>
                </c:pt>
                <c:pt idx="2887">
                  <c:v>5210</c:v>
                </c:pt>
                <c:pt idx="2888">
                  <c:v>5210</c:v>
                </c:pt>
                <c:pt idx="2889">
                  <c:v>5210</c:v>
                </c:pt>
                <c:pt idx="2890">
                  <c:v>5211</c:v>
                </c:pt>
                <c:pt idx="2891">
                  <c:v>5211</c:v>
                </c:pt>
                <c:pt idx="2892">
                  <c:v>5211</c:v>
                </c:pt>
                <c:pt idx="2893">
                  <c:v>5211</c:v>
                </c:pt>
                <c:pt idx="2894">
                  <c:v>5213</c:v>
                </c:pt>
                <c:pt idx="2895">
                  <c:v>5213</c:v>
                </c:pt>
                <c:pt idx="2896">
                  <c:v>5213</c:v>
                </c:pt>
                <c:pt idx="2897">
                  <c:v>5214</c:v>
                </c:pt>
                <c:pt idx="2898">
                  <c:v>5214</c:v>
                </c:pt>
                <c:pt idx="2899">
                  <c:v>5214</c:v>
                </c:pt>
                <c:pt idx="2900">
                  <c:v>5214</c:v>
                </c:pt>
                <c:pt idx="2901">
                  <c:v>5214</c:v>
                </c:pt>
                <c:pt idx="2902">
                  <c:v>5214</c:v>
                </c:pt>
                <c:pt idx="2903">
                  <c:v>5214</c:v>
                </c:pt>
                <c:pt idx="2904">
                  <c:v>5214</c:v>
                </c:pt>
                <c:pt idx="2905">
                  <c:v>5218</c:v>
                </c:pt>
                <c:pt idx="2906">
                  <c:v>5218</c:v>
                </c:pt>
                <c:pt idx="2907">
                  <c:v>5218</c:v>
                </c:pt>
                <c:pt idx="2908">
                  <c:v>5219</c:v>
                </c:pt>
                <c:pt idx="2909">
                  <c:v>5219</c:v>
                </c:pt>
                <c:pt idx="2910">
                  <c:v>5219</c:v>
                </c:pt>
                <c:pt idx="2911">
                  <c:v>5219</c:v>
                </c:pt>
                <c:pt idx="2912">
                  <c:v>5219</c:v>
                </c:pt>
                <c:pt idx="2913">
                  <c:v>5219</c:v>
                </c:pt>
                <c:pt idx="2914">
                  <c:v>5219</c:v>
                </c:pt>
                <c:pt idx="2915">
                  <c:v>5219</c:v>
                </c:pt>
                <c:pt idx="2916">
                  <c:v>5219</c:v>
                </c:pt>
                <c:pt idx="2917">
                  <c:v>5222</c:v>
                </c:pt>
                <c:pt idx="2918">
                  <c:v>5222</c:v>
                </c:pt>
                <c:pt idx="2919">
                  <c:v>5222</c:v>
                </c:pt>
                <c:pt idx="2920">
                  <c:v>5223</c:v>
                </c:pt>
                <c:pt idx="2921">
                  <c:v>5223</c:v>
                </c:pt>
                <c:pt idx="2922">
                  <c:v>5223</c:v>
                </c:pt>
                <c:pt idx="2923">
                  <c:v>5223</c:v>
                </c:pt>
                <c:pt idx="2924">
                  <c:v>5224</c:v>
                </c:pt>
                <c:pt idx="2925">
                  <c:v>5224</c:v>
                </c:pt>
                <c:pt idx="2926">
                  <c:v>5224</c:v>
                </c:pt>
                <c:pt idx="2927">
                  <c:v>5224</c:v>
                </c:pt>
                <c:pt idx="2928">
                  <c:v>5226</c:v>
                </c:pt>
                <c:pt idx="2929">
                  <c:v>5226</c:v>
                </c:pt>
                <c:pt idx="2930">
                  <c:v>5226</c:v>
                </c:pt>
                <c:pt idx="2931">
                  <c:v>5226</c:v>
                </c:pt>
                <c:pt idx="2932">
                  <c:v>5227</c:v>
                </c:pt>
                <c:pt idx="2933">
                  <c:v>5227</c:v>
                </c:pt>
                <c:pt idx="2934">
                  <c:v>5227</c:v>
                </c:pt>
                <c:pt idx="2935">
                  <c:v>5227</c:v>
                </c:pt>
                <c:pt idx="2936">
                  <c:v>5229</c:v>
                </c:pt>
                <c:pt idx="2937">
                  <c:v>5229</c:v>
                </c:pt>
                <c:pt idx="2938">
                  <c:v>5229</c:v>
                </c:pt>
                <c:pt idx="2939">
                  <c:v>5231</c:v>
                </c:pt>
                <c:pt idx="2940">
                  <c:v>5231</c:v>
                </c:pt>
                <c:pt idx="2941">
                  <c:v>5231</c:v>
                </c:pt>
                <c:pt idx="2942">
                  <c:v>5232</c:v>
                </c:pt>
                <c:pt idx="2943">
                  <c:v>5232</c:v>
                </c:pt>
                <c:pt idx="2944">
                  <c:v>5232</c:v>
                </c:pt>
                <c:pt idx="2945">
                  <c:v>5232</c:v>
                </c:pt>
                <c:pt idx="2946">
                  <c:v>5232</c:v>
                </c:pt>
                <c:pt idx="2947">
                  <c:v>5232</c:v>
                </c:pt>
                <c:pt idx="2948">
                  <c:v>5232</c:v>
                </c:pt>
                <c:pt idx="2949">
                  <c:v>5232</c:v>
                </c:pt>
                <c:pt idx="2950">
                  <c:v>5235</c:v>
                </c:pt>
                <c:pt idx="2951">
                  <c:v>5235</c:v>
                </c:pt>
                <c:pt idx="2952">
                  <c:v>5235</c:v>
                </c:pt>
                <c:pt idx="2953">
                  <c:v>5236</c:v>
                </c:pt>
                <c:pt idx="2954">
                  <c:v>5236</c:v>
                </c:pt>
                <c:pt idx="2955">
                  <c:v>5236</c:v>
                </c:pt>
                <c:pt idx="2956">
                  <c:v>5236</c:v>
                </c:pt>
                <c:pt idx="2957">
                  <c:v>5235</c:v>
                </c:pt>
                <c:pt idx="2958">
                  <c:v>5235</c:v>
                </c:pt>
                <c:pt idx="2959">
                  <c:v>5235</c:v>
                </c:pt>
                <c:pt idx="2960">
                  <c:v>5235</c:v>
                </c:pt>
                <c:pt idx="2961">
                  <c:v>5235</c:v>
                </c:pt>
                <c:pt idx="2962">
                  <c:v>5235</c:v>
                </c:pt>
                <c:pt idx="2963">
                  <c:v>5235</c:v>
                </c:pt>
                <c:pt idx="2964">
                  <c:v>5235</c:v>
                </c:pt>
                <c:pt idx="2965">
                  <c:v>5235</c:v>
                </c:pt>
                <c:pt idx="2966">
                  <c:v>5235</c:v>
                </c:pt>
                <c:pt idx="2967">
                  <c:v>5235</c:v>
                </c:pt>
                <c:pt idx="2968">
                  <c:v>5235</c:v>
                </c:pt>
                <c:pt idx="2969">
                  <c:v>5235</c:v>
                </c:pt>
                <c:pt idx="2970">
                  <c:v>5235</c:v>
                </c:pt>
                <c:pt idx="2971">
                  <c:v>5235</c:v>
                </c:pt>
                <c:pt idx="2972">
                  <c:v>5235</c:v>
                </c:pt>
                <c:pt idx="2973">
                  <c:v>5236</c:v>
                </c:pt>
                <c:pt idx="2974">
                  <c:v>5236</c:v>
                </c:pt>
                <c:pt idx="2975">
                  <c:v>5236</c:v>
                </c:pt>
                <c:pt idx="2976">
                  <c:v>5237</c:v>
                </c:pt>
                <c:pt idx="2977">
                  <c:v>5237</c:v>
                </c:pt>
                <c:pt idx="2978">
                  <c:v>5237</c:v>
                </c:pt>
                <c:pt idx="2979">
                  <c:v>5237</c:v>
                </c:pt>
                <c:pt idx="2980">
                  <c:v>5238</c:v>
                </c:pt>
                <c:pt idx="2981">
                  <c:v>5238</c:v>
                </c:pt>
                <c:pt idx="2982">
                  <c:v>5238</c:v>
                </c:pt>
                <c:pt idx="2983">
                  <c:v>5238</c:v>
                </c:pt>
                <c:pt idx="2984">
                  <c:v>5238</c:v>
                </c:pt>
                <c:pt idx="2985">
                  <c:v>5238</c:v>
                </c:pt>
                <c:pt idx="2986">
                  <c:v>5238</c:v>
                </c:pt>
                <c:pt idx="2987">
                  <c:v>5238</c:v>
                </c:pt>
                <c:pt idx="2988">
                  <c:v>5238</c:v>
                </c:pt>
                <c:pt idx="2989">
                  <c:v>5240</c:v>
                </c:pt>
                <c:pt idx="2990">
                  <c:v>5240</c:v>
                </c:pt>
                <c:pt idx="2991">
                  <c:v>5240</c:v>
                </c:pt>
                <c:pt idx="2992">
                  <c:v>5241</c:v>
                </c:pt>
                <c:pt idx="2993">
                  <c:v>5241</c:v>
                </c:pt>
                <c:pt idx="2994">
                  <c:v>5241</c:v>
                </c:pt>
                <c:pt idx="2995">
                  <c:v>5241</c:v>
                </c:pt>
                <c:pt idx="2996">
                  <c:v>5242</c:v>
                </c:pt>
                <c:pt idx="2997">
                  <c:v>5242</c:v>
                </c:pt>
                <c:pt idx="2998">
                  <c:v>5242</c:v>
                </c:pt>
                <c:pt idx="2999">
                  <c:v>5242</c:v>
                </c:pt>
                <c:pt idx="3000">
                  <c:v>5242</c:v>
                </c:pt>
                <c:pt idx="3001">
                  <c:v>5244</c:v>
                </c:pt>
                <c:pt idx="3002">
                  <c:v>5246</c:v>
                </c:pt>
                <c:pt idx="3003">
                  <c:v>5246</c:v>
                </c:pt>
                <c:pt idx="3004">
                  <c:v>5246</c:v>
                </c:pt>
                <c:pt idx="3005">
                  <c:v>5246</c:v>
                </c:pt>
                <c:pt idx="3006">
                  <c:v>5246</c:v>
                </c:pt>
                <c:pt idx="3007">
                  <c:v>5246</c:v>
                </c:pt>
                <c:pt idx="3008">
                  <c:v>5246</c:v>
                </c:pt>
                <c:pt idx="3009">
                  <c:v>5246</c:v>
                </c:pt>
                <c:pt idx="3010">
                  <c:v>5246</c:v>
                </c:pt>
                <c:pt idx="3011">
                  <c:v>5248</c:v>
                </c:pt>
                <c:pt idx="3012">
                  <c:v>5248</c:v>
                </c:pt>
                <c:pt idx="3013">
                  <c:v>5249</c:v>
                </c:pt>
                <c:pt idx="3014">
                  <c:v>5250</c:v>
                </c:pt>
                <c:pt idx="3015">
                  <c:v>5250</c:v>
                </c:pt>
                <c:pt idx="3016">
                  <c:v>5250</c:v>
                </c:pt>
                <c:pt idx="3017">
                  <c:v>5251</c:v>
                </c:pt>
                <c:pt idx="3018">
                  <c:v>5251</c:v>
                </c:pt>
                <c:pt idx="3019">
                  <c:v>5251</c:v>
                </c:pt>
                <c:pt idx="3020">
                  <c:v>5251</c:v>
                </c:pt>
                <c:pt idx="3021">
                  <c:v>5251</c:v>
                </c:pt>
                <c:pt idx="3022">
                  <c:v>5251</c:v>
                </c:pt>
                <c:pt idx="3023">
                  <c:v>5251</c:v>
                </c:pt>
                <c:pt idx="3024">
                  <c:v>5254</c:v>
                </c:pt>
                <c:pt idx="3025">
                  <c:v>5254</c:v>
                </c:pt>
                <c:pt idx="3026">
                  <c:v>5254</c:v>
                </c:pt>
                <c:pt idx="3027">
                  <c:v>5254</c:v>
                </c:pt>
                <c:pt idx="3028">
                  <c:v>5255</c:v>
                </c:pt>
                <c:pt idx="3029">
                  <c:v>5255</c:v>
                </c:pt>
                <c:pt idx="3030">
                  <c:v>5255</c:v>
                </c:pt>
                <c:pt idx="3031">
                  <c:v>5255</c:v>
                </c:pt>
                <c:pt idx="3032">
                  <c:v>5255</c:v>
                </c:pt>
                <c:pt idx="3033">
                  <c:v>5255</c:v>
                </c:pt>
                <c:pt idx="3034">
                  <c:v>5255</c:v>
                </c:pt>
                <c:pt idx="3035">
                  <c:v>5255</c:v>
                </c:pt>
                <c:pt idx="3036">
                  <c:v>5259</c:v>
                </c:pt>
                <c:pt idx="3037">
                  <c:v>5259</c:v>
                </c:pt>
                <c:pt idx="3038">
                  <c:v>5259</c:v>
                </c:pt>
                <c:pt idx="3039">
                  <c:v>5260</c:v>
                </c:pt>
                <c:pt idx="3040">
                  <c:v>5260</c:v>
                </c:pt>
                <c:pt idx="3041">
                  <c:v>5260</c:v>
                </c:pt>
                <c:pt idx="3042">
                  <c:v>5260</c:v>
                </c:pt>
                <c:pt idx="3043">
                  <c:v>5260</c:v>
                </c:pt>
                <c:pt idx="3044">
                  <c:v>5260</c:v>
                </c:pt>
                <c:pt idx="3045">
                  <c:v>5260</c:v>
                </c:pt>
                <c:pt idx="3046">
                  <c:v>5260</c:v>
                </c:pt>
                <c:pt idx="3047">
                  <c:v>5260</c:v>
                </c:pt>
                <c:pt idx="3048">
                  <c:v>5263</c:v>
                </c:pt>
                <c:pt idx="3049">
                  <c:v>5263</c:v>
                </c:pt>
                <c:pt idx="3050">
                  <c:v>5264</c:v>
                </c:pt>
                <c:pt idx="3051">
                  <c:v>5264</c:v>
                </c:pt>
                <c:pt idx="3052">
                  <c:v>5264</c:v>
                </c:pt>
                <c:pt idx="3053">
                  <c:v>5264</c:v>
                </c:pt>
                <c:pt idx="3054">
                  <c:v>5265</c:v>
                </c:pt>
                <c:pt idx="3055">
                  <c:v>5265</c:v>
                </c:pt>
                <c:pt idx="3056">
                  <c:v>5265</c:v>
                </c:pt>
                <c:pt idx="3057">
                  <c:v>5265</c:v>
                </c:pt>
                <c:pt idx="3058">
                  <c:v>5265</c:v>
                </c:pt>
                <c:pt idx="3059">
                  <c:v>5265</c:v>
                </c:pt>
                <c:pt idx="3060">
                  <c:v>5269</c:v>
                </c:pt>
                <c:pt idx="3061">
                  <c:v>5269</c:v>
                </c:pt>
                <c:pt idx="3062">
                  <c:v>5269</c:v>
                </c:pt>
                <c:pt idx="3063">
                  <c:v>5269</c:v>
                </c:pt>
                <c:pt idx="3064">
                  <c:v>5269</c:v>
                </c:pt>
                <c:pt idx="3065">
                  <c:v>5270</c:v>
                </c:pt>
                <c:pt idx="3066">
                  <c:v>5270</c:v>
                </c:pt>
                <c:pt idx="3067">
                  <c:v>5270</c:v>
                </c:pt>
                <c:pt idx="3068">
                  <c:v>5270</c:v>
                </c:pt>
                <c:pt idx="3069">
                  <c:v>5271</c:v>
                </c:pt>
                <c:pt idx="3070">
                  <c:v>5271</c:v>
                </c:pt>
                <c:pt idx="3071">
                  <c:v>5271</c:v>
                </c:pt>
                <c:pt idx="3072">
                  <c:v>5273</c:v>
                </c:pt>
                <c:pt idx="3073">
                  <c:v>5273</c:v>
                </c:pt>
                <c:pt idx="3074">
                  <c:v>5273</c:v>
                </c:pt>
                <c:pt idx="3075">
                  <c:v>5273</c:v>
                </c:pt>
                <c:pt idx="3076">
                  <c:v>5275</c:v>
                </c:pt>
                <c:pt idx="3077">
                  <c:v>5275</c:v>
                </c:pt>
                <c:pt idx="3078">
                  <c:v>5275</c:v>
                </c:pt>
                <c:pt idx="3079">
                  <c:v>5275</c:v>
                </c:pt>
                <c:pt idx="3080">
                  <c:v>5275</c:v>
                </c:pt>
                <c:pt idx="3081">
                  <c:v>5275</c:v>
                </c:pt>
                <c:pt idx="3082">
                  <c:v>5275</c:v>
                </c:pt>
                <c:pt idx="3083">
                  <c:v>5275</c:v>
                </c:pt>
                <c:pt idx="3084">
                  <c:v>5275</c:v>
                </c:pt>
                <c:pt idx="3085">
                  <c:v>5273</c:v>
                </c:pt>
                <c:pt idx="3086">
                  <c:v>5273</c:v>
                </c:pt>
                <c:pt idx="3087">
                  <c:v>5273</c:v>
                </c:pt>
                <c:pt idx="3088">
                  <c:v>5273</c:v>
                </c:pt>
                <c:pt idx="3089">
                  <c:v>5273</c:v>
                </c:pt>
                <c:pt idx="3090">
                  <c:v>5273</c:v>
                </c:pt>
                <c:pt idx="3091">
                  <c:v>5274</c:v>
                </c:pt>
                <c:pt idx="3092">
                  <c:v>5274</c:v>
                </c:pt>
                <c:pt idx="3093">
                  <c:v>5274</c:v>
                </c:pt>
                <c:pt idx="3094">
                  <c:v>5274</c:v>
                </c:pt>
                <c:pt idx="3095">
                  <c:v>5274</c:v>
                </c:pt>
                <c:pt idx="3096">
                  <c:v>5274</c:v>
                </c:pt>
                <c:pt idx="3097">
                  <c:v>5274</c:v>
                </c:pt>
                <c:pt idx="3098">
                  <c:v>5275</c:v>
                </c:pt>
                <c:pt idx="3099">
                  <c:v>5275</c:v>
                </c:pt>
                <c:pt idx="3100">
                  <c:v>5275</c:v>
                </c:pt>
                <c:pt idx="3101">
                  <c:v>5275</c:v>
                </c:pt>
                <c:pt idx="3102">
                  <c:v>5276</c:v>
                </c:pt>
                <c:pt idx="3103">
                  <c:v>5276</c:v>
                </c:pt>
                <c:pt idx="3104">
                  <c:v>5276</c:v>
                </c:pt>
                <c:pt idx="3105">
                  <c:v>5276</c:v>
                </c:pt>
                <c:pt idx="3106">
                  <c:v>5277</c:v>
                </c:pt>
                <c:pt idx="3107">
                  <c:v>5277</c:v>
                </c:pt>
                <c:pt idx="3108">
                  <c:v>5277</c:v>
                </c:pt>
                <c:pt idx="3109">
                  <c:v>5277</c:v>
                </c:pt>
                <c:pt idx="3110">
                  <c:v>5277</c:v>
                </c:pt>
                <c:pt idx="3111">
                  <c:v>5279</c:v>
                </c:pt>
                <c:pt idx="3112">
                  <c:v>5280</c:v>
                </c:pt>
                <c:pt idx="3113">
                  <c:v>5280</c:v>
                </c:pt>
                <c:pt idx="3114">
                  <c:v>5280</c:v>
                </c:pt>
                <c:pt idx="3115">
                  <c:v>5280</c:v>
                </c:pt>
                <c:pt idx="3116">
                  <c:v>5280</c:v>
                </c:pt>
                <c:pt idx="3117">
                  <c:v>5281</c:v>
                </c:pt>
                <c:pt idx="3118">
                  <c:v>5281</c:v>
                </c:pt>
                <c:pt idx="3119">
                  <c:v>5281</c:v>
                </c:pt>
                <c:pt idx="3120">
                  <c:v>5281</c:v>
                </c:pt>
                <c:pt idx="3121">
                  <c:v>5282</c:v>
                </c:pt>
                <c:pt idx="3122">
                  <c:v>5282</c:v>
                </c:pt>
                <c:pt idx="3123">
                  <c:v>5282</c:v>
                </c:pt>
                <c:pt idx="3124">
                  <c:v>5284</c:v>
                </c:pt>
                <c:pt idx="3125">
                  <c:v>5284</c:v>
                </c:pt>
                <c:pt idx="3126">
                  <c:v>5284</c:v>
                </c:pt>
                <c:pt idx="3127">
                  <c:v>5285</c:v>
                </c:pt>
                <c:pt idx="3128">
                  <c:v>5285</c:v>
                </c:pt>
                <c:pt idx="3129">
                  <c:v>5285</c:v>
                </c:pt>
                <c:pt idx="3130">
                  <c:v>5285</c:v>
                </c:pt>
                <c:pt idx="3131">
                  <c:v>5286</c:v>
                </c:pt>
                <c:pt idx="3132">
                  <c:v>5286</c:v>
                </c:pt>
                <c:pt idx="3133">
                  <c:v>5286</c:v>
                </c:pt>
                <c:pt idx="3134">
                  <c:v>5286</c:v>
                </c:pt>
                <c:pt idx="3135">
                  <c:v>5288</c:v>
                </c:pt>
                <c:pt idx="3136">
                  <c:v>5289</c:v>
                </c:pt>
                <c:pt idx="3137">
                  <c:v>5290</c:v>
                </c:pt>
                <c:pt idx="3138">
                  <c:v>5290</c:v>
                </c:pt>
                <c:pt idx="3139">
                  <c:v>5290</c:v>
                </c:pt>
                <c:pt idx="3140">
                  <c:v>5290</c:v>
                </c:pt>
                <c:pt idx="3141">
                  <c:v>5290</c:v>
                </c:pt>
                <c:pt idx="3142">
                  <c:v>5291</c:v>
                </c:pt>
                <c:pt idx="3143">
                  <c:v>5291</c:v>
                </c:pt>
                <c:pt idx="3144">
                  <c:v>5291</c:v>
                </c:pt>
                <c:pt idx="3145">
                  <c:v>5291</c:v>
                </c:pt>
                <c:pt idx="3146">
                  <c:v>5292</c:v>
                </c:pt>
                <c:pt idx="3147">
                  <c:v>5292</c:v>
                </c:pt>
                <c:pt idx="3148">
                  <c:v>5292</c:v>
                </c:pt>
                <c:pt idx="3149">
                  <c:v>5292</c:v>
                </c:pt>
                <c:pt idx="3150">
                  <c:v>5295</c:v>
                </c:pt>
                <c:pt idx="3151">
                  <c:v>5295</c:v>
                </c:pt>
                <c:pt idx="3152">
                  <c:v>5296</c:v>
                </c:pt>
                <c:pt idx="3153">
                  <c:v>5296</c:v>
                </c:pt>
                <c:pt idx="3154">
                  <c:v>5296</c:v>
                </c:pt>
                <c:pt idx="3155">
                  <c:v>5296</c:v>
                </c:pt>
                <c:pt idx="3156">
                  <c:v>5296</c:v>
                </c:pt>
                <c:pt idx="3157">
                  <c:v>5296</c:v>
                </c:pt>
                <c:pt idx="3158">
                  <c:v>5296</c:v>
                </c:pt>
                <c:pt idx="3159">
                  <c:v>5296</c:v>
                </c:pt>
                <c:pt idx="3160">
                  <c:v>5296</c:v>
                </c:pt>
                <c:pt idx="3161">
                  <c:v>5296</c:v>
                </c:pt>
                <c:pt idx="3162">
                  <c:v>5296</c:v>
                </c:pt>
                <c:pt idx="3163">
                  <c:v>5296</c:v>
                </c:pt>
                <c:pt idx="3164">
                  <c:v>5295</c:v>
                </c:pt>
                <c:pt idx="3165">
                  <c:v>5295</c:v>
                </c:pt>
                <c:pt idx="3166">
                  <c:v>5295</c:v>
                </c:pt>
                <c:pt idx="3167">
                  <c:v>5295</c:v>
                </c:pt>
                <c:pt idx="3168">
                  <c:v>5295</c:v>
                </c:pt>
                <c:pt idx="3169">
                  <c:v>5295</c:v>
                </c:pt>
                <c:pt idx="3170">
                  <c:v>5295</c:v>
                </c:pt>
                <c:pt idx="3171">
                  <c:v>5295</c:v>
                </c:pt>
                <c:pt idx="3172">
                  <c:v>5296</c:v>
                </c:pt>
                <c:pt idx="3173">
                  <c:v>5296</c:v>
                </c:pt>
                <c:pt idx="3174">
                  <c:v>5296</c:v>
                </c:pt>
                <c:pt idx="3175">
                  <c:v>5296</c:v>
                </c:pt>
                <c:pt idx="3176">
                  <c:v>5296</c:v>
                </c:pt>
                <c:pt idx="3177">
                  <c:v>5296</c:v>
                </c:pt>
                <c:pt idx="3178">
                  <c:v>5296</c:v>
                </c:pt>
                <c:pt idx="3179">
                  <c:v>5298</c:v>
                </c:pt>
                <c:pt idx="3180">
                  <c:v>5298</c:v>
                </c:pt>
                <c:pt idx="3181">
                  <c:v>5299</c:v>
                </c:pt>
                <c:pt idx="3182">
                  <c:v>5299</c:v>
                </c:pt>
                <c:pt idx="3183">
                  <c:v>5299</c:v>
                </c:pt>
                <c:pt idx="3184">
                  <c:v>5299</c:v>
                </c:pt>
                <c:pt idx="3185">
                  <c:v>5299</c:v>
                </c:pt>
                <c:pt idx="3186">
                  <c:v>5299</c:v>
                </c:pt>
                <c:pt idx="3187">
                  <c:v>5299</c:v>
                </c:pt>
                <c:pt idx="3188">
                  <c:v>5299</c:v>
                </c:pt>
                <c:pt idx="3189">
                  <c:v>5299</c:v>
                </c:pt>
                <c:pt idx="3190">
                  <c:v>5301</c:v>
                </c:pt>
                <c:pt idx="3191">
                  <c:v>5301</c:v>
                </c:pt>
                <c:pt idx="3192">
                  <c:v>5301</c:v>
                </c:pt>
                <c:pt idx="3193">
                  <c:v>5303</c:v>
                </c:pt>
                <c:pt idx="3194">
                  <c:v>5303</c:v>
                </c:pt>
                <c:pt idx="3195">
                  <c:v>5304</c:v>
                </c:pt>
                <c:pt idx="3196">
                  <c:v>5304</c:v>
                </c:pt>
                <c:pt idx="3197">
                  <c:v>5304</c:v>
                </c:pt>
                <c:pt idx="3198">
                  <c:v>5304</c:v>
                </c:pt>
                <c:pt idx="3199">
                  <c:v>5304</c:v>
                </c:pt>
                <c:pt idx="3200">
                  <c:v>5304</c:v>
                </c:pt>
                <c:pt idx="3201">
                  <c:v>5304</c:v>
                </c:pt>
                <c:pt idx="3202">
                  <c:v>5304</c:v>
                </c:pt>
                <c:pt idx="3203">
                  <c:v>5304</c:v>
                </c:pt>
                <c:pt idx="3204">
                  <c:v>5306</c:v>
                </c:pt>
                <c:pt idx="3205">
                  <c:v>5306</c:v>
                </c:pt>
                <c:pt idx="3206">
                  <c:v>5306</c:v>
                </c:pt>
                <c:pt idx="3207">
                  <c:v>5305</c:v>
                </c:pt>
                <c:pt idx="3208">
                  <c:v>5305</c:v>
                </c:pt>
                <c:pt idx="3209">
                  <c:v>5305</c:v>
                </c:pt>
                <c:pt idx="3210">
                  <c:v>5305</c:v>
                </c:pt>
                <c:pt idx="3211">
                  <c:v>5305</c:v>
                </c:pt>
                <c:pt idx="3212">
                  <c:v>5305</c:v>
                </c:pt>
                <c:pt idx="3213">
                  <c:v>5305</c:v>
                </c:pt>
                <c:pt idx="3214">
                  <c:v>5305</c:v>
                </c:pt>
                <c:pt idx="3215">
                  <c:v>5305</c:v>
                </c:pt>
                <c:pt idx="3216">
                  <c:v>5305</c:v>
                </c:pt>
                <c:pt idx="3217">
                  <c:v>5305</c:v>
                </c:pt>
                <c:pt idx="3218">
                  <c:v>5305</c:v>
                </c:pt>
                <c:pt idx="3219">
                  <c:v>5305</c:v>
                </c:pt>
                <c:pt idx="3220">
                  <c:v>5305</c:v>
                </c:pt>
                <c:pt idx="3221">
                  <c:v>5305</c:v>
                </c:pt>
                <c:pt idx="3222">
                  <c:v>5305</c:v>
                </c:pt>
                <c:pt idx="3223">
                  <c:v>5307</c:v>
                </c:pt>
                <c:pt idx="3224">
                  <c:v>5307</c:v>
                </c:pt>
                <c:pt idx="3225">
                  <c:v>5307</c:v>
                </c:pt>
                <c:pt idx="3226">
                  <c:v>5307</c:v>
                </c:pt>
                <c:pt idx="3227">
                  <c:v>5307</c:v>
                </c:pt>
                <c:pt idx="3228">
                  <c:v>5308</c:v>
                </c:pt>
                <c:pt idx="3229">
                  <c:v>5308</c:v>
                </c:pt>
                <c:pt idx="3230">
                  <c:v>5308</c:v>
                </c:pt>
                <c:pt idx="3231">
                  <c:v>5308</c:v>
                </c:pt>
                <c:pt idx="3232">
                  <c:v>5309</c:v>
                </c:pt>
                <c:pt idx="3233">
                  <c:v>5309</c:v>
                </c:pt>
                <c:pt idx="3234">
                  <c:v>5309</c:v>
                </c:pt>
                <c:pt idx="3235">
                  <c:v>5309</c:v>
                </c:pt>
                <c:pt idx="3236">
                  <c:v>5309</c:v>
                </c:pt>
                <c:pt idx="3237">
                  <c:v>5309</c:v>
                </c:pt>
                <c:pt idx="3238">
                  <c:v>5312</c:v>
                </c:pt>
                <c:pt idx="3239">
                  <c:v>5312</c:v>
                </c:pt>
                <c:pt idx="3240">
                  <c:v>5312</c:v>
                </c:pt>
                <c:pt idx="3241">
                  <c:v>5312</c:v>
                </c:pt>
                <c:pt idx="3242">
                  <c:v>5313</c:v>
                </c:pt>
                <c:pt idx="3243">
                  <c:v>5313</c:v>
                </c:pt>
                <c:pt idx="3244">
                  <c:v>5313</c:v>
                </c:pt>
                <c:pt idx="3245">
                  <c:v>5313</c:v>
                </c:pt>
                <c:pt idx="3246">
                  <c:v>5314</c:v>
                </c:pt>
                <c:pt idx="3247">
                  <c:v>5314</c:v>
                </c:pt>
                <c:pt idx="3248">
                  <c:v>5314</c:v>
                </c:pt>
                <c:pt idx="3249">
                  <c:v>5314</c:v>
                </c:pt>
                <c:pt idx="3250">
                  <c:v>5314</c:v>
                </c:pt>
                <c:pt idx="3251">
                  <c:v>5314</c:v>
                </c:pt>
                <c:pt idx="3252">
                  <c:v>5316</c:v>
                </c:pt>
                <c:pt idx="3253">
                  <c:v>5316</c:v>
                </c:pt>
                <c:pt idx="3254">
                  <c:v>5316</c:v>
                </c:pt>
                <c:pt idx="3255">
                  <c:v>5316</c:v>
                </c:pt>
                <c:pt idx="3256">
                  <c:v>5316</c:v>
                </c:pt>
                <c:pt idx="3257">
                  <c:v>5316</c:v>
                </c:pt>
                <c:pt idx="3258">
                  <c:v>5315</c:v>
                </c:pt>
                <c:pt idx="3259">
                  <c:v>5315</c:v>
                </c:pt>
                <c:pt idx="3260">
                  <c:v>5315</c:v>
                </c:pt>
                <c:pt idx="3261">
                  <c:v>5315</c:v>
                </c:pt>
                <c:pt idx="3262">
                  <c:v>5315</c:v>
                </c:pt>
                <c:pt idx="3263">
                  <c:v>5315</c:v>
                </c:pt>
                <c:pt idx="3264">
                  <c:v>5315</c:v>
                </c:pt>
                <c:pt idx="3265">
                  <c:v>5315</c:v>
                </c:pt>
                <c:pt idx="3266">
                  <c:v>5315</c:v>
                </c:pt>
                <c:pt idx="3267">
                  <c:v>5316</c:v>
                </c:pt>
                <c:pt idx="3268">
                  <c:v>5317</c:v>
                </c:pt>
                <c:pt idx="3269">
                  <c:v>5317</c:v>
                </c:pt>
                <c:pt idx="3270">
                  <c:v>5317</c:v>
                </c:pt>
                <c:pt idx="3271">
                  <c:v>5317</c:v>
                </c:pt>
                <c:pt idx="3272">
                  <c:v>5317</c:v>
                </c:pt>
                <c:pt idx="3273">
                  <c:v>5317</c:v>
                </c:pt>
                <c:pt idx="3274">
                  <c:v>5317</c:v>
                </c:pt>
                <c:pt idx="3275">
                  <c:v>5317</c:v>
                </c:pt>
                <c:pt idx="3276">
                  <c:v>5318</c:v>
                </c:pt>
                <c:pt idx="3277">
                  <c:v>5318</c:v>
                </c:pt>
                <c:pt idx="3278">
                  <c:v>5318</c:v>
                </c:pt>
                <c:pt idx="3279">
                  <c:v>5318</c:v>
                </c:pt>
                <c:pt idx="3280">
                  <c:v>5319</c:v>
                </c:pt>
                <c:pt idx="3281">
                  <c:v>5319</c:v>
                </c:pt>
                <c:pt idx="3282">
                  <c:v>5319</c:v>
                </c:pt>
                <c:pt idx="3283">
                  <c:v>5319</c:v>
                </c:pt>
                <c:pt idx="3284">
                  <c:v>5322</c:v>
                </c:pt>
                <c:pt idx="3285">
                  <c:v>5322</c:v>
                </c:pt>
                <c:pt idx="3286">
                  <c:v>5322</c:v>
                </c:pt>
                <c:pt idx="3287">
                  <c:v>5322</c:v>
                </c:pt>
                <c:pt idx="3288">
                  <c:v>5322</c:v>
                </c:pt>
                <c:pt idx="3289">
                  <c:v>5323</c:v>
                </c:pt>
                <c:pt idx="3290">
                  <c:v>5323</c:v>
                </c:pt>
                <c:pt idx="3291">
                  <c:v>5323</c:v>
                </c:pt>
                <c:pt idx="3292">
                  <c:v>5323</c:v>
                </c:pt>
                <c:pt idx="3293">
                  <c:v>5324</c:v>
                </c:pt>
                <c:pt idx="3294">
                  <c:v>5324</c:v>
                </c:pt>
                <c:pt idx="3295">
                  <c:v>5324</c:v>
                </c:pt>
                <c:pt idx="3296">
                  <c:v>5324</c:v>
                </c:pt>
                <c:pt idx="3297">
                  <c:v>5324</c:v>
                </c:pt>
                <c:pt idx="3298">
                  <c:v>5324</c:v>
                </c:pt>
                <c:pt idx="3299">
                  <c:v>5324</c:v>
                </c:pt>
                <c:pt idx="3300">
                  <c:v>5328</c:v>
                </c:pt>
                <c:pt idx="3301">
                  <c:v>5328</c:v>
                </c:pt>
                <c:pt idx="3302">
                  <c:v>5328</c:v>
                </c:pt>
                <c:pt idx="3303">
                  <c:v>5328</c:v>
                </c:pt>
                <c:pt idx="3304">
                  <c:v>5328</c:v>
                </c:pt>
                <c:pt idx="3305">
                  <c:v>5328</c:v>
                </c:pt>
                <c:pt idx="3306">
                  <c:v>5328</c:v>
                </c:pt>
                <c:pt idx="3307">
                  <c:v>5328</c:v>
                </c:pt>
                <c:pt idx="3308">
                  <c:v>5328</c:v>
                </c:pt>
                <c:pt idx="3309">
                  <c:v>5328</c:v>
                </c:pt>
                <c:pt idx="3310">
                  <c:v>5328</c:v>
                </c:pt>
                <c:pt idx="3311">
                  <c:v>5328</c:v>
                </c:pt>
                <c:pt idx="3312">
                  <c:v>5327</c:v>
                </c:pt>
                <c:pt idx="3313">
                  <c:v>5327</c:v>
                </c:pt>
                <c:pt idx="3314">
                  <c:v>5327</c:v>
                </c:pt>
                <c:pt idx="3315">
                  <c:v>5327</c:v>
                </c:pt>
                <c:pt idx="3316">
                  <c:v>5328</c:v>
                </c:pt>
                <c:pt idx="3317">
                  <c:v>5328</c:v>
                </c:pt>
                <c:pt idx="3318">
                  <c:v>5328</c:v>
                </c:pt>
                <c:pt idx="3319">
                  <c:v>5328</c:v>
                </c:pt>
                <c:pt idx="3320">
                  <c:v>5328</c:v>
                </c:pt>
                <c:pt idx="3321">
                  <c:v>5328</c:v>
                </c:pt>
                <c:pt idx="3322">
                  <c:v>5328</c:v>
                </c:pt>
                <c:pt idx="3323">
                  <c:v>5328</c:v>
                </c:pt>
                <c:pt idx="3324">
                  <c:v>5329</c:v>
                </c:pt>
                <c:pt idx="3325">
                  <c:v>5329</c:v>
                </c:pt>
                <c:pt idx="3326">
                  <c:v>5329</c:v>
                </c:pt>
                <c:pt idx="3327">
                  <c:v>5329</c:v>
                </c:pt>
                <c:pt idx="3328">
                  <c:v>5329</c:v>
                </c:pt>
                <c:pt idx="3329">
                  <c:v>5329</c:v>
                </c:pt>
                <c:pt idx="3330">
                  <c:v>5329</c:v>
                </c:pt>
                <c:pt idx="3331">
                  <c:v>5329</c:v>
                </c:pt>
                <c:pt idx="3332">
                  <c:v>5332</c:v>
                </c:pt>
                <c:pt idx="3333">
                  <c:v>5333</c:v>
                </c:pt>
                <c:pt idx="3334">
                  <c:v>5333</c:v>
                </c:pt>
                <c:pt idx="3335">
                  <c:v>5333</c:v>
                </c:pt>
                <c:pt idx="3336">
                  <c:v>5333</c:v>
                </c:pt>
                <c:pt idx="3337">
                  <c:v>5334</c:v>
                </c:pt>
                <c:pt idx="3338">
                  <c:v>5334</c:v>
                </c:pt>
                <c:pt idx="3339">
                  <c:v>5334</c:v>
                </c:pt>
                <c:pt idx="3340">
                  <c:v>5334</c:v>
                </c:pt>
                <c:pt idx="3341">
                  <c:v>5334</c:v>
                </c:pt>
                <c:pt idx="3342">
                  <c:v>5334</c:v>
                </c:pt>
                <c:pt idx="3343">
                  <c:v>5334</c:v>
                </c:pt>
                <c:pt idx="3344">
                  <c:v>5334</c:v>
                </c:pt>
                <c:pt idx="3345">
                  <c:v>5334</c:v>
                </c:pt>
                <c:pt idx="3346">
                  <c:v>5336</c:v>
                </c:pt>
                <c:pt idx="3347">
                  <c:v>5336</c:v>
                </c:pt>
                <c:pt idx="3348">
                  <c:v>5336</c:v>
                </c:pt>
                <c:pt idx="3349">
                  <c:v>5340</c:v>
                </c:pt>
                <c:pt idx="3350">
                  <c:v>5340</c:v>
                </c:pt>
                <c:pt idx="3351">
                  <c:v>5340</c:v>
                </c:pt>
                <c:pt idx="3352">
                  <c:v>5340</c:v>
                </c:pt>
                <c:pt idx="3353">
                  <c:v>5340</c:v>
                </c:pt>
                <c:pt idx="3354">
                  <c:v>5341</c:v>
                </c:pt>
                <c:pt idx="3355">
                  <c:v>5341</c:v>
                </c:pt>
                <c:pt idx="3356">
                  <c:v>5341</c:v>
                </c:pt>
                <c:pt idx="3357">
                  <c:v>5341</c:v>
                </c:pt>
                <c:pt idx="3358">
                  <c:v>5341</c:v>
                </c:pt>
                <c:pt idx="3359">
                  <c:v>5341</c:v>
                </c:pt>
                <c:pt idx="3360">
                  <c:v>5341</c:v>
                </c:pt>
                <c:pt idx="3361">
                  <c:v>5341</c:v>
                </c:pt>
                <c:pt idx="3362">
                  <c:v>5341</c:v>
                </c:pt>
                <c:pt idx="3363">
                  <c:v>5341</c:v>
                </c:pt>
                <c:pt idx="3364">
                  <c:v>5341</c:v>
                </c:pt>
                <c:pt idx="3365">
                  <c:v>5341</c:v>
                </c:pt>
                <c:pt idx="3366">
                  <c:v>5341</c:v>
                </c:pt>
                <c:pt idx="3367">
                  <c:v>5341</c:v>
                </c:pt>
                <c:pt idx="3368">
                  <c:v>5341</c:v>
                </c:pt>
                <c:pt idx="3369">
                  <c:v>5341</c:v>
                </c:pt>
                <c:pt idx="3370">
                  <c:v>5341</c:v>
                </c:pt>
                <c:pt idx="3371">
                  <c:v>5341</c:v>
                </c:pt>
                <c:pt idx="3372">
                  <c:v>5341</c:v>
                </c:pt>
                <c:pt idx="3373">
                  <c:v>5341</c:v>
                </c:pt>
                <c:pt idx="3374">
                  <c:v>5342</c:v>
                </c:pt>
                <c:pt idx="3375">
                  <c:v>5342</c:v>
                </c:pt>
                <c:pt idx="3376">
                  <c:v>5342</c:v>
                </c:pt>
                <c:pt idx="3377">
                  <c:v>5342</c:v>
                </c:pt>
                <c:pt idx="3378">
                  <c:v>5342</c:v>
                </c:pt>
                <c:pt idx="3379">
                  <c:v>5342</c:v>
                </c:pt>
                <c:pt idx="3380">
                  <c:v>5342</c:v>
                </c:pt>
                <c:pt idx="3381">
                  <c:v>5342</c:v>
                </c:pt>
                <c:pt idx="3382">
                  <c:v>5342</c:v>
                </c:pt>
                <c:pt idx="3383">
                  <c:v>5342</c:v>
                </c:pt>
                <c:pt idx="3384">
                  <c:v>5349</c:v>
                </c:pt>
                <c:pt idx="3385">
                  <c:v>5349</c:v>
                </c:pt>
                <c:pt idx="3386">
                  <c:v>5349</c:v>
                </c:pt>
                <c:pt idx="3387">
                  <c:v>5349</c:v>
                </c:pt>
                <c:pt idx="3388">
                  <c:v>5349</c:v>
                </c:pt>
                <c:pt idx="3389">
                  <c:v>5349</c:v>
                </c:pt>
                <c:pt idx="3390">
                  <c:v>5349</c:v>
                </c:pt>
                <c:pt idx="3391">
                  <c:v>5349</c:v>
                </c:pt>
                <c:pt idx="3392">
                  <c:v>5349</c:v>
                </c:pt>
                <c:pt idx="3393">
                  <c:v>5349</c:v>
                </c:pt>
                <c:pt idx="3394">
                  <c:v>5349</c:v>
                </c:pt>
                <c:pt idx="3395">
                  <c:v>5349</c:v>
                </c:pt>
                <c:pt idx="3396">
                  <c:v>5349</c:v>
                </c:pt>
                <c:pt idx="3397">
                  <c:v>5349</c:v>
                </c:pt>
                <c:pt idx="3398">
                  <c:v>5349</c:v>
                </c:pt>
                <c:pt idx="3399">
                  <c:v>5350</c:v>
                </c:pt>
                <c:pt idx="3400">
                  <c:v>5350</c:v>
                </c:pt>
                <c:pt idx="3401">
                  <c:v>5350</c:v>
                </c:pt>
                <c:pt idx="3402">
                  <c:v>5350</c:v>
                </c:pt>
                <c:pt idx="3403">
                  <c:v>5349</c:v>
                </c:pt>
                <c:pt idx="3404">
                  <c:v>5349</c:v>
                </c:pt>
                <c:pt idx="3405">
                  <c:v>5349</c:v>
                </c:pt>
                <c:pt idx="3406">
                  <c:v>5349</c:v>
                </c:pt>
                <c:pt idx="3407">
                  <c:v>5348</c:v>
                </c:pt>
                <c:pt idx="3408">
                  <c:v>5348</c:v>
                </c:pt>
                <c:pt idx="3409">
                  <c:v>5348</c:v>
                </c:pt>
                <c:pt idx="3410">
                  <c:v>5348</c:v>
                </c:pt>
                <c:pt idx="3411">
                  <c:v>5348</c:v>
                </c:pt>
                <c:pt idx="3412">
                  <c:v>5347</c:v>
                </c:pt>
                <c:pt idx="3413">
                  <c:v>5347</c:v>
                </c:pt>
                <c:pt idx="3414">
                  <c:v>5347</c:v>
                </c:pt>
                <c:pt idx="3415">
                  <c:v>5347</c:v>
                </c:pt>
                <c:pt idx="3416">
                  <c:v>5346</c:v>
                </c:pt>
                <c:pt idx="3417">
                  <c:v>5346</c:v>
                </c:pt>
                <c:pt idx="3418">
                  <c:v>5346</c:v>
                </c:pt>
                <c:pt idx="3419">
                  <c:v>5346</c:v>
                </c:pt>
                <c:pt idx="3420">
                  <c:v>5346</c:v>
                </c:pt>
                <c:pt idx="3421">
                  <c:v>5346</c:v>
                </c:pt>
                <c:pt idx="3422">
                  <c:v>5346</c:v>
                </c:pt>
                <c:pt idx="3423">
                  <c:v>5345</c:v>
                </c:pt>
                <c:pt idx="3424">
                  <c:v>5345</c:v>
                </c:pt>
                <c:pt idx="3425">
                  <c:v>5345</c:v>
                </c:pt>
                <c:pt idx="3426">
                  <c:v>5345</c:v>
                </c:pt>
                <c:pt idx="3427">
                  <c:v>5345</c:v>
                </c:pt>
                <c:pt idx="3428">
                  <c:v>5345</c:v>
                </c:pt>
                <c:pt idx="3429">
                  <c:v>5345</c:v>
                </c:pt>
                <c:pt idx="3430">
                  <c:v>5345</c:v>
                </c:pt>
                <c:pt idx="3431">
                  <c:v>5345</c:v>
                </c:pt>
                <c:pt idx="3432">
                  <c:v>5345</c:v>
                </c:pt>
                <c:pt idx="3433">
                  <c:v>5345</c:v>
                </c:pt>
                <c:pt idx="3434">
                  <c:v>5345</c:v>
                </c:pt>
                <c:pt idx="3435">
                  <c:v>5345</c:v>
                </c:pt>
                <c:pt idx="3436">
                  <c:v>5345</c:v>
                </c:pt>
                <c:pt idx="3437">
                  <c:v>5345</c:v>
                </c:pt>
                <c:pt idx="3438">
                  <c:v>5345</c:v>
                </c:pt>
                <c:pt idx="3439">
                  <c:v>5345</c:v>
                </c:pt>
                <c:pt idx="3440">
                  <c:v>5345</c:v>
                </c:pt>
                <c:pt idx="3441">
                  <c:v>5345</c:v>
                </c:pt>
                <c:pt idx="3442">
                  <c:v>5346</c:v>
                </c:pt>
                <c:pt idx="3443">
                  <c:v>5346</c:v>
                </c:pt>
                <c:pt idx="3444">
                  <c:v>5346</c:v>
                </c:pt>
                <c:pt idx="3445">
                  <c:v>5346</c:v>
                </c:pt>
                <c:pt idx="3446">
                  <c:v>5346</c:v>
                </c:pt>
                <c:pt idx="3447">
                  <c:v>5346</c:v>
                </c:pt>
                <c:pt idx="3448">
                  <c:v>5346</c:v>
                </c:pt>
                <c:pt idx="3449">
                  <c:v>5346</c:v>
                </c:pt>
                <c:pt idx="3450">
                  <c:v>5346</c:v>
                </c:pt>
                <c:pt idx="3451">
                  <c:v>5347</c:v>
                </c:pt>
                <c:pt idx="3452">
                  <c:v>5347</c:v>
                </c:pt>
                <c:pt idx="3453">
                  <c:v>5347</c:v>
                </c:pt>
                <c:pt idx="3454">
                  <c:v>5347</c:v>
                </c:pt>
                <c:pt idx="3455">
                  <c:v>5347</c:v>
                </c:pt>
                <c:pt idx="3456">
                  <c:v>5347</c:v>
                </c:pt>
                <c:pt idx="3457">
                  <c:v>5347</c:v>
                </c:pt>
                <c:pt idx="3458">
                  <c:v>5347</c:v>
                </c:pt>
                <c:pt idx="3459">
                  <c:v>5347</c:v>
                </c:pt>
                <c:pt idx="3460">
                  <c:v>5344</c:v>
                </c:pt>
                <c:pt idx="3461">
                  <c:v>5344</c:v>
                </c:pt>
                <c:pt idx="3462">
                  <c:v>5344</c:v>
                </c:pt>
                <c:pt idx="3463">
                  <c:v>5342</c:v>
                </c:pt>
                <c:pt idx="3464">
                  <c:v>5342</c:v>
                </c:pt>
                <c:pt idx="3465">
                  <c:v>5342</c:v>
                </c:pt>
                <c:pt idx="3466">
                  <c:v>5342</c:v>
                </c:pt>
                <c:pt idx="3467">
                  <c:v>5342</c:v>
                </c:pt>
                <c:pt idx="3468">
                  <c:v>5342</c:v>
                </c:pt>
                <c:pt idx="3469">
                  <c:v>5341</c:v>
                </c:pt>
                <c:pt idx="3470">
                  <c:v>5341</c:v>
                </c:pt>
                <c:pt idx="3471">
                  <c:v>5341</c:v>
                </c:pt>
                <c:pt idx="3472">
                  <c:v>5341</c:v>
                </c:pt>
                <c:pt idx="3473">
                  <c:v>5341</c:v>
                </c:pt>
                <c:pt idx="3474">
                  <c:v>5341</c:v>
                </c:pt>
                <c:pt idx="3475">
                  <c:v>5341</c:v>
                </c:pt>
                <c:pt idx="3476">
                  <c:v>5341</c:v>
                </c:pt>
                <c:pt idx="3477">
                  <c:v>5341</c:v>
                </c:pt>
                <c:pt idx="3478">
                  <c:v>5341</c:v>
                </c:pt>
                <c:pt idx="3479">
                  <c:v>5341</c:v>
                </c:pt>
                <c:pt idx="3480">
                  <c:v>5341</c:v>
                </c:pt>
                <c:pt idx="3481">
                  <c:v>5341</c:v>
                </c:pt>
                <c:pt idx="3482">
                  <c:v>5342</c:v>
                </c:pt>
                <c:pt idx="3483">
                  <c:v>5342</c:v>
                </c:pt>
                <c:pt idx="3484">
                  <c:v>5342</c:v>
                </c:pt>
                <c:pt idx="3485">
                  <c:v>5342</c:v>
                </c:pt>
                <c:pt idx="3486">
                  <c:v>5342</c:v>
                </c:pt>
                <c:pt idx="3487">
                  <c:v>5342</c:v>
                </c:pt>
                <c:pt idx="3488">
                  <c:v>5342</c:v>
                </c:pt>
                <c:pt idx="3489">
                  <c:v>5342</c:v>
                </c:pt>
                <c:pt idx="3490">
                  <c:v>5342</c:v>
                </c:pt>
                <c:pt idx="3491">
                  <c:v>5342</c:v>
                </c:pt>
                <c:pt idx="3492">
                  <c:v>5342</c:v>
                </c:pt>
                <c:pt idx="3493">
                  <c:v>5342</c:v>
                </c:pt>
                <c:pt idx="3494">
                  <c:v>5342</c:v>
                </c:pt>
                <c:pt idx="3495">
                  <c:v>5342</c:v>
                </c:pt>
                <c:pt idx="3496">
                  <c:v>5342</c:v>
                </c:pt>
                <c:pt idx="3497">
                  <c:v>5342</c:v>
                </c:pt>
                <c:pt idx="3498">
                  <c:v>5342</c:v>
                </c:pt>
                <c:pt idx="3499">
                  <c:v>5342</c:v>
                </c:pt>
                <c:pt idx="3500">
                  <c:v>5342</c:v>
                </c:pt>
                <c:pt idx="3501">
                  <c:v>5343</c:v>
                </c:pt>
                <c:pt idx="3502">
                  <c:v>5343</c:v>
                </c:pt>
                <c:pt idx="3503">
                  <c:v>5339</c:v>
                </c:pt>
                <c:pt idx="3504">
                  <c:v>5339</c:v>
                </c:pt>
                <c:pt idx="3505">
                  <c:v>5339</c:v>
                </c:pt>
                <c:pt idx="3506">
                  <c:v>5339</c:v>
                </c:pt>
                <c:pt idx="3507">
                  <c:v>5339</c:v>
                </c:pt>
                <c:pt idx="3508">
                  <c:v>5339</c:v>
                </c:pt>
                <c:pt idx="3509">
                  <c:v>5339</c:v>
                </c:pt>
                <c:pt idx="3510">
                  <c:v>5338</c:v>
                </c:pt>
                <c:pt idx="3511">
                  <c:v>5338</c:v>
                </c:pt>
                <c:pt idx="3512">
                  <c:v>5338</c:v>
                </c:pt>
                <c:pt idx="3513">
                  <c:v>5338</c:v>
                </c:pt>
                <c:pt idx="3514">
                  <c:v>5338</c:v>
                </c:pt>
                <c:pt idx="3515">
                  <c:v>5338</c:v>
                </c:pt>
                <c:pt idx="3516">
                  <c:v>5338</c:v>
                </c:pt>
                <c:pt idx="3517">
                  <c:v>5338</c:v>
                </c:pt>
                <c:pt idx="3518">
                  <c:v>5338</c:v>
                </c:pt>
                <c:pt idx="3519">
                  <c:v>5338</c:v>
                </c:pt>
                <c:pt idx="3520">
                  <c:v>5338</c:v>
                </c:pt>
                <c:pt idx="3521">
                  <c:v>5338</c:v>
                </c:pt>
                <c:pt idx="3522">
                  <c:v>5338</c:v>
                </c:pt>
                <c:pt idx="3523">
                  <c:v>5337</c:v>
                </c:pt>
                <c:pt idx="3524">
                  <c:v>5337</c:v>
                </c:pt>
                <c:pt idx="3525">
                  <c:v>5338</c:v>
                </c:pt>
                <c:pt idx="3526">
                  <c:v>5338</c:v>
                </c:pt>
                <c:pt idx="3527">
                  <c:v>5338</c:v>
                </c:pt>
                <c:pt idx="3528">
                  <c:v>5338</c:v>
                </c:pt>
                <c:pt idx="3529">
                  <c:v>5338</c:v>
                </c:pt>
                <c:pt idx="3530">
                  <c:v>5338</c:v>
                </c:pt>
                <c:pt idx="3531">
                  <c:v>5338</c:v>
                </c:pt>
                <c:pt idx="3532">
                  <c:v>5338</c:v>
                </c:pt>
                <c:pt idx="3533">
                  <c:v>5338</c:v>
                </c:pt>
                <c:pt idx="3534">
                  <c:v>5338</c:v>
                </c:pt>
                <c:pt idx="3535">
                  <c:v>5338</c:v>
                </c:pt>
                <c:pt idx="3536">
                  <c:v>5338</c:v>
                </c:pt>
                <c:pt idx="3537">
                  <c:v>5338</c:v>
                </c:pt>
                <c:pt idx="3538">
                  <c:v>5338</c:v>
                </c:pt>
                <c:pt idx="3539">
                  <c:v>5338</c:v>
                </c:pt>
                <c:pt idx="3540">
                  <c:v>5338</c:v>
                </c:pt>
                <c:pt idx="3541">
                  <c:v>5338</c:v>
                </c:pt>
                <c:pt idx="3542">
                  <c:v>5338</c:v>
                </c:pt>
                <c:pt idx="3543">
                  <c:v>5338</c:v>
                </c:pt>
                <c:pt idx="3544">
                  <c:v>5338</c:v>
                </c:pt>
                <c:pt idx="3545">
                  <c:v>5337</c:v>
                </c:pt>
                <c:pt idx="3546">
                  <c:v>5337</c:v>
                </c:pt>
                <c:pt idx="3547">
                  <c:v>5337</c:v>
                </c:pt>
                <c:pt idx="3548">
                  <c:v>5337</c:v>
                </c:pt>
                <c:pt idx="3549">
                  <c:v>5333</c:v>
                </c:pt>
                <c:pt idx="3550">
                  <c:v>5333</c:v>
                </c:pt>
                <c:pt idx="3551">
                  <c:v>5333</c:v>
                </c:pt>
                <c:pt idx="3552">
                  <c:v>5333</c:v>
                </c:pt>
                <c:pt idx="3553">
                  <c:v>5333</c:v>
                </c:pt>
                <c:pt idx="3554">
                  <c:v>5333</c:v>
                </c:pt>
                <c:pt idx="3555">
                  <c:v>5333</c:v>
                </c:pt>
                <c:pt idx="3556">
                  <c:v>5333</c:v>
                </c:pt>
                <c:pt idx="3557">
                  <c:v>5333</c:v>
                </c:pt>
                <c:pt idx="3558">
                  <c:v>5333</c:v>
                </c:pt>
                <c:pt idx="3559">
                  <c:v>5333</c:v>
                </c:pt>
                <c:pt idx="3560">
                  <c:v>5333</c:v>
                </c:pt>
                <c:pt idx="3561">
                  <c:v>5333</c:v>
                </c:pt>
                <c:pt idx="3562">
                  <c:v>5333</c:v>
                </c:pt>
                <c:pt idx="3563">
                  <c:v>5333</c:v>
                </c:pt>
                <c:pt idx="3564">
                  <c:v>5333</c:v>
                </c:pt>
                <c:pt idx="3565">
                  <c:v>5333</c:v>
                </c:pt>
                <c:pt idx="3566">
                  <c:v>5333</c:v>
                </c:pt>
                <c:pt idx="3567">
                  <c:v>5333</c:v>
                </c:pt>
                <c:pt idx="3568">
                  <c:v>5333</c:v>
                </c:pt>
                <c:pt idx="3569">
                  <c:v>5333</c:v>
                </c:pt>
                <c:pt idx="3570">
                  <c:v>5333</c:v>
                </c:pt>
                <c:pt idx="3571">
                  <c:v>5333</c:v>
                </c:pt>
                <c:pt idx="3572">
                  <c:v>5333</c:v>
                </c:pt>
                <c:pt idx="3573">
                  <c:v>5334</c:v>
                </c:pt>
                <c:pt idx="3574">
                  <c:v>5334</c:v>
                </c:pt>
                <c:pt idx="3575">
                  <c:v>5334</c:v>
                </c:pt>
                <c:pt idx="3576">
                  <c:v>5334</c:v>
                </c:pt>
                <c:pt idx="3577">
                  <c:v>5334</c:v>
                </c:pt>
                <c:pt idx="3578">
                  <c:v>5334</c:v>
                </c:pt>
                <c:pt idx="3579">
                  <c:v>5334</c:v>
                </c:pt>
                <c:pt idx="3580">
                  <c:v>5333</c:v>
                </c:pt>
                <c:pt idx="3581">
                  <c:v>5333</c:v>
                </c:pt>
                <c:pt idx="3582">
                  <c:v>5333</c:v>
                </c:pt>
                <c:pt idx="3583">
                  <c:v>5333</c:v>
                </c:pt>
                <c:pt idx="3584">
                  <c:v>5331</c:v>
                </c:pt>
                <c:pt idx="3585">
                  <c:v>5331</c:v>
                </c:pt>
                <c:pt idx="3586">
                  <c:v>5331</c:v>
                </c:pt>
                <c:pt idx="3587">
                  <c:v>5331</c:v>
                </c:pt>
                <c:pt idx="3588">
                  <c:v>5331</c:v>
                </c:pt>
                <c:pt idx="3589">
                  <c:v>5331</c:v>
                </c:pt>
                <c:pt idx="3590">
                  <c:v>5331</c:v>
                </c:pt>
                <c:pt idx="3591">
                  <c:v>5331</c:v>
                </c:pt>
                <c:pt idx="3592">
                  <c:v>5331</c:v>
                </c:pt>
                <c:pt idx="3593">
                  <c:v>5331</c:v>
                </c:pt>
                <c:pt idx="3594">
                  <c:v>5331</c:v>
                </c:pt>
                <c:pt idx="3595">
                  <c:v>5331</c:v>
                </c:pt>
                <c:pt idx="3596">
                  <c:v>5331</c:v>
                </c:pt>
                <c:pt idx="3597">
                  <c:v>5329</c:v>
                </c:pt>
                <c:pt idx="3598">
                  <c:v>5329</c:v>
                </c:pt>
                <c:pt idx="3599">
                  <c:v>5329</c:v>
                </c:pt>
                <c:pt idx="3600">
                  <c:v>5329</c:v>
                </c:pt>
                <c:pt idx="3601">
                  <c:v>5329</c:v>
                </c:pt>
                <c:pt idx="3602">
                  <c:v>5329</c:v>
                </c:pt>
                <c:pt idx="3603">
                  <c:v>5329</c:v>
                </c:pt>
                <c:pt idx="3604">
                  <c:v>5329</c:v>
                </c:pt>
                <c:pt idx="3605">
                  <c:v>5327</c:v>
                </c:pt>
                <c:pt idx="3606">
                  <c:v>5327</c:v>
                </c:pt>
                <c:pt idx="3607">
                  <c:v>5327</c:v>
                </c:pt>
                <c:pt idx="3608">
                  <c:v>5327</c:v>
                </c:pt>
                <c:pt idx="3609">
                  <c:v>5325</c:v>
                </c:pt>
                <c:pt idx="3610">
                  <c:v>5325</c:v>
                </c:pt>
                <c:pt idx="3611">
                  <c:v>5325</c:v>
                </c:pt>
                <c:pt idx="3612">
                  <c:v>5325</c:v>
                </c:pt>
                <c:pt idx="3613">
                  <c:v>5325</c:v>
                </c:pt>
                <c:pt idx="3614">
                  <c:v>5324</c:v>
                </c:pt>
                <c:pt idx="3615">
                  <c:v>5324</c:v>
                </c:pt>
                <c:pt idx="3616">
                  <c:v>5324</c:v>
                </c:pt>
                <c:pt idx="3617">
                  <c:v>5324</c:v>
                </c:pt>
                <c:pt idx="3618">
                  <c:v>5323</c:v>
                </c:pt>
                <c:pt idx="3619">
                  <c:v>5323</c:v>
                </c:pt>
                <c:pt idx="3620">
                  <c:v>5323</c:v>
                </c:pt>
                <c:pt idx="3621">
                  <c:v>5323</c:v>
                </c:pt>
                <c:pt idx="3622">
                  <c:v>5323</c:v>
                </c:pt>
                <c:pt idx="3623">
                  <c:v>5323</c:v>
                </c:pt>
                <c:pt idx="3624">
                  <c:v>5323</c:v>
                </c:pt>
                <c:pt idx="3625">
                  <c:v>5323</c:v>
                </c:pt>
                <c:pt idx="3626">
                  <c:v>5323</c:v>
                </c:pt>
                <c:pt idx="3627">
                  <c:v>5322</c:v>
                </c:pt>
                <c:pt idx="3628">
                  <c:v>5322</c:v>
                </c:pt>
                <c:pt idx="3629">
                  <c:v>5322</c:v>
                </c:pt>
                <c:pt idx="3630">
                  <c:v>5322</c:v>
                </c:pt>
                <c:pt idx="3631">
                  <c:v>5322</c:v>
                </c:pt>
                <c:pt idx="3632">
                  <c:v>5318</c:v>
                </c:pt>
                <c:pt idx="3633">
                  <c:v>5318</c:v>
                </c:pt>
                <c:pt idx="3634">
                  <c:v>5317</c:v>
                </c:pt>
                <c:pt idx="3635">
                  <c:v>5317</c:v>
                </c:pt>
                <c:pt idx="3636">
                  <c:v>5317</c:v>
                </c:pt>
                <c:pt idx="3637">
                  <c:v>5317</c:v>
                </c:pt>
                <c:pt idx="3638">
                  <c:v>5317</c:v>
                </c:pt>
                <c:pt idx="3639">
                  <c:v>5317</c:v>
                </c:pt>
                <c:pt idx="3640">
                  <c:v>5317</c:v>
                </c:pt>
                <c:pt idx="3641">
                  <c:v>5317</c:v>
                </c:pt>
                <c:pt idx="3642">
                  <c:v>5317</c:v>
                </c:pt>
                <c:pt idx="3643">
                  <c:v>5316</c:v>
                </c:pt>
                <c:pt idx="3644">
                  <c:v>5316</c:v>
                </c:pt>
                <c:pt idx="3645">
                  <c:v>5316</c:v>
                </c:pt>
                <c:pt idx="3646">
                  <c:v>5316</c:v>
                </c:pt>
                <c:pt idx="3647">
                  <c:v>5316</c:v>
                </c:pt>
                <c:pt idx="3648">
                  <c:v>5316</c:v>
                </c:pt>
                <c:pt idx="3649">
                  <c:v>5316</c:v>
                </c:pt>
                <c:pt idx="3650">
                  <c:v>5316</c:v>
                </c:pt>
                <c:pt idx="3651">
                  <c:v>5316</c:v>
                </c:pt>
                <c:pt idx="3652">
                  <c:v>5316</c:v>
                </c:pt>
                <c:pt idx="3653">
                  <c:v>5316</c:v>
                </c:pt>
                <c:pt idx="3654">
                  <c:v>5316</c:v>
                </c:pt>
                <c:pt idx="3655">
                  <c:v>5316</c:v>
                </c:pt>
                <c:pt idx="3656">
                  <c:v>5316</c:v>
                </c:pt>
                <c:pt idx="3657">
                  <c:v>5316</c:v>
                </c:pt>
                <c:pt idx="3658">
                  <c:v>5316</c:v>
                </c:pt>
                <c:pt idx="3659">
                  <c:v>5316</c:v>
                </c:pt>
                <c:pt idx="3660">
                  <c:v>5316</c:v>
                </c:pt>
                <c:pt idx="3661">
                  <c:v>5316</c:v>
                </c:pt>
                <c:pt idx="3662">
                  <c:v>5316</c:v>
                </c:pt>
                <c:pt idx="3663">
                  <c:v>5316</c:v>
                </c:pt>
                <c:pt idx="3664">
                  <c:v>5316</c:v>
                </c:pt>
                <c:pt idx="3665">
                  <c:v>5315</c:v>
                </c:pt>
                <c:pt idx="3666">
                  <c:v>5315</c:v>
                </c:pt>
                <c:pt idx="3667">
                  <c:v>5315</c:v>
                </c:pt>
                <c:pt idx="3668">
                  <c:v>5315</c:v>
                </c:pt>
                <c:pt idx="3669">
                  <c:v>5315</c:v>
                </c:pt>
                <c:pt idx="3670">
                  <c:v>5315</c:v>
                </c:pt>
                <c:pt idx="3671">
                  <c:v>5315</c:v>
                </c:pt>
                <c:pt idx="3672">
                  <c:v>5315</c:v>
                </c:pt>
                <c:pt idx="3673">
                  <c:v>5315</c:v>
                </c:pt>
                <c:pt idx="3674">
                  <c:v>5312</c:v>
                </c:pt>
                <c:pt idx="3675">
                  <c:v>5312</c:v>
                </c:pt>
                <c:pt idx="3676">
                  <c:v>5312</c:v>
                </c:pt>
                <c:pt idx="3677">
                  <c:v>5312</c:v>
                </c:pt>
                <c:pt idx="3678">
                  <c:v>5312</c:v>
                </c:pt>
                <c:pt idx="3679">
                  <c:v>5306</c:v>
                </c:pt>
                <c:pt idx="3680">
                  <c:v>5306</c:v>
                </c:pt>
                <c:pt idx="3681">
                  <c:v>5306</c:v>
                </c:pt>
                <c:pt idx="3682">
                  <c:v>5306</c:v>
                </c:pt>
                <c:pt idx="3683">
                  <c:v>5305</c:v>
                </c:pt>
                <c:pt idx="3684">
                  <c:v>5305</c:v>
                </c:pt>
                <c:pt idx="3685">
                  <c:v>5305</c:v>
                </c:pt>
                <c:pt idx="3686">
                  <c:v>5305</c:v>
                </c:pt>
                <c:pt idx="3687">
                  <c:v>5304</c:v>
                </c:pt>
                <c:pt idx="3688">
                  <c:v>5304</c:v>
                </c:pt>
                <c:pt idx="3689">
                  <c:v>5304</c:v>
                </c:pt>
                <c:pt idx="3690">
                  <c:v>5304</c:v>
                </c:pt>
                <c:pt idx="3691">
                  <c:v>5304</c:v>
                </c:pt>
                <c:pt idx="3692">
                  <c:v>5304</c:v>
                </c:pt>
                <c:pt idx="3693">
                  <c:v>5304</c:v>
                </c:pt>
                <c:pt idx="3694">
                  <c:v>5304</c:v>
                </c:pt>
                <c:pt idx="3695">
                  <c:v>5304</c:v>
                </c:pt>
                <c:pt idx="3696">
                  <c:v>5303</c:v>
                </c:pt>
                <c:pt idx="3697">
                  <c:v>5303</c:v>
                </c:pt>
                <c:pt idx="3698">
                  <c:v>5303</c:v>
                </c:pt>
                <c:pt idx="3699">
                  <c:v>5303</c:v>
                </c:pt>
                <c:pt idx="3700">
                  <c:v>5303</c:v>
                </c:pt>
                <c:pt idx="3701">
                  <c:v>5303</c:v>
                </c:pt>
                <c:pt idx="3702">
                  <c:v>5303</c:v>
                </c:pt>
                <c:pt idx="3703">
                  <c:v>5303</c:v>
                </c:pt>
                <c:pt idx="3704">
                  <c:v>5303</c:v>
                </c:pt>
                <c:pt idx="3705">
                  <c:v>5303</c:v>
                </c:pt>
                <c:pt idx="3706">
                  <c:v>5303</c:v>
                </c:pt>
                <c:pt idx="3707">
                  <c:v>5303</c:v>
                </c:pt>
                <c:pt idx="3708">
                  <c:v>5303</c:v>
                </c:pt>
                <c:pt idx="3709">
                  <c:v>5303</c:v>
                </c:pt>
                <c:pt idx="3710">
                  <c:v>5303</c:v>
                </c:pt>
                <c:pt idx="3711">
                  <c:v>5303</c:v>
                </c:pt>
                <c:pt idx="3712">
                  <c:v>5303</c:v>
                </c:pt>
                <c:pt idx="3713">
                  <c:v>5303</c:v>
                </c:pt>
                <c:pt idx="3714">
                  <c:v>5303</c:v>
                </c:pt>
                <c:pt idx="3715">
                  <c:v>5303</c:v>
                </c:pt>
                <c:pt idx="3716">
                  <c:v>5303</c:v>
                </c:pt>
                <c:pt idx="3717">
                  <c:v>5303</c:v>
                </c:pt>
                <c:pt idx="3718">
                  <c:v>5303</c:v>
                </c:pt>
                <c:pt idx="3719">
                  <c:v>5302</c:v>
                </c:pt>
                <c:pt idx="3720">
                  <c:v>5302</c:v>
                </c:pt>
                <c:pt idx="3721">
                  <c:v>5302</c:v>
                </c:pt>
                <c:pt idx="3722">
                  <c:v>5302</c:v>
                </c:pt>
                <c:pt idx="3723">
                  <c:v>5300</c:v>
                </c:pt>
                <c:pt idx="3724">
                  <c:v>5300</c:v>
                </c:pt>
                <c:pt idx="3725">
                  <c:v>5300</c:v>
                </c:pt>
                <c:pt idx="3726">
                  <c:v>5300</c:v>
                </c:pt>
                <c:pt idx="3727">
                  <c:v>5300</c:v>
                </c:pt>
                <c:pt idx="3728">
                  <c:v>5299</c:v>
                </c:pt>
                <c:pt idx="3729">
                  <c:v>5299</c:v>
                </c:pt>
                <c:pt idx="3730">
                  <c:v>5299</c:v>
                </c:pt>
                <c:pt idx="3731">
                  <c:v>5299</c:v>
                </c:pt>
                <c:pt idx="3732">
                  <c:v>5298</c:v>
                </c:pt>
                <c:pt idx="3733">
                  <c:v>5298</c:v>
                </c:pt>
                <c:pt idx="3734">
                  <c:v>5298</c:v>
                </c:pt>
                <c:pt idx="3735">
                  <c:v>5298</c:v>
                </c:pt>
                <c:pt idx="3736">
                  <c:v>5298</c:v>
                </c:pt>
                <c:pt idx="3737">
                  <c:v>5298</c:v>
                </c:pt>
                <c:pt idx="3738">
                  <c:v>5298</c:v>
                </c:pt>
                <c:pt idx="3739">
                  <c:v>5298</c:v>
                </c:pt>
                <c:pt idx="3740">
                  <c:v>5298</c:v>
                </c:pt>
                <c:pt idx="3741">
                  <c:v>5297</c:v>
                </c:pt>
                <c:pt idx="3742">
                  <c:v>5297</c:v>
                </c:pt>
                <c:pt idx="3743">
                  <c:v>5297</c:v>
                </c:pt>
                <c:pt idx="3744">
                  <c:v>5297</c:v>
                </c:pt>
                <c:pt idx="3745">
                  <c:v>5297</c:v>
                </c:pt>
                <c:pt idx="3746">
                  <c:v>5297</c:v>
                </c:pt>
                <c:pt idx="3747">
                  <c:v>5297</c:v>
                </c:pt>
                <c:pt idx="3748">
                  <c:v>5297</c:v>
                </c:pt>
                <c:pt idx="3749">
                  <c:v>5297</c:v>
                </c:pt>
                <c:pt idx="3750">
                  <c:v>5296</c:v>
                </c:pt>
                <c:pt idx="3751">
                  <c:v>5296</c:v>
                </c:pt>
                <c:pt idx="3752">
                  <c:v>5296</c:v>
                </c:pt>
                <c:pt idx="3753">
                  <c:v>5296</c:v>
                </c:pt>
                <c:pt idx="3754">
                  <c:v>5296</c:v>
                </c:pt>
                <c:pt idx="3755">
                  <c:v>5296</c:v>
                </c:pt>
                <c:pt idx="3756">
                  <c:v>5296</c:v>
                </c:pt>
                <c:pt idx="3757">
                  <c:v>5296</c:v>
                </c:pt>
                <c:pt idx="3758">
                  <c:v>5296</c:v>
                </c:pt>
                <c:pt idx="3759">
                  <c:v>5296</c:v>
                </c:pt>
                <c:pt idx="3760">
                  <c:v>5296</c:v>
                </c:pt>
                <c:pt idx="3761">
                  <c:v>5296</c:v>
                </c:pt>
                <c:pt idx="3762">
                  <c:v>5296</c:v>
                </c:pt>
                <c:pt idx="3763">
                  <c:v>5296</c:v>
                </c:pt>
                <c:pt idx="3764">
                  <c:v>5296</c:v>
                </c:pt>
                <c:pt idx="3765">
                  <c:v>5296</c:v>
                </c:pt>
                <c:pt idx="3766">
                  <c:v>5296</c:v>
                </c:pt>
                <c:pt idx="3767">
                  <c:v>5296</c:v>
                </c:pt>
                <c:pt idx="3768">
                  <c:v>5295</c:v>
                </c:pt>
                <c:pt idx="3769">
                  <c:v>5295</c:v>
                </c:pt>
                <c:pt idx="3770">
                  <c:v>5295</c:v>
                </c:pt>
                <c:pt idx="3771">
                  <c:v>5295</c:v>
                </c:pt>
                <c:pt idx="3772">
                  <c:v>5295</c:v>
                </c:pt>
                <c:pt idx="3773">
                  <c:v>5295</c:v>
                </c:pt>
                <c:pt idx="3774">
                  <c:v>5295</c:v>
                </c:pt>
                <c:pt idx="3775">
                  <c:v>5295</c:v>
                </c:pt>
                <c:pt idx="3776">
                  <c:v>5295</c:v>
                </c:pt>
                <c:pt idx="3777">
                  <c:v>5292</c:v>
                </c:pt>
                <c:pt idx="3778">
                  <c:v>5292</c:v>
                </c:pt>
                <c:pt idx="3779">
                  <c:v>5292</c:v>
                </c:pt>
                <c:pt idx="3780">
                  <c:v>5292</c:v>
                </c:pt>
                <c:pt idx="3781">
                  <c:v>5292</c:v>
                </c:pt>
                <c:pt idx="3782">
                  <c:v>5292</c:v>
                </c:pt>
                <c:pt idx="3783">
                  <c:v>5292</c:v>
                </c:pt>
                <c:pt idx="3784">
                  <c:v>5292</c:v>
                </c:pt>
                <c:pt idx="3785">
                  <c:v>5292</c:v>
                </c:pt>
                <c:pt idx="3786">
                  <c:v>5291</c:v>
                </c:pt>
                <c:pt idx="3787">
                  <c:v>5291</c:v>
                </c:pt>
                <c:pt idx="3788">
                  <c:v>5291</c:v>
                </c:pt>
                <c:pt idx="3789">
                  <c:v>5291</c:v>
                </c:pt>
                <c:pt idx="3790">
                  <c:v>5291</c:v>
                </c:pt>
                <c:pt idx="3791">
                  <c:v>5291</c:v>
                </c:pt>
                <c:pt idx="3792">
                  <c:v>5291</c:v>
                </c:pt>
                <c:pt idx="3793">
                  <c:v>5291</c:v>
                </c:pt>
                <c:pt idx="3794">
                  <c:v>5291</c:v>
                </c:pt>
                <c:pt idx="3795">
                  <c:v>5290</c:v>
                </c:pt>
                <c:pt idx="3796">
                  <c:v>5290</c:v>
                </c:pt>
                <c:pt idx="3797">
                  <c:v>5290</c:v>
                </c:pt>
                <c:pt idx="3798">
                  <c:v>5290</c:v>
                </c:pt>
                <c:pt idx="3799">
                  <c:v>5290</c:v>
                </c:pt>
                <c:pt idx="3800">
                  <c:v>5290</c:v>
                </c:pt>
                <c:pt idx="3801">
                  <c:v>5290</c:v>
                </c:pt>
                <c:pt idx="3802">
                  <c:v>5290</c:v>
                </c:pt>
                <c:pt idx="3803">
                  <c:v>5290</c:v>
                </c:pt>
                <c:pt idx="3804">
                  <c:v>5290</c:v>
                </c:pt>
                <c:pt idx="3805">
                  <c:v>5290</c:v>
                </c:pt>
                <c:pt idx="3806">
                  <c:v>5290</c:v>
                </c:pt>
                <c:pt idx="3807">
                  <c:v>5290</c:v>
                </c:pt>
                <c:pt idx="3808">
                  <c:v>5290</c:v>
                </c:pt>
                <c:pt idx="3809">
                  <c:v>5290</c:v>
                </c:pt>
                <c:pt idx="3810">
                  <c:v>5290</c:v>
                </c:pt>
                <c:pt idx="3811">
                  <c:v>5290</c:v>
                </c:pt>
                <c:pt idx="3812">
                  <c:v>5290</c:v>
                </c:pt>
                <c:pt idx="3813">
                  <c:v>5290</c:v>
                </c:pt>
                <c:pt idx="3814">
                  <c:v>5290</c:v>
                </c:pt>
                <c:pt idx="3815">
                  <c:v>5290</c:v>
                </c:pt>
                <c:pt idx="3816">
                  <c:v>5290</c:v>
                </c:pt>
                <c:pt idx="3817">
                  <c:v>5290</c:v>
                </c:pt>
                <c:pt idx="3818">
                  <c:v>5290</c:v>
                </c:pt>
                <c:pt idx="3819">
                  <c:v>5290</c:v>
                </c:pt>
                <c:pt idx="3820">
                  <c:v>5290</c:v>
                </c:pt>
                <c:pt idx="3821">
                  <c:v>5290</c:v>
                </c:pt>
                <c:pt idx="3822">
                  <c:v>5287</c:v>
                </c:pt>
                <c:pt idx="3823">
                  <c:v>5287</c:v>
                </c:pt>
                <c:pt idx="3824">
                  <c:v>5287</c:v>
                </c:pt>
                <c:pt idx="3825">
                  <c:v>5287</c:v>
                </c:pt>
                <c:pt idx="3826">
                  <c:v>5287</c:v>
                </c:pt>
                <c:pt idx="3827">
                  <c:v>5287</c:v>
                </c:pt>
                <c:pt idx="3828">
                  <c:v>5287</c:v>
                </c:pt>
                <c:pt idx="3829">
                  <c:v>5287</c:v>
                </c:pt>
                <c:pt idx="3830">
                  <c:v>5287</c:v>
                </c:pt>
                <c:pt idx="3831">
                  <c:v>5285</c:v>
                </c:pt>
                <c:pt idx="3832">
                  <c:v>5285</c:v>
                </c:pt>
                <c:pt idx="3833">
                  <c:v>5285</c:v>
                </c:pt>
                <c:pt idx="3834">
                  <c:v>5285</c:v>
                </c:pt>
                <c:pt idx="3835">
                  <c:v>5285</c:v>
                </c:pt>
                <c:pt idx="3836">
                  <c:v>5285</c:v>
                </c:pt>
                <c:pt idx="3837">
                  <c:v>5285</c:v>
                </c:pt>
                <c:pt idx="3838">
                  <c:v>5285</c:v>
                </c:pt>
                <c:pt idx="3839">
                  <c:v>5285</c:v>
                </c:pt>
                <c:pt idx="3840">
                  <c:v>5284</c:v>
                </c:pt>
                <c:pt idx="3841">
                  <c:v>5284</c:v>
                </c:pt>
                <c:pt idx="3842">
                  <c:v>5284</c:v>
                </c:pt>
                <c:pt idx="3843">
                  <c:v>5284</c:v>
                </c:pt>
                <c:pt idx="3844">
                  <c:v>5284</c:v>
                </c:pt>
                <c:pt idx="3845">
                  <c:v>5284</c:v>
                </c:pt>
                <c:pt idx="3846">
                  <c:v>5284</c:v>
                </c:pt>
                <c:pt idx="3847">
                  <c:v>5284</c:v>
                </c:pt>
                <c:pt idx="3848">
                  <c:v>5284</c:v>
                </c:pt>
                <c:pt idx="3849">
                  <c:v>5284</c:v>
                </c:pt>
                <c:pt idx="3850">
                  <c:v>5284</c:v>
                </c:pt>
                <c:pt idx="3851">
                  <c:v>5284</c:v>
                </c:pt>
                <c:pt idx="3852">
                  <c:v>5284</c:v>
                </c:pt>
                <c:pt idx="3853">
                  <c:v>5284</c:v>
                </c:pt>
                <c:pt idx="3854">
                  <c:v>5284</c:v>
                </c:pt>
                <c:pt idx="3855">
                  <c:v>5284</c:v>
                </c:pt>
                <c:pt idx="3856">
                  <c:v>5284</c:v>
                </c:pt>
                <c:pt idx="3857">
                  <c:v>5284</c:v>
                </c:pt>
                <c:pt idx="3858">
                  <c:v>5284</c:v>
                </c:pt>
                <c:pt idx="3859">
                  <c:v>5284</c:v>
                </c:pt>
                <c:pt idx="3860">
                  <c:v>5284</c:v>
                </c:pt>
                <c:pt idx="3861">
                  <c:v>5284</c:v>
                </c:pt>
                <c:pt idx="3862">
                  <c:v>5284</c:v>
                </c:pt>
                <c:pt idx="3863">
                  <c:v>5284</c:v>
                </c:pt>
                <c:pt idx="3864">
                  <c:v>5284</c:v>
                </c:pt>
                <c:pt idx="3865">
                  <c:v>5284</c:v>
                </c:pt>
                <c:pt idx="3866">
                  <c:v>5284</c:v>
                </c:pt>
                <c:pt idx="3867">
                  <c:v>5284</c:v>
                </c:pt>
                <c:pt idx="3868">
                  <c:v>5284</c:v>
                </c:pt>
                <c:pt idx="3869">
                  <c:v>5284</c:v>
                </c:pt>
                <c:pt idx="3870">
                  <c:v>5284</c:v>
                </c:pt>
                <c:pt idx="3871">
                  <c:v>5284</c:v>
                </c:pt>
                <c:pt idx="3872">
                  <c:v>5284</c:v>
                </c:pt>
                <c:pt idx="3873">
                  <c:v>5284</c:v>
                </c:pt>
                <c:pt idx="3874">
                  <c:v>5284</c:v>
                </c:pt>
                <c:pt idx="3875">
                  <c:v>5281</c:v>
                </c:pt>
                <c:pt idx="3876">
                  <c:v>5281</c:v>
                </c:pt>
                <c:pt idx="3877">
                  <c:v>5281</c:v>
                </c:pt>
                <c:pt idx="3878">
                  <c:v>5281</c:v>
                </c:pt>
                <c:pt idx="3879">
                  <c:v>5281</c:v>
                </c:pt>
                <c:pt idx="3880">
                  <c:v>5281</c:v>
                </c:pt>
                <c:pt idx="3881">
                  <c:v>5281</c:v>
                </c:pt>
                <c:pt idx="3882">
                  <c:v>5281</c:v>
                </c:pt>
                <c:pt idx="3883">
                  <c:v>5281</c:v>
                </c:pt>
                <c:pt idx="3884">
                  <c:v>5279</c:v>
                </c:pt>
                <c:pt idx="3885">
                  <c:v>5279</c:v>
                </c:pt>
                <c:pt idx="3886">
                  <c:v>5279</c:v>
                </c:pt>
                <c:pt idx="3887">
                  <c:v>5279</c:v>
                </c:pt>
                <c:pt idx="3888">
                  <c:v>5279</c:v>
                </c:pt>
                <c:pt idx="3889">
                  <c:v>5279</c:v>
                </c:pt>
                <c:pt idx="3890">
                  <c:v>5279</c:v>
                </c:pt>
                <c:pt idx="3891">
                  <c:v>5279</c:v>
                </c:pt>
                <c:pt idx="3892">
                  <c:v>5279</c:v>
                </c:pt>
                <c:pt idx="3893">
                  <c:v>5278</c:v>
                </c:pt>
                <c:pt idx="3894">
                  <c:v>5278</c:v>
                </c:pt>
                <c:pt idx="3895">
                  <c:v>5278</c:v>
                </c:pt>
                <c:pt idx="3896">
                  <c:v>5278</c:v>
                </c:pt>
                <c:pt idx="3897">
                  <c:v>5278</c:v>
                </c:pt>
                <c:pt idx="3898">
                  <c:v>5278</c:v>
                </c:pt>
                <c:pt idx="3899">
                  <c:v>5278</c:v>
                </c:pt>
                <c:pt idx="3900">
                  <c:v>5278</c:v>
                </c:pt>
                <c:pt idx="3901">
                  <c:v>5278</c:v>
                </c:pt>
                <c:pt idx="3902">
                  <c:v>5278</c:v>
                </c:pt>
                <c:pt idx="3903">
                  <c:v>5278</c:v>
                </c:pt>
                <c:pt idx="3904">
                  <c:v>5278</c:v>
                </c:pt>
                <c:pt idx="3905">
                  <c:v>5278</c:v>
                </c:pt>
                <c:pt idx="3906">
                  <c:v>5278</c:v>
                </c:pt>
                <c:pt idx="3907">
                  <c:v>5278</c:v>
                </c:pt>
                <c:pt idx="3908">
                  <c:v>5278</c:v>
                </c:pt>
                <c:pt idx="3909">
                  <c:v>5278</c:v>
                </c:pt>
                <c:pt idx="3910">
                  <c:v>5278</c:v>
                </c:pt>
                <c:pt idx="3911">
                  <c:v>5278</c:v>
                </c:pt>
                <c:pt idx="3912">
                  <c:v>5278</c:v>
                </c:pt>
                <c:pt idx="3913">
                  <c:v>5278</c:v>
                </c:pt>
                <c:pt idx="3914">
                  <c:v>5278</c:v>
                </c:pt>
                <c:pt idx="3915">
                  <c:v>5278</c:v>
                </c:pt>
                <c:pt idx="3916">
                  <c:v>5278</c:v>
                </c:pt>
                <c:pt idx="3917">
                  <c:v>5278</c:v>
                </c:pt>
                <c:pt idx="3918">
                  <c:v>5278</c:v>
                </c:pt>
                <c:pt idx="3919">
                  <c:v>5278</c:v>
                </c:pt>
                <c:pt idx="3920">
                  <c:v>5278</c:v>
                </c:pt>
                <c:pt idx="3921">
                  <c:v>5278</c:v>
                </c:pt>
                <c:pt idx="3922">
                  <c:v>5278</c:v>
                </c:pt>
                <c:pt idx="3923">
                  <c:v>5278</c:v>
                </c:pt>
                <c:pt idx="3924">
                  <c:v>5278</c:v>
                </c:pt>
                <c:pt idx="3925">
                  <c:v>5278</c:v>
                </c:pt>
                <c:pt idx="3926">
                  <c:v>5278</c:v>
                </c:pt>
                <c:pt idx="3927">
                  <c:v>5278</c:v>
                </c:pt>
                <c:pt idx="3928">
                  <c:v>5278</c:v>
                </c:pt>
                <c:pt idx="3929">
                  <c:v>5278</c:v>
                </c:pt>
                <c:pt idx="3930">
                  <c:v>5278</c:v>
                </c:pt>
                <c:pt idx="3931">
                  <c:v>5278</c:v>
                </c:pt>
                <c:pt idx="3932">
                  <c:v>5278</c:v>
                </c:pt>
                <c:pt idx="3933">
                  <c:v>5278</c:v>
                </c:pt>
                <c:pt idx="3934">
                  <c:v>5278</c:v>
                </c:pt>
                <c:pt idx="3935">
                  <c:v>5278</c:v>
                </c:pt>
                <c:pt idx="3936">
                  <c:v>5278</c:v>
                </c:pt>
                <c:pt idx="3937">
                  <c:v>5278</c:v>
                </c:pt>
                <c:pt idx="3938">
                  <c:v>5276</c:v>
                </c:pt>
                <c:pt idx="3939">
                  <c:v>5276</c:v>
                </c:pt>
                <c:pt idx="3940">
                  <c:v>5276</c:v>
                </c:pt>
                <c:pt idx="3941">
                  <c:v>5276</c:v>
                </c:pt>
                <c:pt idx="3942">
                  <c:v>5276</c:v>
                </c:pt>
                <c:pt idx="3943">
                  <c:v>5276</c:v>
                </c:pt>
                <c:pt idx="3944">
                  <c:v>5276</c:v>
                </c:pt>
                <c:pt idx="3945">
                  <c:v>5276</c:v>
                </c:pt>
                <c:pt idx="3946">
                  <c:v>5276</c:v>
                </c:pt>
                <c:pt idx="3947">
                  <c:v>5274</c:v>
                </c:pt>
                <c:pt idx="3948">
                  <c:v>5274</c:v>
                </c:pt>
                <c:pt idx="3949">
                  <c:v>5274</c:v>
                </c:pt>
                <c:pt idx="3950">
                  <c:v>5274</c:v>
                </c:pt>
                <c:pt idx="3951">
                  <c:v>5274</c:v>
                </c:pt>
                <c:pt idx="3952">
                  <c:v>5274</c:v>
                </c:pt>
                <c:pt idx="3953">
                  <c:v>5274</c:v>
                </c:pt>
                <c:pt idx="3954">
                  <c:v>5274</c:v>
                </c:pt>
                <c:pt idx="3955">
                  <c:v>5274</c:v>
                </c:pt>
                <c:pt idx="3956">
                  <c:v>5273</c:v>
                </c:pt>
                <c:pt idx="3957">
                  <c:v>5273</c:v>
                </c:pt>
                <c:pt idx="3958">
                  <c:v>5273</c:v>
                </c:pt>
                <c:pt idx="3959">
                  <c:v>5273</c:v>
                </c:pt>
                <c:pt idx="3960">
                  <c:v>5273</c:v>
                </c:pt>
                <c:pt idx="3961">
                  <c:v>5273</c:v>
                </c:pt>
                <c:pt idx="3962">
                  <c:v>5273</c:v>
                </c:pt>
                <c:pt idx="3963">
                  <c:v>5273</c:v>
                </c:pt>
                <c:pt idx="3964">
                  <c:v>5273</c:v>
                </c:pt>
                <c:pt idx="3965">
                  <c:v>5272</c:v>
                </c:pt>
                <c:pt idx="3966">
                  <c:v>5272</c:v>
                </c:pt>
                <c:pt idx="3967">
                  <c:v>5272</c:v>
                </c:pt>
                <c:pt idx="3968">
                  <c:v>5272</c:v>
                </c:pt>
                <c:pt idx="3969">
                  <c:v>5272</c:v>
                </c:pt>
                <c:pt idx="3970">
                  <c:v>5272</c:v>
                </c:pt>
                <c:pt idx="3971">
                  <c:v>5272</c:v>
                </c:pt>
                <c:pt idx="3972">
                  <c:v>5272</c:v>
                </c:pt>
                <c:pt idx="3973">
                  <c:v>5272</c:v>
                </c:pt>
                <c:pt idx="3974">
                  <c:v>5272</c:v>
                </c:pt>
                <c:pt idx="3975">
                  <c:v>5272</c:v>
                </c:pt>
                <c:pt idx="3976">
                  <c:v>5272</c:v>
                </c:pt>
                <c:pt idx="3977">
                  <c:v>5272</c:v>
                </c:pt>
                <c:pt idx="3978">
                  <c:v>5272</c:v>
                </c:pt>
                <c:pt idx="3979">
                  <c:v>5272</c:v>
                </c:pt>
                <c:pt idx="3980">
                  <c:v>5272</c:v>
                </c:pt>
                <c:pt idx="3981">
                  <c:v>5272</c:v>
                </c:pt>
                <c:pt idx="3982">
                  <c:v>5272</c:v>
                </c:pt>
                <c:pt idx="3983">
                  <c:v>5273</c:v>
                </c:pt>
                <c:pt idx="3984">
                  <c:v>5273</c:v>
                </c:pt>
                <c:pt idx="3985">
                  <c:v>5273</c:v>
                </c:pt>
                <c:pt idx="3986">
                  <c:v>5273</c:v>
                </c:pt>
                <c:pt idx="3987">
                  <c:v>5273</c:v>
                </c:pt>
                <c:pt idx="3988">
                  <c:v>5273</c:v>
                </c:pt>
                <c:pt idx="3989">
                  <c:v>5273</c:v>
                </c:pt>
                <c:pt idx="3990">
                  <c:v>5273</c:v>
                </c:pt>
                <c:pt idx="3991">
                  <c:v>5273</c:v>
                </c:pt>
                <c:pt idx="3992">
                  <c:v>5273</c:v>
                </c:pt>
                <c:pt idx="3993">
                  <c:v>5273</c:v>
                </c:pt>
                <c:pt idx="3994">
                  <c:v>5273</c:v>
                </c:pt>
                <c:pt idx="3995">
                  <c:v>5273</c:v>
                </c:pt>
                <c:pt idx="3996">
                  <c:v>5273</c:v>
                </c:pt>
                <c:pt idx="3997">
                  <c:v>5273</c:v>
                </c:pt>
                <c:pt idx="3998">
                  <c:v>5273</c:v>
                </c:pt>
                <c:pt idx="3999">
                  <c:v>5273</c:v>
                </c:pt>
                <c:pt idx="4000">
                  <c:v>5273</c:v>
                </c:pt>
                <c:pt idx="4001">
                  <c:v>5271</c:v>
                </c:pt>
                <c:pt idx="4002">
                  <c:v>5271</c:v>
                </c:pt>
                <c:pt idx="4003">
                  <c:v>5271</c:v>
                </c:pt>
                <c:pt idx="4004">
                  <c:v>5271</c:v>
                </c:pt>
                <c:pt idx="4005">
                  <c:v>5271</c:v>
                </c:pt>
                <c:pt idx="4006">
                  <c:v>5271</c:v>
                </c:pt>
                <c:pt idx="4007">
                  <c:v>5271</c:v>
                </c:pt>
                <c:pt idx="4008">
                  <c:v>5271</c:v>
                </c:pt>
                <c:pt idx="4009">
                  <c:v>5271</c:v>
                </c:pt>
                <c:pt idx="4010">
                  <c:v>5269</c:v>
                </c:pt>
                <c:pt idx="4011">
                  <c:v>5269</c:v>
                </c:pt>
                <c:pt idx="4012">
                  <c:v>5269</c:v>
                </c:pt>
                <c:pt idx="4013">
                  <c:v>5269</c:v>
                </c:pt>
                <c:pt idx="4014">
                  <c:v>5269</c:v>
                </c:pt>
                <c:pt idx="4015">
                  <c:v>5269</c:v>
                </c:pt>
                <c:pt idx="4016">
                  <c:v>5269</c:v>
                </c:pt>
                <c:pt idx="4017">
                  <c:v>5269</c:v>
                </c:pt>
                <c:pt idx="4018">
                  <c:v>5269</c:v>
                </c:pt>
                <c:pt idx="4019">
                  <c:v>5268</c:v>
                </c:pt>
                <c:pt idx="4020">
                  <c:v>5268</c:v>
                </c:pt>
                <c:pt idx="4021">
                  <c:v>5268</c:v>
                </c:pt>
                <c:pt idx="4022">
                  <c:v>5268</c:v>
                </c:pt>
                <c:pt idx="4023">
                  <c:v>5268</c:v>
                </c:pt>
                <c:pt idx="4024">
                  <c:v>5268</c:v>
                </c:pt>
                <c:pt idx="4025">
                  <c:v>5268</c:v>
                </c:pt>
                <c:pt idx="4026">
                  <c:v>5268</c:v>
                </c:pt>
                <c:pt idx="4027">
                  <c:v>5268</c:v>
                </c:pt>
                <c:pt idx="4028">
                  <c:v>5267</c:v>
                </c:pt>
                <c:pt idx="4029">
                  <c:v>5267</c:v>
                </c:pt>
                <c:pt idx="4030">
                  <c:v>5267</c:v>
                </c:pt>
                <c:pt idx="4031">
                  <c:v>5267</c:v>
                </c:pt>
                <c:pt idx="4032">
                  <c:v>5267</c:v>
                </c:pt>
                <c:pt idx="4033">
                  <c:v>5267</c:v>
                </c:pt>
                <c:pt idx="4034">
                  <c:v>5267</c:v>
                </c:pt>
                <c:pt idx="4035">
                  <c:v>5267</c:v>
                </c:pt>
                <c:pt idx="4036">
                  <c:v>5267</c:v>
                </c:pt>
                <c:pt idx="4037">
                  <c:v>5267</c:v>
                </c:pt>
                <c:pt idx="4038">
                  <c:v>5267</c:v>
                </c:pt>
                <c:pt idx="4039">
                  <c:v>5267</c:v>
                </c:pt>
                <c:pt idx="4040">
                  <c:v>5267</c:v>
                </c:pt>
                <c:pt idx="4041">
                  <c:v>5267</c:v>
                </c:pt>
                <c:pt idx="4042">
                  <c:v>5267</c:v>
                </c:pt>
                <c:pt idx="4043">
                  <c:v>5267</c:v>
                </c:pt>
                <c:pt idx="4044">
                  <c:v>5267</c:v>
                </c:pt>
                <c:pt idx="4045">
                  <c:v>5267</c:v>
                </c:pt>
                <c:pt idx="4046">
                  <c:v>5267</c:v>
                </c:pt>
                <c:pt idx="4047">
                  <c:v>5267</c:v>
                </c:pt>
                <c:pt idx="4048">
                  <c:v>5267</c:v>
                </c:pt>
                <c:pt idx="4049">
                  <c:v>5267</c:v>
                </c:pt>
                <c:pt idx="4050">
                  <c:v>5267</c:v>
                </c:pt>
                <c:pt idx="4051">
                  <c:v>5267</c:v>
                </c:pt>
                <c:pt idx="4052">
                  <c:v>5267</c:v>
                </c:pt>
                <c:pt idx="4053">
                  <c:v>5267</c:v>
                </c:pt>
                <c:pt idx="4054">
                  <c:v>5268</c:v>
                </c:pt>
                <c:pt idx="4055">
                  <c:v>5268</c:v>
                </c:pt>
                <c:pt idx="4056">
                  <c:v>5268</c:v>
                </c:pt>
                <c:pt idx="4057">
                  <c:v>5268</c:v>
                </c:pt>
                <c:pt idx="4058">
                  <c:v>5268</c:v>
                </c:pt>
                <c:pt idx="4059">
                  <c:v>5268</c:v>
                </c:pt>
                <c:pt idx="4060">
                  <c:v>5268</c:v>
                </c:pt>
                <c:pt idx="4061">
                  <c:v>5268</c:v>
                </c:pt>
                <c:pt idx="4062">
                  <c:v>5268</c:v>
                </c:pt>
                <c:pt idx="4063">
                  <c:v>5268</c:v>
                </c:pt>
                <c:pt idx="4064">
                  <c:v>5268</c:v>
                </c:pt>
                <c:pt idx="4065">
                  <c:v>5268</c:v>
                </c:pt>
                <c:pt idx="4066">
                  <c:v>5268</c:v>
                </c:pt>
                <c:pt idx="4067">
                  <c:v>5268</c:v>
                </c:pt>
                <c:pt idx="4068">
                  <c:v>5268</c:v>
                </c:pt>
                <c:pt idx="4069">
                  <c:v>5268</c:v>
                </c:pt>
                <c:pt idx="4070">
                  <c:v>5268</c:v>
                </c:pt>
                <c:pt idx="4071">
                  <c:v>5268</c:v>
                </c:pt>
                <c:pt idx="4072">
                  <c:v>5265</c:v>
                </c:pt>
                <c:pt idx="4073">
                  <c:v>5265</c:v>
                </c:pt>
                <c:pt idx="4074">
                  <c:v>5265</c:v>
                </c:pt>
                <c:pt idx="4075">
                  <c:v>5265</c:v>
                </c:pt>
                <c:pt idx="4076">
                  <c:v>5265</c:v>
                </c:pt>
                <c:pt idx="4077">
                  <c:v>5265</c:v>
                </c:pt>
                <c:pt idx="4078">
                  <c:v>5265</c:v>
                </c:pt>
                <c:pt idx="4079">
                  <c:v>5265</c:v>
                </c:pt>
                <c:pt idx="4080">
                  <c:v>5265</c:v>
                </c:pt>
                <c:pt idx="4081">
                  <c:v>5263</c:v>
                </c:pt>
                <c:pt idx="4082">
                  <c:v>5263</c:v>
                </c:pt>
                <c:pt idx="4083">
                  <c:v>5263</c:v>
                </c:pt>
                <c:pt idx="4084">
                  <c:v>5263</c:v>
                </c:pt>
                <c:pt idx="4085">
                  <c:v>5263</c:v>
                </c:pt>
                <c:pt idx="4086">
                  <c:v>5263</c:v>
                </c:pt>
                <c:pt idx="4087">
                  <c:v>5263</c:v>
                </c:pt>
                <c:pt idx="4088">
                  <c:v>5263</c:v>
                </c:pt>
                <c:pt idx="4089">
                  <c:v>5263</c:v>
                </c:pt>
                <c:pt idx="4090">
                  <c:v>5262</c:v>
                </c:pt>
                <c:pt idx="4091">
                  <c:v>5262</c:v>
                </c:pt>
                <c:pt idx="4092">
                  <c:v>5262</c:v>
                </c:pt>
                <c:pt idx="4093">
                  <c:v>5262</c:v>
                </c:pt>
                <c:pt idx="4094">
                  <c:v>5262</c:v>
                </c:pt>
                <c:pt idx="4095">
                  <c:v>5262</c:v>
                </c:pt>
                <c:pt idx="4096">
                  <c:v>5262</c:v>
                </c:pt>
                <c:pt idx="4097">
                  <c:v>5262</c:v>
                </c:pt>
                <c:pt idx="4098">
                  <c:v>5262</c:v>
                </c:pt>
                <c:pt idx="4099">
                  <c:v>5262</c:v>
                </c:pt>
                <c:pt idx="4100">
                  <c:v>5262</c:v>
                </c:pt>
                <c:pt idx="4101">
                  <c:v>5262</c:v>
                </c:pt>
                <c:pt idx="4102">
                  <c:v>5262</c:v>
                </c:pt>
                <c:pt idx="4103">
                  <c:v>5262</c:v>
                </c:pt>
                <c:pt idx="4104">
                  <c:v>5262</c:v>
                </c:pt>
                <c:pt idx="4105">
                  <c:v>5262</c:v>
                </c:pt>
                <c:pt idx="4106">
                  <c:v>5262</c:v>
                </c:pt>
                <c:pt idx="4107">
                  <c:v>5262</c:v>
                </c:pt>
                <c:pt idx="4108">
                  <c:v>5262</c:v>
                </c:pt>
                <c:pt idx="4109">
                  <c:v>5262</c:v>
                </c:pt>
                <c:pt idx="4110">
                  <c:v>5262</c:v>
                </c:pt>
                <c:pt idx="4111">
                  <c:v>5262</c:v>
                </c:pt>
                <c:pt idx="4112">
                  <c:v>5262</c:v>
                </c:pt>
                <c:pt idx="4113">
                  <c:v>5262</c:v>
                </c:pt>
                <c:pt idx="4114">
                  <c:v>5262</c:v>
                </c:pt>
                <c:pt idx="4115">
                  <c:v>5262</c:v>
                </c:pt>
                <c:pt idx="4116">
                  <c:v>5262</c:v>
                </c:pt>
                <c:pt idx="4117">
                  <c:v>5262</c:v>
                </c:pt>
                <c:pt idx="4118">
                  <c:v>5262</c:v>
                </c:pt>
                <c:pt idx="4119">
                  <c:v>5262</c:v>
                </c:pt>
                <c:pt idx="4120">
                  <c:v>5262</c:v>
                </c:pt>
                <c:pt idx="4121">
                  <c:v>5262</c:v>
                </c:pt>
                <c:pt idx="4122">
                  <c:v>5262</c:v>
                </c:pt>
                <c:pt idx="4123">
                  <c:v>5262</c:v>
                </c:pt>
                <c:pt idx="4124">
                  <c:v>5262</c:v>
                </c:pt>
                <c:pt idx="4125">
                  <c:v>5262</c:v>
                </c:pt>
                <c:pt idx="4126">
                  <c:v>5263</c:v>
                </c:pt>
                <c:pt idx="4127">
                  <c:v>5263</c:v>
                </c:pt>
                <c:pt idx="4128">
                  <c:v>5263</c:v>
                </c:pt>
                <c:pt idx="4129">
                  <c:v>5263</c:v>
                </c:pt>
                <c:pt idx="4130">
                  <c:v>5263</c:v>
                </c:pt>
                <c:pt idx="4131">
                  <c:v>5263</c:v>
                </c:pt>
                <c:pt idx="4132">
                  <c:v>5263</c:v>
                </c:pt>
                <c:pt idx="4133">
                  <c:v>5263</c:v>
                </c:pt>
                <c:pt idx="4134">
                  <c:v>5263</c:v>
                </c:pt>
                <c:pt idx="4135">
                  <c:v>5262</c:v>
                </c:pt>
                <c:pt idx="4136">
                  <c:v>5262</c:v>
                </c:pt>
                <c:pt idx="4137">
                  <c:v>5262</c:v>
                </c:pt>
                <c:pt idx="4138">
                  <c:v>5262</c:v>
                </c:pt>
                <c:pt idx="4139">
                  <c:v>5262</c:v>
                </c:pt>
                <c:pt idx="4140">
                  <c:v>5262</c:v>
                </c:pt>
                <c:pt idx="4141">
                  <c:v>5262</c:v>
                </c:pt>
                <c:pt idx="4142">
                  <c:v>5262</c:v>
                </c:pt>
                <c:pt idx="4143">
                  <c:v>5262</c:v>
                </c:pt>
                <c:pt idx="4144">
                  <c:v>5260</c:v>
                </c:pt>
                <c:pt idx="4145">
                  <c:v>5260</c:v>
                </c:pt>
                <c:pt idx="4146">
                  <c:v>5260</c:v>
                </c:pt>
                <c:pt idx="4147">
                  <c:v>5260</c:v>
                </c:pt>
                <c:pt idx="4148">
                  <c:v>5260</c:v>
                </c:pt>
                <c:pt idx="4149">
                  <c:v>5260</c:v>
                </c:pt>
                <c:pt idx="4150">
                  <c:v>5260</c:v>
                </c:pt>
                <c:pt idx="4151">
                  <c:v>5260</c:v>
                </c:pt>
                <c:pt idx="4152">
                  <c:v>5260</c:v>
                </c:pt>
                <c:pt idx="4153">
                  <c:v>5258</c:v>
                </c:pt>
                <c:pt idx="4154">
                  <c:v>5258</c:v>
                </c:pt>
                <c:pt idx="4155">
                  <c:v>5258</c:v>
                </c:pt>
                <c:pt idx="4156">
                  <c:v>5258</c:v>
                </c:pt>
                <c:pt idx="4157">
                  <c:v>5258</c:v>
                </c:pt>
                <c:pt idx="4158">
                  <c:v>5258</c:v>
                </c:pt>
                <c:pt idx="4159">
                  <c:v>5258</c:v>
                </c:pt>
                <c:pt idx="4160">
                  <c:v>5258</c:v>
                </c:pt>
                <c:pt idx="4161">
                  <c:v>5258</c:v>
                </c:pt>
                <c:pt idx="4162">
                  <c:v>5257</c:v>
                </c:pt>
                <c:pt idx="4163">
                  <c:v>5257</c:v>
                </c:pt>
                <c:pt idx="4164">
                  <c:v>5257</c:v>
                </c:pt>
                <c:pt idx="4165">
                  <c:v>5257</c:v>
                </c:pt>
                <c:pt idx="4166">
                  <c:v>5257</c:v>
                </c:pt>
                <c:pt idx="4167">
                  <c:v>5257</c:v>
                </c:pt>
                <c:pt idx="4168">
                  <c:v>5257</c:v>
                </c:pt>
                <c:pt idx="4169">
                  <c:v>5257</c:v>
                </c:pt>
                <c:pt idx="4170">
                  <c:v>5257</c:v>
                </c:pt>
                <c:pt idx="4171">
                  <c:v>5257</c:v>
                </c:pt>
                <c:pt idx="4172">
                  <c:v>5257</c:v>
                </c:pt>
                <c:pt idx="4173">
                  <c:v>5257</c:v>
                </c:pt>
                <c:pt idx="4174">
                  <c:v>5257</c:v>
                </c:pt>
                <c:pt idx="4175">
                  <c:v>5257</c:v>
                </c:pt>
                <c:pt idx="4176">
                  <c:v>5257</c:v>
                </c:pt>
                <c:pt idx="4177">
                  <c:v>5257</c:v>
                </c:pt>
                <c:pt idx="4178">
                  <c:v>5257</c:v>
                </c:pt>
                <c:pt idx="4179">
                  <c:v>5257</c:v>
                </c:pt>
                <c:pt idx="4180">
                  <c:v>5257</c:v>
                </c:pt>
                <c:pt idx="4181">
                  <c:v>5257</c:v>
                </c:pt>
                <c:pt idx="4182">
                  <c:v>5257</c:v>
                </c:pt>
                <c:pt idx="4183">
                  <c:v>5257</c:v>
                </c:pt>
                <c:pt idx="4184">
                  <c:v>5257</c:v>
                </c:pt>
                <c:pt idx="4185">
                  <c:v>5257</c:v>
                </c:pt>
                <c:pt idx="4186">
                  <c:v>5257</c:v>
                </c:pt>
                <c:pt idx="4187">
                  <c:v>5257</c:v>
                </c:pt>
                <c:pt idx="4188">
                  <c:v>5257</c:v>
                </c:pt>
                <c:pt idx="4189">
                  <c:v>5258</c:v>
                </c:pt>
                <c:pt idx="4190">
                  <c:v>5258</c:v>
                </c:pt>
                <c:pt idx="4191">
                  <c:v>5258</c:v>
                </c:pt>
                <c:pt idx="4192">
                  <c:v>5258</c:v>
                </c:pt>
                <c:pt idx="4193">
                  <c:v>5258</c:v>
                </c:pt>
                <c:pt idx="4194">
                  <c:v>5258</c:v>
                </c:pt>
                <c:pt idx="4195">
                  <c:v>5258</c:v>
                </c:pt>
                <c:pt idx="4196">
                  <c:v>5258</c:v>
                </c:pt>
                <c:pt idx="4197">
                  <c:v>5258</c:v>
                </c:pt>
                <c:pt idx="4198">
                  <c:v>5258</c:v>
                </c:pt>
                <c:pt idx="4199">
                  <c:v>5258</c:v>
                </c:pt>
                <c:pt idx="4200">
                  <c:v>5258</c:v>
                </c:pt>
                <c:pt idx="4201">
                  <c:v>5258</c:v>
                </c:pt>
                <c:pt idx="4202">
                  <c:v>5258</c:v>
                </c:pt>
                <c:pt idx="4203">
                  <c:v>5258</c:v>
                </c:pt>
                <c:pt idx="4204">
                  <c:v>5258</c:v>
                </c:pt>
                <c:pt idx="4205">
                  <c:v>5258</c:v>
                </c:pt>
                <c:pt idx="4206">
                  <c:v>5258</c:v>
                </c:pt>
                <c:pt idx="4207">
                  <c:v>5258</c:v>
                </c:pt>
                <c:pt idx="4208">
                  <c:v>5258</c:v>
                </c:pt>
                <c:pt idx="4209">
                  <c:v>5258</c:v>
                </c:pt>
                <c:pt idx="4210">
                  <c:v>5258</c:v>
                </c:pt>
                <c:pt idx="4211">
                  <c:v>5258</c:v>
                </c:pt>
                <c:pt idx="4212">
                  <c:v>5258</c:v>
                </c:pt>
                <c:pt idx="4213">
                  <c:v>5258</c:v>
                </c:pt>
                <c:pt idx="4214">
                  <c:v>5258</c:v>
                </c:pt>
                <c:pt idx="4215">
                  <c:v>5258</c:v>
                </c:pt>
                <c:pt idx="4216">
                  <c:v>5255</c:v>
                </c:pt>
                <c:pt idx="4217">
                  <c:v>5255</c:v>
                </c:pt>
                <c:pt idx="4218">
                  <c:v>5255</c:v>
                </c:pt>
                <c:pt idx="4219">
                  <c:v>5255</c:v>
                </c:pt>
                <c:pt idx="4220">
                  <c:v>5255</c:v>
                </c:pt>
                <c:pt idx="4221">
                  <c:v>5255</c:v>
                </c:pt>
                <c:pt idx="4222">
                  <c:v>5255</c:v>
                </c:pt>
                <c:pt idx="4223">
                  <c:v>5255</c:v>
                </c:pt>
                <c:pt idx="4224">
                  <c:v>5254</c:v>
                </c:pt>
                <c:pt idx="4225">
                  <c:v>5254</c:v>
                </c:pt>
                <c:pt idx="4226">
                  <c:v>5254</c:v>
                </c:pt>
                <c:pt idx="4227">
                  <c:v>5254</c:v>
                </c:pt>
                <c:pt idx="4228">
                  <c:v>5254</c:v>
                </c:pt>
                <c:pt idx="4229">
                  <c:v>5254</c:v>
                </c:pt>
                <c:pt idx="4230">
                  <c:v>5254</c:v>
                </c:pt>
                <c:pt idx="4231">
                  <c:v>5254</c:v>
                </c:pt>
                <c:pt idx="4232">
                  <c:v>5254</c:v>
                </c:pt>
                <c:pt idx="4233">
                  <c:v>5253</c:v>
                </c:pt>
                <c:pt idx="4234">
                  <c:v>5253</c:v>
                </c:pt>
                <c:pt idx="4235">
                  <c:v>5253</c:v>
                </c:pt>
                <c:pt idx="4236">
                  <c:v>5253</c:v>
                </c:pt>
                <c:pt idx="4237">
                  <c:v>5253</c:v>
                </c:pt>
                <c:pt idx="4238">
                  <c:v>5253</c:v>
                </c:pt>
                <c:pt idx="4239">
                  <c:v>5253</c:v>
                </c:pt>
                <c:pt idx="4240">
                  <c:v>5253</c:v>
                </c:pt>
                <c:pt idx="4241">
                  <c:v>5253</c:v>
                </c:pt>
                <c:pt idx="4242">
                  <c:v>5252</c:v>
                </c:pt>
                <c:pt idx="4243">
                  <c:v>5252</c:v>
                </c:pt>
                <c:pt idx="4244">
                  <c:v>5252</c:v>
                </c:pt>
                <c:pt idx="4245">
                  <c:v>5252</c:v>
                </c:pt>
                <c:pt idx="4246">
                  <c:v>5252</c:v>
                </c:pt>
                <c:pt idx="4247">
                  <c:v>5252</c:v>
                </c:pt>
                <c:pt idx="4248">
                  <c:v>5252</c:v>
                </c:pt>
                <c:pt idx="4249">
                  <c:v>5252</c:v>
                </c:pt>
                <c:pt idx="4250">
                  <c:v>5252</c:v>
                </c:pt>
                <c:pt idx="4251">
                  <c:v>5252</c:v>
                </c:pt>
                <c:pt idx="4252">
                  <c:v>5252</c:v>
                </c:pt>
                <c:pt idx="4253">
                  <c:v>5252</c:v>
                </c:pt>
                <c:pt idx="4254">
                  <c:v>5252</c:v>
                </c:pt>
                <c:pt idx="4255">
                  <c:v>5252</c:v>
                </c:pt>
                <c:pt idx="4256">
                  <c:v>5252</c:v>
                </c:pt>
                <c:pt idx="4257">
                  <c:v>5252</c:v>
                </c:pt>
                <c:pt idx="4258">
                  <c:v>5252</c:v>
                </c:pt>
                <c:pt idx="4259">
                  <c:v>5253</c:v>
                </c:pt>
                <c:pt idx="4260">
                  <c:v>5253</c:v>
                </c:pt>
                <c:pt idx="4261">
                  <c:v>5253</c:v>
                </c:pt>
                <c:pt idx="4262">
                  <c:v>5253</c:v>
                </c:pt>
                <c:pt idx="4263">
                  <c:v>5253</c:v>
                </c:pt>
                <c:pt idx="4264">
                  <c:v>5253</c:v>
                </c:pt>
                <c:pt idx="4265">
                  <c:v>5253</c:v>
                </c:pt>
                <c:pt idx="4266">
                  <c:v>5253</c:v>
                </c:pt>
                <c:pt idx="4267">
                  <c:v>5253</c:v>
                </c:pt>
                <c:pt idx="4268">
                  <c:v>5253</c:v>
                </c:pt>
                <c:pt idx="4269">
                  <c:v>5253</c:v>
                </c:pt>
                <c:pt idx="4270">
                  <c:v>5253</c:v>
                </c:pt>
                <c:pt idx="4271">
                  <c:v>5253</c:v>
                </c:pt>
                <c:pt idx="4272">
                  <c:v>5253</c:v>
                </c:pt>
                <c:pt idx="4273">
                  <c:v>5253</c:v>
                </c:pt>
                <c:pt idx="4274">
                  <c:v>5250</c:v>
                </c:pt>
                <c:pt idx="4275">
                  <c:v>5250</c:v>
                </c:pt>
                <c:pt idx="4276">
                  <c:v>5250</c:v>
                </c:pt>
                <c:pt idx="4277">
                  <c:v>5250</c:v>
                </c:pt>
                <c:pt idx="4278">
                  <c:v>5250</c:v>
                </c:pt>
                <c:pt idx="4279">
                  <c:v>5250</c:v>
                </c:pt>
                <c:pt idx="4280">
                  <c:v>5250</c:v>
                </c:pt>
                <c:pt idx="4281">
                  <c:v>5250</c:v>
                </c:pt>
                <c:pt idx="4282">
                  <c:v>5250</c:v>
                </c:pt>
                <c:pt idx="4283">
                  <c:v>5249</c:v>
                </c:pt>
                <c:pt idx="4284">
                  <c:v>5249</c:v>
                </c:pt>
                <c:pt idx="4285">
                  <c:v>5249</c:v>
                </c:pt>
                <c:pt idx="4286">
                  <c:v>5249</c:v>
                </c:pt>
                <c:pt idx="4287">
                  <c:v>5249</c:v>
                </c:pt>
                <c:pt idx="4288">
                  <c:v>5248</c:v>
                </c:pt>
                <c:pt idx="4289">
                  <c:v>5248</c:v>
                </c:pt>
                <c:pt idx="4290">
                  <c:v>5248</c:v>
                </c:pt>
                <c:pt idx="4291">
                  <c:v>5248</c:v>
                </c:pt>
                <c:pt idx="4292">
                  <c:v>5248</c:v>
                </c:pt>
                <c:pt idx="4293">
                  <c:v>5248</c:v>
                </c:pt>
                <c:pt idx="4294">
                  <c:v>5248</c:v>
                </c:pt>
                <c:pt idx="4295">
                  <c:v>5248</c:v>
                </c:pt>
                <c:pt idx="4296">
                  <c:v>5248</c:v>
                </c:pt>
                <c:pt idx="4297">
                  <c:v>5248</c:v>
                </c:pt>
                <c:pt idx="4298">
                  <c:v>5248</c:v>
                </c:pt>
                <c:pt idx="4299">
                  <c:v>5248</c:v>
                </c:pt>
                <c:pt idx="4300">
                  <c:v>5248</c:v>
                </c:pt>
                <c:pt idx="4301">
                  <c:v>5248</c:v>
                </c:pt>
                <c:pt idx="4302">
                  <c:v>5248</c:v>
                </c:pt>
                <c:pt idx="4303">
                  <c:v>5248</c:v>
                </c:pt>
                <c:pt idx="4304">
                  <c:v>5248</c:v>
                </c:pt>
                <c:pt idx="4305">
                  <c:v>5248</c:v>
                </c:pt>
                <c:pt idx="4306">
                  <c:v>5248</c:v>
                </c:pt>
                <c:pt idx="4307">
                  <c:v>5248</c:v>
                </c:pt>
                <c:pt idx="4308">
                  <c:v>5248</c:v>
                </c:pt>
                <c:pt idx="4309">
                  <c:v>5248</c:v>
                </c:pt>
                <c:pt idx="4310">
                  <c:v>5248</c:v>
                </c:pt>
                <c:pt idx="4311">
                  <c:v>5248</c:v>
                </c:pt>
                <c:pt idx="4312">
                  <c:v>5248</c:v>
                </c:pt>
                <c:pt idx="4313">
                  <c:v>5248</c:v>
                </c:pt>
                <c:pt idx="4314">
                  <c:v>5248</c:v>
                </c:pt>
                <c:pt idx="4315">
                  <c:v>5248</c:v>
                </c:pt>
                <c:pt idx="4316">
                  <c:v>5248</c:v>
                </c:pt>
                <c:pt idx="4317">
                  <c:v>5248</c:v>
                </c:pt>
                <c:pt idx="4318">
                  <c:v>5248</c:v>
                </c:pt>
                <c:pt idx="4319">
                  <c:v>5249</c:v>
                </c:pt>
                <c:pt idx="4320">
                  <c:v>5249</c:v>
                </c:pt>
                <c:pt idx="4321">
                  <c:v>5249</c:v>
                </c:pt>
                <c:pt idx="4322">
                  <c:v>5249</c:v>
                </c:pt>
                <c:pt idx="4323">
                  <c:v>5249</c:v>
                </c:pt>
                <c:pt idx="4324">
                  <c:v>5249</c:v>
                </c:pt>
                <c:pt idx="4325">
                  <c:v>5249</c:v>
                </c:pt>
                <c:pt idx="4326">
                  <c:v>5249</c:v>
                </c:pt>
                <c:pt idx="4327">
                  <c:v>5249</c:v>
                </c:pt>
                <c:pt idx="4328">
                  <c:v>5249</c:v>
                </c:pt>
                <c:pt idx="4329">
                  <c:v>5249</c:v>
                </c:pt>
                <c:pt idx="4330">
                  <c:v>5249</c:v>
                </c:pt>
                <c:pt idx="4331">
                  <c:v>5249</c:v>
                </c:pt>
                <c:pt idx="4332">
                  <c:v>5249</c:v>
                </c:pt>
                <c:pt idx="4333">
                  <c:v>5248</c:v>
                </c:pt>
                <c:pt idx="4334">
                  <c:v>5248</c:v>
                </c:pt>
                <c:pt idx="4335">
                  <c:v>5248</c:v>
                </c:pt>
                <c:pt idx="4336">
                  <c:v>5248</c:v>
                </c:pt>
                <c:pt idx="4337">
                  <c:v>5247</c:v>
                </c:pt>
                <c:pt idx="4338">
                  <c:v>5247</c:v>
                </c:pt>
                <c:pt idx="4339">
                  <c:v>5247</c:v>
                </c:pt>
                <c:pt idx="4340">
                  <c:v>5247</c:v>
                </c:pt>
                <c:pt idx="4341">
                  <c:v>5247</c:v>
                </c:pt>
                <c:pt idx="4342">
                  <c:v>5246</c:v>
                </c:pt>
                <c:pt idx="4343">
                  <c:v>5246</c:v>
                </c:pt>
                <c:pt idx="4344">
                  <c:v>5246</c:v>
                </c:pt>
                <c:pt idx="4345">
                  <c:v>5246</c:v>
                </c:pt>
                <c:pt idx="4346">
                  <c:v>5244</c:v>
                </c:pt>
                <c:pt idx="4347">
                  <c:v>5244</c:v>
                </c:pt>
                <c:pt idx="4348">
                  <c:v>5244</c:v>
                </c:pt>
                <c:pt idx="4349">
                  <c:v>5244</c:v>
                </c:pt>
                <c:pt idx="4350">
                  <c:v>5244</c:v>
                </c:pt>
                <c:pt idx="4351">
                  <c:v>5243</c:v>
                </c:pt>
                <c:pt idx="4352">
                  <c:v>5243</c:v>
                </c:pt>
                <c:pt idx="4353">
                  <c:v>5243</c:v>
                </c:pt>
                <c:pt idx="4354">
                  <c:v>5243</c:v>
                </c:pt>
                <c:pt idx="4355">
                  <c:v>5243</c:v>
                </c:pt>
                <c:pt idx="4356">
                  <c:v>5243</c:v>
                </c:pt>
                <c:pt idx="4357">
                  <c:v>5243</c:v>
                </c:pt>
                <c:pt idx="4358">
                  <c:v>5243</c:v>
                </c:pt>
                <c:pt idx="4359">
                  <c:v>5243</c:v>
                </c:pt>
                <c:pt idx="4360">
                  <c:v>5243</c:v>
                </c:pt>
                <c:pt idx="4361">
                  <c:v>5243</c:v>
                </c:pt>
                <c:pt idx="4362">
                  <c:v>5243</c:v>
                </c:pt>
                <c:pt idx="4363">
                  <c:v>5243</c:v>
                </c:pt>
                <c:pt idx="4364">
                  <c:v>5243</c:v>
                </c:pt>
                <c:pt idx="4365">
                  <c:v>5243</c:v>
                </c:pt>
                <c:pt idx="4366">
                  <c:v>5243</c:v>
                </c:pt>
                <c:pt idx="4367">
                  <c:v>5243</c:v>
                </c:pt>
                <c:pt idx="4368">
                  <c:v>5243</c:v>
                </c:pt>
                <c:pt idx="4369">
                  <c:v>5243</c:v>
                </c:pt>
                <c:pt idx="4370">
                  <c:v>5243</c:v>
                </c:pt>
                <c:pt idx="4371">
                  <c:v>5243</c:v>
                </c:pt>
                <c:pt idx="4372">
                  <c:v>5243</c:v>
                </c:pt>
                <c:pt idx="4373">
                  <c:v>5243</c:v>
                </c:pt>
                <c:pt idx="4374">
                  <c:v>5243</c:v>
                </c:pt>
                <c:pt idx="4375">
                  <c:v>5243</c:v>
                </c:pt>
                <c:pt idx="4376">
                  <c:v>5243</c:v>
                </c:pt>
                <c:pt idx="4377">
                  <c:v>5243</c:v>
                </c:pt>
                <c:pt idx="4378">
                  <c:v>5244</c:v>
                </c:pt>
                <c:pt idx="4379">
                  <c:v>5244</c:v>
                </c:pt>
                <c:pt idx="4380">
                  <c:v>5244</c:v>
                </c:pt>
                <c:pt idx="4381">
                  <c:v>5244</c:v>
                </c:pt>
                <c:pt idx="4382">
                  <c:v>5244</c:v>
                </c:pt>
                <c:pt idx="4383">
                  <c:v>5244</c:v>
                </c:pt>
                <c:pt idx="4384">
                  <c:v>5244</c:v>
                </c:pt>
                <c:pt idx="4385">
                  <c:v>5244</c:v>
                </c:pt>
                <c:pt idx="4386">
                  <c:v>5244</c:v>
                </c:pt>
                <c:pt idx="4387">
                  <c:v>5244</c:v>
                </c:pt>
                <c:pt idx="4388">
                  <c:v>5244</c:v>
                </c:pt>
                <c:pt idx="4389">
                  <c:v>5244</c:v>
                </c:pt>
                <c:pt idx="4390">
                  <c:v>5244</c:v>
                </c:pt>
                <c:pt idx="4391">
                  <c:v>5244</c:v>
                </c:pt>
                <c:pt idx="4392">
                  <c:v>5244</c:v>
                </c:pt>
                <c:pt idx="4393">
                  <c:v>5243</c:v>
                </c:pt>
                <c:pt idx="4394">
                  <c:v>5243</c:v>
                </c:pt>
                <c:pt idx="4395">
                  <c:v>5243</c:v>
                </c:pt>
                <c:pt idx="4396">
                  <c:v>5243</c:v>
                </c:pt>
                <c:pt idx="4397">
                  <c:v>5241</c:v>
                </c:pt>
                <c:pt idx="4398">
                  <c:v>5241</c:v>
                </c:pt>
                <c:pt idx="4399">
                  <c:v>5241</c:v>
                </c:pt>
                <c:pt idx="4400">
                  <c:v>5241</c:v>
                </c:pt>
                <c:pt idx="4401">
                  <c:v>5241</c:v>
                </c:pt>
                <c:pt idx="4402">
                  <c:v>5240</c:v>
                </c:pt>
                <c:pt idx="4403">
                  <c:v>5240</c:v>
                </c:pt>
                <c:pt idx="4404">
                  <c:v>5239</c:v>
                </c:pt>
                <c:pt idx="4405">
                  <c:v>5239</c:v>
                </c:pt>
                <c:pt idx="4406">
                  <c:v>5239</c:v>
                </c:pt>
                <c:pt idx="4407">
                  <c:v>5239</c:v>
                </c:pt>
                <c:pt idx="4408">
                  <c:v>5239</c:v>
                </c:pt>
                <c:pt idx="4409">
                  <c:v>5239</c:v>
                </c:pt>
                <c:pt idx="4410">
                  <c:v>5239</c:v>
                </c:pt>
                <c:pt idx="4411">
                  <c:v>5239</c:v>
                </c:pt>
                <c:pt idx="4412">
                  <c:v>5239</c:v>
                </c:pt>
                <c:pt idx="4413">
                  <c:v>5239</c:v>
                </c:pt>
                <c:pt idx="4414">
                  <c:v>5239</c:v>
                </c:pt>
                <c:pt idx="4415">
                  <c:v>5239</c:v>
                </c:pt>
                <c:pt idx="4416">
                  <c:v>5239</c:v>
                </c:pt>
                <c:pt idx="4417">
                  <c:v>5239</c:v>
                </c:pt>
                <c:pt idx="4418">
                  <c:v>5239</c:v>
                </c:pt>
                <c:pt idx="4419">
                  <c:v>5239</c:v>
                </c:pt>
                <c:pt idx="4420">
                  <c:v>5239</c:v>
                </c:pt>
                <c:pt idx="4421">
                  <c:v>5239</c:v>
                </c:pt>
                <c:pt idx="4422">
                  <c:v>5239</c:v>
                </c:pt>
                <c:pt idx="4423">
                  <c:v>5239</c:v>
                </c:pt>
                <c:pt idx="4424">
                  <c:v>5239</c:v>
                </c:pt>
                <c:pt idx="4425">
                  <c:v>5239</c:v>
                </c:pt>
                <c:pt idx="4426">
                  <c:v>5239</c:v>
                </c:pt>
                <c:pt idx="4427">
                  <c:v>5239</c:v>
                </c:pt>
                <c:pt idx="4428">
                  <c:v>5239</c:v>
                </c:pt>
                <c:pt idx="4429">
                  <c:v>5239</c:v>
                </c:pt>
                <c:pt idx="4430">
                  <c:v>5239</c:v>
                </c:pt>
                <c:pt idx="4431">
                  <c:v>5239</c:v>
                </c:pt>
                <c:pt idx="4432">
                  <c:v>5239</c:v>
                </c:pt>
                <c:pt idx="4433">
                  <c:v>5239</c:v>
                </c:pt>
                <c:pt idx="4434">
                  <c:v>5240</c:v>
                </c:pt>
                <c:pt idx="4435">
                  <c:v>5240</c:v>
                </c:pt>
                <c:pt idx="4436">
                  <c:v>5240</c:v>
                </c:pt>
                <c:pt idx="4437">
                  <c:v>5240</c:v>
                </c:pt>
                <c:pt idx="4438">
                  <c:v>5240</c:v>
                </c:pt>
                <c:pt idx="4439">
                  <c:v>5240</c:v>
                </c:pt>
                <c:pt idx="4440">
                  <c:v>5240</c:v>
                </c:pt>
                <c:pt idx="4441">
                  <c:v>5240</c:v>
                </c:pt>
                <c:pt idx="4442">
                  <c:v>5240</c:v>
                </c:pt>
                <c:pt idx="4443">
                  <c:v>5240</c:v>
                </c:pt>
                <c:pt idx="4444">
                  <c:v>5240</c:v>
                </c:pt>
                <c:pt idx="4445">
                  <c:v>5240</c:v>
                </c:pt>
                <c:pt idx="4446">
                  <c:v>5240</c:v>
                </c:pt>
                <c:pt idx="4447">
                  <c:v>5240</c:v>
                </c:pt>
                <c:pt idx="4448">
                  <c:v>5240</c:v>
                </c:pt>
                <c:pt idx="4449">
                  <c:v>5240</c:v>
                </c:pt>
                <c:pt idx="4450">
                  <c:v>5239</c:v>
                </c:pt>
                <c:pt idx="4451">
                  <c:v>5239</c:v>
                </c:pt>
                <c:pt idx="4452">
                  <c:v>5239</c:v>
                </c:pt>
                <c:pt idx="4453">
                  <c:v>5239</c:v>
                </c:pt>
                <c:pt idx="4454">
                  <c:v>5239</c:v>
                </c:pt>
                <c:pt idx="4455">
                  <c:v>5239</c:v>
                </c:pt>
                <c:pt idx="4456">
                  <c:v>5236</c:v>
                </c:pt>
                <c:pt idx="4457">
                  <c:v>5236</c:v>
                </c:pt>
                <c:pt idx="4458">
                  <c:v>5236</c:v>
                </c:pt>
                <c:pt idx="4459">
                  <c:v>5236</c:v>
                </c:pt>
                <c:pt idx="4460">
                  <c:v>5236</c:v>
                </c:pt>
                <c:pt idx="4461">
                  <c:v>5236</c:v>
                </c:pt>
                <c:pt idx="4462">
                  <c:v>5236</c:v>
                </c:pt>
                <c:pt idx="4463">
                  <c:v>5236</c:v>
                </c:pt>
                <c:pt idx="4464">
                  <c:v>5236</c:v>
                </c:pt>
                <c:pt idx="4465">
                  <c:v>5235</c:v>
                </c:pt>
                <c:pt idx="4466">
                  <c:v>5235</c:v>
                </c:pt>
                <c:pt idx="4467">
                  <c:v>5235</c:v>
                </c:pt>
                <c:pt idx="4468">
                  <c:v>5235</c:v>
                </c:pt>
                <c:pt idx="4469">
                  <c:v>5235</c:v>
                </c:pt>
                <c:pt idx="4470">
                  <c:v>5235</c:v>
                </c:pt>
                <c:pt idx="4471">
                  <c:v>5235</c:v>
                </c:pt>
                <c:pt idx="4472">
                  <c:v>5235</c:v>
                </c:pt>
                <c:pt idx="4473">
                  <c:v>5235</c:v>
                </c:pt>
                <c:pt idx="4474">
                  <c:v>5235</c:v>
                </c:pt>
                <c:pt idx="4475">
                  <c:v>5235</c:v>
                </c:pt>
                <c:pt idx="4476">
                  <c:v>5235</c:v>
                </c:pt>
                <c:pt idx="4477">
                  <c:v>5235</c:v>
                </c:pt>
                <c:pt idx="4478">
                  <c:v>5235</c:v>
                </c:pt>
                <c:pt idx="4479">
                  <c:v>5235</c:v>
                </c:pt>
                <c:pt idx="4480">
                  <c:v>5235</c:v>
                </c:pt>
                <c:pt idx="4481">
                  <c:v>5235</c:v>
                </c:pt>
                <c:pt idx="4482">
                  <c:v>5235</c:v>
                </c:pt>
                <c:pt idx="4483">
                  <c:v>5235</c:v>
                </c:pt>
                <c:pt idx="4484">
                  <c:v>5235</c:v>
                </c:pt>
                <c:pt idx="4485">
                  <c:v>5235</c:v>
                </c:pt>
                <c:pt idx="4486">
                  <c:v>5235</c:v>
                </c:pt>
                <c:pt idx="4487">
                  <c:v>5235</c:v>
                </c:pt>
                <c:pt idx="4488">
                  <c:v>5235</c:v>
                </c:pt>
                <c:pt idx="4489">
                  <c:v>5235</c:v>
                </c:pt>
                <c:pt idx="4490">
                  <c:v>5235</c:v>
                </c:pt>
                <c:pt idx="4491">
                  <c:v>5235</c:v>
                </c:pt>
                <c:pt idx="4492">
                  <c:v>5235</c:v>
                </c:pt>
                <c:pt idx="4493">
                  <c:v>5235</c:v>
                </c:pt>
                <c:pt idx="4494">
                  <c:v>5235</c:v>
                </c:pt>
                <c:pt idx="4495">
                  <c:v>5235</c:v>
                </c:pt>
                <c:pt idx="4496">
                  <c:v>5235</c:v>
                </c:pt>
                <c:pt idx="4497">
                  <c:v>5235</c:v>
                </c:pt>
                <c:pt idx="4498">
                  <c:v>5235</c:v>
                </c:pt>
                <c:pt idx="4499">
                  <c:v>5235</c:v>
                </c:pt>
                <c:pt idx="4500">
                  <c:v>5236</c:v>
                </c:pt>
                <c:pt idx="4501">
                  <c:v>5236</c:v>
                </c:pt>
                <c:pt idx="4502">
                  <c:v>5236</c:v>
                </c:pt>
                <c:pt idx="4503">
                  <c:v>5236</c:v>
                </c:pt>
                <c:pt idx="4504">
                  <c:v>5236</c:v>
                </c:pt>
                <c:pt idx="4505">
                  <c:v>5236</c:v>
                </c:pt>
                <c:pt idx="4506">
                  <c:v>5236</c:v>
                </c:pt>
                <c:pt idx="4507">
                  <c:v>5236</c:v>
                </c:pt>
                <c:pt idx="4508">
                  <c:v>5236</c:v>
                </c:pt>
                <c:pt idx="4509">
                  <c:v>5234</c:v>
                </c:pt>
                <c:pt idx="4510">
                  <c:v>5234</c:v>
                </c:pt>
                <c:pt idx="4511">
                  <c:v>5234</c:v>
                </c:pt>
                <c:pt idx="4512">
                  <c:v>5234</c:v>
                </c:pt>
                <c:pt idx="4513">
                  <c:v>5234</c:v>
                </c:pt>
                <c:pt idx="4514">
                  <c:v>5231</c:v>
                </c:pt>
                <c:pt idx="4515">
                  <c:v>5231</c:v>
                </c:pt>
                <c:pt idx="4516">
                  <c:v>5231</c:v>
                </c:pt>
                <c:pt idx="4517">
                  <c:v>5231</c:v>
                </c:pt>
                <c:pt idx="4518">
                  <c:v>5231</c:v>
                </c:pt>
                <c:pt idx="4519">
                  <c:v>5231</c:v>
                </c:pt>
                <c:pt idx="4520">
                  <c:v>5231</c:v>
                </c:pt>
                <c:pt idx="4521">
                  <c:v>5231</c:v>
                </c:pt>
                <c:pt idx="4522">
                  <c:v>5231</c:v>
                </c:pt>
                <c:pt idx="4523">
                  <c:v>5231</c:v>
                </c:pt>
                <c:pt idx="4524">
                  <c:v>5231</c:v>
                </c:pt>
                <c:pt idx="4525">
                  <c:v>5231</c:v>
                </c:pt>
                <c:pt idx="4526">
                  <c:v>5231</c:v>
                </c:pt>
                <c:pt idx="4527">
                  <c:v>5231</c:v>
                </c:pt>
                <c:pt idx="4528">
                  <c:v>5230</c:v>
                </c:pt>
                <c:pt idx="4529">
                  <c:v>5230</c:v>
                </c:pt>
                <c:pt idx="4530">
                  <c:v>5230</c:v>
                </c:pt>
                <c:pt idx="4531">
                  <c:v>5230</c:v>
                </c:pt>
                <c:pt idx="4532">
                  <c:v>5230</c:v>
                </c:pt>
                <c:pt idx="4533">
                  <c:v>5230</c:v>
                </c:pt>
                <c:pt idx="4534">
                  <c:v>5230</c:v>
                </c:pt>
                <c:pt idx="4535">
                  <c:v>5230</c:v>
                </c:pt>
                <c:pt idx="4536">
                  <c:v>5230</c:v>
                </c:pt>
                <c:pt idx="4537">
                  <c:v>5230</c:v>
                </c:pt>
                <c:pt idx="4538">
                  <c:v>5230</c:v>
                </c:pt>
                <c:pt idx="4539">
                  <c:v>5230</c:v>
                </c:pt>
                <c:pt idx="4540">
                  <c:v>5230</c:v>
                </c:pt>
                <c:pt idx="4541">
                  <c:v>5230</c:v>
                </c:pt>
                <c:pt idx="4542">
                  <c:v>5230</c:v>
                </c:pt>
                <c:pt idx="4543">
                  <c:v>5230</c:v>
                </c:pt>
                <c:pt idx="4544">
                  <c:v>5230</c:v>
                </c:pt>
                <c:pt idx="4545">
                  <c:v>5230</c:v>
                </c:pt>
                <c:pt idx="4546">
                  <c:v>5230</c:v>
                </c:pt>
                <c:pt idx="4547">
                  <c:v>5230</c:v>
                </c:pt>
                <c:pt idx="4548">
                  <c:v>5230</c:v>
                </c:pt>
                <c:pt idx="4549">
                  <c:v>5230</c:v>
                </c:pt>
                <c:pt idx="4550">
                  <c:v>5230</c:v>
                </c:pt>
                <c:pt idx="4551">
                  <c:v>5231</c:v>
                </c:pt>
                <c:pt idx="4552">
                  <c:v>5231</c:v>
                </c:pt>
                <c:pt idx="4553">
                  <c:v>5231</c:v>
                </c:pt>
                <c:pt idx="4554">
                  <c:v>5231</c:v>
                </c:pt>
                <c:pt idx="4555">
                  <c:v>5231</c:v>
                </c:pt>
                <c:pt idx="4556">
                  <c:v>5231</c:v>
                </c:pt>
                <c:pt idx="4557">
                  <c:v>5231</c:v>
                </c:pt>
                <c:pt idx="4558">
                  <c:v>5231</c:v>
                </c:pt>
                <c:pt idx="4559">
                  <c:v>5231</c:v>
                </c:pt>
                <c:pt idx="4560">
                  <c:v>5231</c:v>
                </c:pt>
                <c:pt idx="4561">
                  <c:v>5231</c:v>
                </c:pt>
                <c:pt idx="4562">
                  <c:v>5231</c:v>
                </c:pt>
                <c:pt idx="4563">
                  <c:v>5231</c:v>
                </c:pt>
                <c:pt idx="4564">
                  <c:v>5231</c:v>
                </c:pt>
                <c:pt idx="4565">
                  <c:v>5229</c:v>
                </c:pt>
                <c:pt idx="4566">
                  <c:v>5229</c:v>
                </c:pt>
                <c:pt idx="4567">
                  <c:v>5229</c:v>
                </c:pt>
                <c:pt idx="4568">
                  <c:v>5229</c:v>
                </c:pt>
                <c:pt idx="4569">
                  <c:v>5229</c:v>
                </c:pt>
                <c:pt idx="4570">
                  <c:v>5226</c:v>
                </c:pt>
                <c:pt idx="4571">
                  <c:v>5226</c:v>
                </c:pt>
                <c:pt idx="4572">
                  <c:v>5226</c:v>
                </c:pt>
                <c:pt idx="4573">
                  <c:v>5226</c:v>
                </c:pt>
                <c:pt idx="4574">
                  <c:v>5226</c:v>
                </c:pt>
                <c:pt idx="4575">
                  <c:v>5226</c:v>
                </c:pt>
                <c:pt idx="4576">
                  <c:v>5226</c:v>
                </c:pt>
                <c:pt idx="4577">
                  <c:v>5226</c:v>
                </c:pt>
                <c:pt idx="4578">
                  <c:v>5226</c:v>
                </c:pt>
                <c:pt idx="4579">
                  <c:v>5225</c:v>
                </c:pt>
                <c:pt idx="4580">
                  <c:v>5225</c:v>
                </c:pt>
                <c:pt idx="4581">
                  <c:v>5225</c:v>
                </c:pt>
                <c:pt idx="4582">
                  <c:v>5225</c:v>
                </c:pt>
                <c:pt idx="4583">
                  <c:v>5225</c:v>
                </c:pt>
                <c:pt idx="4584">
                  <c:v>5225</c:v>
                </c:pt>
                <c:pt idx="4585">
                  <c:v>5225</c:v>
                </c:pt>
                <c:pt idx="4586">
                  <c:v>5225</c:v>
                </c:pt>
                <c:pt idx="4587">
                  <c:v>5225</c:v>
                </c:pt>
                <c:pt idx="4588">
                  <c:v>5225</c:v>
                </c:pt>
                <c:pt idx="4589">
                  <c:v>5225</c:v>
                </c:pt>
                <c:pt idx="4590">
                  <c:v>5225</c:v>
                </c:pt>
                <c:pt idx="4591">
                  <c:v>5225</c:v>
                </c:pt>
                <c:pt idx="4592">
                  <c:v>5225</c:v>
                </c:pt>
                <c:pt idx="4593">
                  <c:v>5225</c:v>
                </c:pt>
                <c:pt idx="4594">
                  <c:v>5225</c:v>
                </c:pt>
                <c:pt idx="4595">
                  <c:v>5225</c:v>
                </c:pt>
                <c:pt idx="4596">
                  <c:v>5225</c:v>
                </c:pt>
                <c:pt idx="4597">
                  <c:v>5225</c:v>
                </c:pt>
                <c:pt idx="4598">
                  <c:v>5226</c:v>
                </c:pt>
                <c:pt idx="4599">
                  <c:v>5226</c:v>
                </c:pt>
                <c:pt idx="4600">
                  <c:v>5226</c:v>
                </c:pt>
                <c:pt idx="4601">
                  <c:v>5226</c:v>
                </c:pt>
                <c:pt idx="4602">
                  <c:v>5226</c:v>
                </c:pt>
                <c:pt idx="4603">
                  <c:v>5226</c:v>
                </c:pt>
                <c:pt idx="4604">
                  <c:v>5226</c:v>
                </c:pt>
                <c:pt idx="4605">
                  <c:v>5226</c:v>
                </c:pt>
                <c:pt idx="4606">
                  <c:v>5226</c:v>
                </c:pt>
                <c:pt idx="4607">
                  <c:v>5226</c:v>
                </c:pt>
                <c:pt idx="4608">
                  <c:v>5226</c:v>
                </c:pt>
                <c:pt idx="4609">
                  <c:v>5226</c:v>
                </c:pt>
                <c:pt idx="4610">
                  <c:v>5226</c:v>
                </c:pt>
                <c:pt idx="4611">
                  <c:v>5226</c:v>
                </c:pt>
                <c:pt idx="4612">
                  <c:v>5227</c:v>
                </c:pt>
                <c:pt idx="4613">
                  <c:v>5227</c:v>
                </c:pt>
                <c:pt idx="4614">
                  <c:v>5227</c:v>
                </c:pt>
                <c:pt idx="4615">
                  <c:v>5227</c:v>
                </c:pt>
                <c:pt idx="4616">
                  <c:v>5227</c:v>
                </c:pt>
                <c:pt idx="4617">
                  <c:v>5226</c:v>
                </c:pt>
                <c:pt idx="4618">
                  <c:v>5226</c:v>
                </c:pt>
                <c:pt idx="4619">
                  <c:v>5226</c:v>
                </c:pt>
                <c:pt idx="4620">
                  <c:v>5226</c:v>
                </c:pt>
                <c:pt idx="4621">
                  <c:v>5223</c:v>
                </c:pt>
                <c:pt idx="4622">
                  <c:v>5223</c:v>
                </c:pt>
                <c:pt idx="4623">
                  <c:v>5223</c:v>
                </c:pt>
                <c:pt idx="4624">
                  <c:v>5223</c:v>
                </c:pt>
                <c:pt idx="4625">
                  <c:v>5223</c:v>
                </c:pt>
                <c:pt idx="4626">
                  <c:v>5221</c:v>
                </c:pt>
                <c:pt idx="4627">
                  <c:v>5221</c:v>
                </c:pt>
                <c:pt idx="4628">
                  <c:v>5221</c:v>
                </c:pt>
                <c:pt idx="4629">
                  <c:v>5221</c:v>
                </c:pt>
                <c:pt idx="4630">
                  <c:v>5221</c:v>
                </c:pt>
                <c:pt idx="4631">
                  <c:v>5221</c:v>
                </c:pt>
                <c:pt idx="4632">
                  <c:v>5221</c:v>
                </c:pt>
                <c:pt idx="4633">
                  <c:v>5221</c:v>
                </c:pt>
                <c:pt idx="4634">
                  <c:v>5221</c:v>
                </c:pt>
                <c:pt idx="4635">
                  <c:v>5221</c:v>
                </c:pt>
                <c:pt idx="4636">
                  <c:v>5221</c:v>
                </c:pt>
                <c:pt idx="4637">
                  <c:v>5220</c:v>
                </c:pt>
                <c:pt idx="4638">
                  <c:v>5220</c:v>
                </c:pt>
                <c:pt idx="4639">
                  <c:v>5220</c:v>
                </c:pt>
                <c:pt idx="4640">
                  <c:v>5220</c:v>
                </c:pt>
                <c:pt idx="4641">
                  <c:v>5221</c:v>
                </c:pt>
                <c:pt idx="4642">
                  <c:v>5221</c:v>
                </c:pt>
                <c:pt idx="4643">
                  <c:v>5221</c:v>
                </c:pt>
                <c:pt idx="4644">
                  <c:v>5221</c:v>
                </c:pt>
                <c:pt idx="4645">
                  <c:v>5221</c:v>
                </c:pt>
                <c:pt idx="4646">
                  <c:v>5221</c:v>
                </c:pt>
                <c:pt idx="4647">
                  <c:v>5221</c:v>
                </c:pt>
                <c:pt idx="4648">
                  <c:v>5221</c:v>
                </c:pt>
                <c:pt idx="4649">
                  <c:v>5221</c:v>
                </c:pt>
                <c:pt idx="4650">
                  <c:v>5221</c:v>
                </c:pt>
                <c:pt idx="4651">
                  <c:v>5221</c:v>
                </c:pt>
                <c:pt idx="4652">
                  <c:v>5221</c:v>
                </c:pt>
                <c:pt idx="4653">
                  <c:v>5221</c:v>
                </c:pt>
                <c:pt idx="4654">
                  <c:v>5221</c:v>
                </c:pt>
                <c:pt idx="4655">
                  <c:v>5221</c:v>
                </c:pt>
                <c:pt idx="4656">
                  <c:v>5221</c:v>
                </c:pt>
                <c:pt idx="4657">
                  <c:v>5221</c:v>
                </c:pt>
                <c:pt idx="4658">
                  <c:v>5221</c:v>
                </c:pt>
                <c:pt idx="4659">
                  <c:v>5221</c:v>
                </c:pt>
                <c:pt idx="4660">
                  <c:v>5221</c:v>
                </c:pt>
                <c:pt idx="4661">
                  <c:v>5222</c:v>
                </c:pt>
                <c:pt idx="4662">
                  <c:v>5222</c:v>
                </c:pt>
                <c:pt idx="4663">
                  <c:v>5222</c:v>
                </c:pt>
                <c:pt idx="4664">
                  <c:v>5222</c:v>
                </c:pt>
                <c:pt idx="4665">
                  <c:v>5222</c:v>
                </c:pt>
                <c:pt idx="4666">
                  <c:v>5222</c:v>
                </c:pt>
                <c:pt idx="4667">
                  <c:v>5222</c:v>
                </c:pt>
                <c:pt idx="4668">
                  <c:v>5222</c:v>
                </c:pt>
                <c:pt idx="4669">
                  <c:v>5222</c:v>
                </c:pt>
                <c:pt idx="4670">
                  <c:v>5222</c:v>
                </c:pt>
                <c:pt idx="4671">
                  <c:v>5222</c:v>
                </c:pt>
                <c:pt idx="4672">
                  <c:v>5222</c:v>
                </c:pt>
                <c:pt idx="4673">
                  <c:v>5222</c:v>
                </c:pt>
                <c:pt idx="4674">
                  <c:v>5222</c:v>
                </c:pt>
                <c:pt idx="4675">
                  <c:v>5222</c:v>
                </c:pt>
                <c:pt idx="4676">
                  <c:v>5220</c:v>
                </c:pt>
                <c:pt idx="4677">
                  <c:v>5220</c:v>
                </c:pt>
                <c:pt idx="4678">
                  <c:v>5220</c:v>
                </c:pt>
                <c:pt idx="4679">
                  <c:v>5220</c:v>
                </c:pt>
                <c:pt idx="4680">
                  <c:v>5220</c:v>
                </c:pt>
                <c:pt idx="4681">
                  <c:v>5219</c:v>
                </c:pt>
                <c:pt idx="4682">
                  <c:v>5219</c:v>
                </c:pt>
                <c:pt idx="4683">
                  <c:v>5219</c:v>
                </c:pt>
                <c:pt idx="4684">
                  <c:v>5217</c:v>
                </c:pt>
                <c:pt idx="4685">
                  <c:v>5217</c:v>
                </c:pt>
                <c:pt idx="4686">
                  <c:v>5217</c:v>
                </c:pt>
                <c:pt idx="4687">
                  <c:v>5217</c:v>
                </c:pt>
                <c:pt idx="4688">
                  <c:v>5217</c:v>
                </c:pt>
                <c:pt idx="4689">
                  <c:v>5217</c:v>
                </c:pt>
                <c:pt idx="4690">
                  <c:v>5217</c:v>
                </c:pt>
                <c:pt idx="4691">
                  <c:v>5217</c:v>
                </c:pt>
                <c:pt idx="4692">
                  <c:v>5217</c:v>
                </c:pt>
                <c:pt idx="4693">
                  <c:v>5217</c:v>
                </c:pt>
                <c:pt idx="4694">
                  <c:v>5217</c:v>
                </c:pt>
                <c:pt idx="4695">
                  <c:v>5217</c:v>
                </c:pt>
                <c:pt idx="4696">
                  <c:v>5216</c:v>
                </c:pt>
                <c:pt idx="4697">
                  <c:v>5216</c:v>
                </c:pt>
                <c:pt idx="4698">
                  <c:v>5216</c:v>
                </c:pt>
                <c:pt idx="4699">
                  <c:v>5216</c:v>
                </c:pt>
                <c:pt idx="4700">
                  <c:v>5216</c:v>
                </c:pt>
                <c:pt idx="4701">
                  <c:v>5216</c:v>
                </c:pt>
                <c:pt idx="4702">
                  <c:v>5216</c:v>
                </c:pt>
                <c:pt idx="4703">
                  <c:v>5216</c:v>
                </c:pt>
                <c:pt idx="4704">
                  <c:v>5216</c:v>
                </c:pt>
                <c:pt idx="4705">
                  <c:v>5216</c:v>
                </c:pt>
                <c:pt idx="4706">
                  <c:v>5216</c:v>
                </c:pt>
                <c:pt idx="4707">
                  <c:v>5216</c:v>
                </c:pt>
                <c:pt idx="4708">
                  <c:v>5216</c:v>
                </c:pt>
                <c:pt idx="4709">
                  <c:v>5216</c:v>
                </c:pt>
                <c:pt idx="4710">
                  <c:v>5216</c:v>
                </c:pt>
                <c:pt idx="4711">
                  <c:v>5216</c:v>
                </c:pt>
                <c:pt idx="4712">
                  <c:v>5217</c:v>
                </c:pt>
                <c:pt idx="4713">
                  <c:v>5217</c:v>
                </c:pt>
                <c:pt idx="4714">
                  <c:v>5217</c:v>
                </c:pt>
                <c:pt idx="4715">
                  <c:v>5217</c:v>
                </c:pt>
                <c:pt idx="4716">
                  <c:v>5217</c:v>
                </c:pt>
                <c:pt idx="4717">
                  <c:v>5217</c:v>
                </c:pt>
                <c:pt idx="4718">
                  <c:v>5217</c:v>
                </c:pt>
                <c:pt idx="4719">
                  <c:v>5217</c:v>
                </c:pt>
                <c:pt idx="4720">
                  <c:v>5217</c:v>
                </c:pt>
                <c:pt idx="4721">
                  <c:v>5217</c:v>
                </c:pt>
                <c:pt idx="4722">
                  <c:v>5217</c:v>
                </c:pt>
                <c:pt idx="4723">
                  <c:v>5217</c:v>
                </c:pt>
                <c:pt idx="4724">
                  <c:v>5217</c:v>
                </c:pt>
                <c:pt idx="4725">
                  <c:v>5217</c:v>
                </c:pt>
                <c:pt idx="4726">
                  <c:v>5217</c:v>
                </c:pt>
                <c:pt idx="4727">
                  <c:v>5217</c:v>
                </c:pt>
                <c:pt idx="4728">
                  <c:v>5218</c:v>
                </c:pt>
                <c:pt idx="4729">
                  <c:v>5218</c:v>
                </c:pt>
                <c:pt idx="4730">
                  <c:v>5218</c:v>
                </c:pt>
                <c:pt idx="4731">
                  <c:v>5218</c:v>
                </c:pt>
                <c:pt idx="4732">
                  <c:v>5218</c:v>
                </c:pt>
                <c:pt idx="4733">
                  <c:v>5218</c:v>
                </c:pt>
                <c:pt idx="4734">
                  <c:v>5218</c:v>
                </c:pt>
                <c:pt idx="4735">
                  <c:v>5218</c:v>
                </c:pt>
                <c:pt idx="4736">
                  <c:v>5218</c:v>
                </c:pt>
                <c:pt idx="4737">
                  <c:v>5218</c:v>
                </c:pt>
                <c:pt idx="4738">
                  <c:v>5218</c:v>
                </c:pt>
                <c:pt idx="4739">
                  <c:v>5218</c:v>
                </c:pt>
                <c:pt idx="4740">
                  <c:v>5219</c:v>
                </c:pt>
                <c:pt idx="4741">
                  <c:v>5219</c:v>
                </c:pt>
                <c:pt idx="4742">
                  <c:v>5219</c:v>
                </c:pt>
                <c:pt idx="4743">
                  <c:v>5219</c:v>
                </c:pt>
                <c:pt idx="4744">
                  <c:v>5219</c:v>
                </c:pt>
                <c:pt idx="4745">
                  <c:v>5219</c:v>
                </c:pt>
                <c:pt idx="4746">
                  <c:v>5219</c:v>
                </c:pt>
                <c:pt idx="4747">
                  <c:v>5219</c:v>
                </c:pt>
                <c:pt idx="4748">
                  <c:v>5219</c:v>
                </c:pt>
                <c:pt idx="4749">
                  <c:v>5219</c:v>
                </c:pt>
                <c:pt idx="4750">
                  <c:v>5220</c:v>
                </c:pt>
                <c:pt idx="4751">
                  <c:v>5220</c:v>
                </c:pt>
                <c:pt idx="4752">
                  <c:v>5220</c:v>
                </c:pt>
                <c:pt idx="4753">
                  <c:v>5220</c:v>
                </c:pt>
                <c:pt idx="4754">
                  <c:v>5220</c:v>
                </c:pt>
                <c:pt idx="4755">
                  <c:v>5220</c:v>
                </c:pt>
                <c:pt idx="4756">
                  <c:v>5220</c:v>
                </c:pt>
                <c:pt idx="4757">
                  <c:v>5220</c:v>
                </c:pt>
                <c:pt idx="4758">
                  <c:v>5220</c:v>
                </c:pt>
                <c:pt idx="4759">
                  <c:v>5220</c:v>
                </c:pt>
                <c:pt idx="4760">
                  <c:v>5221</c:v>
                </c:pt>
                <c:pt idx="4761">
                  <c:v>5221</c:v>
                </c:pt>
                <c:pt idx="4762">
                  <c:v>5221</c:v>
                </c:pt>
                <c:pt idx="4763">
                  <c:v>5221</c:v>
                </c:pt>
                <c:pt idx="4764">
                  <c:v>5221</c:v>
                </c:pt>
                <c:pt idx="4765">
                  <c:v>5221</c:v>
                </c:pt>
                <c:pt idx="4766">
                  <c:v>5221</c:v>
                </c:pt>
                <c:pt idx="4767">
                  <c:v>5221</c:v>
                </c:pt>
                <c:pt idx="4768">
                  <c:v>5221</c:v>
                </c:pt>
                <c:pt idx="4769">
                  <c:v>5221</c:v>
                </c:pt>
                <c:pt idx="4770">
                  <c:v>5222</c:v>
                </c:pt>
                <c:pt idx="4771">
                  <c:v>5222</c:v>
                </c:pt>
                <c:pt idx="4772">
                  <c:v>5222</c:v>
                </c:pt>
                <c:pt idx="4773">
                  <c:v>5222</c:v>
                </c:pt>
                <c:pt idx="4774">
                  <c:v>5222</c:v>
                </c:pt>
                <c:pt idx="4775">
                  <c:v>5222</c:v>
                </c:pt>
                <c:pt idx="4776">
                  <c:v>5222</c:v>
                </c:pt>
                <c:pt idx="4777">
                  <c:v>5223</c:v>
                </c:pt>
                <c:pt idx="4778">
                  <c:v>5223</c:v>
                </c:pt>
                <c:pt idx="4779">
                  <c:v>5223</c:v>
                </c:pt>
                <c:pt idx="4780">
                  <c:v>5223</c:v>
                </c:pt>
                <c:pt idx="4781">
                  <c:v>5223</c:v>
                </c:pt>
                <c:pt idx="4782">
                  <c:v>5223</c:v>
                </c:pt>
                <c:pt idx="4783">
                  <c:v>5223</c:v>
                </c:pt>
                <c:pt idx="4784">
                  <c:v>5223</c:v>
                </c:pt>
                <c:pt idx="4785">
                  <c:v>5223</c:v>
                </c:pt>
                <c:pt idx="4786">
                  <c:v>5223</c:v>
                </c:pt>
                <c:pt idx="4787">
                  <c:v>5223</c:v>
                </c:pt>
                <c:pt idx="4788">
                  <c:v>5223</c:v>
                </c:pt>
                <c:pt idx="4789">
                  <c:v>5223</c:v>
                </c:pt>
                <c:pt idx="4790">
                  <c:v>5223</c:v>
                </c:pt>
                <c:pt idx="4791">
                  <c:v>5224</c:v>
                </c:pt>
                <c:pt idx="4792">
                  <c:v>5224</c:v>
                </c:pt>
                <c:pt idx="4793">
                  <c:v>5224</c:v>
                </c:pt>
                <c:pt idx="4794">
                  <c:v>5224</c:v>
                </c:pt>
                <c:pt idx="4795">
                  <c:v>5224</c:v>
                </c:pt>
                <c:pt idx="4796">
                  <c:v>5224</c:v>
                </c:pt>
                <c:pt idx="4797">
                  <c:v>5224</c:v>
                </c:pt>
                <c:pt idx="4798">
                  <c:v>5224</c:v>
                </c:pt>
                <c:pt idx="4799">
                  <c:v>5224</c:v>
                </c:pt>
                <c:pt idx="4800">
                  <c:v>5224</c:v>
                </c:pt>
                <c:pt idx="4801">
                  <c:v>5224</c:v>
                </c:pt>
                <c:pt idx="4802">
                  <c:v>5225</c:v>
                </c:pt>
                <c:pt idx="4803">
                  <c:v>5225</c:v>
                </c:pt>
                <c:pt idx="4804">
                  <c:v>5225</c:v>
                </c:pt>
                <c:pt idx="4805">
                  <c:v>5225</c:v>
                </c:pt>
                <c:pt idx="4806">
                  <c:v>5225</c:v>
                </c:pt>
                <c:pt idx="4807">
                  <c:v>5228</c:v>
                </c:pt>
                <c:pt idx="4808">
                  <c:v>5228</c:v>
                </c:pt>
                <c:pt idx="4809">
                  <c:v>5230</c:v>
                </c:pt>
                <c:pt idx="4810">
                  <c:v>5230</c:v>
                </c:pt>
                <c:pt idx="4811">
                  <c:v>5230</c:v>
                </c:pt>
                <c:pt idx="4812">
                  <c:v>5230</c:v>
                </c:pt>
                <c:pt idx="4813">
                  <c:v>5230</c:v>
                </c:pt>
                <c:pt idx="4814">
                  <c:v>5230</c:v>
                </c:pt>
                <c:pt idx="4815">
                  <c:v>5230</c:v>
                </c:pt>
                <c:pt idx="4816">
                  <c:v>5230</c:v>
                </c:pt>
                <c:pt idx="4817">
                  <c:v>5230</c:v>
                </c:pt>
                <c:pt idx="4818">
                  <c:v>5233</c:v>
                </c:pt>
                <c:pt idx="4819">
                  <c:v>5233</c:v>
                </c:pt>
                <c:pt idx="4820">
                  <c:v>5233</c:v>
                </c:pt>
                <c:pt idx="4821">
                  <c:v>5233</c:v>
                </c:pt>
                <c:pt idx="4822">
                  <c:v>5233</c:v>
                </c:pt>
                <c:pt idx="4823">
                  <c:v>5234</c:v>
                </c:pt>
                <c:pt idx="4824">
                  <c:v>5235</c:v>
                </c:pt>
                <c:pt idx="4825">
                  <c:v>5235</c:v>
                </c:pt>
                <c:pt idx="4826">
                  <c:v>5235</c:v>
                </c:pt>
                <c:pt idx="4827">
                  <c:v>5235</c:v>
                </c:pt>
                <c:pt idx="4828">
                  <c:v>5235</c:v>
                </c:pt>
                <c:pt idx="4829">
                  <c:v>5235</c:v>
                </c:pt>
                <c:pt idx="4830">
                  <c:v>5235</c:v>
                </c:pt>
                <c:pt idx="4831">
                  <c:v>5235</c:v>
                </c:pt>
                <c:pt idx="4832">
                  <c:v>5235</c:v>
                </c:pt>
                <c:pt idx="4833">
                  <c:v>5237</c:v>
                </c:pt>
                <c:pt idx="4834">
                  <c:v>5237</c:v>
                </c:pt>
                <c:pt idx="4835">
                  <c:v>5237</c:v>
                </c:pt>
                <c:pt idx="4836">
                  <c:v>5237</c:v>
                </c:pt>
                <c:pt idx="4837">
                  <c:v>5237</c:v>
                </c:pt>
                <c:pt idx="4838">
                  <c:v>5237</c:v>
                </c:pt>
                <c:pt idx="4839">
                  <c:v>5238</c:v>
                </c:pt>
                <c:pt idx="4840">
                  <c:v>5238</c:v>
                </c:pt>
                <c:pt idx="4841">
                  <c:v>5238</c:v>
                </c:pt>
                <c:pt idx="4842">
                  <c:v>5238</c:v>
                </c:pt>
                <c:pt idx="4843">
                  <c:v>5238</c:v>
                </c:pt>
                <c:pt idx="4844">
                  <c:v>5238</c:v>
                </c:pt>
                <c:pt idx="4845">
                  <c:v>5238</c:v>
                </c:pt>
                <c:pt idx="4846">
                  <c:v>5238</c:v>
                </c:pt>
                <c:pt idx="4847">
                  <c:v>5238</c:v>
                </c:pt>
                <c:pt idx="4848">
                  <c:v>5239</c:v>
                </c:pt>
                <c:pt idx="4849">
                  <c:v>5239</c:v>
                </c:pt>
                <c:pt idx="4850">
                  <c:v>5239</c:v>
                </c:pt>
                <c:pt idx="4851">
                  <c:v>5239</c:v>
                </c:pt>
                <c:pt idx="4852">
                  <c:v>5239</c:v>
                </c:pt>
                <c:pt idx="4853">
                  <c:v>5239</c:v>
                </c:pt>
                <c:pt idx="4854">
                  <c:v>5239</c:v>
                </c:pt>
                <c:pt idx="4855">
                  <c:v>5239</c:v>
                </c:pt>
                <c:pt idx="4856">
                  <c:v>5240</c:v>
                </c:pt>
                <c:pt idx="4857">
                  <c:v>5240</c:v>
                </c:pt>
                <c:pt idx="4858">
                  <c:v>5240</c:v>
                </c:pt>
                <c:pt idx="4859">
                  <c:v>5240</c:v>
                </c:pt>
                <c:pt idx="4860">
                  <c:v>5240</c:v>
                </c:pt>
                <c:pt idx="4861">
                  <c:v>5240</c:v>
                </c:pt>
                <c:pt idx="4862">
                  <c:v>5240</c:v>
                </c:pt>
                <c:pt idx="4863">
                  <c:v>5240</c:v>
                </c:pt>
                <c:pt idx="4864">
                  <c:v>5240</c:v>
                </c:pt>
                <c:pt idx="4865">
                  <c:v>5240</c:v>
                </c:pt>
                <c:pt idx="4866">
                  <c:v>5240</c:v>
                </c:pt>
                <c:pt idx="4867">
                  <c:v>5240</c:v>
                </c:pt>
                <c:pt idx="4868">
                  <c:v>5240</c:v>
                </c:pt>
                <c:pt idx="4869">
                  <c:v>5241</c:v>
                </c:pt>
                <c:pt idx="4870">
                  <c:v>5241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666560"/>
        <c:axId val="137652480"/>
      </c:scatterChart>
      <c:valAx>
        <c:axId val="137666560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137652480"/>
        <c:crosses val="autoZero"/>
        <c:crossBetween val="midCat"/>
      </c:valAx>
      <c:valAx>
        <c:axId val="1376524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766656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304800</xdr:colOff>
      <xdr:row>4</xdr:row>
      <xdr:rowOff>114299</xdr:rowOff>
    </xdr:from>
    <xdr:to>
      <xdr:col>25</xdr:col>
      <xdr:colOff>361950</xdr:colOff>
      <xdr:row>29</xdr:row>
      <xdr:rowOff>47624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285750</xdr:colOff>
      <xdr:row>27</xdr:row>
      <xdr:rowOff>66674</xdr:rowOff>
    </xdr:from>
    <xdr:to>
      <xdr:col>25</xdr:col>
      <xdr:colOff>371475</xdr:colOff>
      <xdr:row>52</xdr:row>
      <xdr:rowOff>114299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256"/>
  <sheetViews>
    <sheetView workbookViewId="0"/>
  </sheetViews>
  <sheetFormatPr defaultRowHeight="15" x14ac:dyDescent="0.25"/>
  <sheetData>
    <row r="1" spans="1:6" x14ac:dyDescent="0.25">
      <c r="A1">
        <v>0</v>
      </c>
      <c r="B1">
        <v>46</v>
      </c>
      <c r="C1">
        <v>0</v>
      </c>
      <c r="D1">
        <v>0</v>
      </c>
      <c r="E1">
        <v>0</v>
      </c>
      <c r="F1">
        <v>0</v>
      </c>
    </row>
    <row r="2" spans="1:6" x14ac:dyDescent="0.25">
      <c r="A2">
        <v>1</v>
      </c>
      <c r="B2">
        <v>2</v>
      </c>
      <c r="C2">
        <v>0</v>
      </c>
      <c r="D2">
        <v>0</v>
      </c>
      <c r="E2">
        <v>0</v>
      </c>
      <c r="F2">
        <v>34.405999999999999</v>
      </c>
    </row>
    <row r="3" spans="1:6" x14ac:dyDescent="0.25">
      <c r="A3">
        <v>2</v>
      </c>
      <c r="B3">
        <v>10</v>
      </c>
      <c r="C3">
        <v>1</v>
      </c>
      <c r="D3">
        <v>0</v>
      </c>
      <c r="E3">
        <v>0</v>
      </c>
      <c r="F3">
        <v>5691</v>
      </c>
    </row>
    <row r="4" spans="1:6" x14ac:dyDescent="0.25">
      <c r="A4">
        <v>3</v>
      </c>
      <c r="B4">
        <v>13</v>
      </c>
      <c r="C4">
        <v>0</v>
      </c>
      <c r="D4">
        <v>0</v>
      </c>
      <c r="E4">
        <v>0</v>
      </c>
      <c r="F4">
        <v>1602</v>
      </c>
    </row>
    <row r="5" spans="1:6" x14ac:dyDescent="0.25">
      <c r="A5">
        <v>4</v>
      </c>
      <c r="B5">
        <v>41</v>
      </c>
      <c r="C5">
        <v>0</v>
      </c>
      <c r="D5">
        <v>0</v>
      </c>
      <c r="E5">
        <v>0</v>
      </c>
      <c r="F5">
        <v>1</v>
      </c>
    </row>
    <row r="6" spans="1:6" x14ac:dyDescent="0.25">
      <c r="A6">
        <v>5</v>
      </c>
      <c r="B6" t="s">
        <v>0</v>
      </c>
      <c r="C6">
        <v>159</v>
      </c>
      <c r="D6">
        <v>3481</v>
      </c>
      <c r="E6">
        <v>79732716</v>
      </c>
    </row>
    <row r="7" spans="1:6" x14ac:dyDescent="0.25">
      <c r="A7">
        <v>6</v>
      </c>
      <c r="B7">
        <v>42</v>
      </c>
      <c r="C7">
        <v>0</v>
      </c>
      <c r="D7">
        <v>0</v>
      </c>
      <c r="E7">
        <v>0</v>
      </c>
      <c r="F7">
        <v>0.2</v>
      </c>
    </row>
    <row r="8" spans="1:6" x14ac:dyDescent="0.25">
      <c r="A8">
        <v>7</v>
      </c>
      <c r="B8">
        <v>43</v>
      </c>
      <c r="C8">
        <v>0</v>
      </c>
      <c r="D8">
        <v>0</v>
      </c>
      <c r="E8">
        <v>0</v>
      </c>
      <c r="F8">
        <v>0</v>
      </c>
    </row>
    <row r="9" spans="1:6" x14ac:dyDescent="0.25">
      <c r="A9">
        <v>8</v>
      </c>
      <c r="B9">
        <v>44</v>
      </c>
      <c r="C9">
        <v>0</v>
      </c>
      <c r="D9">
        <v>0</v>
      </c>
      <c r="E9">
        <v>0</v>
      </c>
      <c r="F9">
        <v>265.59399999999999</v>
      </c>
    </row>
    <row r="10" spans="1:6" x14ac:dyDescent="0.25">
      <c r="A10">
        <v>9</v>
      </c>
      <c r="B10">
        <v>45</v>
      </c>
      <c r="C10">
        <v>0</v>
      </c>
      <c r="D10">
        <v>0</v>
      </c>
      <c r="E10">
        <v>0</v>
      </c>
      <c r="F10">
        <v>1515.77</v>
      </c>
    </row>
    <row r="11" spans="1:6" x14ac:dyDescent="0.25">
      <c r="A11">
        <v>10</v>
      </c>
      <c r="B11">
        <v>46</v>
      </c>
      <c r="C11">
        <v>0</v>
      </c>
      <c r="D11">
        <v>0</v>
      </c>
      <c r="E11">
        <v>0</v>
      </c>
      <c r="F11">
        <v>0</v>
      </c>
    </row>
    <row r="12" spans="1:6" x14ac:dyDescent="0.25">
      <c r="A12">
        <v>11</v>
      </c>
      <c r="B12">
        <v>2</v>
      </c>
      <c r="C12">
        <v>0</v>
      </c>
      <c r="D12">
        <v>0</v>
      </c>
      <c r="E12">
        <v>0</v>
      </c>
      <c r="F12">
        <v>34.405900000000003</v>
      </c>
    </row>
    <row r="13" spans="1:6" x14ac:dyDescent="0.25">
      <c r="A13">
        <v>12</v>
      </c>
      <c r="B13">
        <v>10</v>
      </c>
      <c r="C13">
        <v>1</v>
      </c>
      <c r="D13">
        <v>0</v>
      </c>
      <c r="E13">
        <v>0</v>
      </c>
      <c r="F13">
        <v>5691</v>
      </c>
    </row>
    <row r="14" spans="1:6" x14ac:dyDescent="0.25">
      <c r="A14">
        <v>13</v>
      </c>
      <c r="B14">
        <v>13</v>
      </c>
      <c r="C14">
        <v>0</v>
      </c>
      <c r="D14">
        <v>0</v>
      </c>
      <c r="E14">
        <v>0</v>
      </c>
      <c r="F14">
        <v>1602</v>
      </c>
    </row>
    <row r="15" spans="1:6" x14ac:dyDescent="0.25">
      <c r="A15">
        <v>14</v>
      </c>
      <c r="B15">
        <v>41</v>
      </c>
      <c r="C15">
        <v>0</v>
      </c>
      <c r="D15">
        <v>0</v>
      </c>
      <c r="E15">
        <v>0</v>
      </c>
      <c r="F15">
        <v>1</v>
      </c>
    </row>
    <row r="16" spans="1:6" x14ac:dyDescent="0.25">
      <c r="A16">
        <v>15</v>
      </c>
      <c r="B16">
        <v>42</v>
      </c>
      <c r="C16">
        <v>0</v>
      </c>
      <c r="D16">
        <v>0</v>
      </c>
      <c r="E16">
        <v>0</v>
      </c>
      <c r="F16">
        <v>0.2</v>
      </c>
    </row>
    <row r="17" spans="1:6" x14ac:dyDescent="0.25">
      <c r="A17">
        <v>16</v>
      </c>
      <c r="B17">
        <v>43</v>
      </c>
      <c r="C17">
        <v>0</v>
      </c>
      <c r="D17">
        <v>0</v>
      </c>
      <c r="E17">
        <v>0</v>
      </c>
      <c r="F17">
        <v>0</v>
      </c>
    </row>
    <row r="18" spans="1:6" x14ac:dyDescent="0.25">
      <c r="A18">
        <v>17</v>
      </c>
      <c r="B18">
        <v>44</v>
      </c>
      <c r="C18">
        <v>0</v>
      </c>
      <c r="D18">
        <v>0</v>
      </c>
      <c r="E18">
        <v>0</v>
      </c>
      <c r="F18">
        <v>265.59399999999999</v>
      </c>
    </row>
    <row r="19" spans="1:6" x14ac:dyDescent="0.25">
      <c r="A19">
        <v>18</v>
      </c>
      <c r="B19">
        <v>45</v>
      </c>
      <c r="C19">
        <v>0</v>
      </c>
      <c r="D19">
        <v>0</v>
      </c>
      <c r="E19">
        <v>0</v>
      </c>
      <c r="F19">
        <v>1515.77</v>
      </c>
    </row>
    <row r="20" spans="1:6" x14ac:dyDescent="0.25">
      <c r="A20">
        <v>19</v>
      </c>
      <c r="B20">
        <v>46</v>
      </c>
      <c r="C20">
        <v>0</v>
      </c>
      <c r="D20">
        <v>0</v>
      </c>
      <c r="E20">
        <v>0</v>
      </c>
      <c r="F20">
        <v>0</v>
      </c>
    </row>
    <row r="21" spans="1:6" x14ac:dyDescent="0.25">
      <c r="A21">
        <v>20</v>
      </c>
      <c r="B21">
        <v>2</v>
      </c>
      <c r="C21">
        <v>0</v>
      </c>
      <c r="D21">
        <v>0</v>
      </c>
      <c r="E21">
        <v>0</v>
      </c>
      <c r="F21">
        <v>34.405900000000003</v>
      </c>
    </row>
    <row r="22" spans="1:6" x14ac:dyDescent="0.25">
      <c r="A22">
        <v>21</v>
      </c>
      <c r="B22" t="s">
        <v>0</v>
      </c>
      <c r="C22">
        <v>160</v>
      </c>
      <c r="D22">
        <v>3481</v>
      </c>
      <c r="E22">
        <v>79733683</v>
      </c>
    </row>
    <row r="23" spans="1:6" x14ac:dyDescent="0.25">
      <c r="A23">
        <v>22</v>
      </c>
      <c r="B23">
        <v>10</v>
      </c>
      <c r="C23">
        <v>1</v>
      </c>
      <c r="D23">
        <v>0</v>
      </c>
      <c r="E23">
        <v>0</v>
      </c>
      <c r="F23">
        <v>5691</v>
      </c>
    </row>
    <row r="24" spans="1:6" x14ac:dyDescent="0.25">
      <c r="A24">
        <v>23</v>
      </c>
      <c r="B24">
        <v>13</v>
      </c>
      <c r="C24">
        <v>0</v>
      </c>
      <c r="D24">
        <v>0</v>
      </c>
      <c r="E24">
        <v>0</v>
      </c>
      <c r="F24">
        <v>1602</v>
      </c>
    </row>
    <row r="25" spans="1:6" x14ac:dyDescent="0.25">
      <c r="A25">
        <v>24</v>
      </c>
      <c r="B25">
        <v>41</v>
      </c>
      <c r="C25">
        <v>0</v>
      </c>
      <c r="D25">
        <v>0</v>
      </c>
      <c r="E25">
        <v>0</v>
      </c>
      <c r="F25">
        <v>1</v>
      </c>
    </row>
    <row r="26" spans="1:6" x14ac:dyDescent="0.25">
      <c r="A26">
        <v>25</v>
      </c>
      <c r="B26">
        <v>42</v>
      </c>
      <c r="C26">
        <v>0</v>
      </c>
      <c r="D26">
        <v>0</v>
      </c>
      <c r="E26">
        <v>0</v>
      </c>
      <c r="F26">
        <v>0.2</v>
      </c>
    </row>
    <row r="27" spans="1:6" x14ac:dyDescent="0.25">
      <c r="A27">
        <v>26</v>
      </c>
      <c r="B27">
        <v>43</v>
      </c>
      <c r="C27">
        <v>0</v>
      </c>
      <c r="D27">
        <v>0</v>
      </c>
      <c r="E27">
        <v>0</v>
      </c>
      <c r="F27">
        <v>0</v>
      </c>
    </row>
    <row r="28" spans="1:6" x14ac:dyDescent="0.25">
      <c r="A28">
        <v>27</v>
      </c>
      <c r="B28">
        <v>44</v>
      </c>
      <c r="C28">
        <v>0</v>
      </c>
      <c r="D28">
        <v>0</v>
      </c>
      <c r="E28">
        <v>0</v>
      </c>
      <c r="F28">
        <v>265.59300000000002</v>
      </c>
    </row>
    <row r="29" spans="1:6" x14ac:dyDescent="0.25">
      <c r="A29">
        <v>28</v>
      </c>
      <c r="B29">
        <v>45</v>
      </c>
      <c r="C29">
        <v>0</v>
      </c>
      <c r="D29">
        <v>0</v>
      </c>
      <c r="E29">
        <v>0</v>
      </c>
      <c r="F29">
        <v>1516.29</v>
      </c>
    </row>
    <row r="30" spans="1:6" x14ac:dyDescent="0.25">
      <c r="A30">
        <v>29</v>
      </c>
      <c r="B30">
        <v>46</v>
      </c>
      <c r="C30">
        <v>0</v>
      </c>
      <c r="D30">
        <v>0</v>
      </c>
      <c r="E30">
        <v>0</v>
      </c>
      <c r="F30">
        <v>0</v>
      </c>
    </row>
    <row r="31" spans="1:6" x14ac:dyDescent="0.25">
      <c r="A31">
        <v>30</v>
      </c>
      <c r="B31">
        <v>2</v>
      </c>
      <c r="C31">
        <v>0</v>
      </c>
      <c r="D31">
        <v>0</v>
      </c>
      <c r="E31">
        <v>0</v>
      </c>
      <c r="F31">
        <v>34.4071</v>
      </c>
    </row>
    <row r="32" spans="1:6" x14ac:dyDescent="0.25">
      <c r="A32">
        <v>31</v>
      </c>
      <c r="B32">
        <v>10</v>
      </c>
      <c r="C32">
        <v>1</v>
      </c>
      <c r="D32">
        <v>0</v>
      </c>
      <c r="E32">
        <v>0</v>
      </c>
      <c r="F32">
        <v>5691</v>
      </c>
    </row>
    <row r="33" spans="1:6" x14ac:dyDescent="0.25">
      <c r="A33">
        <v>32</v>
      </c>
      <c r="B33">
        <v>13</v>
      </c>
      <c r="C33">
        <v>0</v>
      </c>
      <c r="D33">
        <v>0</v>
      </c>
      <c r="E33">
        <v>0</v>
      </c>
      <c r="F33">
        <v>1602</v>
      </c>
    </row>
    <row r="34" spans="1:6" x14ac:dyDescent="0.25">
      <c r="A34">
        <v>33</v>
      </c>
      <c r="B34">
        <v>41</v>
      </c>
      <c r="C34">
        <v>0</v>
      </c>
      <c r="D34">
        <v>0</v>
      </c>
      <c r="E34">
        <v>0</v>
      </c>
      <c r="F34">
        <v>1</v>
      </c>
    </row>
    <row r="35" spans="1:6" x14ac:dyDescent="0.25">
      <c r="A35">
        <v>34</v>
      </c>
      <c r="B35">
        <v>42</v>
      </c>
      <c r="C35">
        <v>0</v>
      </c>
      <c r="D35">
        <v>0</v>
      </c>
      <c r="E35">
        <v>0</v>
      </c>
      <c r="F35">
        <v>0.2</v>
      </c>
    </row>
    <row r="36" spans="1:6" x14ac:dyDescent="0.25">
      <c r="A36">
        <v>35</v>
      </c>
      <c r="B36">
        <v>43</v>
      </c>
      <c r="C36">
        <v>0</v>
      </c>
      <c r="D36">
        <v>0</v>
      </c>
      <c r="E36">
        <v>0</v>
      </c>
      <c r="F36">
        <v>0</v>
      </c>
    </row>
    <row r="37" spans="1:6" x14ac:dyDescent="0.25">
      <c r="A37">
        <v>36</v>
      </c>
      <c r="B37">
        <v>44</v>
      </c>
      <c r="C37">
        <v>0</v>
      </c>
      <c r="D37">
        <v>0</v>
      </c>
      <c r="E37">
        <v>0</v>
      </c>
      <c r="F37">
        <v>265.59300000000002</v>
      </c>
    </row>
    <row r="38" spans="1:6" x14ac:dyDescent="0.25">
      <c r="A38">
        <v>37</v>
      </c>
      <c r="B38">
        <v>45</v>
      </c>
      <c r="C38">
        <v>0</v>
      </c>
      <c r="D38">
        <v>0</v>
      </c>
      <c r="E38">
        <v>0</v>
      </c>
      <c r="F38">
        <v>1516.8</v>
      </c>
    </row>
    <row r="39" spans="1:6" x14ac:dyDescent="0.25">
      <c r="A39">
        <v>38</v>
      </c>
      <c r="B39">
        <v>46</v>
      </c>
      <c r="C39">
        <v>0</v>
      </c>
      <c r="D39">
        <v>0</v>
      </c>
      <c r="E39">
        <v>0</v>
      </c>
      <c r="F39">
        <v>0</v>
      </c>
    </row>
    <row r="40" spans="1:6" x14ac:dyDescent="0.25">
      <c r="A40">
        <v>39</v>
      </c>
      <c r="B40">
        <v>2</v>
      </c>
      <c r="C40">
        <v>0</v>
      </c>
      <c r="D40">
        <v>0</v>
      </c>
      <c r="E40">
        <v>0</v>
      </c>
      <c r="F40">
        <v>34.405900000000003</v>
      </c>
    </row>
    <row r="41" spans="1:6" x14ac:dyDescent="0.25">
      <c r="A41">
        <v>40</v>
      </c>
      <c r="B41">
        <v>10</v>
      </c>
      <c r="C41">
        <v>1</v>
      </c>
      <c r="D41">
        <v>0</v>
      </c>
      <c r="E41">
        <v>0</v>
      </c>
      <c r="F41">
        <v>5691</v>
      </c>
    </row>
    <row r="42" spans="1:6" x14ac:dyDescent="0.25">
      <c r="A42">
        <v>41</v>
      </c>
      <c r="B42">
        <v>13</v>
      </c>
      <c r="C42">
        <v>0</v>
      </c>
      <c r="D42">
        <v>0</v>
      </c>
      <c r="E42">
        <v>0</v>
      </c>
      <c r="F42">
        <v>1602</v>
      </c>
    </row>
    <row r="43" spans="1:6" x14ac:dyDescent="0.25">
      <c r="A43">
        <v>42</v>
      </c>
      <c r="B43">
        <v>41</v>
      </c>
      <c r="C43">
        <v>0</v>
      </c>
      <c r="D43">
        <v>0</v>
      </c>
      <c r="E43">
        <v>0</v>
      </c>
      <c r="F43">
        <v>1</v>
      </c>
    </row>
    <row r="44" spans="1:6" x14ac:dyDescent="0.25">
      <c r="A44">
        <v>43</v>
      </c>
      <c r="B44">
        <v>42</v>
      </c>
      <c r="C44">
        <v>0</v>
      </c>
      <c r="D44">
        <v>0</v>
      </c>
      <c r="E44">
        <v>0</v>
      </c>
      <c r="F44">
        <v>0.2</v>
      </c>
    </row>
    <row r="45" spans="1:6" x14ac:dyDescent="0.25">
      <c r="A45">
        <v>44</v>
      </c>
      <c r="B45">
        <v>43</v>
      </c>
      <c r="C45">
        <v>0</v>
      </c>
      <c r="D45">
        <v>0</v>
      </c>
      <c r="E45">
        <v>0</v>
      </c>
      <c r="F45">
        <v>0</v>
      </c>
    </row>
    <row r="46" spans="1:6" x14ac:dyDescent="0.25">
      <c r="A46">
        <v>45</v>
      </c>
      <c r="B46">
        <v>44</v>
      </c>
      <c r="C46">
        <v>0</v>
      </c>
      <c r="D46">
        <v>0</v>
      </c>
      <c r="E46">
        <v>0</v>
      </c>
      <c r="F46">
        <v>265.59399999999999</v>
      </c>
    </row>
    <row r="47" spans="1:6" x14ac:dyDescent="0.25">
      <c r="A47">
        <v>46</v>
      </c>
      <c r="B47">
        <v>45</v>
      </c>
      <c r="C47">
        <v>0</v>
      </c>
      <c r="D47">
        <v>0</v>
      </c>
      <c r="E47">
        <v>0</v>
      </c>
      <c r="F47">
        <v>1516.8</v>
      </c>
    </row>
    <row r="48" spans="1:6" x14ac:dyDescent="0.25">
      <c r="A48">
        <v>47</v>
      </c>
      <c r="B48">
        <v>46</v>
      </c>
      <c r="C48">
        <v>0</v>
      </c>
      <c r="D48">
        <v>0</v>
      </c>
      <c r="E48">
        <v>0</v>
      </c>
      <c r="F48">
        <v>0</v>
      </c>
    </row>
    <row r="49" spans="1:6" x14ac:dyDescent="0.25">
      <c r="A49">
        <v>48</v>
      </c>
      <c r="B49">
        <v>2</v>
      </c>
      <c r="C49">
        <v>0</v>
      </c>
      <c r="D49">
        <v>0</v>
      </c>
      <c r="E49">
        <v>0</v>
      </c>
      <c r="F49">
        <v>34.405900000000003</v>
      </c>
    </row>
    <row r="50" spans="1:6" x14ac:dyDescent="0.25">
      <c r="A50">
        <v>49</v>
      </c>
      <c r="B50">
        <v>10</v>
      </c>
      <c r="C50">
        <v>1</v>
      </c>
      <c r="D50">
        <v>0</v>
      </c>
      <c r="E50">
        <v>0</v>
      </c>
      <c r="F50">
        <v>5691</v>
      </c>
    </row>
    <row r="51" spans="1:6" x14ac:dyDescent="0.25">
      <c r="A51">
        <v>50</v>
      </c>
      <c r="B51">
        <v>13</v>
      </c>
      <c r="C51">
        <v>0</v>
      </c>
      <c r="D51">
        <v>0</v>
      </c>
      <c r="E51">
        <v>0</v>
      </c>
      <c r="F51">
        <v>1602</v>
      </c>
    </row>
    <row r="52" spans="1:6" x14ac:dyDescent="0.25">
      <c r="A52">
        <v>51</v>
      </c>
      <c r="B52" t="s">
        <v>0</v>
      </c>
      <c r="C52">
        <v>162</v>
      </c>
      <c r="D52">
        <v>3481</v>
      </c>
      <c r="E52">
        <v>79735619</v>
      </c>
    </row>
    <row r="53" spans="1:6" x14ac:dyDescent="0.25">
      <c r="A53">
        <v>52</v>
      </c>
      <c r="B53">
        <v>42</v>
      </c>
      <c r="C53">
        <v>0</v>
      </c>
      <c r="D53">
        <v>0</v>
      </c>
      <c r="E53">
        <v>0</v>
      </c>
      <c r="F53">
        <v>0.2</v>
      </c>
    </row>
    <row r="54" spans="1:6" x14ac:dyDescent="0.25">
      <c r="A54">
        <v>53</v>
      </c>
      <c r="B54">
        <v>43</v>
      </c>
      <c r="C54">
        <v>0</v>
      </c>
      <c r="D54">
        <v>0</v>
      </c>
      <c r="E54">
        <v>0</v>
      </c>
      <c r="F54">
        <v>0</v>
      </c>
    </row>
    <row r="55" spans="1:6" x14ac:dyDescent="0.25">
      <c r="A55">
        <v>54</v>
      </c>
      <c r="B55">
        <v>44</v>
      </c>
      <c r="C55">
        <v>0</v>
      </c>
      <c r="D55">
        <v>0</v>
      </c>
      <c r="E55">
        <v>0</v>
      </c>
      <c r="F55">
        <v>265.59399999999999</v>
      </c>
    </row>
    <row r="56" spans="1:6" x14ac:dyDescent="0.25">
      <c r="A56">
        <v>55</v>
      </c>
      <c r="B56">
        <v>45</v>
      </c>
      <c r="C56">
        <v>0</v>
      </c>
      <c r="D56">
        <v>0</v>
      </c>
      <c r="E56">
        <v>0</v>
      </c>
      <c r="F56">
        <v>1517.32</v>
      </c>
    </row>
    <row r="57" spans="1:6" x14ac:dyDescent="0.25">
      <c r="A57">
        <v>56</v>
      </c>
      <c r="B57">
        <v>46</v>
      </c>
      <c r="C57">
        <v>0</v>
      </c>
      <c r="D57">
        <v>0</v>
      </c>
      <c r="E57">
        <v>0</v>
      </c>
      <c r="F57">
        <v>0</v>
      </c>
    </row>
    <row r="58" spans="1:6" x14ac:dyDescent="0.25">
      <c r="A58">
        <v>57</v>
      </c>
      <c r="B58">
        <v>2</v>
      </c>
      <c r="C58">
        <v>0</v>
      </c>
      <c r="D58">
        <v>0</v>
      </c>
      <c r="E58">
        <v>0</v>
      </c>
      <c r="F58">
        <v>34.405999999999999</v>
      </c>
    </row>
    <row r="59" spans="1:6" x14ac:dyDescent="0.25">
      <c r="A59">
        <v>58</v>
      </c>
      <c r="B59">
        <v>10</v>
      </c>
      <c r="C59">
        <v>1</v>
      </c>
      <c r="D59">
        <v>0</v>
      </c>
      <c r="E59">
        <v>0</v>
      </c>
      <c r="F59">
        <v>5691</v>
      </c>
    </row>
    <row r="60" spans="1:6" x14ac:dyDescent="0.25">
      <c r="A60">
        <v>59</v>
      </c>
      <c r="B60">
        <v>13</v>
      </c>
      <c r="C60">
        <v>0</v>
      </c>
      <c r="D60">
        <v>0</v>
      </c>
      <c r="E60">
        <v>0</v>
      </c>
      <c r="F60">
        <v>1602</v>
      </c>
    </row>
    <row r="61" spans="1:6" x14ac:dyDescent="0.25">
      <c r="A61">
        <v>60</v>
      </c>
      <c r="B61">
        <v>41</v>
      </c>
      <c r="C61">
        <v>0</v>
      </c>
      <c r="D61">
        <v>0</v>
      </c>
      <c r="E61">
        <v>0</v>
      </c>
      <c r="F61">
        <v>1</v>
      </c>
    </row>
    <row r="62" spans="1:6" x14ac:dyDescent="0.25">
      <c r="A62">
        <v>61</v>
      </c>
      <c r="B62">
        <v>42</v>
      </c>
      <c r="C62">
        <v>0</v>
      </c>
      <c r="D62">
        <v>0</v>
      </c>
      <c r="E62">
        <v>0</v>
      </c>
      <c r="F62">
        <v>0.2</v>
      </c>
    </row>
    <row r="63" spans="1:6" x14ac:dyDescent="0.25">
      <c r="A63">
        <v>62</v>
      </c>
      <c r="B63">
        <v>43</v>
      </c>
      <c r="C63">
        <v>0</v>
      </c>
      <c r="D63">
        <v>0</v>
      </c>
      <c r="E63">
        <v>0</v>
      </c>
      <c r="F63">
        <v>0</v>
      </c>
    </row>
    <row r="64" spans="1:6" x14ac:dyDescent="0.25">
      <c r="A64">
        <v>63</v>
      </c>
      <c r="B64">
        <v>44</v>
      </c>
      <c r="C64">
        <v>0</v>
      </c>
      <c r="D64">
        <v>0</v>
      </c>
      <c r="E64">
        <v>0</v>
      </c>
      <c r="F64">
        <v>265.59399999999999</v>
      </c>
    </row>
    <row r="65" spans="1:6" x14ac:dyDescent="0.25">
      <c r="A65">
        <v>64</v>
      </c>
      <c r="B65">
        <v>45</v>
      </c>
      <c r="C65">
        <v>0</v>
      </c>
      <c r="D65">
        <v>0</v>
      </c>
      <c r="E65">
        <v>0</v>
      </c>
      <c r="F65">
        <v>1517.32</v>
      </c>
    </row>
    <row r="66" spans="1:6" x14ac:dyDescent="0.25">
      <c r="A66">
        <v>65</v>
      </c>
      <c r="B66">
        <v>46</v>
      </c>
      <c r="C66">
        <v>0</v>
      </c>
      <c r="D66">
        <v>0</v>
      </c>
      <c r="E66">
        <v>0</v>
      </c>
      <c r="F66">
        <v>0</v>
      </c>
    </row>
    <row r="67" spans="1:6" x14ac:dyDescent="0.25">
      <c r="A67">
        <v>66</v>
      </c>
      <c r="B67" t="s">
        <v>0</v>
      </c>
      <c r="C67">
        <v>163</v>
      </c>
      <c r="D67">
        <v>3481</v>
      </c>
      <c r="E67">
        <v>79736587</v>
      </c>
    </row>
    <row r="68" spans="1:6" x14ac:dyDescent="0.25">
      <c r="A68">
        <v>67</v>
      </c>
      <c r="B68">
        <v>10</v>
      </c>
      <c r="C68">
        <v>1</v>
      </c>
      <c r="D68">
        <v>0</v>
      </c>
      <c r="E68">
        <v>0</v>
      </c>
      <c r="F68">
        <v>5691</v>
      </c>
    </row>
    <row r="69" spans="1:6" x14ac:dyDescent="0.25">
      <c r="A69">
        <v>68</v>
      </c>
      <c r="B69">
        <v>13</v>
      </c>
      <c r="C69">
        <v>0</v>
      </c>
      <c r="D69">
        <v>0</v>
      </c>
      <c r="E69">
        <v>0</v>
      </c>
      <c r="F69">
        <v>1602</v>
      </c>
    </row>
    <row r="70" spans="1:6" x14ac:dyDescent="0.25">
      <c r="A70">
        <v>69</v>
      </c>
      <c r="B70">
        <v>41</v>
      </c>
      <c r="C70">
        <v>0</v>
      </c>
      <c r="D70">
        <v>0</v>
      </c>
      <c r="E70">
        <v>0</v>
      </c>
      <c r="F70">
        <v>1</v>
      </c>
    </row>
    <row r="71" spans="1:6" x14ac:dyDescent="0.25">
      <c r="A71">
        <v>70</v>
      </c>
      <c r="B71">
        <v>42</v>
      </c>
      <c r="C71">
        <v>0</v>
      </c>
      <c r="D71">
        <v>0</v>
      </c>
      <c r="E71">
        <v>0</v>
      </c>
      <c r="F71">
        <v>0.2</v>
      </c>
    </row>
    <row r="72" spans="1:6" x14ac:dyDescent="0.25">
      <c r="A72">
        <v>71</v>
      </c>
      <c r="B72">
        <v>43</v>
      </c>
      <c r="C72">
        <v>0</v>
      </c>
      <c r="D72">
        <v>0</v>
      </c>
      <c r="E72">
        <v>0</v>
      </c>
      <c r="F72">
        <v>0</v>
      </c>
    </row>
    <row r="73" spans="1:6" x14ac:dyDescent="0.25">
      <c r="A73">
        <v>72</v>
      </c>
      <c r="B73">
        <v>44</v>
      </c>
      <c r="C73">
        <v>0</v>
      </c>
      <c r="D73">
        <v>0</v>
      </c>
      <c r="E73">
        <v>0</v>
      </c>
      <c r="F73">
        <v>265.59399999999999</v>
      </c>
    </row>
    <row r="74" spans="1:6" x14ac:dyDescent="0.25">
      <c r="A74">
        <v>73</v>
      </c>
      <c r="B74">
        <v>45</v>
      </c>
      <c r="C74">
        <v>0</v>
      </c>
      <c r="D74">
        <v>0</v>
      </c>
      <c r="E74">
        <v>0</v>
      </c>
      <c r="F74">
        <v>1517.83</v>
      </c>
    </row>
    <row r="75" spans="1:6" x14ac:dyDescent="0.25">
      <c r="A75">
        <v>74</v>
      </c>
      <c r="B75">
        <v>46</v>
      </c>
      <c r="C75">
        <v>0</v>
      </c>
      <c r="D75">
        <v>0</v>
      </c>
      <c r="E75">
        <v>0</v>
      </c>
      <c r="F75">
        <v>0</v>
      </c>
    </row>
    <row r="76" spans="1:6" x14ac:dyDescent="0.25">
      <c r="A76">
        <v>75</v>
      </c>
      <c r="B76">
        <v>2</v>
      </c>
      <c r="C76">
        <v>0</v>
      </c>
      <c r="D76">
        <v>0</v>
      </c>
      <c r="E76">
        <v>0</v>
      </c>
      <c r="F76">
        <v>34.406100000000002</v>
      </c>
    </row>
    <row r="77" spans="1:6" x14ac:dyDescent="0.25">
      <c r="A77">
        <v>76</v>
      </c>
      <c r="B77">
        <v>10</v>
      </c>
      <c r="C77">
        <v>1</v>
      </c>
      <c r="D77">
        <v>0</v>
      </c>
      <c r="E77">
        <v>0</v>
      </c>
      <c r="F77">
        <v>5691</v>
      </c>
    </row>
    <row r="78" spans="1:6" x14ac:dyDescent="0.25">
      <c r="A78">
        <v>77</v>
      </c>
      <c r="B78">
        <v>13</v>
      </c>
      <c r="C78">
        <v>0</v>
      </c>
      <c r="D78">
        <v>0</v>
      </c>
      <c r="E78">
        <v>0</v>
      </c>
      <c r="F78">
        <v>1602</v>
      </c>
    </row>
    <row r="79" spans="1:6" x14ac:dyDescent="0.25">
      <c r="A79">
        <v>78</v>
      </c>
      <c r="B79">
        <v>41</v>
      </c>
      <c r="C79">
        <v>0</v>
      </c>
      <c r="D79">
        <v>0</v>
      </c>
      <c r="E79">
        <v>0</v>
      </c>
      <c r="F79">
        <v>1</v>
      </c>
    </row>
    <row r="80" spans="1:6" x14ac:dyDescent="0.25">
      <c r="A80">
        <v>79</v>
      </c>
      <c r="B80">
        <v>42</v>
      </c>
      <c r="C80">
        <v>0</v>
      </c>
      <c r="D80">
        <v>0</v>
      </c>
      <c r="E80">
        <v>0</v>
      </c>
      <c r="F80">
        <v>0.2</v>
      </c>
    </row>
    <row r="81" spans="1:6" x14ac:dyDescent="0.25">
      <c r="A81">
        <v>80</v>
      </c>
      <c r="B81">
        <v>43</v>
      </c>
      <c r="C81">
        <v>0</v>
      </c>
      <c r="D81">
        <v>0</v>
      </c>
      <c r="E81">
        <v>0</v>
      </c>
      <c r="F81">
        <v>0</v>
      </c>
    </row>
    <row r="82" spans="1:6" x14ac:dyDescent="0.25">
      <c r="A82">
        <v>81</v>
      </c>
      <c r="B82" t="s">
        <v>0</v>
      </c>
      <c r="C82">
        <v>164</v>
      </c>
      <c r="D82">
        <v>3481</v>
      </c>
      <c r="E82">
        <v>79737554</v>
      </c>
    </row>
    <row r="83" spans="1:6" x14ac:dyDescent="0.25">
      <c r="A83">
        <v>82</v>
      </c>
      <c r="B83">
        <v>44</v>
      </c>
      <c r="C83">
        <v>0</v>
      </c>
      <c r="D83">
        <v>0</v>
      </c>
      <c r="E83">
        <v>0</v>
      </c>
      <c r="F83">
        <v>265.59300000000002</v>
      </c>
    </row>
    <row r="84" spans="1:6" x14ac:dyDescent="0.25">
      <c r="A84">
        <v>83</v>
      </c>
      <c r="B84">
        <v>45</v>
      </c>
      <c r="C84">
        <v>0</v>
      </c>
      <c r="D84">
        <v>0</v>
      </c>
      <c r="E84">
        <v>0</v>
      </c>
      <c r="F84">
        <v>1518.35</v>
      </c>
    </row>
    <row r="85" spans="1:6" x14ac:dyDescent="0.25">
      <c r="A85">
        <v>84</v>
      </c>
      <c r="B85">
        <v>46</v>
      </c>
      <c r="C85">
        <v>0</v>
      </c>
      <c r="D85">
        <v>0</v>
      </c>
      <c r="E85">
        <v>0</v>
      </c>
      <c r="F85">
        <v>0</v>
      </c>
    </row>
    <row r="86" spans="1:6" x14ac:dyDescent="0.25">
      <c r="A86">
        <v>85</v>
      </c>
      <c r="B86">
        <v>2</v>
      </c>
      <c r="C86">
        <v>0</v>
      </c>
      <c r="D86">
        <v>0</v>
      </c>
      <c r="E86">
        <v>0</v>
      </c>
      <c r="F86">
        <v>34.406700000000001</v>
      </c>
    </row>
    <row r="87" spans="1:6" x14ac:dyDescent="0.25">
      <c r="A87">
        <v>86</v>
      </c>
      <c r="B87">
        <v>10</v>
      </c>
      <c r="C87">
        <v>1</v>
      </c>
      <c r="D87">
        <v>0</v>
      </c>
      <c r="E87">
        <v>0</v>
      </c>
      <c r="F87">
        <v>5691</v>
      </c>
    </row>
    <row r="88" spans="1:6" x14ac:dyDescent="0.25">
      <c r="A88">
        <v>87</v>
      </c>
      <c r="B88">
        <v>13</v>
      </c>
      <c r="C88">
        <v>0</v>
      </c>
      <c r="D88">
        <v>0</v>
      </c>
      <c r="E88">
        <v>0</v>
      </c>
      <c r="F88">
        <v>1602</v>
      </c>
    </row>
    <row r="89" spans="1:6" x14ac:dyDescent="0.25">
      <c r="A89">
        <v>88</v>
      </c>
      <c r="B89">
        <v>41</v>
      </c>
      <c r="C89">
        <v>0</v>
      </c>
      <c r="D89">
        <v>0</v>
      </c>
      <c r="E89">
        <v>0</v>
      </c>
      <c r="F89">
        <v>1</v>
      </c>
    </row>
    <row r="90" spans="1:6" x14ac:dyDescent="0.25">
      <c r="A90">
        <v>89</v>
      </c>
      <c r="B90">
        <v>42</v>
      </c>
      <c r="C90">
        <v>0</v>
      </c>
      <c r="D90">
        <v>0</v>
      </c>
      <c r="E90">
        <v>0</v>
      </c>
      <c r="F90">
        <v>0.2</v>
      </c>
    </row>
    <row r="91" spans="1:6" x14ac:dyDescent="0.25">
      <c r="A91">
        <v>90</v>
      </c>
      <c r="B91">
        <v>43</v>
      </c>
      <c r="C91">
        <v>0</v>
      </c>
      <c r="D91">
        <v>0</v>
      </c>
      <c r="E91">
        <v>0</v>
      </c>
      <c r="F91">
        <v>0</v>
      </c>
    </row>
    <row r="92" spans="1:6" x14ac:dyDescent="0.25">
      <c r="A92">
        <v>91</v>
      </c>
      <c r="B92">
        <v>44</v>
      </c>
      <c r="C92">
        <v>0</v>
      </c>
      <c r="D92">
        <v>0</v>
      </c>
      <c r="E92">
        <v>0</v>
      </c>
      <c r="F92">
        <v>265.59300000000002</v>
      </c>
    </row>
    <row r="93" spans="1:6" x14ac:dyDescent="0.25">
      <c r="A93">
        <v>92</v>
      </c>
      <c r="B93">
        <v>45</v>
      </c>
      <c r="C93">
        <v>0</v>
      </c>
      <c r="D93">
        <v>0</v>
      </c>
      <c r="E93">
        <v>0</v>
      </c>
      <c r="F93">
        <v>1518.35</v>
      </c>
    </row>
    <row r="94" spans="1:6" x14ac:dyDescent="0.25">
      <c r="A94">
        <v>93</v>
      </c>
      <c r="B94">
        <v>46</v>
      </c>
      <c r="C94">
        <v>0</v>
      </c>
      <c r="D94">
        <v>0</v>
      </c>
      <c r="E94">
        <v>0</v>
      </c>
      <c r="F94">
        <v>0</v>
      </c>
    </row>
    <row r="95" spans="1:6" x14ac:dyDescent="0.25">
      <c r="A95">
        <v>94</v>
      </c>
      <c r="B95">
        <v>2</v>
      </c>
      <c r="C95">
        <v>0</v>
      </c>
      <c r="D95">
        <v>0</v>
      </c>
      <c r="E95">
        <v>0</v>
      </c>
      <c r="F95">
        <v>34.406700000000001</v>
      </c>
    </row>
    <row r="96" spans="1:6" x14ac:dyDescent="0.25">
      <c r="A96">
        <v>95</v>
      </c>
      <c r="B96">
        <v>10</v>
      </c>
      <c r="C96">
        <v>1</v>
      </c>
      <c r="D96">
        <v>0</v>
      </c>
      <c r="E96">
        <v>0</v>
      </c>
      <c r="F96">
        <v>5691</v>
      </c>
    </row>
    <row r="97" spans="1:6" x14ac:dyDescent="0.25">
      <c r="A97">
        <v>96</v>
      </c>
      <c r="B97">
        <v>13</v>
      </c>
      <c r="C97">
        <v>0</v>
      </c>
      <c r="D97">
        <v>0</v>
      </c>
      <c r="E97">
        <v>0</v>
      </c>
      <c r="F97">
        <v>1602</v>
      </c>
    </row>
    <row r="98" spans="1:6" x14ac:dyDescent="0.25">
      <c r="A98">
        <v>97</v>
      </c>
      <c r="B98" t="s">
        <v>0</v>
      </c>
      <c r="C98">
        <v>165</v>
      </c>
      <c r="D98">
        <v>3481</v>
      </c>
      <c r="E98">
        <v>79738522</v>
      </c>
    </row>
    <row r="99" spans="1:6" x14ac:dyDescent="0.25">
      <c r="A99">
        <v>98</v>
      </c>
      <c r="B99">
        <v>41</v>
      </c>
      <c r="C99">
        <v>0</v>
      </c>
      <c r="D99">
        <v>0</v>
      </c>
      <c r="E99">
        <v>0</v>
      </c>
      <c r="F99">
        <v>1</v>
      </c>
    </row>
    <row r="100" spans="1:6" x14ac:dyDescent="0.25">
      <c r="A100">
        <v>99</v>
      </c>
      <c r="B100">
        <v>42</v>
      </c>
      <c r="C100">
        <v>0</v>
      </c>
      <c r="D100">
        <v>0</v>
      </c>
      <c r="E100">
        <v>0</v>
      </c>
      <c r="F100">
        <v>0.2</v>
      </c>
    </row>
    <row r="101" spans="1:6" x14ac:dyDescent="0.25">
      <c r="A101">
        <v>100</v>
      </c>
      <c r="B101">
        <v>43</v>
      </c>
      <c r="C101">
        <v>0</v>
      </c>
      <c r="D101">
        <v>0</v>
      </c>
      <c r="E101">
        <v>0</v>
      </c>
      <c r="F101">
        <v>0</v>
      </c>
    </row>
    <row r="102" spans="1:6" x14ac:dyDescent="0.25">
      <c r="A102">
        <v>101</v>
      </c>
      <c r="B102">
        <v>44</v>
      </c>
      <c r="C102">
        <v>0</v>
      </c>
      <c r="D102">
        <v>0</v>
      </c>
      <c r="E102">
        <v>0</v>
      </c>
      <c r="F102">
        <v>265.59399999999999</v>
      </c>
    </row>
    <row r="103" spans="1:6" x14ac:dyDescent="0.25">
      <c r="A103">
        <v>102</v>
      </c>
      <c r="B103">
        <v>45</v>
      </c>
      <c r="C103">
        <v>0</v>
      </c>
      <c r="D103">
        <v>0</v>
      </c>
      <c r="E103">
        <v>0</v>
      </c>
      <c r="F103">
        <v>1518.86</v>
      </c>
    </row>
    <row r="104" spans="1:6" x14ac:dyDescent="0.25">
      <c r="A104">
        <v>103</v>
      </c>
      <c r="B104">
        <v>46</v>
      </c>
      <c r="C104">
        <v>0</v>
      </c>
      <c r="D104">
        <v>0</v>
      </c>
      <c r="E104">
        <v>0</v>
      </c>
      <c r="F104">
        <v>0</v>
      </c>
    </row>
    <row r="105" spans="1:6" x14ac:dyDescent="0.25">
      <c r="A105">
        <v>104</v>
      </c>
      <c r="B105">
        <v>2</v>
      </c>
      <c r="C105">
        <v>0</v>
      </c>
      <c r="D105">
        <v>0</v>
      </c>
      <c r="E105">
        <v>0</v>
      </c>
      <c r="F105">
        <v>34.405999999999999</v>
      </c>
    </row>
    <row r="106" spans="1:6" x14ac:dyDescent="0.25">
      <c r="A106">
        <v>105</v>
      </c>
      <c r="B106">
        <v>10</v>
      </c>
      <c r="C106">
        <v>1</v>
      </c>
      <c r="D106">
        <v>0</v>
      </c>
      <c r="E106">
        <v>0</v>
      </c>
      <c r="F106">
        <v>5691</v>
      </c>
    </row>
    <row r="107" spans="1:6" x14ac:dyDescent="0.25">
      <c r="A107">
        <v>106</v>
      </c>
      <c r="B107">
        <v>13</v>
      </c>
      <c r="C107">
        <v>0</v>
      </c>
      <c r="D107">
        <v>0</v>
      </c>
      <c r="E107">
        <v>0</v>
      </c>
      <c r="F107">
        <v>1602</v>
      </c>
    </row>
    <row r="108" spans="1:6" x14ac:dyDescent="0.25">
      <c r="A108">
        <v>107</v>
      </c>
      <c r="B108">
        <v>41</v>
      </c>
      <c r="C108">
        <v>0</v>
      </c>
      <c r="D108">
        <v>0</v>
      </c>
      <c r="E108">
        <v>0</v>
      </c>
      <c r="F108">
        <v>1</v>
      </c>
    </row>
    <row r="109" spans="1:6" x14ac:dyDescent="0.25">
      <c r="A109">
        <v>108</v>
      </c>
      <c r="B109">
        <v>42</v>
      </c>
      <c r="C109">
        <v>0</v>
      </c>
      <c r="D109">
        <v>0</v>
      </c>
      <c r="E109">
        <v>0</v>
      </c>
      <c r="F109">
        <v>0.2</v>
      </c>
    </row>
    <row r="110" spans="1:6" x14ac:dyDescent="0.25">
      <c r="A110">
        <v>109</v>
      </c>
      <c r="B110">
        <v>43</v>
      </c>
      <c r="C110">
        <v>0</v>
      </c>
      <c r="D110">
        <v>0</v>
      </c>
      <c r="E110">
        <v>0</v>
      </c>
      <c r="F110">
        <v>0</v>
      </c>
    </row>
    <row r="111" spans="1:6" x14ac:dyDescent="0.25">
      <c r="A111">
        <v>110</v>
      </c>
      <c r="B111">
        <v>44</v>
      </c>
      <c r="C111">
        <v>0</v>
      </c>
      <c r="D111">
        <v>0</v>
      </c>
      <c r="E111">
        <v>0</v>
      </c>
      <c r="F111">
        <v>265.59399999999999</v>
      </c>
    </row>
    <row r="112" spans="1:6" x14ac:dyDescent="0.25">
      <c r="A112">
        <v>111</v>
      </c>
      <c r="B112">
        <v>45</v>
      </c>
      <c r="C112">
        <v>0</v>
      </c>
      <c r="D112">
        <v>0</v>
      </c>
      <c r="E112">
        <v>0</v>
      </c>
      <c r="F112">
        <v>1518.86</v>
      </c>
    </row>
    <row r="113" spans="1:6" x14ac:dyDescent="0.25">
      <c r="A113">
        <v>112</v>
      </c>
      <c r="B113">
        <v>46</v>
      </c>
      <c r="C113">
        <v>0</v>
      </c>
      <c r="D113">
        <v>0</v>
      </c>
      <c r="E113">
        <v>0</v>
      </c>
      <c r="F113">
        <v>0</v>
      </c>
    </row>
    <row r="114" spans="1:6" x14ac:dyDescent="0.25">
      <c r="A114">
        <v>113</v>
      </c>
      <c r="B114">
        <v>2</v>
      </c>
      <c r="C114">
        <v>0</v>
      </c>
      <c r="D114">
        <v>0</v>
      </c>
      <c r="E114">
        <v>0</v>
      </c>
      <c r="F114">
        <v>34.406100000000002</v>
      </c>
    </row>
    <row r="115" spans="1:6" x14ac:dyDescent="0.25">
      <c r="A115">
        <v>114</v>
      </c>
      <c r="B115">
        <v>10</v>
      </c>
      <c r="C115">
        <v>1</v>
      </c>
      <c r="D115">
        <v>0</v>
      </c>
      <c r="E115">
        <v>0</v>
      </c>
      <c r="F115">
        <v>5691</v>
      </c>
    </row>
    <row r="116" spans="1:6" x14ac:dyDescent="0.25">
      <c r="A116">
        <v>115</v>
      </c>
      <c r="B116">
        <v>13</v>
      </c>
      <c r="C116">
        <v>0</v>
      </c>
      <c r="D116">
        <v>0</v>
      </c>
      <c r="E116">
        <v>0</v>
      </c>
      <c r="F116">
        <v>1602</v>
      </c>
    </row>
    <row r="117" spans="1:6" x14ac:dyDescent="0.25">
      <c r="A117">
        <v>116</v>
      </c>
      <c r="B117">
        <v>41</v>
      </c>
      <c r="C117">
        <v>0</v>
      </c>
      <c r="D117">
        <v>0</v>
      </c>
      <c r="E117">
        <v>0</v>
      </c>
      <c r="F117">
        <v>1</v>
      </c>
    </row>
    <row r="118" spans="1:6" x14ac:dyDescent="0.25">
      <c r="A118">
        <v>117</v>
      </c>
      <c r="B118">
        <v>42</v>
      </c>
      <c r="C118">
        <v>0</v>
      </c>
      <c r="D118">
        <v>0</v>
      </c>
      <c r="E118">
        <v>0</v>
      </c>
      <c r="F118">
        <v>0.2</v>
      </c>
    </row>
    <row r="119" spans="1:6" x14ac:dyDescent="0.25">
      <c r="A119">
        <v>118</v>
      </c>
      <c r="B119">
        <v>43</v>
      </c>
      <c r="C119">
        <v>0</v>
      </c>
      <c r="D119">
        <v>0</v>
      </c>
      <c r="E119">
        <v>0</v>
      </c>
      <c r="F119">
        <v>0</v>
      </c>
    </row>
    <row r="120" spans="1:6" x14ac:dyDescent="0.25">
      <c r="A120">
        <v>119</v>
      </c>
      <c r="B120">
        <v>44</v>
      </c>
      <c r="C120">
        <v>0</v>
      </c>
      <c r="D120">
        <v>0</v>
      </c>
      <c r="E120">
        <v>0</v>
      </c>
      <c r="F120">
        <v>265.59399999999999</v>
      </c>
    </row>
    <row r="121" spans="1:6" x14ac:dyDescent="0.25">
      <c r="A121">
        <v>120</v>
      </c>
      <c r="B121">
        <v>45</v>
      </c>
      <c r="C121">
        <v>0</v>
      </c>
      <c r="D121">
        <v>0</v>
      </c>
      <c r="E121">
        <v>0</v>
      </c>
      <c r="F121">
        <v>1519.38</v>
      </c>
    </row>
    <row r="122" spans="1:6" x14ac:dyDescent="0.25">
      <c r="A122">
        <v>121</v>
      </c>
      <c r="B122">
        <v>46</v>
      </c>
      <c r="C122">
        <v>0</v>
      </c>
      <c r="D122">
        <v>0</v>
      </c>
      <c r="E122">
        <v>0</v>
      </c>
      <c r="F122">
        <v>0</v>
      </c>
    </row>
    <row r="123" spans="1:6" x14ac:dyDescent="0.25">
      <c r="A123">
        <v>122</v>
      </c>
      <c r="B123">
        <v>2</v>
      </c>
      <c r="C123">
        <v>0</v>
      </c>
      <c r="D123">
        <v>0</v>
      </c>
      <c r="E123">
        <v>0</v>
      </c>
      <c r="F123">
        <v>34.406100000000002</v>
      </c>
    </row>
    <row r="124" spans="1:6" x14ac:dyDescent="0.25">
      <c r="A124">
        <v>123</v>
      </c>
      <c r="B124">
        <v>10</v>
      </c>
      <c r="C124">
        <v>1</v>
      </c>
      <c r="D124">
        <v>0</v>
      </c>
      <c r="E124">
        <v>0</v>
      </c>
      <c r="F124">
        <v>5691</v>
      </c>
    </row>
    <row r="125" spans="1:6" x14ac:dyDescent="0.25">
      <c r="A125">
        <v>124</v>
      </c>
      <c r="B125">
        <v>13</v>
      </c>
      <c r="C125">
        <v>0</v>
      </c>
      <c r="D125">
        <v>0</v>
      </c>
      <c r="E125">
        <v>0</v>
      </c>
      <c r="F125">
        <v>1602</v>
      </c>
    </row>
    <row r="126" spans="1:6" x14ac:dyDescent="0.25">
      <c r="A126">
        <v>125</v>
      </c>
      <c r="B126">
        <v>41</v>
      </c>
      <c r="C126">
        <v>0</v>
      </c>
      <c r="D126">
        <v>0</v>
      </c>
      <c r="E126">
        <v>0</v>
      </c>
      <c r="F126">
        <v>1</v>
      </c>
    </row>
    <row r="127" spans="1:6" x14ac:dyDescent="0.25">
      <c r="A127">
        <v>126</v>
      </c>
      <c r="B127">
        <v>42</v>
      </c>
      <c r="C127">
        <v>0</v>
      </c>
      <c r="D127">
        <v>0</v>
      </c>
      <c r="E127">
        <v>0</v>
      </c>
      <c r="F127">
        <v>0.2</v>
      </c>
    </row>
    <row r="128" spans="1:6" x14ac:dyDescent="0.25">
      <c r="A128">
        <v>127</v>
      </c>
      <c r="B128" t="s">
        <v>0</v>
      </c>
      <c r="C128">
        <v>167</v>
      </c>
      <c r="D128">
        <v>3481</v>
      </c>
      <c r="E128">
        <v>79740457</v>
      </c>
    </row>
    <row r="129" spans="1:6" x14ac:dyDescent="0.25">
      <c r="A129">
        <v>128</v>
      </c>
      <c r="B129">
        <v>44</v>
      </c>
      <c r="C129">
        <v>0</v>
      </c>
      <c r="D129">
        <v>0</v>
      </c>
      <c r="E129">
        <v>0</v>
      </c>
      <c r="F129">
        <v>265.59399999999999</v>
      </c>
    </row>
    <row r="130" spans="1:6" x14ac:dyDescent="0.25">
      <c r="A130">
        <v>129</v>
      </c>
      <c r="B130">
        <v>45</v>
      </c>
      <c r="C130">
        <v>0</v>
      </c>
      <c r="D130">
        <v>0</v>
      </c>
      <c r="E130">
        <v>0</v>
      </c>
      <c r="F130">
        <v>1519.89</v>
      </c>
    </row>
    <row r="131" spans="1:6" x14ac:dyDescent="0.25">
      <c r="A131">
        <v>130</v>
      </c>
      <c r="B131">
        <v>46</v>
      </c>
      <c r="C131">
        <v>0</v>
      </c>
      <c r="D131">
        <v>0</v>
      </c>
      <c r="E131">
        <v>0</v>
      </c>
      <c r="F131">
        <v>0</v>
      </c>
    </row>
    <row r="132" spans="1:6" x14ac:dyDescent="0.25">
      <c r="A132">
        <v>131</v>
      </c>
      <c r="B132">
        <v>2</v>
      </c>
      <c r="C132">
        <v>0</v>
      </c>
      <c r="D132">
        <v>0</v>
      </c>
      <c r="E132">
        <v>0</v>
      </c>
      <c r="F132">
        <v>34.406399999999998</v>
      </c>
    </row>
    <row r="133" spans="1:6" x14ac:dyDescent="0.25">
      <c r="A133">
        <v>132</v>
      </c>
      <c r="B133">
        <v>10</v>
      </c>
      <c r="C133">
        <v>1</v>
      </c>
      <c r="D133">
        <v>0</v>
      </c>
      <c r="E133">
        <v>0</v>
      </c>
      <c r="F133">
        <v>5691</v>
      </c>
    </row>
    <row r="134" spans="1:6" x14ac:dyDescent="0.25">
      <c r="A134">
        <v>133</v>
      </c>
      <c r="B134">
        <v>13</v>
      </c>
      <c r="C134">
        <v>0</v>
      </c>
      <c r="D134">
        <v>0</v>
      </c>
      <c r="E134">
        <v>0</v>
      </c>
      <c r="F134">
        <v>1602</v>
      </c>
    </row>
    <row r="135" spans="1:6" x14ac:dyDescent="0.25">
      <c r="A135">
        <v>134</v>
      </c>
      <c r="B135">
        <v>41</v>
      </c>
      <c r="C135">
        <v>0</v>
      </c>
      <c r="D135">
        <v>0</v>
      </c>
      <c r="E135">
        <v>0</v>
      </c>
      <c r="F135">
        <v>1</v>
      </c>
    </row>
    <row r="136" spans="1:6" x14ac:dyDescent="0.25">
      <c r="A136">
        <v>135</v>
      </c>
      <c r="B136">
        <v>42</v>
      </c>
      <c r="C136">
        <v>0</v>
      </c>
      <c r="D136">
        <v>0</v>
      </c>
      <c r="E136">
        <v>0</v>
      </c>
      <c r="F136">
        <v>0.2</v>
      </c>
    </row>
    <row r="137" spans="1:6" x14ac:dyDescent="0.25">
      <c r="A137">
        <v>136</v>
      </c>
      <c r="B137">
        <v>43</v>
      </c>
      <c r="C137">
        <v>0</v>
      </c>
      <c r="D137">
        <v>0</v>
      </c>
      <c r="E137">
        <v>0</v>
      </c>
      <c r="F137">
        <v>0</v>
      </c>
    </row>
    <row r="138" spans="1:6" x14ac:dyDescent="0.25">
      <c r="A138">
        <v>137</v>
      </c>
      <c r="B138">
        <v>44</v>
      </c>
      <c r="C138">
        <v>0</v>
      </c>
      <c r="D138">
        <v>0</v>
      </c>
      <c r="E138">
        <v>0</v>
      </c>
      <c r="F138">
        <v>265.59399999999999</v>
      </c>
    </row>
    <row r="139" spans="1:6" x14ac:dyDescent="0.25">
      <c r="A139">
        <v>138</v>
      </c>
      <c r="B139">
        <v>45</v>
      </c>
      <c r="C139">
        <v>0</v>
      </c>
      <c r="D139">
        <v>0</v>
      </c>
      <c r="E139">
        <v>0</v>
      </c>
      <c r="F139">
        <v>1519.89</v>
      </c>
    </row>
    <row r="140" spans="1:6" x14ac:dyDescent="0.25">
      <c r="A140">
        <v>139</v>
      </c>
      <c r="B140">
        <v>46</v>
      </c>
      <c r="C140">
        <v>0</v>
      </c>
      <c r="D140">
        <v>0</v>
      </c>
      <c r="E140">
        <v>0</v>
      </c>
      <c r="F140">
        <v>0</v>
      </c>
    </row>
    <row r="141" spans="1:6" x14ac:dyDescent="0.25">
      <c r="A141">
        <v>140</v>
      </c>
      <c r="B141">
        <v>2</v>
      </c>
      <c r="C141">
        <v>0</v>
      </c>
      <c r="D141">
        <v>0</v>
      </c>
      <c r="E141">
        <v>0</v>
      </c>
      <c r="F141">
        <v>34.406399999999998</v>
      </c>
    </row>
    <row r="142" spans="1:6" x14ac:dyDescent="0.25">
      <c r="A142">
        <v>141</v>
      </c>
      <c r="B142">
        <v>10</v>
      </c>
      <c r="C142">
        <v>1</v>
      </c>
      <c r="D142">
        <v>0</v>
      </c>
      <c r="E142">
        <v>0</v>
      </c>
      <c r="F142">
        <v>5691</v>
      </c>
    </row>
    <row r="143" spans="1:6" x14ac:dyDescent="0.25">
      <c r="A143">
        <v>142</v>
      </c>
      <c r="B143" t="s">
        <v>0</v>
      </c>
      <c r="C143">
        <v>168</v>
      </c>
      <c r="D143">
        <v>3481</v>
      </c>
      <c r="E143">
        <v>79741425</v>
      </c>
    </row>
    <row r="144" spans="1:6" x14ac:dyDescent="0.25">
      <c r="A144">
        <v>143</v>
      </c>
      <c r="B144">
        <v>41</v>
      </c>
      <c r="C144">
        <v>0</v>
      </c>
      <c r="D144">
        <v>0</v>
      </c>
      <c r="E144">
        <v>0</v>
      </c>
      <c r="F144">
        <v>1</v>
      </c>
    </row>
    <row r="145" spans="1:6" x14ac:dyDescent="0.25">
      <c r="A145">
        <v>144</v>
      </c>
      <c r="B145">
        <v>42</v>
      </c>
      <c r="C145">
        <v>0</v>
      </c>
      <c r="D145">
        <v>0</v>
      </c>
      <c r="E145">
        <v>0</v>
      </c>
      <c r="F145">
        <v>0.2</v>
      </c>
    </row>
    <row r="146" spans="1:6" x14ac:dyDescent="0.25">
      <c r="A146">
        <v>145</v>
      </c>
      <c r="B146">
        <v>43</v>
      </c>
      <c r="C146">
        <v>0</v>
      </c>
      <c r="D146">
        <v>0</v>
      </c>
      <c r="E146">
        <v>0</v>
      </c>
      <c r="F146">
        <v>0</v>
      </c>
    </row>
    <row r="147" spans="1:6" x14ac:dyDescent="0.25">
      <c r="A147">
        <v>146</v>
      </c>
      <c r="B147">
        <v>44</v>
      </c>
      <c r="C147">
        <v>0</v>
      </c>
      <c r="D147">
        <v>0</v>
      </c>
      <c r="E147">
        <v>0</v>
      </c>
      <c r="F147">
        <v>265.59300000000002</v>
      </c>
    </row>
    <row r="148" spans="1:6" x14ac:dyDescent="0.25">
      <c r="A148">
        <v>147</v>
      </c>
      <c r="B148">
        <v>45</v>
      </c>
      <c r="C148">
        <v>0</v>
      </c>
      <c r="D148">
        <v>0</v>
      </c>
      <c r="E148">
        <v>0</v>
      </c>
      <c r="F148">
        <v>1520.4</v>
      </c>
    </row>
    <row r="149" spans="1:6" x14ac:dyDescent="0.25">
      <c r="A149">
        <v>148</v>
      </c>
      <c r="B149">
        <v>46</v>
      </c>
      <c r="C149">
        <v>0</v>
      </c>
      <c r="D149">
        <v>0</v>
      </c>
      <c r="E149">
        <v>0</v>
      </c>
      <c r="F149">
        <v>0</v>
      </c>
    </row>
    <row r="150" spans="1:6" x14ac:dyDescent="0.25">
      <c r="A150">
        <v>149</v>
      </c>
      <c r="B150">
        <v>2</v>
      </c>
      <c r="C150">
        <v>0</v>
      </c>
      <c r="D150">
        <v>0</v>
      </c>
      <c r="E150">
        <v>0</v>
      </c>
      <c r="F150">
        <v>34.406799999999997</v>
      </c>
    </row>
    <row r="151" spans="1:6" x14ac:dyDescent="0.25">
      <c r="A151">
        <v>150</v>
      </c>
      <c r="B151">
        <v>10</v>
      </c>
      <c r="C151">
        <v>1</v>
      </c>
      <c r="D151">
        <v>0</v>
      </c>
      <c r="E151">
        <v>0</v>
      </c>
      <c r="F151">
        <v>5691</v>
      </c>
    </row>
    <row r="152" spans="1:6" x14ac:dyDescent="0.25">
      <c r="A152">
        <v>151</v>
      </c>
      <c r="B152">
        <v>13</v>
      </c>
      <c r="C152">
        <v>0</v>
      </c>
      <c r="D152">
        <v>0</v>
      </c>
      <c r="E152">
        <v>0</v>
      </c>
      <c r="F152">
        <v>1602</v>
      </c>
    </row>
    <row r="153" spans="1:6" x14ac:dyDescent="0.25">
      <c r="A153">
        <v>152</v>
      </c>
      <c r="B153">
        <v>41</v>
      </c>
      <c r="C153">
        <v>0</v>
      </c>
      <c r="D153">
        <v>0</v>
      </c>
      <c r="E153">
        <v>0</v>
      </c>
      <c r="F153">
        <v>1</v>
      </c>
    </row>
    <row r="154" spans="1:6" x14ac:dyDescent="0.25">
      <c r="A154">
        <v>153</v>
      </c>
      <c r="B154">
        <v>42</v>
      </c>
      <c r="C154">
        <v>0</v>
      </c>
      <c r="D154">
        <v>0</v>
      </c>
      <c r="E154">
        <v>0</v>
      </c>
      <c r="F154">
        <v>0.2</v>
      </c>
    </row>
    <row r="155" spans="1:6" x14ac:dyDescent="0.25">
      <c r="A155">
        <v>154</v>
      </c>
      <c r="B155">
        <v>43</v>
      </c>
      <c r="C155">
        <v>0</v>
      </c>
      <c r="D155">
        <v>0</v>
      </c>
      <c r="E155">
        <v>0</v>
      </c>
      <c r="F155">
        <v>0</v>
      </c>
    </row>
    <row r="156" spans="1:6" x14ac:dyDescent="0.25">
      <c r="A156">
        <v>155</v>
      </c>
      <c r="B156">
        <v>44</v>
      </c>
      <c r="C156">
        <v>0</v>
      </c>
      <c r="D156">
        <v>0</v>
      </c>
      <c r="E156">
        <v>0</v>
      </c>
      <c r="F156">
        <v>265.59300000000002</v>
      </c>
    </row>
    <row r="157" spans="1:6" x14ac:dyDescent="0.25">
      <c r="A157">
        <v>156</v>
      </c>
      <c r="B157">
        <v>45</v>
      </c>
      <c r="C157">
        <v>0</v>
      </c>
      <c r="D157">
        <v>0</v>
      </c>
      <c r="E157">
        <v>0</v>
      </c>
      <c r="F157">
        <v>1520.4</v>
      </c>
    </row>
    <row r="158" spans="1:6" x14ac:dyDescent="0.25">
      <c r="A158">
        <v>157</v>
      </c>
      <c r="B158" t="s">
        <v>0</v>
      </c>
      <c r="C158">
        <v>169</v>
      </c>
      <c r="D158">
        <v>3481</v>
      </c>
      <c r="E158">
        <v>79742393</v>
      </c>
    </row>
    <row r="159" spans="1:6" x14ac:dyDescent="0.25">
      <c r="A159">
        <v>158</v>
      </c>
      <c r="B159">
        <v>46</v>
      </c>
      <c r="C159">
        <v>0</v>
      </c>
      <c r="D159">
        <v>0</v>
      </c>
      <c r="E159">
        <v>0</v>
      </c>
      <c r="F159">
        <v>0</v>
      </c>
    </row>
    <row r="160" spans="1:6" x14ac:dyDescent="0.25">
      <c r="A160">
        <v>159</v>
      </c>
      <c r="B160">
        <v>2</v>
      </c>
      <c r="C160">
        <v>0</v>
      </c>
      <c r="D160">
        <v>0</v>
      </c>
      <c r="E160">
        <v>0</v>
      </c>
      <c r="F160">
        <v>34.4069</v>
      </c>
    </row>
    <row r="161" spans="1:6" x14ac:dyDescent="0.25">
      <c r="A161">
        <v>160</v>
      </c>
      <c r="B161">
        <v>10</v>
      </c>
      <c r="C161">
        <v>1</v>
      </c>
      <c r="D161">
        <v>0</v>
      </c>
      <c r="E161">
        <v>0</v>
      </c>
      <c r="F161">
        <v>5691</v>
      </c>
    </row>
    <row r="162" spans="1:6" x14ac:dyDescent="0.25">
      <c r="A162">
        <v>161</v>
      </c>
      <c r="B162">
        <v>13</v>
      </c>
      <c r="C162">
        <v>0</v>
      </c>
      <c r="D162">
        <v>0</v>
      </c>
      <c r="E162">
        <v>0</v>
      </c>
      <c r="F162">
        <v>1602</v>
      </c>
    </row>
    <row r="163" spans="1:6" x14ac:dyDescent="0.25">
      <c r="A163">
        <v>162</v>
      </c>
      <c r="B163">
        <v>41</v>
      </c>
      <c r="C163">
        <v>0</v>
      </c>
      <c r="D163">
        <v>0</v>
      </c>
      <c r="E163">
        <v>0</v>
      </c>
      <c r="F163">
        <v>1</v>
      </c>
    </row>
    <row r="164" spans="1:6" x14ac:dyDescent="0.25">
      <c r="A164">
        <v>163</v>
      </c>
      <c r="B164">
        <v>42</v>
      </c>
      <c r="C164">
        <v>0</v>
      </c>
      <c r="D164">
        <v>0</v>
      </c>
      <c r="E164">
        <v>0</v>
      </c>
      <c r="F164">
        <v>0.2</v>
      </c>
    </row>
    <row r="165" spans="1:6" x14ac:dyDescent="0.25">
      <c r="A165">
        <v>164</v>
      </c>
      <c r="B165">
        <v>43</v>
      </c>
      <c r="C165">
        <v>0</v>
      </c>
      <c r="D165">
        <v>0</v>
      </c>
      <c r="E165">
        <v>0</v>
      </c>
      <c r="F165">
        <v>0</v>
      </c>
    </row>
    <row r="166" spans="1:6" x14ac:dyDescent="0.25">
      <c r="A166">
        <v>165</v>
      </c>
      <c r="B166">
        <v>44</v>
      </c>
      <c r="C166">
        <v>0</v>
      </c>
      <c r="D166">
        <v>0</v>
      </c>
      <c r="E166">
        <v>0</v>
      </c>
      <c r="F166">
        <v>265.59300000000002</v>
      </c>
    </row>
    <row r="167" spans="1:6" x14ac:dyDescent="0.25">
      <c r="A167">
        <v>166</v>
      </c>
      <c r="B167">
        <v>45</v>
      </c>
      <c r="C167">
        <v>0</v>
      </c>
      <c r="D167">
        <v>0</v>
      </c>
      <c r="E167">
        <v>0</v>
      </c>
      <c r="F167">
        <v>1520.92</v>
      </c>
    </row>
    <row r="168" spans="1:6" x14ac:dyDescent="0.25">
      <c r="A168">
        <v>167</v>
      </c>
      <c r="B168">
        <v>46</v>
      </c>
      <c r="C168">
        <v>0</v>
      </c>
      <c r="D168">
        <v>0</v>
      </c>
      <c r="E168">
        <v>0</v>
      </c>
      <c r="F168">
        <v>0</v>
      </c>
    </row>
    <row r="169" spans="1:6" x14ac:dyDescent="0.25">
      <c r="A169">
        <v>168</v>
      </c>
      <c r="B169">
        <v>2</v>
      </c>
      <c r="C169">
        <v>0</v>
      </c>
      <c r="D169">
        <v>0</v>
      </c>
      <c r="E169">
        <v>0</v>
      </c>
      <c r="F169">
        <v>34.4069</v>
      </c>
    </row>
    <row r="170" spans="1:6" x14ac:dyDescent="0.25">
      <c r="A170">
        <v>169</v>
      </c>
      <c r="B170">
        <v>10</v>
      </c>
      <c r="C170">
        <v>1</v>
      </c>
      <c r="D170">
        <v>0</v>
      </c>
      <c r="E170">
        <v>0</v>
      </c>
      <c r="F170">
        <v>5691</v>
      </c>
    </row>
    <row r="171" spans="1:6" x14ac:dyDescent="0.25">
      <c r="A171">
        <v>170</v>
      </c>
      <c r="B171">
        <v>13</v>
      </c>
      <c r="C171">
        <v>0</v>
      </c>
      <c r="D171">
        <v>0</v>
      </c>
      <c r="E171">
        <v>0</v>
      </c>
      <c r="F171">
        <v>1602</v>
      </c>
    </row>
    <row r="172" spans="1:6" x14ac:dyDescent="0.25">
      <c r="A172">
        <v>171</v>
      </c>
      <c r="B172">
        <v>41</v>
      </c>
      <c r="C172">
        <v>0</v>
      </c>
      <c r="D172">
        <v>0</v>
      </c>
      <c r="E172">
        <v>0</v>
      </c>
      <c r="F172">
        <v>1</v>
      </c>
    </row>
    <row r="173" spans="1:6" x14ac:dyDescent="0.25">
      <c r="A173">
        <v>172</v>
      </c>
      <c r="B173">
        <v>42</v>
      </c>
      <c r="C173">
        <v>0</v>
      </c>
      <c r="D173">
        <v>0</v>
      </c>
      <c r="E173">
        <v>0</v>
      </c>
      <c r="F173">
        <v>0.2</v>
      </c>
    </row>
    <row r="174" spans="1:6" x14ac:dyDescent="0.25">
      <c r="A174">
        <v>173</v>
      </c>
      <c r="B174" t="s">
        <v>0</v>
      </c>
      <c r="C174">
        <v>170</v>
      </c>
      <c r="D174">
        <v>3481</v>
      </c>
      <c r="E174">
        <v>79743361</v>
      </c>
    </row>
    <row r="175" spans="1:6" x14ac:dyDescent="0.25">
      <c r="A175">
        <v>174</v>
      </c>
      <c r="B175">
        <v>43</v>
      </c>
      <c r="C175">
        <v>0</v>
      </c>
      <c r="D175">
        <v>0</v>
      </c>
      <c r="E175">
        <v>0</v>
      </c>
      <c r="F175">
        <v>0</v>
      </c>
    </row>
    <row r="176" spans="1:6" x14ac:dyDescent="0.25">
      <c r="A176">
        <v>175</v>
      </c>
      <c r="B176">
        <v>44</v>
      </c>
      <c r="C176">
        <v>0</v>
      </c>
      <c r="D176">
        <v>0</v>
      </c>
      <c r="E176">
        <v>0</v>
      </c>
      <c r="F176">
        <v>265.59300000000002</v>
      </c>
    </row>
    <row r="177" spans="1:6" x14ac:dyDescent="0.25">
      <c r="A177">
        <v>176</v>
      </c>
      <c r="B177">
        <v>45</v>
      </c>
      <c r="C177">
        <v>0</v>
      </c>
      <c r="D177">
        <v>0</v>
      </c>
      <c r="E177">
        <v>0</v>
      </c>
      <c r="F177">
        <v>1521.43</v>
      </c>
    </row>
    <row r="178" spans="1:6" x14ac:dyDescent="0.25">
      <c r="A178">
        <v>177</v>
      </c>
      <c r="B178">
        <v>46</v>
      </c>
      <c r="C178">
        <v>0</v>
      </c>
      <c r="D178">
        <v>0</v>
      </c>
      <c r="E178">
        <v>0</v>
      </c>
      <c r="F178">
        <v>0</v>
      </c>
    </row>
    <row r="179" spans="1:6" x14ac:dyDescent="0.25">
      <c r="A179">
        <v>178</v>
      </c>
      <c r="B179">
        <v>2</v>
      </c>
      <c r="C179">
        <v>0</v>
      </c>
      <c r="D179">
        <v>0</v>
      </c>
      <c r="E179">
        <v>0</v>
      </c>
      <c r="F179">
        <v>34.407299999999999</v>
      </c>
    </row>
    <row r="180" spans="1:6" x14ac:dyDescent="0.25">
      <c r="A180">
        <v>179</v>
      </c>
      <c r="B180">
        <v>10</v>
      </c>
      <c r="C180">
        <v>1</v>
      </c>
      <c r="D180">
        <v>0</v>
      </c>
      <c r="E180">
        <v>0</v>
      </c>
      <c r="F180">
        <v>5691</v>
      </c>
    </row>
    <row r="181" spans="1:6" x14ac:dyDescent="0.25">
      <c r="A181">
        <v>180</v>
      </c>
      <c r="B181">
        <v>13</v>
      </c>
      <c r="C181">
        <v>0</v>
      </c>
      <c r="D181">
        <v>0</v>
      </c>
      <c r="E181">
        <v>0</v>
      </c>
      <c r="F181">
        <v>1602</v>
      </c>
    </row>
    <row r="182" spans="1:6" x14ac:dyDescent="0.25">
      <c r="A182">
        <v>181</v>
      </c>
      <c r="B182">
        <v>41</v>
      </c>
      <c r="C182">
        <v>0</v>
      </c>
      <c r="D182">
        <v>0</v>
      </c>
      <c r="E182">
        <v>0</v>
      </c>
      <c r="F182">
        <v>1</v>
      </c>
    </row>
    <row r="183" spans="1:6" x14ac:dyDescent="0.25">
      <c r="A183">
        <v>182</v>
      </c>
      <c r="B183">
        <v>42</v>
      </c>
      <c r="C183">
        <v>0</v>
      </c>
      <c r="D183">
        <v>0</v>
      </c>
      <c r="E183">
        <v>0</v>
      </c>
      <c r="F183">
        <v>0.2</v>
      </c>
    </row>
    <row r="184" spans="1:6" x14ac:dyDescent="0.25">
      <c r="A184">
        <v>183</v>
      </c>
      <c r="B184">
        <v>43</v>
      </c>
      <c r="C184">
        <v>0</v>
      </c>
      <c r="D184">
        <v>0</v>
      </c>
      <c r="E184">
        <v>0</v>
      </c>
      <c r="F184">
        <v>0</v>
      </c>
    </row>
    <row r="185" spans="1:6" x14ac:dyDescent="0.25">
      <c r="A185">
        <v>184</v>
      </c>
      <c r="B185">
        <v>44</v>
      </c>
      <c r="C185">
        <v>0</v>
      </c>
      <c r="D185">
        <v>0</v>
      </c>
      <c r="E185">
        <v>0</v>
      </c>
      <c r="F185">
        <v>265.59300000000002</v>
      </c>
    </row>
    <row r="186" spans="1:6" x14ac:dyDescent="0.25">
      <c r="A186">
        <v>185</v>
      </c>
      <c r="B186">
        <v>45</v>
      </c>
      <c r="C186">
        <v>0</v>
      </c>
      <c r="D186">
        <v>0</v>
      </c>
      <c r="E186">
        <v>0</v>
      </c>
      <c r="F186">
        <v>1521.43</v>
      </c>
    </row>
    <row r="187" spans="1:6" x14ac:dyDescent="0.25">
      <c r="A187">
        <v>186</v>
      </c>
      <c r="B187">
        <v>46</v>
      </c>
      <c r="C187">
        <v>0</v>
      </c>
      <c r="D187">
        <v>0</v>
      </c>
      <c r="E187">
        <v>0</v>
      </c>
      <c r="F187">
        <v>0</v>
      </c>
    </row>
    <row r="188" spans="1:6" x14ac:dyDescent="0.25">
      <c r="A188">
        <v>187</v>
      </c>
      <c r="B188">
        <v>2</v>
      </c>
      <c r="C188">
        <v>0</v>
      </c>
      <c r="D188">
        <v>0</v>
      </c>
      <c r="E188">
        <v>0</v>
      </c>
      <c r="F188">
        <v>34.407299999999999</v>
      </c>
    </row>
    <row r="189" spans="1:6" x14ac:dyDescent="0.25">
      <c r="A189">
        <v>188</v>
      </c>
      <c r="B189">
        <v>10</v>
      </c>
      <c r="C189">
        <v>1</v>
      </c>
      <c r="D189">
        <v>0</v>
      </c>
      <c r="E189">
        <v>0</v>
      </c>
      <c r="F189">
        <v>5691</v>
      </c>
    </row>
    <row r="190" spans="1:6" x14ac:dyDescent="0.25">
      <c r="A190">
        <v>189</v>
      </c>
      <c r="B190">
        <v>13</v>
      </c>
      <c r="C190">
        <v>0</v>
      </c>
      <c r="D190">
        <v>0</v>
      </c>
      <c r="E190">
        <v>0</v>
      </c>
      <c r="F190">
        <v>1602</v>
      </c>
    </row>
    <row r="191" spans="1:6" x14ac:dyDescent="0.25">
      <c r="A191">
        <v>190</v>
      </c>
      <c r="B191">
        <v>41</v>
      </c>
      <c r="C191">
        <v>0</v>
      </c>
      <c r="D191">
        <v>0</v>
      </c>
      <c r="E191">
        <v>0</v>
      </c>
      <c r="F191">
        <v>1</v>
      </c>
    </row>
    <row r="192" spans="1:6" x14ac:dyDescent="0.25">
      <c r="A192">
        <v>191</v>
      </c>
      <c r="B192">
        <v>42</v>
      </c>
      <c r="C192">
        <v>0</v>
      </c>
      <c r="D192">
        <v>0</v>
      </c>
      <c r="E192">
        <v>0</v>
      </c>
      <c r="F192">
        <v>0.2</v>
      </c>
    </row>
    <row r="193" spans="1:6" x14ac:dyDescent="0.25">
      <c r="A193">
        <v>192</v>
      </c>
      <c r="B193">
        <v>43</v>
      </c>
      <c r="C193">
        <v>0</v>
      </c>
      <c r="D193">
        <v>0</v>
      </c>
      <c r="E193">
        <v>0</v>
      </c>
      <c r="F193">
        <v>0</v>
      </c>
    </row>
    <row r="194" spans="1:6" x14ac:dyDescent="0.25">
      <c r="A194">
        <v>193</v>
      </c>
      <c r="B194">
        <v>44</v>
      </c>
      <c r="C194">
        <v>0</v>
      </c>
      <c r="D194">
        <v>0</v>
      </c>
      <c r="E194">
        <v>0</v>
      </c>
      <c r="F194">
        <v>265.59300000000002</v>
      </c>
    </row>
    <row r="195" spans="1:6" x14ac:dyDescent="0.25">
      <c r="A195">
        <v>194</v>
      </c>
      <c r="B195">
        <v>45</v>
      </c>
      <c r="C195">
        <v>0</v>
      </c>
      <c r="D195">
        <v>0</v>
      </c>
      <c r="E195">
        <v>0</v>
      </c>
      <c r="F195">
        <v>1521.95</v>
      </c>
    </row>
    <row r="196" spans="1:6" x14ac:dyDescent="0.25">
      <c r="A196">
        <v>195</v>
      </c>
      <c r="B196">
        <v>46</v>
      </c>
      <c r="C196">
        <v>0</v>
      </c>
      <c r="D196">
        <v>0</v>
      </c>
      <c r="E196">
        <v>0</v>
      </c>
      <c r="F196">
        <v>0</v>
      </c>
    </row>
    <row r="197" spans="1:6" x14ac:dyDescent="0.25">
      <c r="A197">
        <v>196</v>
      </c>
      <c r="B197">
        <v>2</v>
      </c>
      <c r="C197">
        <v>0</v>
      </c>
      <c r="D197">
        <v>0</v>
      </c>
      <c r="E197">
        <v>0</v>
      </c>
      <c r="F197">
        <v>34.406999999999996</v>
      </c>
    </row>
    <row r="198" spans="1:6" x14ac:dyDescent="0.25">
      <c r="A198">
        <v>197</v>
      </c>
      <c r="B198">
        <v>10</v>
      </c>
      <c r="C198">
        <v>1</v>
      </c>
      <c r="D198">
        <v>0</v>
      </c>
      <c r="E198">
        <v>0</v>
      </c>
      <c r="F198">
        <v>5691</v>
      </c>
    </row>
    <row r="199" spans="1:6" x14ac:dyDescent="0.25">
      <c r="A199">
        <v>198</v>
      </c>
      <c r="B199">
        <v>13</v>
      </c>
      <c r="C199">
        <v>0</v>
      </c>
      <c r="D199">
        <v>0</v>
      </c>
      <c r="E199">
        <v>0</v>
      </c>
      <c r="F199">
        <v>1602</v>
      </c>
    </row>
    <row r="200" spans="1:6" x14ac:dyDescent="0.25">
      <c r="A200">
        <v>199</v>
      </c>
      <c r="B200">
        <v>41</v>
      </c>
      <c r="C200">
        <v>0</v>
      </c>
      <c r="D200">
        <v>0</v>
      </c>
      <c r="E200">
        <v>0</v>
      </c>
      <c r="F200">
        <v>1</v>
      </c>
    </row>
    <row r="201" spans="1:6" x14ac:dyDescent="0.25">
      <c r="A201">
        <v>200</v>
      </c>
      <c r="B201">
        <v>42</v>
      </c>
      <c r="C201">
        <v>0</v>
      </c>
      <c r="D201">
        <v>0</v>
      </c>
      <c r="E201">
        <v>0</v>
      </c>
      <c r="F201">
        <v>0.2</v>
      </c>
    </row>
    <row r="202" spans="1:6" x14ac:dyDescent="0.25">
      <c r="A202">
        <v>201</v>
      </c>
      <c r="B202">
        <v>43</v>
      </c>
      <c r="C202">
        <v>0</v>
      </c>
      <c r="D202">
        <v>0</v>
      </c>
      <c r="E202">
        <v>0</v>
      </c>
      <c r="F202">
        <v>0</v>
      </c>
    </row>
    <row r="203" spans="1:6" x14ac:dyDescent="0.25">
      <c r="A203">
        <v>202</v>
      </c>
      <c r="B203">
        <v>44</v>
      </c>
      <c r="C203">
        <v>0</v>
      </c>
      <c r="D203">
        <v>0</v>
      </c>
      <c r="E203">
        <v>0</v>
      </c>
      <c r="F203">
        <v>265.59300000000002</v>
      </c>
    </row>
    <row r="204" spans="1:6" x14ac:dyDescent="0.25">
      <c r="A204">
        <v>203</v>
      </c>
      <c r="B204">
        <v>45</v>
      </c>
      <c r="C204">
        <v>0</v>
      </c>
      <c r="D204">
        <v>0</v>
      </c>
      <c r="E204">
        <v>0</v>
      </c>
      <c r="F204">
        <v>1521.95</v>
      </c>
    </row>
    <row r="205" spans="1:6" x14ac:dyDescent="0.25">
      <c r="A205">
        <v>204</v>
      </c>
      <c r="B205">
        <v>46</v>
      </c>
      <c r="C205">
        <v>0</v>
      </c>
      <c r="D205">
        <v>0</v>
      </c>
      <c r="E205">
        <v>0</v>
      </c>
      <c r="F205">
        <v>0</v>
      </c>
    </row>
    <row r="206" spans="1:6" x14ac:dyDescent="0.25">
      <c r="A206">
        <v>205</v>
      </c>
      <c r="B206">
        <v>2</v>
      </c>
      <c r="C206">
        <v>0</v>
      </c>
      <c r="D206">
        <v>0</v>
      </c>
      <c r="E206">
        <v>0</v>
      </c>
      <c r="F206">
        <v>34.406999999999996</v>
      </c>
    </row>
    <row r="207" spans="1:6" x14ac:dyDescent="0.25">
      <c r="A207">
        <v>206</v>
      </c>
      <c r="B207">
        <v>10</v>
      </c>
      <c r="C207">
        <v>1</v>
      </c>
      <c r="D207">
        <v>0</v>
      </c>
      <c r="E207">
        <v>0</v>
      </c>
      <c r="F207">
        <v>5691</v>
      </c>
    </row>
    <row r="208" spans="1:6" x14ac:dyDescent="0.25">
      <c r="A208">
        <v>207</v>
      </c>
      <c r="B208">
        <v>13</v>
      </c>
      <c r="C208">
        <v>0</v>
      </c>
      <c r="D208">
        <v>0</v>
      </c>
      <c r="E208">
        <v>0</v>
      </c>
      <c r="F208">
        <v>1602</v>
      </c>
    </row>
    <row r="209" spans="1:6" x14ac:dyDescent="0.25">
      <c r="A209">
        <v>208</v>
      </c>
      <c r="B209">
        <v>41</v>
      </c>
      <c r="C209">
        <v>0</v>
      </c>
      <c r="D209">
        <v>0</v>
      </c>
      <c r="E209">
        <v>0</v>
      </c>
      <c r="F209">
        <v>1</v>
      </c>
    </row>
    <row r="210" spans="1:6" x14ac:dyDescent="0.25">
      <c r="A210">
        <v>209</v>
      </c>
      <c r="B210">
        <v>42</v>
      </c>
      <c r="C210">
        <v>0</v>
      </c>
      <c r="D210">
        <v>0</v>
      </c>
      <c r="E210">
        <v>0</v>
      </c>
      <c r="F210">
        <v>0.2</v>
      </c>
    </row>
    <row r="211" spans="1:6" x14ac:dyDescent="0.25">
      <c r="A211">
        <v>210</v>
      </c>
      <c r="B211">
        <v>43</v>
      </c>
      <c r="C211">
        <v>0</v>
      </c>
      <c r="D211">
        <v>0</v>
      </c>
      <c r="E211">
        <v>0</v>
      </c>
      <c r="F211">
        <v>0</v>
      </c>
    </row>
    <row r="212" spans="1:6" x14ac:dyDescent="0.25">
      <c r="A212">
        <v>211</v>
      </c>
      <c r="B212">
        <v>44</v>
      </c>
      <c r="C212">
        <v>0</v>
      </c>
      <c r="D212">
        <v>0</v>
      </c>
      <c r="E212">
        <v>0</v>
      </c>
      <c r="F212">
        <v>265.59300000000002</v>
      </c>
    </row>
    <row r="213" spans="1:6" x14ac:dyDescent="0.25">
      <c r="A213">
        <v>212</v>
      </c>
      <c r="B213">
        <v>45</v>
      </c>
      <c r="C213">
        <v>0</v>
      </c>
      <c r="D213">
        <v>0</v>
      </c>
      <c r="E213">
        <v>0</v>
      </c>
      <c r="F213">
        <v>1522.46</v>
      </c>
    </row>
    <row r="214" spans="1:6" x14ac:dyDescent="0.25">
      <c r="A214">
        <v>213</v>
      </c>
      <c r="B214">
        <v>46</v>
      </c>
      <c r="C214">
        <v>0</v>
      </c>
      <c r="D214">
        <v>0</v>
      </c>
      <c r="E214">
        <v>0</v>
      </c>
      <c r="F214">
        <v>0</v>
      </c>
    </row>
    <row r="215" spans="1:6" x14ac:dyDescent="0.25">
      <c r="A215">
        <v>214</v>
      </c>
      <c r="B215">
        <v>2</v>
      </c>
      <c r="C215">
        <v>0</v>
      </c>
      <c r="D215">
        <v>0</v>
      </c>
      <c r="E215">
        <v>0</v>
      </c>
      <c r="F215">
        <v>34.406999999999996</v>
      </c>
    </row>
    <row r="216" spans="1:6" x14ac:dyDescent="0.25">
      <c r="A216">
        <v>215</v>
      </c>
      <c r="B216">
        <v>10</v>
      </c>
      <c r="C216">
        <v>1</v>
      </c>
      <c r="D216">
        <v>0</v>
      </c>
      <c r="E216">
        <v>0</v>
      </c>
      <c r="F216">
        <v>5691</v>
      </c>
    </row>
    <row r="217" spans="1:6" x14ac:dyDescent="0.25">
      <c r="A217">
        <v>216</v>
      </c>
      <c r="B217">
        <v>13</v>
      </c>
      <c r="C217">
        <v>0</v>
      </c>
      <c r="D217">
        <v>0</v>
      </c>
      <c r="E217">
        <v>0</v>
      </c>
      <c r="F217">
        <v>1602</v>
      </c>
    </row>
    <row r="218" spans="1:6" x14ac:dyDescent="0.25">
      <c r="A218">
        <v>217</v>
      </c>
      <c r="B218">
        <v>41</v>
      </c>
      <c r="C218">
        <v>0</v>
      </c>
      <c r="D218">
        <v>0</v>
      </c>
      <c r="E218">
        <v>0</v>
      </c>
      <c r="F218">
        <v>1</v>
      </c>
    </row>
    <row r="219" spans="1:6" x14ac:dyDescent="0.25">
      <c r="A219">
        <v>218</v>
      </c>
      <c r="B219" t="s">
        <v>0</v>
      </c>
      <c r="C219">
        <v>173</v>
      </c>
      <c r="D219">
        <v>3481</v>
      </c>
      <c r="E219">
        <v>79746265</v>
      </c>
    </row>
    <row r="220" spans="1:6" x14ac:dyDescent="0.25">
      <c r="A220">
        <v>219</v>
      </c>
      <c r="B220">
        <v>43</v>
      </c>
      <c r="C220">
        <v>0</v>
      </c>
      <c r="D220">
        <v>0</v>
      </c>
      <c r="E220">
        <v>0</v>
      </c>
      <c r="F220">
        <v>0</v>
      </c>
    </row>
    <row r="221" spans="1:6" x14ac:dyDescent="0.25">
      <c r="A221">
        <v>220</v>
      </c>
      <c r="B221">
        <v>44</v>
      </c>
      <c r="C221">
        <v>0</v>
      </c>
      <c r="D221">
        <v>0</v>
      </c>
      <c r="E221">
        <v>0</v>
      </c>
      <c r="F221">
        <v>265.59300000000002</v>
      </c>
    </row>
    <row r="222" spans="1:6" x14ac:dyDescent="0.25">
      <c r="A222">
        <v>221</v>
      </c>
      <c r="B222">
        <v>45</v>
      </c>
      <c r="C222">
        <v>0</v>
      </c>
      <c r="D222">
        <v>0</v>
      </c>
      <c r="E222">
        <v>0</v>
      </c>
      <c r="F222">
        <v>1522.98</v>
      </c>
    </row>
    <row r="223" spans="1:6" x14ac:dyDescent="0.25">
      <c r="A223">
        <v>222</v>
      </c>
      <c r="B223">
        <v>46</v>
      </c>
      <c r="C223">
        <v>0</v>
      </c>
      <c r="D223">
        <v>0</v>
      </c>
      <c r="E223">
        <v>0</v>
      </c>
      <c r="F223">
        <v>0</v>
      </c>
    </row>
    <row r="224" spans="1:6" x14ac:dyDescent="0.25">
      <c r="A224">
        <v>223</v>
      </c>
      <c r="B224">
        <v>2</v>
      </c>
      <c r="C224">
        <v>0</v>
      </c>
      <c r="D224">
        <v>0</v>
      </c>
      <c r="E224">
        <v>0</v>
      </c>
      <c r="F224">
        <v>34.406700000000001</v>
      </c>
    </row>
    <row r="225" spans="1:6" x14ac:dyDescent="0.25">
      <c r="A225">
        <v>224</v>
      </c>
      <c r="B225">
        <v>10</v>
      </c>
      <c r="C225">
        <v>1</v>
      </c>
      <c r="D225">
        <v>0</v>
      </c>
      <c r="E225">
        <v>0</v>
      </c>
      <c r="F225">
        <v>5691</v>
      </c>
    </row>
    <row r="226" spans="1:6" x14ac:dyDescent="0.25">
      <c r="A226">
        <v>225</v>
      </c>
      <c r="B226">
        <v>13</v>
      </c>
      <c r="C226">
        <v>0</v>
      </c>
      <c r="D226">
        <v>0</v>
      </c>
      <c r="E226">
        <v>0</v>
      </c>
      <c r="F226">
        <v>1602</v>
      </c>
    </row>
    <row r="227" spans="1:6" x14ac:dyDescent="0.25">
      <c r="A227">
        <v>226</v>
      </c>
      <c r="B227">
        <v>41</v>
      </c>
      <c r="C227">
        <v>0</v>
      </c>
      <c r="D227">
        <v>0</v>
      </c>
      <c r="E227">
        <v>0</v>
      </c>
      <c r="F227">
        <v>1</v>
      </c>
    </row>
    <row r="228" spans="1:6" x14ac:dyDescent="0.25">
      <c r="A228">
        <v>227</v>
      </c>
      <c r="B228">
        <v>42</v>
      </c>
      <c r="C228">
        <v>0</v>
      </c>
      <c r="D228">
        <v>0</v>
      </c>
      <c r="E228">
        <v>0</v>
      </c>
      <c r="F228">
        <v>0.2</v>
      </c>
    </row>
    <row r="229" spans="1:6" x14ac:dyDescent="0.25">
      <c r="A229">
        <v>228</v>
      </c>
      <c r="B229">
        <v>43</v>
      </c>
      <c r="C229">
        <v>0</v>
      </c>
      <c r="D229">
        <v>0</v>
      </c>
      <c r="E229">
        <v>0</v>
      </c>
      <c r="F229">
        <v>0</v>
      </c>
    </row>
    <row r="230" spans="1:6" x14ac:dyDescent="0.25">
      <c r="A230">
        <v>229</v>
      </c>
      <c r="B230">
        <v>44</v>
      </c>
      <c r="C230">
        <v>0</v>
      </c>
      <c r="D230">
        <v>0</v>
      </c>
      <c r="E230">
        <v>0</v>
      </c>
      <c r="F230">
        <v>265.59300000000002</v>
      </c>
    </row>
    <row r="231" spans="1:6" x14ac:dyDescent="0.25">
      <c r="A231">
        <v>230</v>
      </c>
      <c r="B231">
        <v>45</v>
      </c>
      <c r="C231">
        <v>0</v>
      </c>
      <c r="D231">
        <v>0</v>
      </c>
      <c r="E231">
        <v>0</v>
      </c>
      <c r="F231">
        <v>1522.98</v>
      </c>
    </row>
    <row r="232" spans="1:6" x14ac:dyDescent="0.25">
      <c r="A232">
        <v>231</v>
      </c>
      <c r="B232">
        <v>46</v>
      </c>
      <c r="C232">
        <v>0</v>
      </c>
      <c r="D232">
        <v>0</v>
      </c>
      <c r="E232">
        <v>0</v>
      </c>
      <c r="F232">
        <v>0</v>
      </c>
    </row>
    <row r="233" spans="1:6" x14ac:dyDescent="0.25">
      <c r="A233">
        <v>232</v>
      </c>
      <c r="B233">
        <v>2</v>
      </c>
      <c r="C233">
        <v>0</v>
      </c>
      <c r="D233">
        <v>0</v>
      </c>
      <c r="E233">
        <v>0</v>
      </c>
      <c r="F233">
        <v>34.406700000000001</v>
      </c>
    </row>
    <row r="234" spans="1:6" x14ac:dyDescent="0.25">
      <c r="A234">
        <v>233</v>
      </c>
      <c r="B234" t="s">
        <v>0</v>
      </c>
      <c r="C234">
        <v>174</v>
      </c>
      <c r="D234">
        <v>3481</v>
      </c>
      <c r="E234">
        <v>79747233</v>
      </c>
    </row>
    <row r="235" spans="1:6" x14ac:dyDescent="0.25">
      <c r="A235">
        <v>234</v>
      </c>
      <c r="B235">
        <v>10</v>
      </c>
      <c r="C235">
        <v>1</v>
      </c>
      <c r="D235">
        <v>0</v>
      </c>
      <c r="E235">
        <v>0</v>
      </c>
      <c r="F235">
        <v>5691</v>
      </c>
    </row>
    <row r="236" spans="1:6" x14ac:dyDescent="0.25">
      <c r="A236">
        <v>235</v>
      </c>
      <c r="B236">
        <v>13</v>
      </c>
      <c r="C236">
        <v>0</v>
      </c>
      <c r="D236">
        <v>0</v>
      </c>
      <c r="E236">
        <v>0</v>
      </c>
      <c r="F236">
        <v>1602</v>
      </c>
    </row>
    <row r="237" spans="1:6" x14ac:dyDescent="0.25">
      <c r="A237">
        <v>236</v>
      </c>
      <c r="B237">
        <v>41</v>
      </c>
      <c r="C237">
        <v>0</v>
      </c>
      <c r="D237">
        <v>0</v>
      </c>
      <c r="E237">
        <v>0</v>
      </c>
      <c r="F237">
        <v>1</v>
      </c>
    </row>
    <row r="238" spans="1:6" x14ac:dyDescent="0.25">
      <c r="A238">
        <v>237</v>
      </c>
      <c r="B238">
        <v>42</v>
      </c>
      <c r="C238">
        <v>0</v>
      </c>
      <c r="D238">
        <v>0</v>
      </c>
      <c r="E238">
        <v>0</v>
      </c>
      <c r="F238">
        <v>0.2</v>
      </c>
    </row>
    <row r="239" spans="1:6" x14ac:dyDescent="0.25">
      <c r="A239">
        <v>238</v>
      </c>
      <c r="B239">
        <v>43</v>
      </c>
      <c r="C239">
        <v>0</v>
      </c>
      <c r="D239">
        <v>0</v>
      </c>
      <c r="E239">
        <v>0</v>
      </c>
      <c r="F239">
        <v>0</v>
      </c>
    </row>
    <row r="240" spans="1:6" x14ac:dyDescent="0.25">
      <c r="A240">
        <v>239</v>
      </c>
      <c r="B240">
        <v>44</v>
      </c>
      <c r="C240">
        <v>0</v>
      </c>
      <c r="D240">
        <v>0</v>
      </c>
      <c r="E240">
        <v>0</v>
      </c>
      <c r="F240">
        <v>265.59300000000002</v>
      </c>
    </row>
    <row r="241" spans="1:6" x14ac:dyDescent="0.25">
      <c r="A241">
        <v>240</v>
      </c>
      <c r="B241">
        <v>45</v>
      </c>
      <c r="C241">
        <v>0</v>
      </c>
      <c r="D241">
        <v>0</v>
      </c>
      <c r="E241">
        <v>0</v>
      </c>
      <c r="F241">
        <v>1523.49</v>
      </c>
    </row>
    <row r="242" spans="1:6" x14ac:dyDescent="0.25">
      <c r="A242">
        <v>241</v>
      </c>
      <c r="B242">
        <v>46</v>
      </c>
      <c r="C242">
        <v>0</v>
      </c>
      <c r="D242">
        <v>0</v>
      </c>
      <c r="E242">
        <v>0</v>
      </c>
      <c r="F242">
        <v>0</v>
      </c>
    </row>
    <row r="243" spans="1:6" x14ac:dyDescent="0.25">
      <c r="A243">
        <v>242</v>
      </c>
      <c r="B243">
        <v>2</v>
      </c>
      <c r="C243">
        <v>0</v>
      </c>
      <c r="D243">
        <v>0</v>
      </c>
      <c r="E243">
        <v>0</v>
      </c>
      <c r="F243">
        <v>34.406799999999997</v>
      </c>
    </row>
    <row r="244" spans="1:6" x14ac:dyDescent="0.25">
      <c r="A244">
        <v>243</v>
      </c>
      <c r="B244">
        <v>10</v>
      </c>
      <c r="C244">
        <v>1</v>
      </c>
      <c r="D244">
        <v>0</v>
      </c>
      <c r="E244">
        <v>0</v>
      </c>
      <c r="F244">
        <v>5691</v>
      </c>
    </row>
    <row r="245" spans="1:6" x14ac:dyDescent="0.25">
      <c r="A245">
        <v>244</v>
      </c>
      <c r="B245">
        <v>13</v>
      </c>
      <c r="C245">
        <v>0</v>
      </c>
      <c r="D245">
        <v>0</v>
      </c>
      <c r="E245">
        <v>0</v>
      </c>
      <c r="F245">
        <v>1602</v>
      </c>
    </row>
    <row r="246" spans="1:6" x14ac:dyDescent="0.25">
      <c r="A246">
        <v>245</v>
      </c>
      <c r="B246">
        <v>41</v>
      </c>
      <c r="C246">
        <v>0</v>
      </c>
      <c r="D246">
        <v>0</v>
      </c>
      <c r="E246">
        <v>0</v>
      </c>
      <c r="F246">
        <v>1</v>
      </c>
    </row>
    <row r="247" spans="1:6" x14ac:dyDescent="0.25">
      <c r="A247">
        <v>246</v>
      </c>
      <c r="B247">
        <v>42</v>
      </c>
      <c r="C247">
        <v>0</v>
      </c>
      <c r="D247">
        <v>0</v>
      </c>
      <c r="E247">
        <v>0</v>
      </c>
      <c r="F247">
        <v>0.2</v>
      </c>
    </row>
    <row r="248" spans="1:6" x14ac:dyDescent="0.25">
      <c r="A248">
        <v>247</v>
      </c>
      <c r="B248">
        <v>43</v>
      </c>
      <c r="C248">
        <v>0</v>
      </c>
      <c r="D248">
        <v>0</v>
      </c>
      <c r="E248">
        <v>0</v>
      </c>
      <c r="F248">
        <v>0</v>
      </c>
    </row>
    <row r="249" spans="1:6" x14ac:dyDescent="0.25">
      <c r="A249">
        <v>248</v>
      </c>
      <c r="B249">
        <v>44</v>
      </c>
      <c r="C249">
        <v>0</v>
      </c>
      <c r="D249">
        <v>0</v>
      </c>
      <c r="E249">
        <v>0</v>
      </c>
      <c r="F249">
        <v>265.59300000000002</v>
      </c>
    </row>
    <row r="250" spans="1:6" x14ac:dyDescent="0.25">
      <c r="A250">
        <v>249</v>
      </c>
      <c r="B250" t="s">
        <v>0</v>
      </c>
      <c r="C250">
        <v>175</v>
      </c>
      <c r="D250">
        <v>3481</v>
      </c>
      <c r="E250">
        <v>79748201</v>
      </c>
    </row>
    <row r="251" spans="1:6" x14ac:dyDescent="0.25">
      <c r="A251">
        <v>250</v>
      </c>
      <c r="B251">
        <v>45</v>
      </c>
      <c r="C251">
        <v>0</v>
      </c>
      <c r="D251">
        <v>0</v>
      </c>
      <c r="E251">
        <v>0</v>
      </c>
      <c r="F251">
        <v>1524.01</v>
      </c>
    </row>
    <row r="252" spans="1:6" x14ac:dyDescent="0.25">
      <c r="A252">
        <v>251</v>
      </c>
      <c r="B252">
        <v>46</v>
      </c>
      <c r="C252">
        <v>0</v>
      </c>
      <c r="D252">
        <v>0</v>
      </c>
      <c r="E252">
        <v>0</v>
      </c>
      <c r="F252">
        <v>0</v>
      </c>
    </row>
    <row r="253" spans="1:6" x14ac:dyDescent="0.25">
      <c r="A253">
        <v>252</v>
      </c>
      <c r="B253">
        <v>2</v>
      </c>
      <c r="C253">
        <v>0</v>
      </c>
      <c r="D253">
        <v>0</v>
      </c>
      <c r="E253">
        <v>0</v>
      </c>
      <c r="F253">
        <v>34.406500000000001</v>
      </c>
    </row>
    <row r="254" spans="1:6" x14ac:dyDescent="0.25">
      <c r="A254">
        <v>253</v>
      </c>
      <c r="B254">
        <v>10</v>
      </c>
      <c r="C254">
        <v>1</v>
      </c>
      <c r="D254">
        <v>0</v>
      </c>
      <c r="E254">
        <v>0</v>
      </c>
      <c r="F254">
        <v>5691</v>
      </c>
    </row>
    <row r="255" spans="1:6" x14ac:dyDescent="0.25">
      <c r="A255">
        <v>254</v>
      </c>
      <c r="B255">
        <v>13</v>
      </c>
      <c r="C255">
        <v>0</v>
      </c>
      <c r="D255">
        <v>0</v>
      </c>
      <c r="E255">
        <v>0</v>
      </c>
      <c r="F255">
        <v>1602</v>
      </c>
    </row>
    <row r="256" spans="1:6" x14ac:dyDescent="0.25">
      <c r="A256">
        <v>255</v>
      </c>
      <c r="B256">
        <v>41</v>
      </c>
      <c r="C256">
        <v>0</v>
      </c>
      <c r="D256">
        <v>0</v>
      </c>
      <c r="E256">
        <v>0</v>
      </c>
      <c r="F256">
        <v>1</v>
      </c>
    </row>
    <row r="257" spans="1:6" x14ac:dyDescent="0.25">
      <c r="A257">
        <v>256</v>
      </c>
      <c r="B257">
        <v>42</v>
      </c>
      <c r="C257">
        <v>0</v>
      </c>
      <c r="D257">
        <v>0</v>
      </c>
      <c r="E257">
        <v>0</v>
      </c>
      <c r="F257">
        <v>0.2</v>
      </c>
    </row>
    <row r="258" spans="1:6" x14ac:dyDescent="0.25">
      <c r="A258">
        <v>257</v>
      </c>
      <c r="B258">
        <v>43</v>
      </c>
      <c r="C258">
        <v>0</v>
      </c>
      <c r="D258">
        <v>0</v>
      </c>
      <c r="E258">
        <v>0</v>
      </c>
      <c r="F258">
        <v>0</v>
      </c>
    </row>
    <row r="259" spans="1:6" x14ac:dyDescent="0.25">
      <c r="A259">
        <v>258</v>
      </c>
      <c r="B259">
        <v>44</v>
      </c>
      <c r="C259">
        <v>0</v>
      </c>
      <c r="D259">
        <v>0</v>
      </c>
      <c r="E259">
        <v>0</v>
      </c>
      <c r="F259">
        <v>265.59399999999999</v>
      </c>
    </row>
    <row r="260" spans="1:6" x14ac:dyDescent="0.25">
      <c r="A260">
        <v>259</v>
      </c>
      <c r="B260">
        <v>45</v>
      </c>
      <c r="C260">
        <v>0</v>
      </c>
      <c r="D260">
        <v>0</v>
      </c>
      <c r="E260">
        <v>0</v>
      </c>
      <c r="F260">
        <v>1524.01</v>
      </c>
    </row>
    <row r="261" spans="1:6" x14ac:dyDescent="0.25">
      <c r="A261">
        <v>260</v>
      </c>
      <c r="B261">
        <v>46</v>
      </c>
      <c r="C261">
        <v>0</v>
      </c>
      <c r="D261">
        <v>0</v>
      </c>
      <c r="E261">
        <v>0</v>
      </c>
      <c r="F261">
        <v>0</v>
      </c>
    </row>
    <row r="262" spans="1:6" x14ac:dyDescent="0.25">
      <c r="A262">
        <v>261</v>
      </c>
      <c r="B262">
        <v>2</v>
      </c>
      <c r="C262">
        <v>0</v>
      </c>
      <c r="D262">
        <v>0</v>
      </c>
      <c r="E262">
        <v>0</v>
      </c>
      <c r="F262">
        <v>34.406500000000001</v>
      </c>
    </row>
    <row r="263" spans="1:6" x14ac:dyDescent="0.25">
      <c r="A263">
        <v>262</v>
      </c>
      <c r="B263">
        <v>10</v>
      </c>
      <c r="C263">
        <v>1</v>
      </c>
      <c r="D263">
        <v>0</v>
      </c>
      <c r="E263">
        <v>0</v>
      </c>
      <c r="F263">
        <v>5691</v>
      </c>
    </row>
    <row r="264" spans="1:6" x14ac:dyDescent="0.25">
      <c r="A264">
        <v>263</v>
      </c>
      <c r="B264">
        <v>13</v>
      </c>
      <c r="C264">
        <v>0</v>
      </c>
      <c r="D264">
        <v>0</v>
      </c>
      <c r="E264">
        <v>0</v>
      </c>
      <c r="F264">
        <v>1602</v>
      </c>
    </row>
    <row r="265" spans="1:6" x14ac:dyDescent="0.25">
      <c r="A265">
        <v>264</v>
      </c>
      <c r="B265">
        <v>41</v>
      </c>
      <c r="C265">
        <v>0</v>
      </c>
      <c r="D265">
        <v>0</v>
      </c>
      <c r="E265">
        <v>0</v>
      </c>
      <c r="F265">
        <v>1</v>
      </c>
    </row>
    <row r="266" spans="1:6" x14ac:dyDescent="0.25">
      <c r="A266">
        <v>265</v>
      </c>
      <c r="B266">
        <v>42</v>
      </c>
      <c r="C266">
        <v>0</v>
      </c>
      <c r="D266">
        <v>0</v>
      </c>
      <c r="E266">
        <v>0</v>
      </c>
      <c r="F266">
        <v>0.2</v>
      </c>
    </row>
    <row r="267" spans="1:6" x14ac:dyDescent="0.25">
      <c r="A267">
        <v>266</v>
      </c>
      <c r="B267">
        <v>43</v>
      </c>
      <c r="C267">
        <v>0</v>
      </c>
      <c r="D267">
        <v>0</v>
      </c>
      <c r="E267">
        <v>0</v>
      </c>
      <c r="F267">
        <v>0</v>
      </c>
    </row>
    <row r="268" spans="1:6" x14ac:dyDescent="0.25">
      <c r="A268">
        <v>267</v>
      </c>
      <c r="B268">
        <v>44</v>
      </c>
      <c r="C268">
        <v>0</v>
      </c>
      <c r="D268">
        <v>0</v>
      </c>
      <c r="E268">
        <v>0</v>
      </c>
      <c r="F268">
        <v>265.59300000000002</v>
      </c>
    </row>
    <row r="269" spans="1:6" x14ac:dyDescent="0.25">
      <c r="A269">
        <v>268</v>
      </c>
      <c r="B269">
        <v>45</v>
      </c>
      <c r="C269">
        <v>0</v>
      </c>
      <c r="D269">
        <v>0</v>
      </c>
      <c r="E269">
        <v>0</v>
      </c>
      <c r="F269">
        <v>1524.52</v>
      </c>
    </row>
    <row r="270" spans="1:6" x14ac:dyDescent="0.25">
      <c r="A270">
        <v>269</v>
      </c>
      <c r="B270">
        <v>46</v>
      </c>
      <c r="C270">
        <v>0</v>
      </c>
      <c r="D270">
        <v>0</v>
      </c>
      <c r="E270">
        <v>0</v>
      </c>
      <c r="F270">
        <v>0</v>
      </c>
    </row>
    <row r="271" spans="1:6" x14ac:dyDescent="0.25">
      <c r="A271">
        <v>270</v>
      </c>
      <c r="B271">
        <v>2</v>
      </c>
      <c r="C271">
        <v>0</v>
      </c>
      <c r="D271">
        <v>0</v>
      </c>
      <c r="E271">
        <v>0</v>
      </c>
      <c r="F271">
        <v>34.407400000000003</v>
      </c>
    </row>
    <row r="272" spans="1:6" x14ac:dyDescent="0.25">
      <c r="A272">
        <v>271</v>
      </c>
      <c r="B272">
        <v>10</v>
      </c>
      <c r="C272">
        <v>1</v>
      </c>
      <c r="D272">
        <v>0</v>
      </c>
      <c r="E272">
        <v>0</v>
      </c>
      <c r="F272">
        <v>5691</v>
      </c>
    </row>
    <row r="273" spans="1:6" x14ac:dyDescent="0.25">
      <c r="A273">
        <v>272</v>
      </c>
      <c r="B273">
        <v>13</v>
      </c>
      <c r="C273">
        <v>0</v>
      </c>
      <c r="D273">
        <v>0</v>
      </c>
      <c r="E273">
        <v>0</v>
      </c>
      <c r="F273">
        <v>1602</v>
      </c>
    </row>
    <row r="274" spans="1:6" x14ac:dyDescent="0.25">
      <c r="A274">
        <v>273</v>
      </c>
      <c r="B274">
        <v>41</v>
      </c>
      <c r="C274">
        <v>0</v>
      </c>
      <c r="D274">
        <v>0</v>
      </c>
      <c r="E274">
        <v>0</v>
      </c>
      <c r="F274">
        <v>1</v>
      </c>
    </row>
    <row r="275" spans="1:6" x14ac:dyDescent="0.25">
      <c r="A275">
        <v>274</v>
      </c>
      <c r="B275">
        <v>42</v>
      </c>
      <c r="C275">
        <v>0</v>
      </c>
      <c r="D275">
        <v>0</v>
      </c>
      <c r="E275">
        <v>0</v>
      </c>
      <c r="F275">
        <v>0.2</v>
      </c>
    </row>
    <row r="276" spans="1:6" x14ac:dyDescent="0.25">
      <c r="A276">
        <v>275</v>
      </c>
      <c r="B276">
        <v>43</v>
      </c>
      <c r="C276">
        <v>0</v>
      </c>
      <c r="D276">
        <v>0</v>
      </c>
      <c r="E276">
        <v>0</v>
      </c>
      <c r="F276">
        <v>0</v>
      </c>
    </row>
    <row r="277" spans="1:6" x14ac:dyDescent="0.25">
      <c r="A277">
        <v>276</v>
      </c>
      <c r="B277">
        <v>44</v>
      </c>
      <c r="C277">
        <v>0</v>
      </c>
      <c r="D277">
        <v>0</v>
      </c>
      <c r="E277">
        <v>0</v>
      </c>
      <c r="F277">
        <v>265.59300000000002</v>
      </c>
    </row>
    <row r="278" spans="1:6" x14ac:dyDescent="0.25">
      <c r="A278">
        <v>277</v>
      </c>
      <c r="B278">
        <v>45</v>
      </c>
      <c r="C278">
        <v>0</v>
      </c>
      <c r="D278">
        <v>0</v>
      </c>
      <c r="E278">
        <v>0</v>
      </c>
      <c r="F278">
        <v>1524.52</v>
      </c>
    </row>
    <row r="279" spans="1:6" x14ac:dyDescent="0.25">
      <c r="A279">
        <v>278</v>
      </c>
      <c r="B279">
        <v>46</v>
      </c>
      <c r="C279">
        <v>0</v>
      </c>
      <c r="D279">
        <v>0</v>
      </c>
      <c r="E279">
        <v>0</v>
      </c>
      <c r="F279">
        <v>0</v>
      </c>
    </row>
    <row r="280" spans="1:6" x14ac:dyDescent="0.25">
      <c r="A280">
        <v>279</v>
      </c>
      <c r="B280">
        <v>2</v>
      </c>
      <c r="C280">
        <v>0</v>
      </c>
      <c r="D280">
        <v>0</v>
      </c>
      <c r="E280">
        <v>0</v>
      </c>
      <c r="F280">
        <v>34.407400000000003</v>
      </c>
    </row>
    <row r="281" spans="1:6" x14ac:dyDescent="0.25">
      <c r="A281">
        <v>280</v>
      </c>
      <c r="B281">
        <v>10</v>
      </c>
      <c r="C281">
        <v>1</v>
      </c>
      <c r="D281">
        <v>0</v>
      </c>
      <c r="E281">
        <v>0</v>
      </c>
      <c r="F281">
        <v>5691</v>
      </c>
    </row>
    <row r="282" spans="1:6" x14ac:dyDescent="0.25">
      <c r="A282">
        <v>281</v>
      </c>
      <c r="B282">
        <v>13</v>
      </c>
      <c r="C282">
        <v>0</v>
      </c>
      <c r="D282">
        <v>0</v>
      </c>
      <c r="E282">
        <v>0</v>
      </c>
      <c r="F282">
        <v>1602</v>
      </c>
    </row>
    <row r="283" spans="1:6" x14ac:dyDescent="0.25">
      <c r="A283">
        <v>282</v>
      </c>
      <c r="B283">
        <v>41</v>
      </c>
      <c r="C283">
        <v>0</v>
      </c>
      <c r="D283">
        <v>0</v>
      </c>
      <c r="E283">
        <v>0</v>
      </c>
      <c r="F283">
        <v>1</v>
      </c>
    </row>
    <row r="284" spans="1:6" x14ac:dyDescent="0.25">
      <c r="A284">
        <v>283</v>
      </c>
      <c r="B284">
        <v>42</v>
      </c>
      <c r="C284">
        <v>0</v>
      </c>
      <c r="D284">
        <v>0</v>
      </c>
      <c r="E284">
        <v>0</v>
      </c>
      <c r="F284">
        <v>0.2</v>
      </c>
    </row>
    <row r="285" spans="1:6" x14ac:dyDescent="0.25">
      <c r="A285">
        <v>284</v>
      </c>
      <c r="B285">
        <v>43</v>
      </c>
      <c r="C285">
        <v>0</v>
      </c>
      <c r="D285">
        <v>0</v>
      </c>
      <c r="E285">
        <v>0</v>
      </c>
      <c r="F285">
        <v>0</v>
      </c>
    </row>
    <row r="286" spans="1:6" x14ac:dyDescent="0.25">
      <c r="A286">
        <v>285</v>
      </c>
      <c r="B286">
        <v>44</v>
      </c>
      <c r="C286">
        <v>0</v>
      </c>
      <c r="D286">
        <v>0</v>
      </c>
      <c r="E286">
        <v>0</v>
      </c>
      <c r="F286">
        <v>265.59199999999998</v>
      </c>
    </row>
    <row r="287" spans="1:6" x14ac:dyDescent="0.25">
      <c r="A287">
        <v>286</v>
      </c>
      <c r="B287">
        <v>45</v>
      </c>
      <c r="C287">
        <v>0</v>
      </c>
      <c r="D287">
        <v>0</v>
      </c>
      <c r="E287">
        <v>0</v>
      </c>
      <c r="F287">
        <v>1525.04</v>
      </c>
    </row>
    <row r="288" spans="1:6" x14ac:dyDescent="0.25">
      <c r="A288">
        <v>287</v>
      </c>
      <c r="B288">
        <v>46</v>
      </c>
      <c r="C288">
        <v>0</v>
      </c>
      <c r="D288">
        <v>0</v>
      </c>
      <c r="E288">
        <v>0</v>
      </c>
      <c r="F288">
        <v>0</v>
      </c>
    </row>
    <row r="289" spans="1:6" x14ac:dyDescent="0.25">
      <c r="A289">
        <v>288</v>
      </c>
      <c r="B289">
        <v>2</v>
      </c>
      <c r="C289">
        <v>0</v>
      </c>
      <c r="D289">
        <v>0</v>
      </c>
      <c r="E289">
        <v>0</v>
      </c>
      <c r="F289">
        <v>34.408000000000001</v>
      </c>
    </row>
    <row r="290" spans="1:6" x14ac:dyDescent="0.25">
      <c r="A290">
        <v>289</v>
      </c>
      <c r="B290">
        <v>10</v>
      </c>
      <c r="C290">
        <v>1</v>
      </c>
      <c r="D290">
        <v>0</v>
      </c>
      <c r="E290">
        <v>0</v>
      </c>
      <c r="F290">
        <v>5691</v>
      </c>
    </row>
    <row r="291" spans="1:6" x14ac:dyDescent="0.25">
      <c r="A291">
        <v>290</v>
      </c>
      <c r="B291">
        <v>13</v>
      </c>
      <c r="C291">
        <v>0</v>
      </c>
      <c r="D291">
        <v>0</v>
      </c>
      <c r="E291">
        <v>0</v>
      </c>
      <c r="F291">
        <v>1602</v>
      </c>
    </row>
    <row r="292" spans="1:6" x14ac:dyDescent="0.25">
      <c r="A292">
        <v>291</v>
      </c>
      <c r="B292">
        <v>41</v>
      </c>
      <c r="C292">
        <v>0</v>
      </c>
      <c r="D292">
        <v>0</v>
      </c>
      <c r="E292">
        <v>0</v>
      </c>
      <c r="F292">
        <v>1</v>
      </c>
    </row>
    <row r="293" spans="1:6" x14ac:dyDescent="0.25">
      <c r="A293">
        <v>292</v>
      </c>
      <c r="B293">
        <v>42</v>
      </c>
      <c r="C293">
        <v>0</v>
      </c>
      <c r="D293">
        <v>0</v>
      </c>
      <c r="E293">
        <v>0</v>
      </c>
      <c r="F293">
        <v>0.2</v>
      </c>
    </row>
    <row r="294" spans="1:6" x14ac:dyDescent="0.25">
      <c r="A294">
        <v>293</v>
      </c>
      <c r="B294">
        <v>43</v>
      </c>
      <c r="C294">
        <v>0</v>
      </c>
      <c r="D294">
        <v>0</v>
      </c>
      <c r="E294">
        <v>0</v>
      </c>
      <c r="F294">
        <v>0</v>
      </c>
    </row>
    <row r="295" spans="1:6" x14ac:dyDescent="0.25">
      <c r="A295">
        <v>294</v>
      </c>
      <c r="B295" t="s">
        <v>0</v>
      </c>
      <c r="C295">
        <v>178</v>
      </c>
      <c r="D295">
        <v>3481</v>
      </c>
      <c r="E295">
        <v>79751103</v>
      </c>
    </row>
    <row r="296" spans="1:6" x14ac:dyDescent="0.25">
      <c r="A296">
        <v>295</v>
      </c>
      <c r="B296">
        <v>45</v>
      </c>
      <c r="C296">
        <v>0</v>
      </c>
      <c r="D296">
        <v>0</v>
      </c>
      <c r="E296">
        <v>0</v>
      </c>
      <c r="F296">
        <v>1525.55</v>
      </c>
    </row>
    <row r="297" spans="1:6" x14ac:dyDescent="0.25">
      <c r="A297">
        <v>296</v>
      </c>
      <c r="B297">
        <v>46</v>
      </c>
      <c r="C297">
        <v>0</v>
      </c>
      <c r="D297">
        <v>0</v>
      </c>
      <c r="E297">
        <v>0</v>
      </c>
      <c r="F297">
        <v>0</v>
      </c>
    </row>
    <row r="298" spans="1:6" x14ac:dyDescent="0.25">
      <c r="A298">
        <v>297</v>
      </c>
      <c r="B298">
        <v>2</v>
      </c>
      <c r="C298">
        <v>0</v>
      </c>
      <c r="D298">
        <v>0</v>
      </c>
      <c r="E298">
        <v>0</v>
      </c>
      <c r="F298">
        <v>34.407299999999999</v>
      </c>
    </row>
    <row r="299" spans="1:6" x14ac:dyDescent="0.25">
      <c r="A299">
        <v>298</v>
      </c>
      <c r="B299">
        <v>10</v>
      </c>
      <c r="C299">
        <v>1</v>
      </c>
      <c r="D299">
        <v>0</v>
      </c>
      <c r="E299">
        <v>0</v>
      </c>
      <c r="F299">
        <v>5691</v>
      </c>
    </row>
    <row r="300" spans="1:6" x14ac:dyDescent="0.25">
      <c r="A300">
        <v>299</v>
      </c>
      <c r="B300">
        <v>13</v>
      </c>
      <c r="C300">
        <v>0</v>
      </c>
      <c r="D300">
        <v>0</v>
      </c>
      <c r="E300">
        <v>0</v>
      </c>
      <c r="F300">
        <v>1602</v>
      </c>
    </row>
    <row r="301" spans="1:6" x14ac:dyDescent="0.25">
      <c r="A301">
        <v>300</v>
      </c>
      <c r="B301">
        <v>41</v>
      </c>
      <c r="C301">
        <v>0</v>
      </c>
      <c r="D301">
        <v>0</v>
      </c>
      <c r="E301">
        <v>0</v>
      </c>
      <c r="F301">
        <v>1</v>
      </c>
    </row>
    <row r="302" spans="1:6" x14ac:dyDescent="0.25">
      <c r="A302">
        <v>301</v>
      </c>
      <c r="B302">
        <v>42</v>
      </c>
      <c r="C302">
        <v>0</v>
      </c>
      <c r="D302">
        <v>0</v>
      </c>
      <c r="E302">
        <v>0</v>
      </c>
      <c r="F302">
        <v>0.2</v>
      </c>
    </row>
    <row r="303" spans="1:6" x14ac:dyDescent="0.25">
      <c r="A303">
        <v>302</v>
      </c>
      <c r="B303">
        <v>43</v>
      </c>
      <c r="C303">
        <v>0</v>
      </c>
      <c r="D303">
        <v>0</v>
      </c>
      <c r="E303">
        <v>0</v>
      </c>
      <c r="F303">
        <v>0</v>
      </c>
    </row>
    <row r="304" spans="1:6" x14ac:dyDescent="0.25">
      <c r="A304">
        <v>303</v>
      </c>
      <c r="B304">
        <v>44</v>
      </c>
      <c r="C304">
        <v>0</v>
      </c>
      <c r="D304">
        <v>0</v>
      </c>
      <c r="E304">
        <v>0</v>
      </c>
      <c r="F304">
        <v>265.59300000000002</v>
      </c>
    </row>
    <row r="305" spans="1:6" x14ac:dyDescent="0.25">
      <c r="A305">
        <v>304</v>
      </c>
      <c r="B305">
        <v>45</v>
      </c>
      <c r="C305">
        <v>0</v>
      </c>
      <c r="D305">
        <v>0</v>
      </c>
      <c r="E305">
        <v>0</v>
      </c>
      <c r="F305">
        <v>1525.55</v>
      </c>
    </row>
    <row r="306" spans="1:6" x14ac:dyDescent="0.25">
      <c r="A306">
        <v>305</v>
      </c>
      <c r="B306">
        <v>46</v>
      </c>
      <c r="C306">
        <v>0</v>
      </c>
      <c r="D306">
        <v>0</v>
      </c>
      <c r="E306">
        <v>0</v>
      </c>
      <c r="F306">
        <v>0</v>
      </c>
    </row>
    <row r="307" spans="1:6" x14ac:dyDescent="0.25">
      <c r="A307">
        <v>306</v>
      </c>
      <c r="B307">
        <v>2</v>
      </c>
      <c r="C307">
        <v>0</v>
      </c>
      <c r="D307">
        <v>0</v>
      </c>
      <c r="E307">
        <v>0</v>
      </c>
      <c r="F307">
        <v>34.407299999999999</v>
      </c>
    </row>
    <row r="308" spans="1:6" x14ac:dyDescent="0.25">
      <c r="A308">
        <v>307</v>
      </c>
      <c r="B308">
        <v>10</v>
      </c>
      <c r="C308">
        <v>1</v>
      </c>
      <c r="D308">
        <v>0</v>
      </c>
      <c r="E308">
        <v>0</v>
      </c>
      <c r="F308">
        <v>5691</v>
      </c>
    </row>
    <row r="309" spans="1:6" x14ac:dyDescent="0.25">
      <c r="A309">
        <v>308</v>
      </c>
      <c r="B309">
        <v>13</v>
      </c>
      <c r="C309">
        <v>0</v>
      </c>
      <c r="D309">
        <v>0</v>
      </c>
      <c r="E309">
        <v>0</v>
      </c>
      <c r="F309">
        <v>1602</v>
      </c>
    </row>
    <row r="310" spans="1:6" x14ac:dyDescent="0.25">
      <c r="A310">
        <v>309</v>
      </c>
      <c r="B310">
        <v>41</v>
      </c>
      <c r="C310">
        <v>0</v>
      </c>
      <c r="D310">
        <v>0</v>
      </c>
      <c r="E310">
        <v>0</v>
      </c>
      <c r="F310">
        <v>1</v>
      </c>
    </row>
    <row r="311" spans="1:6" x14ac:dyDescent="0.25">
      <c r="A311">
        <v>310</v>
      </c>
      <c r="B311">
        <v>42</v>
      </c>
      <c r="C311">
        <v>0</v>
      </c>
      <c r="D311">
        <v>0</v>
      </c>
      <c r="E311">
        <v>0</v>
      </c>
      <c r="F311">
        <v>0.2</v>
      </c>
    </row>
    <row r="312" spans="1:6" x14ac:dyDescent="0.25">
      <c r="A312">
        <v>311</v>
      </c>
      <c r="B312">
        <v>43</v>
      </c>
      <c r="C312">
        <v>0</v>
      </c>
      <c r="D312">
        <v>0</v>
      </c>
      <c r="E312">
        <v>0</v>
      </c>
      <c r="F312">
        <v>0</v>
      </c>
    </row>
    <row r="313" spans="1:6" x14ac:dyDescent="0.25">
      <c r="A313">
        <v>312</v>
      </c>
      <c r="B313">
        <v>44</v>
      </c>
      <c r="C313">
        <v>0</v>
      </c>
      <c r="D313">
        <v>0</v>
      </c>
      <c r="E313">
        <v>0</v>
      </c>
      <c r="F313">
        <v>265.59300000000002</v>
      </c>
    </row>
    <row r="314" spans="1:6" x14ac:dyDescent="0.25">
      <c r="A314">
        <v>313</v>
      </c>
      <c r="B314">
        <v>45</v>
      </c>
      <c r="C314">
        <v>0</v>
      </c>
      <c r="D314">
        <v>0</v>
      </c>
      <c r="E314">
        <v>0</v>
      </c>
      <c r="F314">
        <v>1525.55</v>
      </c>
    </row>
    <row r="315" spans="1:6" x14ac:dyDescent="0.25">
      <c r="A315">
        <v>314</v>
      </c>
      <c r="B315">
        <v>46</v>
      </c>
      <c r="C315">
        <v>0</v>
      </c>
      <c r="D315">
        <v>0</v>
      </c>
      <c r="E315">
        <v>0</v>
      </c>
      <c r="F315">
        <v>0</v>
      </c>
    </row>
    <row r="316" spans="1:6" x14ac:dyDescent="0.25">
      <c r="A316">
        <v>315</v>
      </c>
      <c r="B316">
        <v>2</v>
      </c>
      <c r="C316">
        <v>0</v>
      </c>
      <c r="D316">
        <v>0</v>
      </c>
      <c r="E316">
        <v>0</v>
      </c>
      <c r="F316">
        <v>34.407299999999999</v>
      </c>
    </row>
    <row r="317" spans="1:6" x14ac:dyDescent="0.25">
      <c r="A317">
        <v>316</v>
      </c>
      <c r="B317">
        <v>10</v>
      </c>
      <c r="C317">
        <v>1</v>
      </c>
      <c r="D317">
        <v>0</v>
      </c>
      <c r="E317">
        <v>0</v>
      </c>
      <c r="F317">
        <v>5691</v>
      </c>
    </row>
    <row r="318" spans="1:6" x14ac:dyDescent="0.25">
      <c r="A318">
        <v>317</v>
      </c>
      <c r="B318">
        <v>13</v>
      </c>
      <c r="C318">
        <v>0</v>
      </c>
      <c r="D318">
        <v>0</v>
      </c>
      <c r="E318">
        <v>0</v>
      </c>
      <c r="F318">
        <v>1602</v>
      </c>
    </row>
    <row r="319" spans="1:6" x14ac:dyDescent="0.25">
      <c r="A319">
        <v>318</v>
      </c>
      <c r="B319">
        <v>41</v>
      </c>
      <c r="C319">
        <v>0</v>
      </c>
      <c r="D319">
        <v>0</v>
      </c>
      <c r="E319">
        <v>0</v>
      </c>
      <c r="F319">
        <v>1</v>
      </c>
    </row>
    <row r="320" spans="1:6" x14ac:dyDescent="0.25">
      <c r="A320">
        <v>319</v>
      </c>
      <c r="B320">
        <v>42</v>
      </c>
      <c r="C320">
        <v>0</v>
      </c>
      <c r="D320">
        <v>0</v>
      </c>
      <c r="E320">
        <v>0</v>
      </c>
      <c r="F320">
        <v>0.2</v>
      </c>
    </row>
    <row r="321" spans="1:6" x14ac:dyDescent="0.25">
      <c r="A321">
        <v>320</v>
      </c>
      <c r="B321">
        <v>43</v>
      </c>
      <c r="C321">
        <v>0</v>
      </c>
      <c r="D321">
        <v>0</v>
      </c>
      <c r="E321">
        <v>0</v>
      </c>
      <c r="F321">
        <v>0</v>
      </c>
    </row>
    <row r="322" spans="1:6" x14ac:dyDescent="0.25">
      <c r="A322">
        <v>321</v>
      </c>
      <c r="B322">
        <v>44</v>
      </c>
      <c r="C322">
        <v>0</v>
      </c>
      <c r="D322">
        <v>0</v>
      </c>
      <c r="E322">
        <v>0</v>
      </c>
      <c r="F322">
        <v>265.59300000000002</v>
      </c>
    </row>
    <row r="323" spans="1:6" x14ac:dyDescent="0.25">
      <c r="A323">
        <v>322</v>
      </c>
      <c r="B323">
        <v>45</v>
      </c>
      <c r="C323">
        <v>0</v>
      </c>
      <c r="D323">
        <v>0</v>
      </c>
      <c r="E323">
        <v>0</v>
      </c>
      <c r="F323">
        <v>1525.55</v>
      </c>
    </row>
    <row r="324" spans="1:6" x14ac:dyDescent="0.25">
      <c r="A324">
        <v>323</v>
      </c>
      <c r="B324">
        <v>46</v>
      </c>
      <c r="C324">
        <v>0</v>
      </c>
      <c r="D324">
        <v>0</v>
      </c>
      <c r="E324">
        <v>0</v>
      </c>
      <c r="F324">
        <v>0</v>
      </c>
    </row>
    <row r="325" spans="1:6" x14ac:dyDescent="0.25">
      <c r="A325">
        <v>324</v>
      </c>
      <c r="B325" t="s">
        <v>0</v>
      </c>
      <c r="C325">
        <v>0</v>
      </c>
      <c r="D325">
        <v>3482</v>
      </c>
      <c r="E325">
        <v>79753039</v>
      </c>
    </row>
    <row r="326" spans="1:6" x14ac:dyDescent="0.25">
      <c r="A326">
        <v>325</v>
      </c>
      <c r="B326">
        <v>2</v>
      </c>
      <c r="C326">
        <v>0</v>
      </c>
      <c r="D326">
        <v>0</v>
      </c>
      <c r="E326">
        <v>0</v>
      </c>
      <c r="F326">
        <v>34.407299999999999</v>
      </c>
    </row>
    <row r="327" spans="1:6" x14ac:dyDescent="0.25">
      <c r="A327">
        <v>326</v>
      </c>
      <c r="B327">
        <v>10</v>
      </c>
      <c r="C327">
        <v>1</v>
      </c>
      <c r="D327">
        <v>0</v>
      </c>
      <c r="E327">
        <v>0</v>
      </c>
      <c r="F327">
        <v>5691</v>
      </c>
    </row>
    <row r="328" spans="1:6" x14ac:dyDescent="0.25">
      <c r="A328">
        <v>327</v>
      </c>
      <c r="B328">
        <v>13</v>
      </c>
      <c r="C328">
        <v>0</v>
      </c>
      <c r="D328">
        <v>0</v>
      </c>
      <c r="E328">
        <v>0</v>
      </c>
      <c r="F328">
        <v>1602</v>
      </c>
    </row>
    <row r="329" spans="1:6" x14ac:dyDescent="0.25">
      <c r="A329">
        <v>328</v>
      </c>
      <c r="B329">
        <v>41</v>
      </c>
      <c r="C329">
        <v>0</v>
      </c>
      <c r="D329">
        <v>0</v>
      </c>
      <c r="E329">
        <v>0</v>
      </c>
      <c r="F329">
        <v>1</v>
      </c>
    </row>
    <row r="330" spans="1:6" x14ac:dyDescent="0.25">
      <c r="A330">
        <v>329</v>
      </c>
      <c r="B330">
        <v>42</v>
      </c>
      <c r="C330">
        <v>0</v>
      </c>
      <c r="D330">
        <v>0</v>
      </c>
      <c r="E330">
        <v>0</v>
      </c>
      <c r="F330">
        <v>0.2</v>
      </c>
    </row>
    <row r="331" spans="1:6" x14ac:dyDescent="0.25">
      <c r="A331">
        <v>330</v>
      </c>
      <c r="B331">
        <v>43</v>
      </c>
      <c r="C331">
        <v>0</v>
      </c>
      <c r="D331">
        <v>0</v>
      </c>
      <c r="E331">
        <v>0</v>
      </c>
      <c r="F331">
        <v>0</v>
      </c>
    </row>
    <row r="332" spans="1:6" x14ac:dyDescent="0.25">
      <c r="A332">
        <v>331</v>
      </c>
      <c r="B332">
        <v>44</v>
      </c>
      <c r="C332">
        <v>0</v>
      </c>
      <c r="D332">
        <v>0</v>
      </c>
      <c r="E332">
        <v>0</v>
      </c>
      <c r="F332">
        <v>265.59300000000002</v>
      </c>
    </row>
    <row r="333" spans="1:6" x14ac:dyDescent="0.25">
      <c r="A333">
        <v>332</v>
      </c>
      <c r="B333">
        <v>45</v>
      </c>
      <c r="C333">
        <v>0</v>
      </c>
      <c r="D333">
        <v>0</v>
      </c>
      <c r="E333">
        <v>0</v>
      </c>
      <c r="F333">
        <v>1525.55</v>
      </c>
    </row>
    <row r="334" spans="1:6" x14ac:dyDescent="0.25">
      <c r="A334">
        <v>333</v>
      </c>
      <c r="B334">
        <v>46</v>
      </c>
      <c r="C334">
        <v>0</v>
      </c>
      <c r="D334">
        <v>0</v>
      </c>
      <c r="E334">
        <v>0</v>
      </c>
      <c r="F334">
        <v>0</v>
      </c>
    </row>
    <row r="335" spans="1:6" x14ac:dyDescent="0.25">
      <c r="A335">
        <v>334</v>
      </c>
      <c r="B335">
        <v>2</v>
      </c>
      <c r="C335">
        <v>0</v>
      </c>
      <c r="D335">
        <v>0</v>
      </c>
      <c r="E335">
        <v>0</v>
      </c>
      <c r="F335">
        <v>34.407299999999999</v>
      </c>
    </row>
    <row r="336" spans="1:6" x14ac:dyDescent="0.25">
      <c r="A336">
        <v>335</v>
      </c>
      <c r="B336">
        <v>10</v>
      </c>
      <c r="C336">
        <v>1</v>
      </c>
      <c r="D336">
        <v>0</v>
      </c>
      <c r="E336">
        <v>0</v>
      </c>
      <c r="F336">
        <v>5691</v>
      </c>
    </row>
    <row r="337" spans="1:6" x14ac:dyDescent="0.25">
      <c r="A337">
        <v>336</v>
      </c>
      <c r="B337">
        <v>13</v>
      </c>
      <c r="C337">
        <v>0</v>
      </c>
      <c r="D337">
        <v>0</v>
      </c>
      <c r="E337">
        <v>0</v>
      </c>
      <c r="F337">
        <v>1602</v>
      </c>
    </row>
    <row r="338" spans="1:6" x14ac:dyDescent="0.25">
      <c r="A338">
        <v>337</v>
      </c>
      <c r="B338">
        <v>41</v>
      </c>
      <c r="C338">
        <v>0</v>
      </c>
      <c r="D338">
        <v>0</v>
      </c>
      <c r="E338">
        <v>0</v>
      </c>
      <c r="F338">
        <v>1</v>
      </c>
    </row>
    <row r="339" spans="1:6" x14ac:dyDescent="0.25">
      <c r="A339">
        <v>338</v>
      </c>
      <c r="B339">
        <v>42</v>
      </c>
      <c r="C339">
        <v>0</v>
      </c>
      <c r="D339">
        <v>0</v>
      </c>
      <c r="E339">
        <v>0</v>
      </c>
      <c r="F339">
        <v>0.2</v>
      </c>
    </row>
    <row r="340" spans="1:6" x14ac:dyDescent="0.25">
      <c r="A340">
        <v>339</v>
      </c>
      <c r="B340">
        <v>43</v>
      </c>
      <c r="C340">
        <v>0</v>
      </c>
      <c r="D340">
        <v>0</v>
      </c>
      <c r="E340">
        <v>0</v>
      </c>
      <c r="F340">
        <v>0</v>
      </c>
    </row>
    <row r="341" spans="1:6" x14ac:dyDescent="0.25">
      <c r="A341">
        <v>340</v>
      </c>
      <c r="B341">
        <v>44</v>
      </c>
      <c r="C341">
        <v>0</v>
      </c>
      <c r="D341">
        <v>0</v>
      </c>
      <c r="E341">
        <v>0</v>
      </c>
      <c r="F341">
        <v>265.59199999999998</v>
      </c>
    </row>
    <row r="342" spans="1:6" x14ac:dyDescent="0.25">
      <c r="A342">
        <v>341</v>
      </c>
      <c r="B342">
        <v>45</v>
      </c>
      <c r="C342">
        <v>0</v>
      </c>
      <c r="D342">
        <v>0</v>
      </c>
      <c r="E342">
        <v>0</v>
      </c>
      <c r="F342">
        <v>1526.07</v>
      </c>
    </row>
    <row r="343" spans="1:6" x14ac:dyDescent="0.25">
      <c r="A343">
        <v>342</v>
      </c>
      <c r="B343">
        <v>46</v>
      </c>
      <c r="C343">
        <v>0</v>
      </c>
      <c r="D343">
        <v>0</v>
      </c>
      <c r="E343">
        <v>0</v>
      </c>
      <c r="F343">
        <v>0</v>
      </c>
    </row>
    <row r="344" spans="1:6" x14ac:dyDescent="0.25">
      <c r="A344">
        <v>343</v>
      </c>
      <c r="B344">
        <v>2</v>
      </c>
      <c r="C344">
        <v>0</v>
      </c>
      <c r="D344">
        <v>0</v>
      </c>
      <c r="E344">
        <v>0</v>
      </c>
      <c r="F344">
        <v>34.407899999999998</v>
      </c>
    </row>
    <row r="345" spans="1:6" x14ac:dyDescent="0.25">
      <c r="A345">
        <v>344</v>
      </c>
      <c r="B345">
        <v>10</v>
      </c>
      <c r="C345">
        <v>1</v>
      </c>
      <c r="D345">
        <v>0</v>
      </c>
      <c r="E345">
        <v>0</v>
      </c>
      <c r="F345">
        <v>5691</v>
      </c>
    </row>
    <row r="346" spans="1:6" x14ac:dyDescent="0.25">
      <c r="A346">
        <v>345</v>
      </c>
      <c r="B346">
        <v>13</v>
      </c>
      <c r="C346">
        <v>0</v>
      </c>
      <c r="D346">
        <v>0</v>
      </c>
      <c r="E346">
        <v>0</v>
      </c>
      <c r="F346">
        <v>1602</v>
      </c>
    </row>
    <row r="347" spans="1:6" x14ac:dyDescent="0.25">
      <c r="A347">
        <v>346</v>
      </c>
      <c r="B347">
        <v>41</v>
      </c>
      <c r="C347">
        <v>0</v>
      </c>
      <c r="D347">
        <v>0</v>
      </c>
      <c r="E347">
        <v>0</v>
      </c>
      <c r="F347">
        <v>1</v>
      </c>
    </row>
    <row r="348" spans="1:6" x14ac:dyDescent="0.25">
      <c r="A348">
        <v>347</v>
      </c>
      <c r="B348">
        <v>42</v>
      </c>
      <c r="C348">
        <v>0</v>
      </c>
      <c r="D348">
        <v>0</v>
      </c>
      <c r="E348">
        <v>0</v>
      </c>
      <c r="F348">
        <v>0.2</v>
      </c>
    </row>
    <row r="349" spans="1:6" x14ac:dyDescent="0.25">
      <c r="A349">
        <v>348</v>
      </c>
      <c r="B349">
        <v>43</v>
      </c>
      <c r="C349">
        <v>0</v>
      </c>
      <c r="D349">
        <v>0</v>
      </c>
      <c r="E349">
        <v>0</v>
      </c>
      <c r="F349">
        <v>0</v>
      </c>
    </row>
    <row r="350" spans="1:6" x14ac:dyDescent="0.25">
      <c r="A350">
        <v>349</v>
      </c>
      <c r="B350">
        <v>44</v>
      </c>
      <c r="C350">
        <v>0</v>
      </c>
      <c r="D350">
        <v>0</v>
      </c>
      <c r="E350">
        <v>0</v>
      </c>
      <c r="F350">
        <v>265.59199999999998</v>
      </c>
    </row>
    <row r="351" spans="1:6" x14ac:dyDescent="0.25">
      <c r="A351">
        <v>350</v>
      </c>
      <c r="B351">
        <v>45</v>
      </c>
      <c r="C351">
        <v>0</v>
      </c>
      <c r="D351">
        <v>0</v>
      </c>
      <c r="E351">
        <v>0</v>
      </c>
      <c r="F351">
        <v>1526.07</v>
      </c>
    </row>
    <row r="352" spans="1:6" x14ac:dyDescent="0.25">
      <c r="A352">
        <v>351</v>
      </c>
      <c r="B352">
        <v>46</v>
      </c>
      <c r="C352">
        <v>0</v>
      </c>
      <c r="D352">
        <v>0</v>
      </c>
      <c r="E352">
        <v>0</v>
      </c>
      <c r="F352">
        <v>0</v>
      </c>
    </row>
    <row r="353" spans="1:6" x14ac:dyDescent="0.25">
      <c r="A353">
        <v>352</v>
      </c>
      <c r="B353">
        <v>2</v>
      </c>
      <c r="C353">
        <v>0</v>
      </c>
      <c r="D353">
        <v>0</v>
      </c>
      <c r="E353">
        <v>0</v>
      </c>
      <c r="F353">
        <v>34.407899999999998</v>
      </c>
    </row>
    <row r="354" spans="1:6" x14ac:dyDescent="0.25">
      <c r="A354">
        <v>353</v>
      </c>
      <c r="B354">
        <v>10</v>
      </c>
      <c r="C354">
        <v>1</v>
      </c>
      <c r="D354">
        <v>0</v>
      </c>
      <c r="E354">
        <v>0</v>
      </c>
      <c r="F354">
        <v>5691</v>
      </c>
    </row>
    <row r="355" spans="1:6" x14ac:dyDescent="0.25">
      <c r="A355">
        <v>354</v>
      </c>
      <c r="B355">
        <v>13</v>
      </c>
      <c r="C355">
        <v>0</v>
      </c>
      <c r="D355">
        <v>0</v>
      </c>
      <c r="E355">
        <v>0</v>
      </c>
      <c r="F355">
        <v>1602</v>
      </c>
    </row>
    <row r="356" spans="1:6" x14ac:dyDescent="0.25">
      <c r="A356">
        <v>355</v>
      </c>
      <c r="B356">
        <v>41</v>
      </c>
      <c r="C356">
        <v>0</v>
      </c>
      <c r="D356">
        <v>0</v>
      </c>
      <c r="E356">
        <v>0</v>
      </c>
      <c r="F356">
        <v>1</v>
      </c>
    </row>
    <row r="357" spans="1:6" x14ac:dyDescent="0.25">
      <c r="A357">
        <v>356</v>
      </c>
      <c r="B357">
        <v>42</v>
      </c>
      <c r="C357">
        <v>0</v>
      </c>
      <c r="D357">
        <v>0</v>
      </c>
      <c r="E357">
        <v>0</v>
      </c>
      <c r="F357">
        <v>0.2</v>
      </c>
    </row>
    <row r="358" spans="1:6" x14ac:dyDescent="0.25">
      <c r="A358">
        <v>357</v>
      </c>
      <c r="B358">
        <v>43</v>
      </c>
      <c r="C358">
        <v>0</v>
      </c>
      <c r="D358">
        <v>0</v>
      </c>
      <c r="E358">
        <v>0</v>
      </c>
      <c r="F358">
        <v>0</v>
      </c>
    </row>
    <row r="359" spans="1:6" x14ac:dyDescent="0.25">
      <c r="A359">
        <v>358</v>
      </c>
      <c r="B359">
        <v>44</v>
      </c>
      <c r="C359">
        <v>0</v>
      </c>
      <c r="D359">
        <v>0</v>
      </c>
      <c r="E359">
        <v>0</v>
      </c>
      <c r="F359">
        <v>265.59199999999998</v>
      </c>
    </row>
    <row r="360" spans="1:6" x14ac:dyDescent="0.25">
      <c r="A360">
        <v>359</v>
      </c>
      <c r="B360">
        <v>45</v>
      </c>
      <c r="C360">
        <v>0</v>
      </c>
      <c r="D360">
        <v>0</v>
      </c>
      <c r="E360">
        <v>0</v>
      </c>
      <c r="F360">
        <v>1526.58</v>
      </c>
    </row>
    <row r="361" spans="1:6" x14ac:dyDescent="0.25">
      <c r="A361">
        <v>360</v>
      </c>
      <c r="B361">
        <v>46</v>
      </c>
      <c r="C361">
        <v>0</v>
      </c>
      <c r="D361">
        <v>0</v>
      </c>
      <c r="E361">
        <v>0</v>
      </c>
      <c r="F361">
        <v>0</v>
      </c>
    </row>
    <row r="362" spans="1:6" x14ac:dyDescent="0.25">
      <c r="A362">
        <v>361</v>
      </c>
      <c r="B362">
        <v>2</v>
      </c>
      <c r="C362">
        <v>0</v>
      </c>
      <c r="D362">
        <v>0</v>
      </c>
      <c r="E362">
        <v>0</v>
      </c>
      <c r="F362">
        <v>34.408000000000001</v>
      </c>
    </row>
    <row r="363" spans="1:6" x14ac:dyDescent="0.25">
      <c r="A363">
        <v>362</v>
      </c>
      <c r="B363">
        <v>10</v>
      </c>
      <c r="C363">
        <v>1</v>
      </c>
      <c r="D363">
        <v>0</v>
      </c>
      <c r="E363">
        <v>0</v>
      </c>
      <c r="F363">
        <v>5691</v>
      </c>
    </row>
    <row r="364" spans="1:6" x14ac:dyDescent="0.25">
      <c r="A364">
        <v>363</v>
      </c>
      <c r="B364">
        <v>13</v>
      </c>
      <c r="C364">
        <v>0</v>
      </c>
      <c r="D364">
        <v>0</v>
      </c>
      <c r="E364">
        <v>0</v>
      </c>
      <c r="F364">
        <v>1602</v>
      </c>
    </row>
    <row r="365" spans="1:6" x14ac:dyDescent="0.25">
      <c r="A365">
        <v>364</v>
      </c>
      <c r="B365">
        <v>41</v>
      </c>
      <c r="C365">
        <v>0</v>
      </c>
      <c r="D365">
        <v>0</v>
      </c>
      <c r="E365">
        <v>0</v>
      </c>
      <c r="F365">
        <v>1</v>
      </c>
    </row>
    <row r="366" spans="1:6" x14ac:dyDescent="0.25">
      <c r="A366">
        <v>365</v>
      </c>
      <c r="B366">
        <v>42</v>
      </c>
      <c r="C366">
        <v>0</v>
      </c>
      <c r="D366">
        <v>0</v>
      </c>
      <c r="E366">
        <v>0</v>
      </c>
      <c r="F366">
        <v>0.2</v>
      </c>
    </row>
    <row r="367" spans="1:6" x14ac:dyDescent="0.25">
      <c r="A367">
        <v>366</v>
      </c>
      <c r="B367">
        <v>43</v>
      </c>
      <c r="C367">
        <v>0</v>
      </c>
      <c r="D367">
        <v>0</v>
      </c>
      <c r="E367">
        <v>0</v>
      </c>
      <c r="F367">
        <v>0</v>
      </c>
    </row>
    <row r="368" spans="1:6" x14ac:dyDescent="0.25">
      <c r="A368">
        <v>367</v>
      </c>
      <c r="B368">
        <v>44</v>
      </c>
      <c r="C368">
        <v>0</v>
      </c>
      <c r="D368">
        <v>0</v>
      </c>
      <c r="E368">
        <v>0</v>
      </c>
      <c r="F368">
        <v>265.59199999999998</v>
      </c>
    </row>
    <row r="369" spans="1:6" x14ac:dyDescent="0.25">
      <c r="A369">
        <v>368</v>
      </c>
      <c r="B369">
        <v>45</v>
      </c>
      <c r="C369">
        <v>0</v>
      </c>
      <c r="D369">
        <v>0</v>
      </c>
      <c r="E369">
        <v>0</v>
      </c>
      <c r="F369">
        <v>1526.58</v>
      </c>
    </row>
    <row r="370" spans="1:6" x14ac:dyDescent="0.25">
      <c r="A370">
        <v>369</v>
      </c>
      <c r="B370" t="s">
        <v>0</v>
      </c>
      <c r="C370">
        <v>3</v>
      </c>
      <c r="D370">
        <v>3482</v>
      </c>
      <c r="E370">
        <v>79755942</v>
      </c>
    </row>
    <row r="371" spans="1:6" x14ac:dyDescent="0.25">
      <c r="A371">
        <v>370</v>
      </c>
      <c r="B371">
        <v>2</v>
      </c>
      <c r="C371">
        <v>0</v>
      </c>
      <c r="D371">
        <v>0</v>
      </c>
      <c r="E371">
        <v>0</v>
      </c>
      <c r="F371">
        <v>34.408000000000001</v>
      </c>
    </row>
    <row r="372" spans="1:6" x14ac:dyDescent="0.25">
      <c r="A372">
        <v>371</v>
      </c>
      <c r="B372">
        <v>10</v>
      </c>
      <c r="C372">
        <v>1</v>
      </c>
      <c r="D372">
        <v>0</v>
      </c>
      <c r="E372">
        <v>0</v>
      </c>
      <c r="F372">
        <v>5691</v>
      </c>
    </row>
    <row r="373" spans="1:6" x14ac:dyDescent="0.25">
      <c r="A373">
        <v>372</v>
      </c>
      <c r="B373">
        <v>13</v>
      </c>
      <c r="C373">
        <v>0</v>
      </c>
      <c r="D373">
        <v>0</v>
      </c>
      <c r="E373">
        <v>0</v>
      </c>
      <c r="F373">
        <v>1602</v>
      </c>
    </row>
    <row r="374" spans="1:6" x14ac:dyDescent="0.25">
      <c r="A374">
        <v>373</v>
      </c>
      <c r="B374">
        <v>41</v>
      </c>
      <c r="C374">
        <v>0</v>
      </c>
      <c r="D374">
        <v>0</v>
      </c>
      <c r="E374">
        <v>0</v>
      </c>
      <c r="F374">
        <v>1</v>
      </c>
    </row>
    <row r="375" spans="1:6" x14ac:dyDescent="0.25">
      <c r="A375">
        <v>374</v>
      </c>
      <c r="B375">
        <v>42</v>
      </c>
      <c r="C375">
        <v>0</v>
      </c>
      <c r="D375">
        <v>0</v>
      </c>
      <c r="E375">
        <v>0</v>
      </c>
      <c r="F375">
        <v>0.2</v>
      </c>
    </row>
    <row r="376" spans="1:6" x14ac:dyDescent="0.25">
      <c r="A376">
        <v>375</v>
      </c>
      <c r="B376">
        <v>43</v>
      </c>
      <c r="C376">
        <v>0</v>
      </c>
      <c r="D376">
        <v>0</v>
      </c>
      <c r="E376">
        <v>0</v>
      </c>
      <c r="F376">
        <v>0</v>
      </c>
    </row>
    <row r="377" spans="1:6" x14ac:dyDescent="0.25">
      <c r="A377">
        <v>376</v>
      </c>
      <c r="B377">
        <v>44</v>
      </c>
      <c r="C377">
        <v>0</v>
      </c>
      <c r="D377">
        <v>0</v>
      </c>
      <c r="E377">
        <v>0</v>
      </c>
      <c r="F377">
        <v>265.59199999999998</v>
      </c>
    </row>
    <row r="378" spans="1:6" x14ac:dyDescent="0.25">
      <c r="A378">
        <v>377</v>
      </c>
      <c r="B378">
        <v>45</v>
      </c>
      <c r="C378">
        <v>0</v>
      </c>
      <c r="D378">
        <v>0</v>
      </c>
      <c r="E378">
        <v>0</v>
      </c>
      <c r="F378">
        <v>1527.09</v>
      </c>
    </row>
    <row r="379" spans="1:6" x14ac:dyDescent="0.25">
      <c r="A379">
        <v>378</v>
      </c>
      <c r="B379">
        <v>46</v>
      </c>
      <c r="C379">
        <v>0</v>
      </c>
      <c r="D379">
        <v>0</v>
      </c>
      <c r="E379">
        <v>0</v>
      </c>
      <c r="F379">
        <v>0</v>
      </c>
    </row>
    <row r="380" spans="1:6" x14ac:dyDescent="0.25">
      <c r="A380">
        <v>379</v>
      </c>
      <c r="B380">
        <v>2</v>
      </c>
      <c r="C380">
        <v>0</v>
      </c>
      <c r="D380">
        <v>0</v>
      </c>
      <c r="E380">
        <v>0</v>
      </c>
      <c r="F380">
        <v>34.408000000000001</v>
      </c>
    </row>
    <row r="381" spans="1:6" x14ac:dyDescent="0.25">
      <c r="A381">
        <v>380</v>
      </c>
      <c r="B381">
        <v>10</v>
      </c>
      <c r="C381">
        <v>1</v>
      </c>
      <c r="D381">
        <v>0</v>
      </c>
      <c r="E381">
        <v>0</v>
      </c>
      <c r="F381">
        <v>5691</v>
      </c>
    </row>
    <row r="382" spans="1:6" x14ac:dyDescent="0.25">
      <c r="A382">
        <v>381</v>
      </c>
      <c r="B382">
        <v>13</v>
      </c>
      <c r="C382">
        <v>0</v>
      </c>
      <c r="D382">
        <v>0</v>
      </c>
      <c r="E382">
        <v>0</v>
      </c>
      <c r="F382">
        <v>1602</v>
      </c>
    </row>
    <row r="383" spans="1:6" x14ac:dyDescent="0.25">
      <c r="A383">
        <v>382</v>
      </c>
      <c r="B383">
        <v>41</v>
      </c>
      <c r="C383">
        <v>0</v>
      </c>
      <c r="D383">
        <v>0</v>
      </c>
      <c r="E383">
        <v>0</v>
      </c>
      <c r="F383">
        <v>1</v>
      </c>
    </row>
    <row r="384" spans="1:6" x14ac:dyDescent="0.25">
      <c r="A384">
        <v>383</v>
      </c>
      <c r="B384">
        <v>42</v>
      </c>
      <c r="C384">
        <v>0</v>
      </c>
      <c r="D384">
        <v>0</v>
      </c>
      <c r="E384">
        <v>0</v>
      </c>
      <c r="F384">
        <v>0.2</v>
      </c>
    </row>
    <row r="385" spans="1:6" x14ac:dyDescent="0.25">
      <c r="A385">
        <v>384</v>
      </c>
      <c r="B385" t="s">
        <v>0</v>
      </c>
      <c r="C385">
        <v>4</v>
      </c>
      <c r="D385">
        <v>3482</v>
      </c>
      <c r="E385">
        <v>79756910</v>
      </c>
    </row>
    <row r="386" spans="1:6" x14ac:dyDescent="0.25">
      <c r="A386">
        <v>385</v>
      </c>
      <c r="B386">
        <v>44</v>
      </c>
      <c r="C386">
        <v>0</v>
      </c>
      <c r="D386">
        <v>0</v>
      </c>
      <c r="E386">
        <v>0</v>
      </c>
      <c r="F386">
        <v>265.59199999999998</v>
      </c>
    </row>
    <row r="387" spans="1:6" x14ac:dyDescent="0.25">
      <c r="A387">
        <v>386</v>
      </c>
      <c r="B387">
        <v>45</v>
      </c>
      <c r="C387">
        <v>0</v>
      </c>
      <c r="D387">
        <v>0</v>
      </c>
      <c r="E387">
        <v>0</v>
      </c>
      <c r="F387">
        <v>1527.61</v>
      </c>
    </row>
    <row r="388" spans="1:6" x14ac:dyDescent="0.25">
      <c r="A388">
        <v>387</v>
      </c>
      <c r="B388">
        <v>46</v>
      </c>
      <c r="C388">
        <v>0</v>
      </c>
      <c r="D388">
        <v>0</v>
      </c>
      <c r="E388">
        <v>0</v>
      </c>
      <c r="F388">
        <v>0</v>
      </c>
    </row>
    <row r="389" spans="1:6" x14ac:dyDescent="0.25">
      <c r="A389">
        <v>388</v>
      </c>
      <c r="B389">
        <v>2</v>
      </c>
      <c r="C389">
        <v>0</v>
      </c>
      <c r="D389">
        <v>0</v>
      </c>
      <c r="E389">
        <v>0</v>
      </c>
      <c r="F389">
        <v>34.408200000000001</v>
      </c>
    </row>
    <row r="390" spans="1:6" x14ac:dyDescent="0.25">
      <c r="A390">
        <v>389</v>
      </c>
      <c r="B390">
        <v>10</v>
      </c>
      <c r="C390">
        <v>1</v>
      </c>
      <c r="D390">
        <v>0</v>
      </c>
      <c r="E390">
        <v>0</v>
      </c>
      <c r="F390">
        <v>5691</v>
      </c>
    </row>
    <row r="391" spans="1:6" x14ac:dyDescent="0.25">
      <c r="A391">
        <v>390</v>
      </c>
      <c r="B391">
        <v>13</v>
      </c>
      <c r="C391">
        <v>0</v>
      </c>
      <c r="D391">
        <v>0</v>
      </c>
      <c r="E391">
        <v>0</v>
      </c>
      <c r="F391">
        <v>1602</v>
      </c>
    </row>
    <row r="392" spans="1:6" x14ac:dyDescent="0.25">
      <c r="A392">
        <v>391</v>
      </c>
      <c r="B392">
        <v>41</v>
      </c>
      <c r="C392">
        <v>0</v>
      </c>
      <c r="D392">
        <v>0</v>
      </c>
      <c r="E392">
        <v>0</v>
      </c>
      <c r="F392">
        <v>1</v>
      </c>
    </row>
    <row r="393" spans="1:6" x14ac:dyDescent="0.25">
      <c r="A393">
        <v>392</v>
      </c>
      <c r="B393">
        <v>42</v>
      </c>
      <c r="C393">
        <v>0</v>
      </c>
      <c r="D393">
        <v>0</v>
      </c>
      <c r="E393">
        <v>0</v>
      </c>
      <c r="F393">
        <v>0.2</v>
      </c>
    </row>
    <row r="394" spans="1:6" x14ac:dyDescent="0.25">
      <c r="A394">
        <v>393</v>
      </c>
      <c r="B394">
        <v>43</v>
      </c>
      <c r="C394">
        <v>0</v>
      </c>
      <c r="D394">
        <v>0</v>
      </c>
      <c r="E394">
        <v>0</v>
      </c>
      <c r="F394">
        <v>0</v>
      </c>
    </row>
    <row r="395" spans="1:6" x14ac:dyDescent="0.25">
      <c r="A395">
        <v>394</v>
      </c>
      <c r="B395">
        <v>44</v>
      </c>
      <c r="C395">
        <v>0</v>
      </c>
      <c r="D395">
        <v>0</v>
      </c>
      <c r="E395">
        <v>0</v>
      </c>
      <c r="F395">
        <v>265.59199999999998</v>
      </c>
    </row>
    <row r="396" spans="1:6" x14ac:dyDescent="0.25">
      <c r="A396">
        <v>395</v>
      </c>
      <c r="B396">
        <v>45</v>
      </c>
      <c r="C396">
        <v>0</v>
      </c>
      <c r="D396">
        <v>0</v>
      </c>
      <c r="E396">
        <v>0</v>
      </c>
      <c r="F396">
        <v>1527.61</v>
      </c>
    </row>
    <row r="397" spans="1:6" x14ac:dyDescent="0.25">
      <c r="A397">
        <v>396</v>
      </c>
      <c r="B397">
        <v>46</v>
      </c>
      <c r="C397">
        <v>0</v>
      </c>
      <c r="D397">
        <v>0</v>
      </c>
      <c r="E397">
        <v>0</v>
      </c>
      <c r="F397">
        <v>0</v>
      </c>
    </row>
    <row r="398" spans="1:6" x14ac:dyDescent="0.25">
      <c r="A398">
        <v>397</v>
      </c>
      <c r="B398">
        <v>2</v>
      </c>
      <c r="C398">
        <v>0</v>
      </c>
      <c r="D398">
        <v>0</v>
      </c>
      <c r="E398">
        <v>0</v>
      </c>
      <c r="F398">
        <v>34.408200000000001</v>
      </c>
    </row>
    <row r="399" spans="1:6" x14ac:dyDescent="0.25">
      <c r="A399">
        <v>398</v>
      </c>
      <c r="B399">
        <v>10</v>
      </c>
      <c r="C399">
        <v>1</v>
      </c>
      <c r="D399">
        <v>0</v>
      </c>
      <c r="E399">
        <v>0</v>
      </c>
      <c r="F399">
        <v>5691</v>
      </c>
    </row>
    <row r="400" spans="1:6" x14ac:dyDescent="0.25">
      <c r="A400">
        <v>399</v>
      </c>
      <c r="B400" t="s">
        <v>0</v>
      </c>
      <c r="C400">
        <v>5</v>
      </c>
      <c r="D400">
        <v>3482</v>
      </c>
      <c r="E400">
        <v>79757878</v>
      </c>
    </row>
    <row r="401" spans="1:6" x14ac:dyDescent="0.25">
      <c r="A401">
        <v>400</v>
      </c>
      <c r="B401">
        <v>13</v>
      </c>
      <c r="C401">
        <v>0</v>
      </c>
      <c r="D401">
        <v>0</v>
      </c>
      <c r="E401">
        <v>0</v>
      </c>
      <c r="F401">
        <v>1602</v>
      </c>
    </row>
    <row r="402" spans="1:6" x14ac:dyDescent="0.25">
      <c r="A402">
        <v>401</v>
      </c>
      <c r="B402">
        <v>41</v>
      </c>
      <c r="C402">
        <v>0</v>
      </c>
      <c r="D402">
        <v>0</v>
      </c>
      <c r="E402">
        <v>0</v>
      </c>
      <c r="F402">
        <v>1</v>
      </c>
    </row>
    <row r="403" spans="1:6" x14ac:dyDescent="0.25">
      <c r="A403">
        <v>402</v>
      </c>
      <c r="B403">
        <v>42</v>
      </c>
      <c r="C403">
        <v>0</v>
      </c>
      <c r="D403">
        <v>0</v>
      </c>
      <c r="E403">
        <v>0</v>
      </c>
      <c r="F403">
        <v>0.2</v>
      </c>
    </row>
    <row r="404" spans="1:6" x14ac:dyDescent="0.25">
      <c r="A404">
        <v>403</v>
      </c>
      <c r="B404">
        <v>43</v>
      </c>
      <c r="C404">
        <v>0</v>
      </c>
      <c r="D404">
        <v>0</v>
      </c>
      <c r="E404">
        <v>0</v>
      </c>
      <c r="F404">
        <v>0</v>
      </c>
    </row>
    <row r="405" spans="1:6" x14ac:dyDescent="0.25">
      <c r="A405">
        <v>404</v>
      </c>
      <c r="B405">
        <v>44</v>
      </c>
      <c r="C405">
        <v>0</v>
      </c>
      <c r="D405">
        <v>0</v>
      </c>
      <c r="E405">
        <v>0</v>
      </c>
      <c r="F405">
        <v>265.59199999999998</v>
      </c>
    </row>
    <row r="406" spans="1:6" x14ac:dyDescent="0.25">
      <c r="A406">
        <v>405</v>
      </c>
      <c r="B406">
        <v>45</v>
      </c>
      <c r="C406">
        <v>0</v>
      </c>
      <c r="D406">
        <v>0</v>
      </c>
      <c r="E406">
        <v>0</v>
      </c>
      <c r="F406">
        <v>1528.12</v>
      </c>
    </row>
    <row r="407" spans="1:6" x14ac:dyDescent="0.25">
      <c r="A407">
        <v>406</v>
      </c>
      <c r="B407">
        <v>46</v>
      </c>
      <c r="C407">
        <v>0</v>
      </c>
      <c r="D407">
        <v>0</v>
      </c>
      <c r="E407">
        <v>0</v>
      </c>
      <c r="F407">
        <v>0</v>
      </c>
    </row>
    <row r="408" spans="1:6" x14ac:dyDescent="0.25">
      <c r="A408">
        <v>407</v>
      </c>
      <c r="B408">
        <v>2</v>
      </c>
      <c r="C408">
        <v>0</v>
      </c>
      <c r="D408">
        <v>0</v>
      </c>
      <c r="E408">
        <v>0</v>
      </c>
      <c r="F408">
        <v>34.408200000000001</v>
      </c>
    </row>
    <row r="409" spans="1:6" x14ac:dyDescent="0.25">
      <c r="A409">
        <v>408</v>
      </c>
      <c r="B409">
        <v>10</v>
      </c>
      <c r="C409">
        <v>1</v>
      </c>
      <c r="D409">
        <v>0</v>
      </c>
      <c r="E409">
        <v>0</v>
      </c>
      <c r="F409">
        <v>5691</v>
      </c>
    </row>
    <row r="410" spans="1:6" x14ac:dyDescent="0.25">
      <c r="A410">
        <v>409</v>
      </c>
      <c r="B410">
        <v>13</v>
      </c>
      <c r="C410">
        <v>0</v>
      </c>
      <c r="D410">
        <v>0</v>
      </c>
      <c r="E410">
        <v>0</v>
      </c>
      <c r="F410">
        <v>1602</v>
      </c>
    </row>
    <row r="411" spans="1:6" x14ac:dyDescent="0.25">
      <c r="A411">
        <v>410</v>
      </c>
      <c r="B411">
        <v>41</v>
      </c>
      <c r="C411">
        <v>0</v>
      </c>
      <c r="D411">
        <v>0</v>
      </c>
      <c r="E411">
        <v>0</v>
      </c>
      <c r="F411">
        <v>1</v>
      </c>
    </row>
    <row r="412" spans="1:6" x14ac:dyDescent="0.25">
      <c r="A412">
        <v>411</v>
      </c>
      <c r="B412">
        <v>42</v>
      </c>
      <c r="C412">
        <v>0</v>
      </c>
      <c r="D412">
        <v>0</v>
      </c>
      <c r="E412">
        <v>0</v>
      </c>
      <c r="F412">
        <v>0.2</v>
      </c>
    </row>
    <row r="413" spans="1:6" x14ac:dyDescent="0.25">
      <c r="A413">
        <v>412</v>
      </c>
      <c r="B413">
        <v>43</v>
      </c>
      <c r="C413">
        <v>0</v>
      </c>
      <c r="D413">
        <v>0</v>
      </c>
      <c r="E413">
        <v>0</v>
      </c>
      <c r="F413">
        <v>0</v>
      </c>
    </row>
    <row r="414" spans="1:6" x14ac:dyDescent="0.25">
      <c r="A414">
        <v>413</v>
      </c>
      <c r="B414">
        <v>44</v>
      </c>
      <c r="C414">
        <v>0</v>
      </c>
      <c r="D414">
        <v>0</v>
      </c>
      <c r="E414">
        <v>0</v>
      </c>
      <c r="F414">
        <v>265.59199999999998</v>
      </c>
    </row>
    <row r="415" spans="1:6" x14ac:dyDescent="0.25">
      <c r="A415">
        <v>414</v>
      </c>
      <c r="B415">
        <v>45</v>
      </c>
      <c r="C415">
        <v>0</v>
      </c>
      <c r="D415">
        <v>0</v>
      </c>
      <c r="E415">
        <v>0</v>
      </c>
      <c r="F415">
        <v>1528.12</v>
      </c>
    </row>
    <row r="416" spans="1:6" x14ac:dyDescent="0.25">
      <c r="A416">
        <v>415</v>
      </c>
      <c r="B416" t="s">
        <v>0</v>
      </c>
      <c r="C416">
        <v>6</v>
      </c>
      <c r="D416">
        <v>3482</v>
      </c>
      <c r="E416">
        <v>79758846</v>
      </c>
    </row>
    <row r="417" spans="1:6" x14ac:dyDescent="0.25">
      <c r="A417">
        <v>416</v>
      </c>
      <c r="B417">
        <v>46</v>
      </c>
      <c r="C417">
        <v>0</v>
      </c>
      <c r="D417">
        <v>0</v>
      </c>
      <c r="E417">
        <v>0</v>
      </c>
      <c r="F417">
        <v>0</v>
      </c>
    </row>
    <row r="418" spans="1:6" x14ac:dyDescent="0.25">
      <c r="A418">
        <v>417</v>
      </c>
      <c r="B418">
        <v>2</v>
      </c>
      <c r="C418">
        <v>0</v>
      </c>
      <c r="D418">
        <v>0</v>
      </c>
      <c r="E418">
        <v>0</v>
      </c>
      <c r="F418">
        <v>34.4084</v>
      </c>
    </row>
    <row r="419" spans="1:6" x14ac:dyDescent="0.25">
      <c r="A419">
        <v>418</v>
      </c>
      <c r="B419">
        <v>10</v>
      </c>
      <c r="C419">
        <v>1</v>
      </c>
      <c r="D419">
        <v>0</v>
      </c>
      <c r="E419">
        <v>0</v>
      </c>
      <c r="F419">
        <v>5691</v>
      </c>
    </row>
    <row r="420" spans="1:6" x14ac:dyDescent="0.25">
      <c r="A420">
        <v>419</v>
      </c>
      <c r="B420">
        <v>13</v>
      </c>
      <c r="C420">
        <v>0</v>
      </c>
      <c r="D420">
        <v>0</v>
      </c>
      <c r="E420">
        <v>0</v>
      </c>
      <c r="F420">
        <v>1602</v>
      </c>
    </row>
    <row r="421" spans="1:6" x14ac:dyDescent="0.25">
      <c r="A421">
        <v>420</v>
      </c>
      <c r="B421">
        <v>41</v>
      </c>
      <c r="C421">
        <v>0</v>
      </c>
      <c r="D421">
        <v>0</v>
      </c>
      <c r="E421">
        <v>0</v>
      </c>
      <c r="F421">
        <v>1</v>
      </c>
    </row>
    <row r="422" spans="1:6" x14ac:dyDescent="0.25">
      <c r="A422">
        <v>421</v>
      </c>
      <c r="B422">
        <v>42</v>
      </c>
      <c r="C422">
        <v>0</v>
      </c>
      <c r="D422">
        <v>0</v>
      </c>
      <c r="E422">
        <v>0</v>
      </c>
      <c r="F422">
        <v>0.2</v>
      </c>
    </row>
    <row r="423" spans="1:6" x14ac:dyDescent="0.25">
      <c r="A423">
        <v>422</v>
      </c>
      <c r="B423">
        <v>43</v>
      </c>
      <c r="C423">
        <v>0</v>
      </c>
      <c r="D423">
        <v>0</v>
      </c>
      <c r="E423">
        <v>0</v>
      </c>
      <c r="F423">
        <v>0</v>
      </c>
    </row>
    <row r="424" spans="1:6" x14ac:dyDescent="0.25">
      <c r="A424">
        <v>423</v>
      </c>
      <c r="B424">
        <v>44</v>
      </c>
      <c r="C424">
        <v>0</v>
      </c>
      <c r="D424">
        <v>0</v>
      </c>
      <c r="E424">
        <v>0</v>
      </c>
      <c r="F424">
        <v>265.59199999999998</v>
      </c>
    </row>
    <row r="425" spans="1:6" x14ac:dyDescent="0.25">
      <c r="A425">
        <v>424</v>
      </c>
      <c r="B425">
        <v>45</v>
      </c>
      <c r="C425">
        <v>0</v>
      </c>
      <c r="D425">
        <v>0</v>
      </c>
      <c r="E425">
        <v>0</v>
      </c>
      <c r="F425">
        <v>1528.64</v>
      </c>
    </row>
    <row r="426" spans="1:6" x14ac:dyDescent="0.25">
      <c r="A426">
        <v>425</v>
      </c>
      <c r="B426">
        <v>46</v>
      </c>
      <c r="C426">
        <v>0</v>
      </c>
      <c r="D426">
        <v>0</v>
      </c>
      <c r="E426">
        <v>0</v>
      </c>
      <c r="F426">
        <v>0</v>
      </c>
    </row>
    <row r="427" spans="1:6" x14ac:dyDescent="0.25">
      <c r="A427">
        <v>426</v>
      </c>
      <c r="B427">
        <v>2</v>
      </c>
      <c r="C427">
        <v>0</v>
      </c>
      <c r="D427">
        <v>0</v>
      </c>
      <c r="E427">
        <v>0</v>
      </c>
      <c r="F427">
        <v>34.4084</v>
      </c>
    </row>
    <row r="428" spans="1:6" x14ac:dyDescent="0.25">
      <c r="A428">
        <v>427</v>
      </c>
      <c r="B428">
        <v>10</v>
      </c>
      <c r="C428">
        <v>1</v>
      </c>
      <c r="D428">
        <v>0</v>
      </c>
      <c r="E428">
        <v>0</v>
      </c>
      <c r="F428">
        <v>5691</v>
      </c>
    </row>
    <row r="429" spans="1:6" x14ac:dyDescent="0.25">
      <c r="A429">
        <v>428</v>
      </c>
      <c r="B429">
        <v>13</v>
      </c>
      <c r="C429">
        <v>0</v>
      </c>
      <c r="D429">
        <v>0</v>
      </c>
      <c r="E429">
        <v>0</v>
      </c>
      <c r="F429">
        <v>1602</v>
      </c>
    </row>
    <row r="430" spans="1:6" x14ac:dyDescent="0.25">
      <c r="A430">
        <v>429</v>
      </c>
      <c r="B430">
        <v>41</v>
      </c>
      <c r="C430">
        <v>0</v>
      </c>
      <c r="D430">
        <v>0</v>
      </c>
      <c r="E430">
        <v>0</v>
      </c>
      <c r="F430">
        <v>1</v>
      </c>
    </row>
    <row r="431" spans="1:6" x14ac:dyDescent="0.25">
      <c r="A431">
        <v>430</v>
      </c>
      <c r="B431">
        <v>42</v>
      </c>
      <c r="C431">
        <v>0</v>
      </c>
      <c r="D431">
        <v>0</v>
      </c>
      <c r="E431">
        <v>0</v>
      </c>
      <c r="F431">
        <v>0.2</v>
      </c>
    </row>
    <row r="432" spans="1:6" x14ac:dyDescent="0.25">
      <c r="A432">
        <v>431</v>
      </c>
      <c r="B432">
        <v>43</v>
      </c>
      <c r="C432">
        <v>0</v>
      </c>
      <c r="D432">
        <v>0</v>
      </c>
      <c r="E432">
        <v>0</v>
      </c>
      <c r="F432">
        <v>0</v>
      </c>
    </row>
    <row r="433" spans="1:6" x14ac:dyDescent="0.25">
      <c r="A433">
        <v>432</v>
      </c>
      <c r="B433">
        <v>44</v>
      </c>
      <c r="C433">
        <v>0</v>
      </c>
      <c r="D433">
        <v>0</v>
      </c>
      <c r="E433">
        <v>0</v>
      </c>
      <c r="F433">
        <v>265.59199999999998</v>
      </c>
    </row>
    <row r="434" spans="1:6" x14ac:dyDescent="0.25">
      <c r="A434">
        <v>433</v>
      </c>
      <c r="B434">
        <v>45</v>
      </c>
      <c r="C434">
        <v>0</v>
      </c>
      <c r="D434">
        <v>0</v>
      </c>
      <c r="E434">
        <v>0</v>
      </c>
      <c r="F434">
        <v>1529.15</v>
      </c>
    </row>
    <row r="435" spans="1:6" x14ac:dyDescent="0.25">
      <c r="A435">
        <v>434</v>
      </c>
      <c r="B435">
        <v>46</v>
      </c>
      <c r="C435">
        <v>0</v>
      </c>
      <c r="D435">
        <v>0</v>
      </c>
      <c r="E435">
        <v>0</v>
      </c>
      <c r="F435">
        <v>0</v>
      </c>
    </row>
    <row r="436" spans="1:6" x14ac:dyDescent="0.25">
      <c r="A436">
        <v>435</v>
      </c>
      <c r="B436">
        <v>2</v>
      </c>
      <c r="C436">
        <v>0</v>
      </c>
      <c r="D436">
        <v>0</v>
      </c>
      <c r="E436">
        <v>0</v>
      </c>
      <c r="F436">
        <v>34.407800000000002</v>
      </c>
    </row>
    <row r="437" spans="1:6" x14ac:dyDescent="0.25">
      <c r="A437">
        <v>436</v>
      </c>
      <c r="B437">
        <v>10</v>
      </c>
      <c r="C437">
        <v>1</v>
      </c>
      <c r="D437">
        <v>0</v>
      </c>
      <c r="E437">
        <v>0</v>
      </c>
      <c r="F437">
        <v>5691</v>
      </c>
    </row>
    <row r="438" spans="1:6" x14ac:dyDescent="0.25">
      <c r="A438">
        <v>437</v>
      </c>
      <c r="B438">
        <v>13</v>
      </c>
      <c r="C438">
        <v>0</v>
      </c>
      <c r="D438">
        <v>0</v>
      </c>
      <c r="E438">
        <v>0</v>
      </c>
      <c r="F438">
        <v>1602</v>
      </c>
    </row>
    <row r="439" spans="1:6" x14ac:dyDescent="0.25">
      <c r="A439">
        <v>438</v>
      </c>
      <c r="B439">
        <v>41</v>
      </c>
      <c r="C439">
        <v>0</v>
      </c>
      <c r="D439">
        <v>0</v>
      </c>
      <c r="E439">
        <v>0</v>
      </c>
      <c r="F439">
        <v>1</v>
      </c>
    </row>
    <row r="440" spans="1:6" x14ac:dyDescent="0.25">
      <c r="A440">
        <v>439</v>
      </c>
      <c r="B440">
        <v>42</v>
      </c>
      <c r="C440">
        <v>0</v>
      </c>
      <c r="D440">
        <v>0</v>
      </c>
      <c r="E440">
        <v>0</v>
      </c>
      <c r="F440">
        <v>0.2</v>
      </c>
    </row>
    <row r="441" spans="1:6" x14ac:dyDescent="0.25">
      <c r="A441">
        <v>440</v>
      </c>
      <c r="B441">
        <v>43</v>
      </c>
      <c r="C441">
        <v>0</v>
      </c>
      <c r="D441">
        <v>0</v>
      </c>
      <c r="E441">
        <v>0</v>
      </c>
      <c r="F441">
        <v>0</v>
      </c>
    </row>
    <row r="442" spans="1:6" x14ac:dyDescent="0.25">
      <c r="A442">
        <v>441</v>
      </c>
      <c r="B442">
        <v>44</v>
      </c>
      <c r="C442">
        <v>0</v>
      </c>
      <c r="D442">
        <v>0</v>
      </c>
      <c r="E442">
        <v>0</v>
      </c>
      <c r="F442">
        <v>265.59199999999998</v>
      </c>
    </row>
    <row r="443" spans="1:6" x14ac:dyDescent="0.25">
      <c r="A443">
        <v>442</v>
      </c>
      <c r="B443">
        <v>45</v>
      </c>
      <c r="C443">
        <v>0</v>
      </c>
      <c r="D443">
        <v>0</v>
      </c>
      <c r="E443">
        <v>0</v>
      </c>
      <c r="F443">
        <v>1529.15</v>
      </c>
    </row>
    <row r="444" spans="1:6" x14ac:dyDescent="0.25">
      <c r="A444">
        <v>443</v>
      </c>
      <c r="B444">
        <v>46</v>
      </c>
      <c r="C444">
        <v>0</v>
      </c>
      <c r="D444">
        <v>0</v>
      </c>
      <c r="E444">
        <v>0</v>
      </c>
      <c r="F444">
        <v>0</v>
      </c>
    </row>
    <row r="445" spans="1:6" x14ac:dyDescent="0.25">
      <c r="A445">
        <v>444</v>
      </c>
      <c r="B445">
        <v>2</v>
      </c>
      <c r="C445">
        <v>0</v>
      </c>
      <c r="D445">
        <v>0</v>
      </c>
      <c r="E445">
        <v>0</v>
      </c>
      <c r="F445">
        <v>34.407800000000002</v>
      </c>
    </row>
    <row r="446" spans="1:6" x14ac:dyDescent="0.25">
      <c r="A446">
        <v>445</v>
      </c>
      <c r="B446" t="s">
        <v>0</v>
      </c>
      <c r="C446">
        <v>8</v>
      </c>
      <c r="D446">
        <v>3482</v>
      </c>
      <c r="E446">
        <v>79760781</v>
      </c>
    </row>
    <row r="447" spans="1:6" x14ac:dyDescent="0.25">
      <c r="A447">
        <v>446</v>
      </c>
      <c r="B447">
        <v>13</v>
      </c>
      <c r="C447">
        <v>0</v>
      </c>
      <c r="D447">
        <v>0</v>
      </c>
      <c r="E447">
        <v>0</v>
      </c>
      <c r="F447">
        <v>1602</v>
      </c>
    </row>
    <row r="448" spans="1:6" x14ac:dyDescent="0.25">
      <c r="A448">
        <v>447</v>
      </c>
      <c r="B448">
        <v>41</v>
      </c>
      <c r="C448">
        <v>0</v>
      </c>
      <c r="D448">
        <v>0</v>
      </c>
      <c r="E448">
        <v>0</v>
      </c>
      <c r="F448">
        <v>1</v>
      </c>
    </row>
    <row r="449" spans="1:6" x14ac:dyDescent="0.25">
      <c r="A449">
        <v>448</v>
      </c>
      <c r="B449">
        <v>42</v>
      </c>
      <c r="C449">
        <v>0</v>
      </c>
      <c r="D449">
        <v>0</v>
      </c>
      <c r="E449">
        <v>0</v>
      </c>
      <c r="F449">
        <v>0.2</v>
      </c>
    </row>
    <row r="450" spans="1:6" x14ac:dyDescent="0.25">
      <c r="A450">
        <v>449</v>
      </c>
      <c r="B450">
        <v>43</v>
      </c>
      <c r="C450">
        <v>0</v>
      </c>
      <c r="D450">
        <v>0</v>
      </c>
      <c r="E450">
        <v>0</v>
      </c>
      <c r="F450">
        <v>0</v>
      </c>
    </row>
    <row r="451" spans="1:6" x14ac:dyDescent="0.25">
      <c r="A451">
        <v>450</v>
      </c>
      <c r="B451">
        <v>44</v>
      </c>
      <c r="C451">
        <v>0</v>
      </c>
      <c r="D451">
        <v>0</v>
      </c>
      <c r="E451">
        <v>0</v>
      </c>
      <c r="F451">
        <v>265.59300000000002</v>
      </c>
    </row>
    <row r="452" spans="1:6" x14ac:dyDescent="0.25">
      <c r="A452">
        <v>451</v>
      </c>
      <c r="B452">
        <v>45</v>
      </c>
      <c r="C452">
        <v>0</v>
      </c>
      <c r="D452">
        <v>0</v>
      </c>
      <c r="E452">
        <v>0</v>
      </c>
      <c r="F452">
        <v>1529.67</v>
      </c>
    </row>
    <row r="453" spans="1:6" x14ac:dyDescent="0.25">
      <c r="A453">
        <v>452</v>
      </c>
      <c r="B453">
        <v>46</v>
      </c>
      <c r="C453">
        <v>0</v>
      </c>
      <c r="D453">
        <v>0</v>
      </c>
      <c r="E453">
        <v>0</v>
      </c>
      <c r="F453">
        <v>0</v>
      </c>
    </row>
    <row r="454" spans="1:6" x14ac:dyDescent="0.25">
      <c r="A454">
        <v>453</v>
      </c>
      <c r="B454">
        <v>2</v>
      </c>
      <c r="C454">
        <v>0</v>
      </c>
      <c r="D454">
        <v>0</v>
      </c>
      <c r="E454">
        <v>0</v>
      </c>
      <c r="F454">
        <v>34.407499999999999</v>
      </c>
    </row>
    <row r="455" spans="1:6" x14ac:dyDescent="0.25">
      <c r="A455">
        <v>454</v>
      </c>
      <c r="B455">
        <v>10</v>
      </c>
      <c r="C455">
        <v>1</v>
      </c>
      <c r="D455">
        <v>0</v>
      </c>
      <c r="E455">
        <v>0</v>
      </c>
      <c r="F455">
        <v>5691</v>
      </c>
    </row>
    <row r="456" spans="1:6" x14ac:dyDescent="0.25">
      <c r="A456">
        <v>455</v>
      </c>
      <c r="B456">
        <v>13</v>
      </c>
      <c r="C456">
        <v>0</v>
      </c>
      <c r="D456">
        <v>0</v>
      </c>
      <c r="E456">
        <v>0</v>
      </c>
      <c r="F456">
        <v>1602</v>
      </c>
    </row>
    <row r="457" spans="1:6" x14ac:dyDescent="0.25">
      <c r="A457">
        <v>456</v>
      </c>
      <c r="B457">
        <v>41</v>
      </c>
      <c r="C457">
        <v>0</v>
      </c>
      <c r="D457">
        <v>0</v>
      </c>
      <c r="E457">
        <v>0</v>
      </c>
      <c r="F457">
        <v>1</v>
      </c>
    </row>
    <row r="458" spans="1:6" x14ac:dyDescent="0.25">
      <c r="A458">
        <v>457</v>
      </c>
      <c r="B458">
        <v>42</v>
      </c>
      <c r="C458">
        <v>0</v>
      </c>
      <c r="D458">
        <v>0</v>
      </c>
      <c r="E458">
        <v>0</v>
      </c>
      <c r="F458">
        <v>0.2</v>
      </c>
    </row>
    <row r="459" spans="1:6" x14ac:dyDescent="0.25">
      <c r="A459">
        <v>458</v>
      </c>
      <c r="B459">
        <v>43</v>
      </c>
      <c r="C459">
        <v>0</v>
      </c>
      <c r="D459">
        <v>0</v>
      </c>
      <c r="E459">
        <v>0</v>
      </c>
      <c r="F459">
        <v>0</v>
      </c>
    </row>
    <row r="460" spans="1:6" x14ac:dyDescent="0.25">
      <c r="A460">
        <v>459</v>
      </c>
      <c r="B460">
        <v>44</v>
      </c>
      <c r="C460">
        <v>0</v>
      </c>
      <c r="D460">
        <v>0</v>
      </c>
      <c r="E460">
        <v>0</v>
      </c>
      <c r="F460">
        <v>265.59300000000002</v>
      </c>
    </row>
    <row r="461" spans="1:6" x14ac:dyDescent="0.25">
      <c r="A461">
        <v>460</v>
      </c>
      <c r="B461" t="s">
        <v>0</v>
      </c>
      <c r="C461">
        <v>9</v>
      </c>
      <c r="D461">
        <v>3482</v>
      </c>
      <c r="E461">
        <v>79761749</v>
      </c>
    </row>
    <row r="462" spans="1:6" x14ac:dyDescent="0.25">
      <c r="A462">
        <v>461</v>
      </c>
      <c r="B462">
        <v>46</v>
      </c>
      <c r="C462">
        <v>0</v>
      </c>
      <c r="D462">
        <v>0</v>
      </c>
      <c r="E462">
        <v>0</v>
      </c>
      <c r="F462">
        <v>0</v>
      </c>
    </row>
    <row r="463" spans="1:6" x14ac:dyDescent="0.25">
      <c r="A463">
        <v>462</v>
      </c>
      <c r="B463">
        <v>2</v>
      </c>
      <c r="C463">
        <v>0</v>
      </c>
      <c r="D463">
        <v>0</v>
      </c>
      <c r="E463">
        <v>0</v>
      </c>
      <c r="F463">
        <v>34.406999999999996</v>
      </c>
    </row>
    <row r="464" spans="1:6" x14ac:dyDescent="0.25">
      <c r="A464">
        <v>463</v>
      </c>
      <c r="B464">
        <v>10</v>
      </c>
      <c r="C464">
        <v>1</v>
      </c>
      <c r="D464">
        <v>0</v>
      </c>
      <c r="E464">
        <v>0</v>
      </c>
      <c r="F464">
        <v>5691</v>
      </c>
    </row>
    <row r="465" spans="1:6" x14ac:dyDescent="0.25">
      <c r="A465">
        <v>464</v>
      </c>
      <c r="B465">
        <v>13</v>
      </c>
      <c r="C465">
        <v>0</v>
      </c>
      <c r="D465">
        <v>0</v>
      </c>
      <c r="E465">
        <v>0</v>
      </c>
      <c r="F465">
        <v>1602</v>
      </c>
    </row>
    <row r="466" spans="1:6" x14ac:dyDescent="0.25">
      <c r="A466">
        <v>465</v>
      </c>
      <c r="B466">
        <v>41</v>
      </c>
      <c r="C466">
        <v>0</v>
      </c>
      <c r="D466">
        <v>0</v>
      </c>
      <c r="E466">
        <v>0</v>
      </c>
      <c r="F466">
        <v>1</v>
      </c>
    </row>
    <row r="467" spans="1:6" x14ac:dyDescent="0.25">
      <c r="A467">
        <v>466</v>
      </c>
      <c r="B467">
        <v>42</v>
      </c>
      <c r="C467">
        <v>0</v>
      </c>
      <c r="D467">
        <v>0</v>
      </c>
      <c r="E467">
        <v>0</v>
      </c>
      <c r="F467">
        <v>0.2</v>
      </c>
    </row>
    <row r="468" spans="1:6" x14ac:dyDescent="0.25">
      <c r="A468">
        <v>467</v>
      </c>
      <c r="B468">
        <v>43</v>
      </c>
      <c r="C468">
        <v>0</v>
      </c>
      <c r="D468">
        <v>0</v>
      </c>
      <c r="E468">
        <v>0</v>
      </c>
      <c r="F468">
        <v>0</v>
      </c>
    </row>
    <row r="469" spans="1:6" x14ac:dyDescent="0.25">
      <c r="A469">
        <v>468</v>
      </c>
      <c r="B469">
        <v>44</v>
      </c>
      <c r="C469">
        <v>0</v>
      </c>
      <c r="D469">
        <v>0</v>
      </c>
      <c r="E469">
        <v>0</v>
      </c>
      <c r="F469">
        <v>265.59300000000002</v>
      </c>
    </row>
    <row r="470" spans="1:6" x14ac:dyDescent="0.25">
      <c r="A470">
        <v>469</v>
      </c>
      <c r="B470">
        <v>45</v>
      </c>
      <c r="C470">
        <v>0</v>
      </c>
      <c r="D470">
        <v>0</v>
      </c>
      <c r="E470">
        <v>0</v>
      </c>
      <c r="F470">
        <v>1530.18</v>
      </c>
    </row>
    <row r="471" spans="1:6" x14ac:dyDescent="0.25">
      <c r="A471">
        <v>470</v>
      </c>
      <c r="B471">
        <v>46</v>
      </c>
      <c r="C471">
        <v>0</v>
      </c>
      <c r="D471">
        <v>0</v>
      </c>
      <c r="E471">
        <v>0</v>
      </c>
      <c r="F471">
        <v>0</v>
      </c>
    </row>
    <row r="472" spans="1:6" x14ac:dyDescent="0.25">
      <c r="A472">
        <v>471</v>
      </c>
      <c r="B472">
        <v>2</v>
      </c>
      <c r="C472">
        <v>0</v>
      </c>
      <c r="D472">
        <v>0</v>
      </c>
      <c r="E472">
        <v>0</v>
      </c>
      <c r="F472">
        <v>34.406999999999996</v>
      </c>
    </row>
    <row r="473" spans="1:6" x14ac:dyDescent="0.25">
      <c r="A473">
        <v>472</v>
      </c>
      <c r="B473">
        <v>10</v>
      </c>
      <c r="C473">
        <v>1</v>
      </c>
      <c r="D473">
        <v>0</v>
      </c>
      <c r="E473">
        <v>0</v>
      </c>
      <c r="F473">
        <v>5691</v>
      </c>
    </row>
    <row r="474" spans="1:6" x14ac:dyDescent="0.25">
      <c r="A474">
        <v>473</v>
      </c>
      <c r="B474">
        <v>13</v>
      </c>
      <c r="C474">
        <v>0</v>
      </c>
      <c r="D474">
        <v>0</v>
      </c>
      <c r="E474">
        <v>0</v>
      </c>
      <c r="F474">
        <v>1602</v>
      </c>
    </row>
    <row r="475" spans="1:6" x14ac:dyDescent="0.25">
      <c r="A475">
        <v>474</v>
      </c>
      <c r="B475">
        <v>41</v>
      </c>
      <c r="C475">
        <v>0</v>
      </c>
      <c r="D475">
        <v>0</v>
      </c>
      <c r="E475">
        <v>0</v>
      </c>
      <c r="F475">
        <v>1</v>
      </c>
    </row>
    <row r="476" spans="1:6" x14ac:dyDescent="0.25">
      <c r="A476">
        <v>475</v>
      </c>
      <c r="B476" t="s">
        <v>0</v>
      </c>
      <c r="C476">
        <v>10</v>
      </c>
      <c r="D476">
        <v>3482</v>
      </c>
      <c r="E476">
        <v>79762717</v>
      </c>
    </row>
    <row r="477" spans="1:6" x14ac:dyDescent="0.25">
      <c r="A477">
        <v>476</v>
      </c>
      <c r="B477">
        <v>42</v>
      </c>
      <c r="C477">
        <v>0</v>
      </c>
      <c r="D477">
        <v>0</v>
      </c>
      <c r="E477">
        <v>0</v>
      </c>
      <c r="F477">
        <v>0.2</v>
      </c>
    </row>
    <row r="478" spans="1:6" x14ac:dyDescent="0.25">
      <c r="A478">
        <v>477</v>
      </c>
      <c r="B478">
        <v>43</v>
      </c>
      <c r="C478">
        <v>0</v>
      </c>
      <c r="D478">
        <v>0</v>
      </c>
      <c r="E478">
        <v>0</v>
      </c>
      <c r="F478">
        <v>0</v>
      </c>
    </row>
    <row r="479" spans="1:6" x14ac:dyDescent="0.25">
      <c r="A479">
        <v>478</v>
      </c>
      <c r="B479">
        <v>44</v>
      </c>
      <c r="C479">
        <v>0</v>
      </c>
      <c r="D479">
        <v>0</v>
      </c>
      <c r="E479">
        <v>0</v>
      </c>
      <c r="F479">
        <v>265.59199999999998</v>
      </c>
    </row>
    <row r="480" spans="1:6" x14ac:dyDescent="0.25">
      <c r="A480">
        <v>479</v>
      </c>
      <c r="B480">
        <v>45</v>
      </c>
      <c r="C480">
        <v>0</v>
      </c>
      <c r="D480">
        <v>0</v>
      </c>
      <c r="E480">
        <v>0</v>
      </c>
      <c r="F480">
        <v>1530.7</v>
      </c>
    </row>
    <row r="481" spans="1:6" x14ac:dyDescent="0.25">
      <c r="A481">
        <v>480</v>
      </c>
      <c r="B481">
        <v>46</v>
      </c>
      <c r="C481">
        <v>0</v>
      </c>
      <c r="D481">
        <v>0</v>
      </c>
      <c r="E481">
        <v>0</v>
      </c>
      <c r="F481">
        <v>0</v>
      </c>
    </row>
    <row r="482" spans="1:6" x14ac:dyDescent="0.25">
      <c r="A482">
        <v>481</v>
      </c>
      <c r="B482">
        <v>2</v>
      </c>
      <c r="C482">
        <v>0</v>
      </c>
      <c r="D482">
        <v>0</v>
      </c>
      <c r="E482">
        <v>0</v>
      </c>
      <c r="F482">
        <v>34.408099999999997</v>
      </c>
    </row>
    <row r="483" spans="1:6" x14ac:dyDescent="0.25">
      <c r="A483">
        <v>482</v>
      </c>
      <c r="B483">
        <v>10</v>
      </c>
      <c r="C483">
        <v>1</v>
      </c>
      <c r="D483">
        <v>0</v>
      </c>
      <c r="E483">
        <v>0</v>
      </c>
      <c r="F483">
        <v>5691</v>
      </c>
    </row>
    <row r="484" spans="1:6" x14ac:dyDescent="0.25">
      <c r="A484">
        <v>483</v>
      </c>
      <c r="B484">
        <v>13</v>
      </c>
      <c r="C484">
        <v>0</v>
      </c>
      <c r="D484">
        <v>0</v>
      </c>
      <c r="E484">
        <v>0</v>
      </c>
      <c r="F484">
        <v>1602</v>
      </c>
    </row>
    <row r="485" spans="1:6" x14ac:dyDescent="0.25">
      <c r="A485">
        <v>484</v>
      </c>
      <c r="B485">
        <v>41</v>
      </c>
      <c r="C485">
        <v>0</v>
      </c>
      <c r="D485">
        <v>0</v>
      </c>
      <c r="E485">
        <v>0</v>
      </c>
      <c r="F485">
        <v>1</v>
      </c>
    </row>
    <row r="486" spans="1:6" x14ac:dyDescent="0.25">
      <c r="A486">
        <v>485</v>
      </c>
      <c r="B486">
        <v>42</v>
      </c>
      <c r="C486">
        <v>0</v>
      </c>
      <c r="D486">
        <v>0</v>
      </c>
      <c r="E486">
        <v>0</v>
      </c>
      <c r="F486">
        <v>0.2</v>
      </c>
    </row>
    <row r="487" spans="1:6" x14ac:dyDescent="0.25">
      <c r="A487">
        <v>486</v>
      </c>
      <c r="B487">
        <v>43</v>
      </c>
      <c r="C487">
        <v>0</v>
      </c>
      <c r="D487">
        <v>0</v>
      </c>
      <c r="E487">
        <v>0</v>
      </c>
      <c r="F487">
        <v>0</v>
      </c>
    </row>
    <row r="488" spans="1:6" x14ac:dyDescent="0.25">
      <c r="A488">
        <v>487</v>
      </c>
      <c r="B488">
        <v>44</v>
      </c>
      <c r="C488">
        <v>0</v>
      </c>
      <c r="D488">
        <v>0</v>
      </c>
      <c r="E488">
        <v>0</v>
      </c>
      <c r="F488">
        <v>265.59199999999998</v>
      </c>
    </row>
    <row r="489" spans="1:6" x14ac:dyDescent="0.25">
      <c r="A489">
        <v>488</v>
      </c>
      <c r="B489">
        <v>45</v>
      </c>
      <c r="C489">
        <v>0</v>
      </c>
      <c r="D489">
        <v>0</v>
      </c>
      <c r="E489">
        <v>0</v>
      </c>
      <c r="F489">
        <v>1530.7</v>
      </c>
    </row>
    <row r="490" spans="1:6" x14ac:dyDescent="0.25">
      <c r="A490">
        <v>489</v>
      </c>
      <c r="B490">
        <v>46</v>
      </c>
      <c r="C490">
        <v>0</v>
      </c>
      <c r="D490">
        <v>0</v>
      </c>
      <c r="E490">
        <v>0</v>
      </c>
      <c r="F490">
        <v>0</v>
      </c>
    </row>
    <row r="491" spans="1:6" x14ac:dyDescent="0.25">
      <c r="A491">
        <v>490</v>
      </c>
      <c r="B491">
        <v>2</v>
      </c>
      <c r="C491">
        <v>0</v>
      </c>
      <c r="D491">
        <v>0</v>
      </c>
      <c r="E491">
        <v>0</v>
      </c>
      <c r="F491">
        <v>34.408099999999997</v>
      </c>
    </row>
    <row r="492" spans="1:6" x14ac:dyDescent="0.25">
      <c r="A492">
        <v>491</v>
      </c>
      <c r="B492" t="s">
        <v>0</v>
      </c>
      <c r="C492">
        <v>11</v>
      </c>
      <c r="D492">
        <v>3482</v>
      </c>
      <c r="E492">
        <v>79763686</v>
      </c>
    </row>
    <row r="493" spans="1:6" x14ac:dyDescent="0.25">
      <c r="A493">
        <v>492</v>
      </c>
      <c r="B493">
        <v>10</v>
      </c>
      <c r="C493">
        <v>1</v>
      </c>
      <c r="D493">
        <v>0</v>
      </c>
      <c r="E493">
        <v>0</v>
      </c>
      <c r="F493">
        <v>5691</v>
      </c>
    </row>
    <row r="494" spans="1:6" x14ac:dyDescent="0.25">
      <c r="A494">
        <v>493</v>
      </c>
      <c r="B494">
        <v>13</v>
      </c>
      <c r="C494">
        <v>0</v>
      </c>
      <c r="D494">
        <v>0</v>
      </c>
      <c r="E494">
        <v>0</v>
      </c>
      <c r="F494">
        <v>1602</v>
      </c>
    </row>
    <row r="495" spans="1:6" x14ac:dyDescent="0.25">
      <c r="A495">
        <v>494</v>
      </c>
      <c r="B495">
        <v>41</v>
      </c>
      <c r="C495">
        <v>0</v>
      </c>
      <c r="D495">
        <v>0</v>
      </c>
      <c r="E495">
        <v>0</v>
      </c>
      <c r="F495">
        <v>1</v>
      </c>
    </row>
    <row r="496" spans="1:6" x14ac:dyDescent="0.25">
      <c r="A496">
        <v>495</v>
      </c>
      <c r="B496">
        <v>42</v>
      </c>
      <c r="C496">
        <v>0</v>
      </c>
      <c r="D496">
        <v>0</v>
      </c>
      <c r="E496">
        <v>0</v>
      </c>
      <c r="F496">
        <v>0.2</v>
      </c>
    </row>
    <row r="497" spans="1:6" x14ac:dyDescent="0.25">
      <c r="A497">
        <v>496</v>
      </c>
      <c r="B497">
        <v>43</v>
      </c>
      <c r="C497">
        <v>0</v>
      </c>
      <c r="D497">
        <v>0</v>
      </c>
      <c r="E497">
        <v>0</v>
      </c>
      <c r="F497">
        <v>0</v>
      </c>
    </row>
    <row r="498" spans="1:6" x14ac:dyDescent="0.25">
      <c r="A498">
        <v>497</v>
      </c>
      <c r="B498">
        <v>44</v>
      </c>
      <c r="C498">
        <v>0</v>
      </c>
      <c r="D498">
        <v>0</v>
      </c>
      <c r="E498">
        <v>0</v>
      </c>
      <c r="F498">
        <v>265.59300000000002</v>
      </c>
    </row>
    <row r="499" spans="1:6" x14ac:dyDescent="0.25">
      <c r="A499">
        <v>498</v>
      </c>
      <c r="B499">
        <v>45</v>
      </c>
      <c r="C499">
        <v>0</v>
      </c>
      <c r="D499">
        <v>0</v>
      </c>
      <c r="E499">
        <v>0</v>
      </c>
      <c r="F499">
        <v>1531.21</v>
      </c>
    </row>
    <row r="500" spans="1:6" x14ac:dyDescent="0.25">
      <c r="A500">
        <v>499</v>
      </c>
      <c r="B500">
        <v>46</v>
      </c>
      <c r="C500">
        <v>0</v>
      </c>
      <c r="D500">
        <v>0</v>
      </c>
      <c r="E500">
        <v>0</v>
      </c>
      <c r="F500">
        <v>0</v>
      </c>
    </row>
    <row r="501" spans="1:6" x14ac:dyDescent="0.25">
      <c r="A501">
        <v>500</v>
      </c>
      <c r="B501">
        <v>2</v>
      </c>
      <c r="C501">
        <v>0</v>
      </c>
      <c r="D501">
        <v>0</v>
      </c>
      <c r="E501">
        <v>0</v>
      </c>
      <c r="F501">
        <v>34.407400000000003</v>
      </c>
    </row>
    <row r="502" spans="1:6" x14ac:dyDescent="0.25">
      <c r="A502">
        <v>501</v>
      </c>
      <c r="B502">
        <v>10</v>
      </c>
      <c r="C502">
        <v>1</v>
      </c>
      <c r="D502">
        <v>0</v>
      </c>
      <c r="E502">
        <v>0</v>
      </c>
      <c r="F502">
        <v>5691</v>
      </c>
    </row>
    <row r="503" spans="1:6" x14ac:dyDescent="0.25">
      <c r="A503">
        <v>502</v>
      </c>
      <c r="B503">
        <v>13</v>
      </c>
      <c r="C503">
        <v>0</v>
      </c>
      <c r="D503">
        <v>0</v>
      </c>
      <c r="E503">
        <v>0</v>
      </c>
      <c r="F503">
        <v>1602</v>
      </c>
    </row>
    <row r="504" spans="1:6" x14ac:dyDescent="0.25">
      <c r="A504">
        <v>503</v>
      </c>
      <c r="B504">
        <v>41</v>
      </c>
      <c r="C504">
        <v>0</v>
      </c>
      <c r="D504">
        <v>0</v>
      </c>
      <c r="E504">
        <v>0</v>
      </c>
      <c r="F504">
        <v>1</v>
      </c>
    </row>
    <row r="505" spans="1:6" x14ac:dyDescent="0.25">
      <c r="A505">
        <v>504</v>
      </c>
      <c r="B505">
        <v>42</v>
      </c>
      <c r="C505">
        <v>0</v>
      </c>
      <c r="D505">
        <v>0</v>
      </c>
      <c r="E505">
        <v>0</v>
      </c>
      <c r="F505">
        <v>0.2</v>
      </c>
    </row>
    <row r="506" spans="1:6" x14ac:dyDescent="0.25">
      <c r="A506">
        <v>505</v>
      </c>
      <c r="B506">
        <v>43</v>
      </c>
      <c r="C506">
        <v>0</v>
      </c>
      <c r="D506">
        <v>0</v>
      </c>
      <c r="E506">
        <v>0</v>
      </c>
      <c r="F506">
        <v>0</v>
      </c>
    </row>
    <row r="507" spans="1:6" x14ac:dyDescent="0.25">
      <c r="A507">
        <v>506</v>
      </c>
      <c r="B507">
        <v>44</v>
      </c>
      <c r="C507">
        <v>0</v>
      </c>
      <c r="D507">
        <v>0</v>
      </c>
      <c r="E507">
        <v>0</v>
      </c>
      <c r="F507">
        <v>265.59300000000002</v>
      </c>
    </row>
    <row r="508" spans="1:6" x14ac:dyDescent="0.25">
      <c r="A508">
        <v>507</v>
      </c>
      <c r="B508">
        <v>45</v>
      </c>
      <c r="C508">
        <v>0</v>
      </c>
      <c r="D508">
        <v>0</v>
      </c>
      <c r="E508">
        <v>0</v>
      </c>
      <c r="F508">
        <v>1531.73</v>
      </c>
    </row>
    <row r="509" spans="1:6" x14ac:dyDescent="0.25">
      <c r="A509">
        <v>508</v>
      </c>
      <c r="B509">
        <v>46</v>
      </c>
      <c r="C509">
        <v>0</v>
      </c>
      <c r="D509">
        <v>0</v>
      </c>
      <c r="E509">
        <v>0</v>
      </c>
      <c r="F509">
        <v>0</v>
      </c>
    </row>
    <row r="510" spans="1:6" x14ac:dyDescent="0.25">
      <c r="A510">
        <v>509</v>
      </c>
      <c r="B510">
        <v>2</v>
      </c>
      <c r="C510">
        <v>0</v>
      </c>
      <c r="D510">
        <v>0</v>
      </c>
      <c r="E510">
        <v>0</v>
      </c>
      <c r="F510">
        <v>34.407699999999998</v>
      </c>
    </row>
    <row r="511" spans="1:6" x14ac:dyDescent="0.25">
      <c r="A511">
        <v>510</v>
      </c>
      <c r="B511">
        <v>10</v>
      </c>
      <c r="C511">
        <v>1</v>
      </c>
      <c r="D511">
        <v>0</v>
      </c>
      <c r="E511">
        <v>0</v>
      </c>
      <c r="F511">
        <v>5691</v>
      </c>
    </row>
    <row r="512" spans="1:6" x14ac:dyDescent="0.25">
      <c r="A512">
        <v>511</v>
      </c>
      <c r="B512">
        <v>13</v>
      </c>
      <c r="C512">
        <v>0</v>
      </c>
      <c r="D512">
        <v>0</v>
      </c>
      <c r="E512">
        <v>0</v>
      </c>
      <c r="F512">
        <v>1602</v>
      </c>
    </row>
    <row r="513" spans="1:6" x14ac:dyDescent="0.25">
      <c r="A513">
        <v>512</v>
      </c>
      <c r="B513">
        <v>41</v>
      </c>
      <c r="C513">
        <v>0</v>
      </c>
      <c r="D513">
        <v>0</v>
      </c>
      <c r="E513">
        <v>0</v>
      </c>
      <c r="F513">
        <v>1</v>
      </c>
    </row>
    <row r="514" spans="1:6" x14ac:dyDescent="0.25">
      <c r="A514">
        <v>513</v>
      </c>
      <c r="B514">
        <v>42</v>
      </c>
      <c r="C514">
        <v>0</v>
      </c>
      <c r="D514">
        <v>0</v>
      </c>
      <c r="E514">
        <v>0</v>
      </c>
      <c r="F514">
        <v>0.2</v>
      </c>
    </row>
    <row r="515" spans="1:6" x14ac:dyDescent="0.25">
      <c r="A515">
        <v>514</v>
      </c>
      <c r="B515">
        <v>43</v>
      </c>
      <c r="C515">
        <v>0</v>
      </c>
      <c r="D515">
        <v>0</v>
      </c>
      <c r="E515">
        <v>0</v>
      </c>
      <c r="F515">
        <v>0</v>
      </c>
    </row>
    <row r="516" spans="1:6" x14ac:dyDescent="0.25">
      <c r="A516">
        <v>515</v>
      </c>
      <c r="B516">
        <v>44</v>
      </c>
      <c r="C516">
        <v>0</v>
      </c>
      <c r="D516">
        <v>0</v>
      </c>
      <c r="E516">
        <v>0</v>
      </c>
      <c r="F516">
        <v>265.59199999999998</v>
      </c>
    </row>
    <row r="517" spans="1:6" x14ac:dyDescent="0.25">
      <c r="A517">
        <v>516</v>
      </c>
      <c r="B517">
        <v>45</v>
      </c>
      <c r="C517">
        <v>0</v>
      </c>
      <c r="D517">
        <v>0</v>
      </c>
      <c r="E517">
        <v>0</v>
      </c>
      <c r="F517">
        <v>1531.73</v>
      </c>
    </row>
    <row r="518" spans="1:6" x14ac:dyDescent="0.25">
      <c r="A518">
        <v>517</v>
      </c>
      <c r="B518">
        <v>46</v>
      </c>
      <c r="C518">
        <v>0</v>
      </c>
      <c r="D518">
        <v>0</v>
      </c>
      <c r="E518">
        <v>0</v>
      </c>
      <c r="F518">
        <v>0</v>
      </c>
    </row>
    <row r="519" spans="1:6" x14ac:dyDescent="0.25">
      <c r="A519">
        <v>518</v>
      </c>
      <c r="B519">
        <v>2</v>
      </c>
      <c r="C519">
        <v>0</v>
      </c>
      <c r="D519">
        <v>0</v>
      </c>
      <c r="E519">
        <v>0</v>
      </c>
      <c r="F519">
        <v>34.407699999999998</v>
      </c>
    </row>
    <row r="520" spans="1:6" x14ac:dyDescent="0.25">
      <c r="A520">
        <v>519</v>
      </c>
      <c r="B520">
        <v>10</v>
      </c>
      <c r="C520">
        <v>1</v>
      </c>
      <c r="D520">
        <v>0</v>
      </c>
      <c r="E520">
        <v>0</v>
      </c>
      <c r="F520">
        <v>5691</v>
      </c>
    </row>
    <row r="521" spans="1:6" x14ac:dyDescent="0.25">
      <c r="A521">
        <v>520</v>
      </c>
      <c r="B521">
        <v>13</v>
      </c>
      <c r="C521">
        <v>0</v>
      </c>
      <c r="D521">
        <v>0</v>
      </c>
      <c r="E521">
        <v>0</v>
      </c>
      <c r="F521">
        <v>1602</v>
      </c>
    </row>
    <row r="522" spans="1:6" x14ac:dyDescent="0.25">
      <c r="A522">
        <v>521</v>
      </c>
      <c r="B522" t="s">
        <v>0</v>
      </c>
      <c r="C522">
        <v>13</v>
      </c>
      <c r="D522">
        <v>3482</v>
      </c>
      <c r="E522">
        <v>79765622</v>
      </c>
    </row>
    <row r="523" spans="1:6" x14ac:dyDescent="0.25">
      <c r="A523">
        <v>522</v>
      </c>
      <c r="B523">
        <v>42</v>
      </c>
      <c r="C523">
        <v>0</v>
      </c>
      <c r="D523">
        <v>0</v>
      </c>
      <c r="E523">
        <v>0</v>
      </c>
      <c r="F523">
        <v>0.2</v>
      </c>
    </row>
    <row r="524" spans="1:6" x14ac:dyDescent="0.25">
      <c r="A524">
        <v>523</v>
      </c>
      <c r="B524">
        <v>43</v>
      </c>
      <c r="C524">
        <v>0</v>
      </c>
      <c r="D524">
        <v>0</v>
      </c>
      <c r="E524">
        <v>0</v>
      </c>
      <c r="F524">
        <v>0</v>
      </c>
    </row>
    <row r="525" spans="1:6" x14ac:dyDescent="0.25">
      <c r="A525">
        <v>524</v>
      </c>
      <c r="B525">
        <v>44</v>
      </c>
      <c r="C525">
        <v>0</v>
      </c>
      <c r="D525">
        <v>0</v>
      </c>
      <c r="E525">
        <v>0</v>
      </c>
      <c r="F525">
        <v>265.59199999999998</v>
      </c>
    </row>
    <row r="526" spans="1:6" x14ac:dyDescent="0.25">
      <c r="A526">
        <v>525</v>
      </c>
      <c r="B526">
        <v>45</v>
      </c>
      <c r="C526">
        <v>0</v>
      </c>
      <c r="D526">
        <v>0</v>
      </c>
      <c r="E526">
        <v>0</v>
      </c>
      <c r="F526">
        <v>1532.24</v>
      </c>
    </row>
    <row r="527" spans="1:6" x14ac:dyDescent="0.25">
      <c r="A527">
        <v>526</v>
      </c>
      <c r="B527">
        <v>46</v>
      </c>
      <c r="C527">
        <v>0</v>
      </c>
      <c r="D527">
        <v>0</v>
      </c>
      <c r="E527">
        <v>0</v>
      </c>
      <c r="F527">
        <v>0</v>
      </c>
    </row>
    <row r="528" spans="1:6" x14ac:dyDescent="0.25">
      <c r="A528">
        <v>527</v>
      </c>
      <c r="B528">
        <v>2</v>
      </c>
      <c r="C528">
        <v>0</v>
      </c>
      <c r="D528">
        <v>0</v>
      </c>
      <c r="E528">
        <v>0</v>
      </c>
      <c r="F528">
        <v>34.407899999999998</v>
      </c>
    </row>
    <row r="529" spans="1:6" x14ac:dyDescent="0.25">
      <c r="A529">
        <v>528</v>
      </c>
      <c r="B529">
        <v>10</v>
      </c>
      <c r="C529">
        <v>1</v>
      </c>
      <c r="D529">
        <v>0</v>
      </c>
      <c r="E529">
        <v>0</v>
      </c>
      <c r="F529">
        <v>5691</v>
      </c>
    </row>
    <row r="530" spans="1:6" x14ac:dyDescent="0.25">
      <c r="A530">
        <v>529</v>
      </c>
      <c r="B530">
        <v>13</v>
      </c>
      <c r="C530">
        <v>0</v>
      </c>
      <c r="D530">
        <v>0</v>
      </c>
      <c r="E530">
        <v>0</v>
      </c>
      <c r="F530">
        <v>1602</v>
      </c>
    </row>
    <row r="531" spans="1:6" x14ac:dyDescent="0.25">
      <c r="A531">
        <v>530</v>
      </c>
      <c r="B531">
        <v>41</v>
      </c>
      <c r="C531">
        <v>0</v>
      </c>
      <c r="D531">
        <v>0</v>
      </c>
      <c r="E531">
        <v>0</v>
      </c>
      <c r="F531">
        <v>1</v>
      </c>
    </row>
    <row r="532" spans="1:6" x14ac:dyDescent="0.25">
      <c r="A532">
        <v>531</v>
      </c>
      <c r="B532">
        <v>42</v>
      </c>
      <c r="C532">
        <v>0</v>
      </c>
      <c r="D532">
        <v>0</v>
      </c>
      <c r="E532">
        <v>0</v>
      </c>
      <c r="F532">
        <v>0.2</v>
      </c>
    </row>
    <row r="533" spans="1:6" x14ac:dyDescent="0.25">
      <c r="A533">
        <v>532</v>
      </c>
      <c r="B533">
        <v>43</v>
      </c>
      <c r="C533">
        <v>0</v>
      </c>
      <c r="D533">
        <v>0</v>
      </c>
      <c r="E533">
        <v>0</v>
      </c>
      <c r="F533">
        <v>0</v>
      </c>
    </row>
    <row r="534" spans="1:6" x14ac:dyDescent="0.25">
      <c r="A534">
        <v>533</v>
      </c>
      <c r="B534">
        <v>44</v>
      </c>
      <c r="C534">
        <v>0</v>
      </c>
      <c r="D534">
        <v>0</v>
      </c>
      <c r="E534">
        <v>0</v>
      </c>
      <c r="F534">
        <v>265.59199999999998</v>
      </c>
    </row>
    <row r="535" spans="1:6" x14ac:dyDescent="0.25">
      <c r="A535">
        <v>534</v>
      </c>
      <c r="B535">
        <v>45</v>
      </c>
      <c r="C535">
        <v>0</v>
      </c>
      <c r="D535">
        <v>0</v>
      </c>
      <c r="E535">
        <v>0</v>
      </c>
      <c r="F535">
        <v>1532.24</v>
      </c>
    </row>
    <row r="536" spans="1:6" x14ac:dyDescent="0.25">
      <c r="A536">
        <v>535</v>
      </c>
      <c r="B536">
        <v>46</v>
      </c>
      <c r="C536">
        <v>0</v>
      </c>
      <c r="D536">
        <v>0</v>
      </c>
      <c r="E536">
        <v>0</v>
      </c>
      <c r="F536">
        <v>0</v>
      </c>
    </row>
    <row r="537" spans="1:6" x14ac:dyDescent="0.25">
      <c r="A537">
        <v>536</v>
      </c>
      <c r="B537" t="s">
        <v>0</v>
      </c>
      <c r="C537">
        <v>14</v>
      </c>
      <c r="D537">
        <v>3482</v>
      </c>
      <c r="E537">
        <v>79766590</v>
      </c>
    </row>
    <row r="538" spans="1:6" x14ac:dyDescent="0.25">
      <c r="A538">
        <v>537</v>
      </c>
      <c r="B538">
        <v>10</v>
      </c>
      <c r="C538">
        <v>1</v>
      </c>
      <c r="D538">
        <v>0</v>
      </c>
      <c r="E538">
        <v>0</v>
      </c>
      <c r="F538">
        <v>5691</v>
      </c>
    </row>
    <row r="539" spans="1:6" x14ac:dyDescent="0.25">
      <c r="A539">
        <v>538</v>
      </c>
      <c r="B539">
        <v>13</v>
      </c>
      <c r="C539">
        <v>0</v>
      </c>
      <c r="D539">
        <v>0</v>
      </c>
      <c r="E539">
        <v>0</v>
      </c>
      <c r="F539">
        <v>1602</v>
      </c>
    </row>
    <row r="540" spans="1:6" x14ac:dyDescent="0.25">
      <c r="A540">
        <v>539</v>
      </c>
      <c r="B540">
        <v>41</v>
      </c>
      <c r="C540">
        <v>0</v>
      </c>
      <c r="D540">
        <v>0</v>
      </c>
      <c r="E540">
        <v>0</v>
      </c>
      <c r="F540">
        <v>1</v>
      </c>
    </row>
    <row r="541" spans="1:6" x14ac:dyDescent="0.25">
      <c r="A541">
        <v>540</v>
      </c>
      <c r="B541">
        <v>42</v>
      </c>
      <c r="C541">
        <v>0</v>
      </c>
      <c r="D541">
        <v>0</v>
      </c>
      <c r="E541">
        <v>0</v>
      </c>
      <c r="F541">
        <v>0.2</v>
      </c>
    </row>
    <row r="542" spans="1:6" x14ac:dyDescent="0.25">
      <c r="A542">
        <v>541</v>
      </c>
      <c r="B542">
        <v>43</v>
      </c>
      <c r="C542">
        <v>0</v>
      </c>
      <c r="D542">
        <v>0</v>
      </c>
      <c r="E542">
        <v>0</v>
      </c>
      <c r="F542">
        <v>0</v>
      </c>
    </row>
    <row r="543" spans="1:6" x14ac:dyDescent="0.25">
      <c r="A543">
        <v>542</v>
      </c>
      <c r="B543">
        <v>44</v>
      </c>
      <c r="C543">
        <v>0</v>
      </c>
      <c r="D543">
        <v>0</v>
      </c>
      <c r="E543">
        <v>0</v>
      </c>
      <c r="F543">
        <v>265.59199999999998</v>
      </c>
    </row>
    <row r="544" spans="1:6" x14ac:dyDescent="0.25">
      <c r="A544">
        <v>543</v>
      </c>
      <c r="B544">
        <v>45</v>
      </c>
      <c r="C544">
        <v>0</v>
      </c>
      <c r="D544">
        <v>0</v>
      </c>
      <c r="E544">
        <v>0</v>
      </c>
      <c r="F544">
        <v>1532.75</v>
      </c>
    </row>
    <row r="545" spans="1:6" x14ac:dyDescent="0.25">
      <c r="A545">
        <v>544</v>
      </c>
      <c r="B545">
        <v>46</v>
      </c>
      <c r="C545">
        <v>0</v>
      </c>
      <c r="D545">
        <v>0</v>
      </c>
      <c r="E545">
        <v>0</v>
      </c>
      <c r="F545">
        <v>0</v>
      </c>
    </row>
    <row r="546" spans="1:6" x14ac:dyDescent="0.25">
      <c r="A546">
        <v>545</v>
      </c>
      <c r="B546">
        <v>2</v>
      </c>
      <c r="C546">
        <v>0</v>
      </c>
      <c r="D546">
        <v>0</v>
      </c>
      <c r="E546">
        <v>0</v>
      </c>
      <c r="F546">
        <v>34.407600000000002</v>
      </c>
    </row>
    <row r="547" spans="1:6" x14ac:dyDescent="0.25">
      <c r="A547">
        <v>546</v>
      </c>
      <c r="B547">
        <v>10</v>
      </c>
      <c r="C547">
        <v>1</v>
      </c>
      <c r="D547">
        <v>0</v>
      </c>
      <c r="E547">
        <v>0</v>
      </c>
      <c r="F547">
        <v>5691</v>
      </c>
    </row>
    <row r="548" spans="1:6" x14ac:dyDescent="0.25">
      <c r="A548">
        <v>547</v>
      </c>
      <c r="B548">
        <v>13</v>
      </c>
      <c r="C548">
        <v>0</v>
      </c>
      <c r="D548">
        <v>0</v>
      </c>
      <c r="E548">
        <v>0</v>
      </c>
      <c r="F548">
        <v>1602</v>
      </c>
    </row>
    <row r="549" spans="1:6" x14ac:dyDescent="0.25">
      <c r="A549">
        <v>548</v>
      </c>
      <c r="B549">
        <v>41</v>
      </c>
      <c r="C549">
        <v>0</v>
      </c>
      <c r="D549">
        <v>0</v>
      </c>
      <c r="E549">
        <v>0</v>
      </c>
      <c r="F549">
        <v>1</v>
      </c>
    </row>
    <row r="550" spans="1:6" x14ac:dyDescent="0.25">
      <c r="A550">
        <v>549</v>
      </c>
      <c r="B550">
        <v>42</v>
      </c>
      <c r="C550">
        <v>0</v>
      </c>
      <c r="D550">
        <v>0</v>
      </c>
      <c r="E550">
        <v>0</v>
      </c>
      <c r="F550">
        <v>0.2</v>
      </c>
    </row>
    <row r="551" spans="1:6" x14ac:dyDescent="0.25">
      <c r="A551">
        <v>550</v>
      </c>
      <c r="B551">
        <v>43</v>
      </c>
      <c r="C551">
        <v>0</v>
      </c>
      <c r="D551">
        <v>0</v>
      </c>
      <c r="E551">
        <v>0</v>
      </c>
      <c r="F551">
        <v>0</v>
      </c>
    </row>
    <row r="552" spans="1:6" x14ac:dyDescent="0.25">
      <c r="A552">
        <v>551</v>
      </c>
      <c r="B552" t="s">
        <v>0</v>
      </c>
      <c r="C552">
        <v>15</v>
      </c>
      <c r="D552">
        <v>3482</v>
      </c>
      <c r="E552">
        <v>79767559</v>
      </c>
    </row>
    <row r="553" spans="1:6" x14ac:dyDescent="0.25">
      <c r="A553">
        <v>552</v>
      </c>
      <c r="B553">
        <v>44</v>
      </c>
      <c r="C553">
        <v>0</v>
      </c>
      <c r="D553">
        <v>0</v>
      </c>
      <c r="E553">
        <v>0</v>
      </c>
      <c r="F553">
        <v>265.59300000000002</v>
      </c>
    </row>
    <row r="554" spans="1:6" x14ac:dyDescent="0.25">
      <c r="A554">
        <v>553</v>
      </c>
      <c r="B554">
        <v>45</v>
      </c>
      <c r="C554">
        <v>0</v>
      </c>
      <c r="D554">
        <v>0</v>
      </c>
      <c r="E554">
        <v>0</v>
      </c>
      <c r="F554">
        <v>1533.27</v>
      </c>
    </row>
    <row r="555" spans="1:6" x14ac:dyDescent="0.25">
      <c r="A555">
        <v>554</v>
      </c>
      <c r="B555">
        <v>46</v>
      </c>
      <c r="C555">
        <v>0</v>
      </c>
      <c r="D555">
        <v>0</v>
      </c>
      <c r="E555">
        <v>0</v>
      </c>
      <c r="F555">
        <v>0</v>
      </c>
    </row>
    <row r="556" spans="1:6" x14ac:dyDescent="0.25">
      <c r="A556">
        <v>555</v>
      </c>
      <c r="B556">
        <v>2</v>
      </c>
      <c r="C556">
        <v>0</v>
      </c>
      <c r="D556">
        <v>0</v>
      </c>
      <c r="E556">
        <v>0</v>
      </c>
      <c r="F556">
        <v>34.406799999999997</v>
      </c>
    </row>
    <row r="557" spans="1:6" x14ac:dyDescent="0.25">
      <c r="A557">
        <v>556</v>
      </c>
      <c r="B557">
        <v>10</v>
      </c>
      <c r="C557">
        <v>1</v>
      </c>
      <c r="D557">
        <v>0</v>
      </c>
      <c r="E557">
        <v>0</v>
      </c>
      <c r="F557">
        <v>5691</v>
      </c>
    </row>
    <row r="558" spans="1:6" x14ac:dyDescent="0.25">
      <c r="A558">
        <v>557</v>
      </c>
      <c r="B558">
        <v>13</v>
      </c>
      <c r="C558">
        <v>0</v>
      </c>
      <c r="D558">
        <v>0</v>
      </c>
      <c r="E558">
        <v>0</v>
      </c>
      <c r="F558">
        <v>1602</v>
      </c>
    </row>
    <row r="559" spans="1:6" x14ac:dyDescent="0.25">
      <c r="A559">
        <v>558</v>
      </c>
      <c r="B559">
        <v>41</v>
      </c>
      <c r="C559">
        <v>0</v>
      </c>
      <c r="D559">
        <v>0</v>
      </c>
      <c r="E559">
        <v>0</v>
      </c>
      <c r="F559">
        <v>1</v>
      </c>
    </row>
    <row r="560" spans="1:6" x14ac:dyDescent="0.25">
      <c r="A560">
        <v>559</v>
      </c>
      <c r="B560">
        <v>42</v>
      </c>
      <c r="C560">
        <v>0</v>
      </c>
      <c r="D560">
        <v>0</v>
      </c>
      <c r="E560">
        <v>0</v>
      </c>
      <c r="F560">
        <v>0.2</v>
      </c>
    </row>
    <row r="561" spans="1:6" x14ac:dyDescent="0.25">
      <c r="A561">
        <v>560</v>
      </c>
      <c r="B561">
        <v>43</v>
      </c>
      <c r="C561">
        <v>0</v>
      </c>
      <c r="D561">
        <v>0</v>
      </c>
      <c r="E561">
        <v>0</v>
      </c>
      <c r="F561">
        <v>0</v>
      </c>
    </row>
    <row r="562" spans="1:6" x14ac:dyDescent="0.25">
      <c r="A562">
        <v>561</v>
      </c>
      <c r="B562">
        <v>44</v>
      </c>
      <c r="C562">
        <v>0</v>
      </c>
      <c r="D562">
        <v>0</v>
      </c>
      <c r="E562">
        <v>0</v>
      </c>
      <c r="F562">
        <v>265.59300000000002</v>
      </c>
    </row>
    <row r="563" spans="1:6" x14ac:dyDescent="0.25">
      <c r="A563">
        <v>562</v>
      </c>
      <c r="B563">
        <v>45</v>
      </c>
      <c r="C563">
        <v>0</v>
      </c>
      <c r="D563">
        <v>0</v>
      </c>
      <c r="E563">
        <v>0</v>
      </c>
      <c r="F563">
        <v>1533.27</v>
      </c>
    </row>
    <row r="564" spans="1:6" x14ac:dyDescent="0.25">
      <c r="A564">
        <v>563</v>
      </c>
      <c r="B564">
        <v>46</v>
      </c>
      <c r="C564">
        <v>0</v>
      </c>
      <c r="D564">
        <v>0</v>
      </c>
      <c r="E564">
        <v>0</v>
      </c>
      <c r="F564">
        <v>0</v>
      </c>
    </row>
    <row r="565" spans="1:6" x14ac:dyDescent="0.25">
      <c r="A565">
        <v>564</v>
      </c>
      <c r="B565">
        <v>2</v>
      </c>
      <c r="C565">
        <v>0</v>
      </c>
      <c r="D565">
        <v>0</v>
      </c>
      <c r="E565">
        <v>0</v>
      </c>
      <c r="F565">
        <v>34.406799999999997</v>
      </c>
    </row>
    <row r="566" spans="1:6" x14ac:dyDescent="0.25">
      <c r="A566">
        <v>565</v>
      </c>
      <c r="B566">
        <v>10</v>
      </c>
      <c r="C566">
        <v>1</v>
      </c>
      <c r="D566">
        <v>0</v>
      </c>
      <c r="E566">
        <v>0</v>
      </c>
      <c r="F566">
        <v>5691</v>
      </c>
    </row>
    <row r="567" spans="1:6" x14ac:dyDescent="0.25">
      <c r="A567">
        <v>566</v>
      </c>
      <c r="B567">
        <v>13</v>
      </c>
      <c r="C567">
        <v>0</v>
      </c>
      <c r="D567">
        <v>0</v>
      </c>
      <c r="E567">
        <v>0</v>
      </c>
      <c r="F567">
        <v>1602</v>
      </c>
    </row>
    <row r="568" spans="1:6" x14ac:dyDescent="0.25">
      <c r="A568">
        <v>567</v>
      </c>
      <c r="B568" t="s">
        <v>0</v>
      </c>
      <c r="C568">
        <v>16</v>
      </c>
      <c r="D568">
        <v>3482</v>
      </c>
      <c r="E568">
        <v>79768527</v>
      </c>
    </row>
    <row r="569" spans="1:6" x14ac:dyDescent="0.25">
      <c r="A569">
        <v>568</v>
      </c>
      <c r="B569">
        <v>41</v>
      </c>
      <c r="C569">
        <v>0</v>
      </c>
      <c r="D569">
        <v>0</v>
      </c>
      <c r="E569">
        <v>0</v>
      </c>
      <c r="F569">
        <v>1</v>
      </c>
    </row>
    <row r="570" spans="1:6" x14ac:dyDescent="0.25">
      <c r="A570">
        <v>569</v>
      </c>
      <c r="B570">
        <v>42</v>
      </c>
      <c r="C570">
        <v>0</v>
      </c>
      <c r="D570">
        <v>0</v>
      </c>
      <c r="E570">
        <v>0</v>
      </c>
      <c r="F570">
        <v>0.2</v>
      </c>
    </row>
    <row r="571" spans="1:6" x14ac:dyDescent="0.25">
      <c r="A571">
        <v>570</v>
      </c>
      <c r="B571">
        <v>43</v>
      </c>
      <c r="C571">
        <v>0</v>
      </c>
      <c r="D571">
        <v>0</v>
      </c>
      <c r="E571">
        <v>0</v>
      </c>
      <c r="F571">
        <v>0</v>
      </c>
    </row>
    <row r="572" spans="1:6" x14ac:dyDescent="0.25">
      <c r="A572">
        <v>571</v>
      </c>
      <c r="B572">
        <v>44</v>
      </c>
      <c r="C572">
        <v>0</v>
      </c>
      <c r="D572">
        <v>0</v>
      </c>
      <c r="E572">
        <v>0</v>
      </c>
      <c r="F572">
        <v>265.59300000000002</v>
      </c>
    </row>
    <row r="573" spans="1:6" x14ac:dyDescent="0.25">
      <c r="A573">
        <v>572</v>
      </c>
      <c r="B573">
        <v>45</v>
      </c>
      <c r="C573">
        <v>0</v>
      </c>
      <c r="D573">
        <v>0</v>
      </c>
      <c r="E573">
        <v>0</v>
      </c>
      <c r="F573">
        <v>1533.78</v>
      </c>
    </row>
    <row r="574" spans="1:6" x14ac:dyDescent="0.25">
      <c r="A574">
        <v>573</v>
      </c>
      <c r="B574">
        <v>46</v>
      </c>
      <c r="C574">
        <v>0</v>
      </c>
      <c r="D574">
        <v>0</v>
      </c>
      <c r="E574">
        <v>0</v>
      </c>
      <c r="F574">
        <v>0</v>
      </c>
    </row>
    <row r="575" spans="1:6" x14ac:dyDescent="0.25">
      <c r="A575">
        <v>574</v>
      </c>
      <c r="B575">
        <v>2</v>
      </c>
      <c r="C575">
        <v>0</v>
      </c>
      <c r="D575">
        <v>0</v>
      </c>
      <c r="E575">
        <v>0</v>
      </c>
      <c r="F575">
        <v>34.4069</v>
      </c>
    </row>
    <row r="576" spans="1:6" x14ac:dyDescent="0.25">
      <c r="A576">
        <v>575</v>
      </c>
      <c r="B576">
        <v>10</v>
      </c>
      <c r="C576">
        <v>1</v>
      </c>
      <c r="D576">
        <v>0</v>
      </c>
      <c r="E576">
        <v>0</v>
      </c>
      <c r="F576">
        <v>5691</v>
      </c>
    </row>
    <row r="577" spans="1:6" x14ac:dyDescent="0.25">
      <c r="A577">
        <v>576</v>
      </c>
      <c r="B577">
        <v>13</v>
      </c>
      <c r="C577">
        <v>0</v>
      </c>
      <c r="D577">
        <v>0</v>
      </c>
      <c r="E577">
        <v>0</v>
      </c>
      <c r="F577">
        <v>1602</v>
      </c>
    </row>
    <row r="578" spans="1:6" x14ac:dyDescent="0.25">
      <c r="A578">
        <v>577</v>
      </c>
      <c r="B578">
        <v>41</v>
      </c>
      <c r="C578">
        <v>0</v>
      </c>
      <c r="D578">
        <v>0</v>
      </c>
      <c r="E578">
        <v>0</v>
      </c>
      <c r="F578">
        <v>1</v>
      </c>
    </row>
    <row r="579" spans="1:6" x14ac:dyDescent="0.25">
      <c r="A579">
        <v>578</v>
      </c>
      <c r="B579">
        <v>42</v>
      </c>
      <c r="C579">
        <v>0</v>
      </c>
      <c r="D579">
        <v>0</v>
      </c>
      <c r="E579">
        <v>0</v>
      </c>
      <c r="F579">
        <v>0.2</v>
      </c>
    </row>
    <row r="580" spans="1:6" x14ac:dyDescent="0.25">
      <c r="A580">
        <v>579</v>
      </c>
      <c r="B580">
        <v>43</v>
      </c>
      <c r="C580">
        <v>0</v>
      </c>
      <c r="D580">
        <v>0</v>
      </c>
      <c r="E580">
        <v>0</v>
      </c>
      <c r="F580">
        <v>0</v>
      </c>
    </row>
    <row r="581" spans="1:6" x14ac:dyDescent="0.25">
      <c r="A581">
        <v>580</v>
      </c>
      <c r="B581">
        <v>44</v>
      </c>
      <c r="C581">
        <v>0</v>
      </c>
      <c r="D581">
        <v>0</v>
      </c>
      <c r="E581">
        <v>0</v>
      </c>
      <c r="F581">
        <v>265.59300000000002</v>
      </c>
    </row>
    <row r="582" spans="1:6" x14ac:dyDescent="0.25">
      <c r="A582">
        <v>581</v>
      </c>
      <c r="B582">
        <v>45</v>
      </c>
      <c r="C582">
        <v>0</v>
      </c>
      <c r="D582">
        <v>0</v>
      </c>
      <c r="E582">
        <v>0</v>
      </c>
      <c r="F582">
        <v>1533.78</v>
      </c>
    </row>
    <row r="583" spans="1:6" x14ac:dyDescent="0.25">
      <c r="A583">
        <v>582</v>
      </c>
      <c r="B583">
        <v>46</v>
      </c>
      <c r="C583">
        <v>0</v>
      </c>
      <c r="D583">
        <v>0</v>
      </c>
      <c r="E583">
        <v>0</v>
      </c>
      <c r="F583">
        <v>0</v>
      </c>
    </row>
    <row r="584" spans="1:6" x14ac:dyDescent="0.25">
      <c r="A584">
        <v>583</v>
      </c>
      <c r="B584">
        <v>2</v>
      </c>
      <c r="C584">
        <v>0</v>
      </c>
      <c r="D584">
        <v>0</v>
      </c>
      <c r="E584">
        <v>0</v>
      </c>
      <c r="F584">
        <v>34.407299999999999</v>
      </c>
    </row>
    <row r="585" spans="1:6" x14ac:dyDescent="0.25">
      <c r="A585">
        <v>584</v>
      </c>
      <c r="B585">
        <v>10</v>
      </c>
      <c r="C585">
        <v>1</v>
      </c>
      <c r="D585">
        <v>0</v>
      </c>
      <c r="E585">
        <v>0</v>
      </c>
      <c r="F585">
        <v>5691</v>
      </c>
    </row>
    <row r="586" spans="1:6" x14ac:dyDescent="0.25">
      <c r="A586">
        <v>585</v>
      </c>
      <c r="B586">
        <v>13</v>
      </c>
      <c r="C586">
        <v>0</v>
      </c>
      <c r="D586">
        <v>0</v>
      </c>
      <c r="E586">
        <v>0</v>
      </c>
      <c r="F586">
        <v>1602</v>
      </c>
    </row>
    <row r="587" spans="1:6" x14ac:dyDescent="0.25">
      <c r="A587">
        <v>586</v>
      </c>
      <c r="B587">
        <v>41</v>
      </c>
      <c r="C587">
        <v>0</v>
      </c>
      <c r="D587">
        <v>0</v>
      </c>
      <c r="E587">
        <v>0</v>
      </c>
      <c r="F587">
        <v>1</v>
      </c>
    </row>
    <row r="588" spans="1:6" x14ac:dyDescent="0.25">
      <c r="A588">
        <v>587</v>
      </c>
      <c r="B588">
        <v>42</v>
      </c>
      <c r="C588">
        <v>0</v>
      </c>
      <c r="D588">
        <v>0</v>
      </c>
      <c r="E588">
        <v>0</v>
      </c>
      <c r="F588">
        <v>0.2</v>
      </c>
    </row>
    <row r="589" spans="1:6" x14ac:dyDescent="0.25">
      <c r="A589">
        <v>588</v>
      </c>
      <c r="B589">
        <v>43</v>
      </c>
      <c r="C589">
        <v>0</v>
      </c>
      <c r="D589">
        <v>0</v>
      </c>
      <c r="E589">
        <v>0</v>
      </c>
      <c r="F589">
        <v>0</v>
      </c>
    </row>
    <row r="590" spans="1:6" x14ac:dyDescent="0.25">
      <c r="A590">
        <v>589</v>
      </c>
      <c r="B590">
        <v>44</v>
      </c>
      <c r="C590">
        <v>0</v>
      </c>
      <c r="D590">
        <v>0</v>
      </c>
      <c r="E590">
        <v>0</v>
      </c>
      <c r="F590">
        <v>265.59300000000002</v>
      </c>
    </row>
    <row r="591" spans="1:6" x14ac:dyDescent="0.25">
      <c r="A591">
        <v>590</v>
      </c>
      <c r="B591">
        <v>45</v>
      </c>
      <c r="C591">
        <v>0</v>
      </c>
      <c r="D591">
        <v>0</v>
      </c>
      <c r="E591">
        <v>0</v>
      </c>
      <c r="F591">
        <v>1534.3</v>
      </c>
    </row>
    <row r="592" spans="1:6" x14ac:dyDescent="0.25">
      <c r="A592">
        <v>591</v>
      </c>
      <c r="B592">
        <v>46</v>
      </c>
      <c r="C592">
        <v>0</v>
      </c>
      <c r="D592">
        <v>0</v>
      </c>
      <c r="E592">
        <v>0</v>
      </c>
      <c r="F592">
        <v>0</v>
      </c>
    </row>
    <row r="593" spans="1:6" x14ac:dyDescent="0.25">
      <c r="A593">
        <v>592</v>
      </c>
      <c r="B593">
        <v>2</v>
      </c>
      <c r="C593">
        <v>0</v>
      </c>
      <c r="D593">
        <v>0</v>
      </c>
      <c r="E593">
        <v>0</v>
      </c>
      <c r="F593">
        <v>34.407299999999999</v>
      </c>
    </row>
    <row r="594" spans="1:6" x14ac:dyDescent="0.25">
      <c r="A594">
        <v>593</v>
      </c>
      <c r="B594">
        <v>10</v>
      </c>
      <c r="C594">
        <v>1</v>
      </c>
      <c r="D594">
        <v>0</v>
      </c>
      <c r="E594">
        <v>0</v>
      </c>
      <c r="F594">
        <v>5691</v>
      </c>
    </row>
    <row r="595" spans="1:6" x14ac:dyDescent="0.25">
      <c r="A595">
        <v>594</v>
      </c>
      <c r="B595">
        <v>13</v>
      </c>
      <c r="C595">
        <v>0</v>
      </c>
      <c r="D595">
        <v>0</v>
      </c>
      <c r="E595">
        <v>0</v>
      </c>
      <c r="F595">
        <v>1602</v>
      </c>
    </row>
    <row r="596" spans="1:6" x14ac:dyDescent="0.25">
      <c r="A596">
        <v>595</v>
      </c>
      <c r="B596">
        <v>41</v>
      </c>
      <c r="C596">
        <v>0</v>
      </c>
      <c r="D596">
        <v>0</v>
      </c>
      <c r="E596">
        <v>0</v>
      </c>
      <c r="F596">
        <v>1</v>
      </c>
    </row>
    <row r="597" spans="1:6" x14ac:dyDescent="0.25">
      <c r="A597">
        <v>596</v>
      </c>
      <c r="B597">
        <v>42</v>
      </c>
      <c r="C597">
        <v>0</v>
      </c>
      <c r="D597">
        <v>0</v>
      </c>
      <c r="E597">
        <v>0</v>
      </c>
      <c r="F597">
        <v>0.2</v>
      </c>
    </row>
    <row r="598" spans="1:6" x14ac:dyDescent="0.25">
      <c r="A598">
        <v>597</v>
      </c>
      <c r="B598">
        <v>43</v>
      </c>
      <c r="C598">
        <v>0</v>
      </c>
      <c r="D598">
        <v>0</v>
      </c>
      <c r="E598">
        <v>0</v>
      </c>
      <c r="F598">
        <v>0</v>
      </c>
    </row>
    <row r="599" spans="1:6" x14ac:dyDescent="0.25">
      <c r="A599">
        <v>598</v>
      </c>
      <c r="B599">
        <v>44</v>
      </c>
      <c r="C599">
        <v>0</v>
      </c>
      <c r="D599">
        <v>0</v>
      </c>
      <c r="E599">
        <v>0</v>
      </c>
      <c r="F599">
        <v>265.59300000000002</v>
      </c>
    </row>
    <row r="600" spans="1:6" x14ac:dyDescent="0.25">
      <c r="A600">
        <v>599</v>
      </c>
      <c r="B600">
        <v>45</v>
      </c>
      <c r="C600">
        <v>0</v>
      </c>
      <c r="D600">
        <v>0</v>
      </c>
      <c r="E600">
        <v>0</v>
      </c>
      <c r="F600">
        <v>1534.81</v>
      </c>
    </row>
    <row r="601" spans="1:6" x14ac:dyDescent="0.25">
      <c r="A601">
        <v>600</v>
      </c>
      <c r="B601">
        <v>46</v>
      </c>
      <c r="C601">
        <v>0</v>
      </c>
      <c r="D601">
        <v>0</v>
      </c>
      <c r="E601">
        <v>0</v>
      </c>
      <c r="F601">
        <v>0</v>
      </c>
    </row>
    <row r="602" spans="1:6" x14ac:dyDescent="0.25">
      <c r="A602">
        <v>601</v>
      </c>
      <c r="B602">
        <v>2</v>
      </c>
      <c r="C602">
        <v>0</v>
      </c>
      <c r="D602">
        <v>0</v>
      </c>
      <c r="E602">
        <v>0</v>
      </c>
      <c r="F602">
        <v>34.406799999999997</v>
      </c>
    </row>
    <row r="603" spans="1:6" x14ac:dyDescent="0.25">
      <c r="A603">
        <v>602</v>
      </c>
      <c r="B603">
        <v>10</v>
      </c>
      <c r="C603">
        <v>1</v>
      </c>
      <c r="D603">
        <v>0</v>
      </c>
      <c r="E603">
        <v>0</v>
      </c>
      <c r="F603">
        <v>5691</v>
      </c>
    </row>
    <row r="604" spans="1:6" x14ac:dyDescent="0.25">
      <c r="A604">
        <v>603</v>
      </c>
      <c r="B604">
        <v>13</v>
      </c>
      <c r="C604">
        <v>0</v>
      </c>
      <c r="D604">
        <v>0</v>
      </c>
      <c r="E604">
        <v>0</v>
      </c>
      <c r="F604">
        <v>1602</v>
      </c>
    </row>
    <row r="605" spans="1:6" x14ac:dyDescent="0.25">
      <c r="A605">
        <v>604</v>
      </c>
      <c r="B605">
        <v>41</v>
      </c>
      <c r="C605">
        <v>0</v>
      </c>
      <c r="D605">
        <v>0</v>
      </c>
      <c r="E605">
        <v>0</v>
      </c>
      <c r="F605">
        <v>1</v>
      </c>
    </row>
    <row r="606" spans="1:6" x14ac:dyDescent="0.25">
      <c r="A606">
        <v>605</v>
      </c>
      <c r="B606">
        <v>42</v>
      </c>
      <c r="C606">
        <v>0</v>
      </c>
      <c r="D606">
        <v>0</v>
      </c>
      <c r="E606">
        <v>0</v>
      </c>
      <c r="F606">
        <v>0.2</v>
      </c>
    </row>
    <row r="607" spans="1:6" x14ac:dyDescent="0.25">
      <c r="A607">
        <v>606</v>
      </c>
      <c r="B607">
        <v>43</v>
      </c>
      <c r="C607">
        <v>0</v>
      </c>
      <c r="D607">
        <v>0</v>
      </c>
      <c r="E607">
        <v>0</v>
      </c>
      <c r="F607">
        <v>0</v>
      </c>
    </row>
    <row r="608" spans="1:6" x14ac:dyDescent="0.25">
      <c r="A608">
        <v>607</v>
      </c>
      <c r="B608">
        <v>44</v>
      </c>
      <c r="C608">
        <v>0</v>
      </c>
      <c r="D608">
        <v>0</v>
      </c>
      <c r="E608">
        <v>0</v>
      </c>
      <c r="F608">
        <v>265.59300000000002</v>
      </c>
    </row>
    <row r="609" spans="1:6" x14ac:dyDescent="0.25">
      <c r="A609">
        <v>608</v>
      </c>
      <c r="B609">
        <v>45</v>
      </c>
      <c r="C609">
        <v>0</v>
      </c>
      <c r="D609">
        <v>0</v>
      </c>
      <c r="E609">
        <v>0</v>
      </c>
      <c r="F609">
        <v>1534.81</v>
      </c>
    </row>
    <row r="610" spans="1:6" x14ac:dyDescent="0.25">
      <c r="A610">
        <v>609</v>
      </c>
      <c r="B610">
        <v>46</v>
      </c>
      <c r="C610">
        <v>0</v>
      </c>
      <c r="D610">
        <v>0</v>
      </c>
      <c r="E610">
        <v>0</v>
      </c>
      <c r="F610">
        <v>0</v>
      </c>
    </row>
    <row r="611" spans="1:6" x14ac:dyDescent="0.25">
      <c r="A611">
        <v>610</v>
      </c>
      <c r="B611">
        <v>2</v>
      </c>
      <c r="C611">
        <v>0</v>
      </c>
      <c r="D611">
        <v>0</v>
      </c>
      <c r="E611">
        <v>0</v>
      </c>
      <c r="F611">
        <v>34.406799999999997</v>
      </c>
    </row>
    <row r="612" spans="1:6" x14ac:dyDescent="0.25">
      <c r="A612">
        <v>611</v>
      </c>
      <c r="B612">
        <v>10</v>
      </c>
      <c r="C612">
        <v>1</v>
      </c>
      <c r="D612">
        <v>0</v>
      </c>
      <c r="E612">
        <v>0</v>
      </c>
      <c r="F612">
        <v>5691</v>
      </c>
    </row>
    <row r="613" spans="1:6" x14ac:dyDescent="0.25">
      <c r="A613">
        <v>612</v>
      </c>
      <c r="B613" t="s">
        <v>0</v>
      </c>
      <c r="C613">
        <v>19</v>
      </c>
      <c r="D613">
        <v>3482</v>
      </c>
      <c r="E613">
        <v>79771431</v>
      </c>
    </row>
    <row r="614" spans="1:6" x14ac:dyDescent="0.25">
      <c r="A614">
        <v>613</v>
      </c>
      <c r="B614">
        <v>41</v>
      </c>
      <c r="C614">
        <v>0</v>
      </c>
      <c r="D614">
        <v>0</v>
      </c>
      <c r="E614">
        <v>0</v>
      </c>
      <c r="F614">
        <v>1</v>
      </c>
    </row>
    <row r="615" spans="1:6" x14ac:dyDescent="0.25">
      <c r="A615">
        <v>614</v>
      </c>
      <c r="B615">
        <v>42</v>
      </c>
      <c r="C615">
        <v>0</v>
      </c>
      <c r="D615">
        <v>0</v>
      </c>
      <c r="E615">
        <v>0</v>
      </c>
      <c r="F615">
        <v>0.2</v>
      </c>
    </row>
    <row r="616" spans="1:6" x14ac:dyDescent="0.25">
      <c r="A616">
        <v>615</v>
      </c>
      <c r="B616">
        <v>43</v>
      </c>
      <c r="C616">
        <v>0</v>
      </c>
      <c r="D616">
        <v>0</v>
      </c>
      <c r="E616">
        <v>0</v>
      </c>
      <c r="F616">
        <v>0</v>
      </c>
    </row>
    <row r="617" spans="1:6" x14ac:dyDescent="0.25">
      <c r="A617">
        <v>616</v>
      </c>
      <c r="B617">
        <v>44</v>
      </c>
      <c r="C617">
        <v>0</v>
      </c>
      <c r="D617">
        <v>0</v>
      </c>
      <c r="E617">
        <v>0</v>
      </c>
      <c r="F617">
        <v>265.59300000000002</v>
      </c>
    </row>
    <row r="618" spans="1:6" x14ac:dyDescent="0.25">
      <c r="A618">
        <v>617</v>
      </c>
      <c r="B618">
        <v>45</v>
      </c>
      <c r="C618">
        <v>0</v>
      </c>
      <c r="D618">
        <v>0</v>
      </c>
      <c r="E618">
        <v>0</v>
      </c>
      <c r="F618">
        <v>1535.33</v>
      </c>
    </row>
    <row r="619" spans="1:6" x14ac:dyDescent="0.25">
      <c r="A619">
        <v>618</v>
      </c>
      <c r="B619">
        <v>46</v>
      </c>
      <c r="C619">
        <v>0</v>
      </c>
      <c r="D619">
        <v>0</v>
      </c>
      <c r="E619">
        <v>0</v>
      </c>
      <c r="F619">
        <v>0</v>
      </c>
    </row>
    <row r="620" spans="1:6" x14ac:dyDescent="0.25">
      <c r="A620">
        <v>619</v>
      </c>
      <c r="B620">
        <v>2</v>
      </c>
      <c r="C620">
        <v>0</v>
      </c>
      <c r="D620">
        <v>0</v>
      </c>
      <c r="E620">
        <v>0</v>
      </c>
      <c r="F620">
        <v>34.406700000000001</v>
      </c>
    </row>
    <row r="621" spans="1:6" x14ac:dyDescent="0.25">
      <c r="A621">
        <v>620</v>
      </c>
      <c r="B621">
        <v>10</v>
      </c>
      <c r="C621">
        <v>1</v>
      </c>
      <c r="D621">
        <v>0</v>
      </c>
      <c r="E621">
        <v>0</v>
      </c>
      <c r="F621">
        <v>5691</v>
      </c>
    </row>
    <row r="622" spans="1:6" x14ac:dyDescent="0.25">
      <c r="A622">
        <v>621</v>
      </c>
      <c r="B622">
        <v>13</v>
      </c>
      <c r="C622">
        <v>0</v>
      </c>
      <c r="D622">
        <v>0</v>
      </c>
      <c r="E622">
        <v>0</v>
      </c>
      <c r="F622">
        <v>1602</v>
      </c>
    </row>
    <row r="623" spans="1:6" x14ac:dyDescent="0.25">
      <c r="A623">
        <v>622</v>
      </c>
      <c r="B623">
        <v>41</v>
      </c>
      <c r="C623">
        <v>0</v>
      </c>
      <c r="D623">
        <v>0</v>
      </c>
      <c r="E623">
        <v>0</v>
      </c>
      <c r="F623">
        <v>1</v>
      </c>
    </row>
    <row r="624" spans="1:6" x14ac:dyDescent="0.25">
      <c r="A624">
        <v>623</v>
      </c>
      <c r="B624">
        <v>42</v>
      </c>
      <c r="C624">
        <v>0</v>
      </c>
      <c r="D624">
        <v>0</v>
      </c>
      <c r="E624">
        <v>0</v>
      </c>
      <c r="F624">
        <v>0.2</v>
      </c>
    </row>
    <row r="625" spans="1:6" x14ac:dyDescent="0.25">
      <c r="A625">
        <v>624</v>
      </c>
      <c r="B625">
        <v>43</v>
      </c>
      <c r="C625">
        <v>0</v>
      </c>
      <c r="D625">
        <v>0</v>
      </c>
      <c r="E625">
        <v>0</v>
      </c>
      <c r="F625">
        <v>0</v>
      </c>
    </row>
    <row r="626" spans="1:6" x14ac:dyDescent="0.25">
      <c r="A626">
        <v>625</v>
      </c>
      <c r="B626">
        <v>44</v>
      </c>
      <c r="C626">
        <v>0</v>
      </c>
      <c r="D626">
        <v>0</v>
      </c>
      <c r="E626">
        <v>0</v>
      </c>
      <c r="F626">
        <v>265.59300000000002</v>
      </c>
    </row>
    <row r="627" spans="1:6" x14ac:dyDescent="0.25">
      <c r="A627">
        <v>626</v>
      </c>
      <c r="B627">
        <v>45</v>
      </c>
      <c r="C627">
        <v>0</v>
      </c>
      <c r="D627">
        <v>0</v>
      </c>
      <c r="E627">
        <v>0</v>
      </c>
      <c r="F627">
        <v>1535.33</v>
      </c>
    </row>
    <row r="628" spans="1:6" x14ac:dyDescent="0.25">
      <c r="A628">
        <v>627</v>
      </c>
      <c r="B628" t="s">
        <v>0</v>
      </c>
      <c r="C628">
        <v>20</v>
      </c>
      <c r="D628">
        <v>3482</v>
      </c>
      <c r="E628">
        <v>79772399</v>
      </c>
    </row>
    <row r="629" spans="1:6" x14ac:dyDescent="0.25">
      <c r="A629">
        <v>628</v>
      </c>
      <c r="B629">
        <v>46</v>
      </c>
      <c r="C629">
        <v>0</v>
      </c>
      <c r="D629">
        <v>0</v>
      </c>
      <c r="E629">
        <v>0</v>
      </c>
      <c r="F629">
        <v>0</v>
      </c>
    </row>
    <row r="630" spans="1:6" x14ac:dyDescent="0.25">
      <c r="A630">
        <v>629</v>
      </c>
      <c r="B630">
        <v>2</v>
      </c>
      <c r="C630">
        <v>0</v>
      </c>
      <c r="D630">
        <v>0</v>
      </c>
      <c r="E630">
        <v>0</v>
      </c>
      <c r="F630">
        <v>34.406999999999996</v>
      </c>
    </row>
    <row r="631" spans="1:6" x14ac:dyDescent="0.25">
      <c r="A631">
        <v>630</v>
      </c>
      <c r="B631">
        <v>10</v>
      </c>
      <c r="C631">
        <v>1</v>
      </c>
      <c r="D631">
        <v>0</v>
      </c>
      <c r="E631">
        <v>0</v>
      </c>
      <c r="F631">
        <v>5691</v>
      </c>
    </row>
    <row r="632" spans="1:6" x14ac:dyDescent="0.25">
      <c r="A632">
        <v>631</v>
      </c>
      <c r="B632">
        <v>13</v>
      </c>
      <c r="C632">
        <v>0</v>
      </c>
      <c r="D632">
        <v>0</v>
      </c>
      <c r="E632">
        <v>0</v>
      </c>
      <c r="F632">
        <v>1602</v>
      </c>
    </row>
    <row r="633" spans="1:6" x14ac:dyDescent="0.25">
      <c r="A633">
        <v>632</v>
      </c>
      <c r="B633">
        <v>41</v>
      </c>
      <c r="C633">
        <v>0</v>
      </c>
      <c r="D633">
        <v>0</v>
      </c>
      <c r="E633">
        <v>0</v>
      </c>
      <c r="F633">
        <v>1</v>
      </c>
    </row>
    <row r="634" spans="1:6" x14ac:dyDescent="0.25">
      <c r="A634">
        <v>633</v>
      </c>
      <c r="B634">
        <v>42</v>
      </c>
      <c r="C634">
        <v>0</v>
      </c>
      <c r="D634">
        <v>0</v>
      </c>
      <c r="E634">
        <v>0</v>
      </c>
      <c r="F634">
        <v>0.2</v>
      </c>
    </row>
    <row r="635" spans="1:6" x14ac:dyDescent="0.25">
      <c r="A635">
        <v>634</v>
      </c>
      <c r="B635">
        <v>43</v>
      </c>
      <c r="C635">
        <v>0</v>
      </c>
      <c r="D635">
        <v>0</v>
      </c>
      <c r="E635">
        <v>0</v>
      </c>
      <c r="F635">
        <v>0</v>
      </c>
    </row>
    <row r="636" spans="1:6" x14ac:dyDescent="0.25">
      <c r="A636">
        <v>635</v>
      </c>
      <c r="B636">
        <v>44</v>
      </c>
      <c r="C636">
        <v>0</v>
      </c>
      <c r="D636">
        <v>0</v>
      </c>
      <c r="E636">
        <v>0</v>
      </c>
      <c r="F636">
        <v>265.59300000000002</v>
      </c>
    </row>
    <row r="637" spans="1:6" x14ac:dyDescent="0.25">
      <c r="A637">
        <v>636</v>
      </c>
      <c r="B637">
        <v>45</v>
      </c>
      <c r="C637">
        <v>0</v>
      </c>
      <c r="D637">
        <v>0</v>
      </c>
      <c r="E637">
        <v>0</v>
      </c>
      <c r="F637">
        <v>1535.84</v>
      </c>
    </row>
    <row r="638" spans="1:6" x14ac:dyDescent="0.25">
      <c r="A638">
        <v>637</v>
      </c>
      <c r="B638">
        <v>46</v>
      </c>
      <c r="C638">
        <v>0</v>
      </c>
      <c r="D638">
        <v>0</v>
      </c>
      <c r="E638">
        <v>0</v>
      </c>
      <c r="F638">
        <v>0</v>
      </c>
    </row>
    <row r="639" spans="1:6" x14ac:dyDescent="0.25">
      <c r="A639">
        <v>638</v>
      </c>
      <c r="B639">
        <v>2</v>
      </c>
      <c r="C639">
        <v>0</v>
      </c>
      <c r="D639">
        <v>0</v>
      </c>
      <c r="E639">
        <v>0</v>
      </c>
      <c r="F639">
        <v>34.406999999999996</v>
      </c>
    </row>
    <row r="640" spans="1:6" x14ac:dyDescent="0.25">
      <c r="A640">
        <v>639</v>
      </c>
      <c r="B640">
        <v>10</v>
      </c>
      <c r="C640">
        <v>1</v>
      </c>
      <c r="D640">
        <v>0</v>
      </c>
      <c r="E640">
        <v>0</v>
      </c>
      <c r="F640">
        <v>5691</v>
      </c>
    </row>
    <row r="641" spans="1:6" x14ac:dyDescent="0.25">
      <c r="A641">
        <v>640</v>
      </c>
      <c r="B641">
        <v>13</v>
      </c>
      <c r="C641">
        <v>0</v>
      </c>
      <c r="D641">
        <v>0</v>
      </c>
      <c r="E641">
        <v>0</v>
      </c>
      <c r="F641">
        <v>1602</v>
      </c>
    </row>
    <row r="642" spans="1:6" x14ac:dyDescent="0.25">
      <c r="A642">
        <v>641</v>
      </c>
      <c r="B642">
        <v>41</v>
      </c>
      <c r="C642">
        <v>0</v>
      </c>
      <c r="D642">
        <v>0</v>
      </c>
      <c r="E642">
        <v>0</v>
      </c>
      <c r="F642">
        <v>1</v>
      </c>
    </row>
    <row r="643" spans="1:6" x14ac:dyDescent="0.25">
      <c r="A643">
        <v>642</v>
      </c>
      <c r="B643">
        <v>42</v>
      </c>
      <c r="C643">
        <v>0</v>
      </c>
      <c r="D643">
        <v>0</v>
      </c>
      <c r="E643">
        <v>0</v>
      </c>
      <c r="F643">
        <v>0.2</v>
      </c>
    </row>
    <row r="644" spans="1:6" x14ac:dyDescent="0.25">
      <c r="A644">
        <v>643</v>
      </c>
      <c r="B644" t="s">
        <v>0</v>
      </c>
      <c r="C644">
        <v>21</v>
      </c>
      <c r="D644">
        <v>3482</v>
      </c>
      <c r="E644">
        <v>79773367</v>
      </c>
    </row>
    <row r="645" spans="1:6" x14ac:dyDescent="0.25">
      <c r="A645">
        <v>644</v>
      </c>
      <c r="B645">
        <v>43</v>
      </c>
      <c r="C645">
        <v>0</v>
      </c>
      <c r="D645">
        <v>0</v>
      </c>
      <c r="E645">
        <v>0</v>
      </c>
      <c r="F645">
        <v>0</v>
      </c>
    </row>
    <row r="646" spans="1:6" x14ac:dyDescent="0.25">
      <c r="A646">
        <v>645</v>
      </c>
      <c r="B646">
        <v>44</v>
      </c>
      <c r="C646">
        <v>0</v>
      </c>
      <c r="D646">
        <v>0</v>
      </c>
      <c r="E646">
        <v>0</v>
      </c>
      <c r="F646">
        <v>265.59300000000002</v>
      </c>
    </row>
    <row r="647" spans="1:6" x14ac:dyDescent="0.25">
      <c r="A647">
        <v>646</v>
      </c>
      <c r="B647">
        <v>45</v>
      </c>
      <c r="C647">
        <v>0</v>
      </c>
      <c r="D647">
        <v>0</v>
      </c>
      <c r="E647">
        <v>0</v>
      </c>
      <c r="F647">
        <v>1536.36</v>
      </c>
    </row>
    <row r="648" spans="1:6" x14ac:dyDescent="0.25">
      <c r="A648">
        <v>647</v>
      </c>
      <c r="B648">
        <v>46</v>
      </c>
      <c r="C648">
        <v>0</v>
      </c>
      <c r="D648">
        <v>0</v>
      </c>
      <c r="E648">
        <v>0</v>
      </c>
      <c r="F648">
        <v>0</v>
      </c>
    </row>
    <row r="649" spans="1:6" x14ac:dyDescent="0.25">
      <c r="A649">
        <v>648</v>
      </c>
      <c r="B649">
        <v>2</v>
      </c>
      <c r="C649">
        <v>0</v>
      </c>
      <c r="D649">
        <v>0</v>
      </c>
      <c r="E649">
        <v>0</v>
      </c>
      <c r="F649">
        <v>34.406700000000001</v>
      </c>
    </row>
    <row r="650" spans="1:6" x14ac:dyDescent="0.25">
      <c r="A650">
        <v>649</v>
      </c>
      <c r="B650">
        <v>10</v>
      </c>
      <c r="C650">
        <v>1</v>
      </c>
      <c r="D650">
        <v>0</v>
      </c>
      <c r="E650">
        <v>0</v>
      </c>
      <c r="F650">
        <v>5691</v>
      </c>
    </row>
    <row r="651" spans="1:6" x14ac:dyDescent="0.25">
      <c r="A651">
        <v>650</v>
      </c>
      <c r="B651">
        <v>13</v>
      </c>
      <c r="C651">
        <v>0</v>
      </c>
      <c r="D651">
        <v>0</v>
      </c>
      <c r="E651">
        <v>0</v>
      </c>
      <c r="F651">
        <v>1602</v>
      </c>
    </row>
    <row r="652" spans="1:6" x14ac:dyDescent="0.25">
      <c r="A652">
        <v>651</v>
      </c>
      <c r="B652">
        <v>41</v>
      </c>
      <c r="C652">
        <v>0</v>
      </c>
      <c r="D652">
        <v>0</v>
      </c>
      <c r="E652">
        <v>0</v>
      </c>
      <c r="F652">
        <v>1</v>
      </c>
    </row>
    <row r="653" spans="1:6" x14ac:dyDescent="0.25">
      <c r="A653">
        <v>652</v>
      </c>
      <c r="B653">
        <v>42</v>
      </c>
      <c r="C653">
        <v>0</v>
      </c>
      <c r="D653">
        <v>0</v>
      </c>
      <c r="E653">
        <v>0</v>
      </c>
      <c r="F653">
        <v>0.2</v>
      </c>
    </row>
    <row r="654" spans="1:6" x14ac:dyDescent="0.25">
      <c r="A654">
        <v>653</v>
      </c>
      <c r="B654">
        <v>43</v>
      </c>
      <c r="C654">
        <v>0</v>
      </c>
      <c r="D654">
        <v>0</v>
      </c>
      <c r="E654">
        <v>0</v>
      </c>
      <c r="F654">
        <v>0</v>
      </c>
    </row>
    <row r="655" spans="1:6" x14ac:dyDescent="0.25">
      <c r="A655">
        <v>654</v>
      </c>
      <c r="B655">
        <v>44</v>
      </c>
      <c r="C655">
        <v>0</v>
      </c>
      <c r="D655">
        <v>0</v>
      </c>
      <c r="E655">
        <v>0</v>
      </c>
      <c r="F655">
        <v>265.59300000000002</v>
      </c>
    </row>
    <row r="656" spans="1:6" x14ac:dyDescent="0.25">
      <c r="A656">
        <v>655</v>
      </c>
      <c r="B656">
        <v>45</v>
      </c>
      <c r="C656">
        <v>0</v>
      </c>
      <c r="D656">
        <v>0</v>
      </c>
      <c r="E656">
        <v>0</v>
      </c>
      <c r="F656">
        <v>1536.36</v>
      </c>
    </row>
    <row r="657" spans="1:6" x14ac:dyDescent="0.25">
      <c r="A657">
        <v>656</v>
      </c>
      <c r="B657">
        <v>46</v>
      </c>
      <c r="C657">
        <v>0</v>
      </c>
      <c r="D657">
        <v>0</v>
      </c>
      <c r="E657">
        <v>0</v>
      </c>
      <c r="F657">
        <v>0</v>
      </c>
    </row>
    <row r="658" spans="1:6" x14ac:dyDescent="0.25">
      <c r="A658">
        <v>657</v>
      </c>
      <c r="B658">
        <v>2</v>
      </c>
      <c r="C658">
        <v>0</v>
      </c>
      <c r="D658">
        <v>0</v>
      </c>
      <c r="E658">
        <v>0</v>
      </c>
      <c r="F658">
        <v>34.406700000000001</v>
      </c>
    </row>
    <row r="659" spans="1:6" x14ac:dyDescent="0.25">
      <c r="A659">
        <v>658</v>
      </c>
      <c r="B659">
        <v>10</v>
      </c>
      <c r="C659">
        <v>1</v>
      </c>
      <c r="D659">
        <v>0</v>
      </c>
      <c r="E659">
        <v>0</v>
      </c>
      <c r="F659">
        <v>5691</v>
      </c>
    </row>
    <row r="660" spans="1:6" x14ac:dyDescent="0.25">
      <c r="A660">
        <v>659</v>
      </c>
      <c r="B660">
        <v>13</v>
      </c>
      <c r="C660">
        <v>0</v>
      </c>
      <c r="D660">
        <v>0</v>
      </c>
      <c r="E660">
        <v>0</v>
      </c>
      <c r="F660">
        <v>1602</v>
      </c>
    </row>
    <row r="661" spans="1:6" x14ac:dyDescent="0.25">
      <c r="A661">
        <v>660</v>
      </c>
      <c r="B661">
        <v>41</v>
      </c>
      <c r="C661">
        <v>0</v>
      </c>
      <c r="D661">
        <v>0</v>
      </c>
      <c r="E661">
        <v>0</v>
      </c>
      <c r="F661">
        <v>1</v>
      </c>
    </row>
    <row r="662" spans="1:6" x14ac:dyDescent="0.25">
      <c r="A662">
        <v>661</v>
      </c>
      <c r="B662">
        <v>42</v>
      </c>
      <c r="C662">
        <v>0</v>
      </c>
      <c r="D662">
        <v>0</v>
      </c>
      <c r="E662">
        <v>0</v>
      </c>
      <c r="F662">
        <v>0.2</v>
      </c>
    </row>
    <row r="663" spans="1:6" x14ac:dyDescent="0.25">
      <c r="A663">
        <v>662</v>
      </c>
      <c r="B663">
        <v>43</v>
      </c>
      <c r="C663">
        <v>0</v>
      </c>
      <c r="D663">
        <v>0</v>
      </c>
      <c r="E663">
        <v>0</v>
      </c>
      <c r="F663">
        <v>0</v>
      </c>
    </row>
    <row r="664" spans="1:6" x14ac:dyDescent="0.25">
      <c r="A664">
        <v>663</v>
      </c>
      <c r="B664">
        <v>44</v>
      </c>
      <c r="C664">
        <v>0</v>
      </c>
      <c r="D664">
        <v>0</v>
      </c>
      <c r="E664">
        <v>0</v>
      </c>
      <c r="F664">
        <v>265.59300000000002</v>
      </c>
    </row>
    <row r="665" spans="1:6" x14ac:dyDescent="0.25">
      <c r="A665">
        <v>664</v>
      </c>
      <c r="B665">
        <v>45</v>
      </c>
      <c r="C665">
        <v>0</v>
      </c>
      <c r="D665">
        <v>0</v>
      </c>
      <c r="E665">
        <v>0</v>
      </c>
      <c r="F665">
        <v>1536.87</v>
      </c>
    </row>
    <row r="666" spans="1:6" x14ac:dyDescent="0.25">
      <c r="A666">
        <v>665</v>
      </c>
      <c r="B666">
        <v>46</v>
      </c>
      <c r="C666">
        <v>0</v>
      </c>
      <c r="D666">
        <v>0</v>
      </c>
      <c r="E666">
        <v>0</v>
      </c>
      <c r="F666">
        <v>0</v>
      </c>
    </row>
    <row r="667" spans="1:6" x14ac:dyDescent="0.25">
      <c r="A667">
        <v>666</v>
      </c>
      <c r="B667">
        <v>2</v>
      </c>
      <c r="C667">
        <v>0</v>
      </c>
      <c r="D667">
        <v>0</v>
      </c>
      <c r="E667">
        <v>0</v>
      </c>
      <c r="F667">
        <v>34.406700000000001</v>
      </c>
    </row>
    <row r="668" spans="1:6" x14ac:dyDescent="0.25">
      <c r="A668">
        <v>667</v>
      </c>
      <c r="B668">
        <v>10</v>
      </c>
      <c r="C668">
        <v>1</v>
      </c>
      <c r="D668">
        <v>0</v>
      </c>
      <c r="E668">
        <v>0</v>
      </c>
      <c r="F668">
        <v>5691</v>
      </c>
    </row>
    <row r="669" spans="1:6" x14ac:dyDescent="0.25">
      <c r="A669">
        <v>668</v>
      </c>
      <c r="B669">
        <v>13</v>
      </c>
      <c r="C669">
        <v>0</v>
      </c>
      <c r="D669">
        <v>0</v>
      </c>
      <c r="E669">
        <v>0</v>
      </c>
      <c r="F669">
        <v>1602</v>
      </c>
    </row>
    <row r="670" spans="1:6" x14ac:dyDescent="0.25">
      <c r="A670">
        <v>669</v>
      </c>
      <c r="B670">
        <v>41</v>
      </c>
      <c r="C670">
        <v>0</v>
      </c>
      <c r="D670">
        <v>0</v>
      </c>
      <c r="E670">
        <v>0</v>
      </c>
      <c r="F670">
        <v>1</v>
      </c>
    </row>
    <row r="671" spans="1:6" x14ac:dyDescent="0.25">
      <c r="A671">
        <v>670</v>
      </c>
      <c r="B671">
        <v>42</v>
      </c>
      <c r="C671">
        <v>0</v>
      </c>
      <c r="D671">
        <v>0</v>
      </c>
      <c r="E671">
        <v>0</v>
      </c>
      <c r="F671">
        <v>0.2</v>
      </c>
    </row>
    <row r="672" spans="1:6" x14ac:dyDescent="0.25">
      <c r="A672">
        <v>671</v>
      </c>
      <c r="B672">
        <v>43</v>
      </c>
      <c r="C672">
        <v>0</v>
      </c>
      <c r="D672">
        <v>0</v>
      </c>
      <c r="E672">
        <v>0</v>
      </c>
      <c r="F672">
        <v>0</v>
      </c>
    </row>
    <row r="673" spans="1:6" x14ac:dyDescent="0.25">
      <c r="A673">
        <v>672</v>
      </c>
      <c r="B673">
        <v>44</v>
      </c>
      <c r="C673">
        <v>0</v>
      </c>
      <c r="D673">
        <v>0</v>
      </c>
      <c r="E673">
        <v>0</v>
      </c>
      <c r="F673">
        <v>265.59300000000002</v>
      </c>
    </row>
    <row r="674" spans="1:6" x14ac:dyDescent="0.25">
      <c r="A674">
        <v>673</v>
      </c>
      <c r="B674">
        <v>45</v>
      </c>
      <c r="C674">
        <v>0</v>
      </c>
      <c r="D674">
        <v>0</v>
      </c>
      <c r="E674">
        <v>0</v>
      </c>
      <c r="F674">
        <v>1536.87</v>
      </c>
    </row>
    <row r="675" spans="1:6" x14ac:dyDescent="0.25">
      <c r="A675">
        <v>674</v>
      </c>
      <c r="B675">
        <v>46</v>
      </c>
      <c r="C675">
        <v>0</v>
      </c>
      <c r="D675">
        <v>0</v>
      </c>
      <c r="E675">
        <v>0</v>
      </c>
      <c r="F675">
        <v>0</v>
      </c>
    </row>
    <row r="676" spans="1:6" x14ac:dyDescent="0.25">
      <c r="A676">
        <v>675</v>
      </c>
      <c r="B676">
        <v>2</v>
      </c>
      <c r="C676">
        <v>0</v>
      </c>
      <c r="D676">
        <v>0</v>
      </c>
      <c r="E676">
        <v>0</v>
      </c>
      <c r="F676">
        <v>34.406399999999998</v>
      </c>
    </row>
    <row r="677" spans="1:6" x14ac:dyDescent="0.25">
      <c r="A677">
        <v>676</v>
      </c>
      <c r="B677">
        <v>10</v>
      </c>
      <c r="C677">
        <v>1</v>
      </c>
      <c r="D677">
        <v>0</v>
      </c>
      <c r="E677">
        <v>0</v>
      </c>
      <c r="F677">
        <v>5691</v>
      </c>
    </row>
    <row r="678" spans="1:6" x14ac:dyDescent="0.25">
      <c r="A678">
        <v>677</v>
      </c>
      <c r="B678">
        <v>13</v>
      </c>
      <c r="C678">
        <v>0</v>
      </c>
      <c r="D678">
        <v>0</v>
      </c>
      <c r="E678">
        <v>0</v>
      </c>
      <c r="F678">
        <v>1602</v>
      </c>
    </row>
    <row r="679" spans="1:6" x14ac:dyDescent="0.25">
      <c r="A679">
        <v>678</v>
      </c>
      <c r="B679">
        <v>41</v>
      </c>
      <c r="C679">
        <v>0</v>
      </c>
      <c r="D679">
        <v>0</v>
      </c>
      <c r="E679">
        <v>0</v>
      </c>
      <c r="F679">
        <v>1</v>
      </c>
    </row>
    <row r="680" spans="1:6" x14ac:dyDescent="0.25">
      <c r="A680">
        <v>679</v>
      </c>
      <c r="B680">
        <v>42</v>
      </c>
      <c r="C680">
        <v>0</v>
      </c>
      <c r="D680">
        <v>0</v>
      </c>
      <c r="E680">
        <v>0</v>
      </c>
      <c r="F680">
        <v>0.2</v>
      </c>
    </row>
    <row r="681" spans="1:6" x14ac:dyDescent="0.25">
      <c r="A681">
        <v>680</v>
      </c>
      <c r="B681">
        <v>43</v>
      </c>
      <c r="C681">
        <v>0</v>
      </c>
      <c r="D681">
        <v>0</v>
      </c>
      <c r="E681">
        <v>0</v>
      </c>
      <c r="F681">
        <v>0</v>
      </c>
    </row>
    <row r="682" spans="1:6" x14ac:dyDescent="0.25">
      <c r="A682">
        <v>681</v>
      </c>
      <c r="B682">
        <v>44</v>
      </c>
      <c r="C682">
        <v>0</v>
      </c>
      <c r="D682">
        <v>0</v>
      </c>
      <c r="E682">
        <v>0</v>
      </c>
      <c r="F682">
        <v>265.59399999999999</v>
      </c>
    </row>
    <row r="683" spans="1:6" x14ac:dyDescent="0.25">
      <c r="A683">
        <v>682</v>
      </c>
      <c r="B683">
        <v>45</v>
      </c>
      <c r="C683">
        <v>0</v>
      </c>
      <c r="D683">
        <v>0</v>
      </c>
      <c r="E683">
        <v>0</v>
      </c>
      <c r="F683">
        <v>1537.39</v>
      </c>
    </row>
    <row r="684" spans="1:6" x14ac:dyDescent="0.25">
      <c r="A684">
        <v>683</v>
      </c>
      <c r="B684">
        <v>46</v>
      </c>
      <c r="C684">
        <v>0</v>
      </c>
      <c r="D684">
        <v>0</v>
      </c>
      <c r="E684">
        <v>0</v>
      </c>
      <c r="F684">
        <v>0</v>
      </c>
    </row>
    <row r="685" spans="1:6" x14ac:dyDescent="0.25">
      <c r="A685">
        <v>684</v>
      </c>
      <c r="B685">
        <v>2</v>
      </c>
      <c r="C685">
        <v>0</v>
      </c>
      <c r="D685">
        <v>0</v>
      </c>
      <c r="E685">
        <v>0</v>
      </c>
      <c r="F685">
        <v>34.406399999999998</v>
      </c>
    </row>
    <row r="686" spans="1:6" x14ac:dyDescent="0.25">
      <c r="A686">
        <v>685</v>
      </c>
      <c r="B686">
        <v>10</v>
      </c>
      <c r="C686">
        <v>1</v>
      </c>
      <c r="D686">
        <v>0</v>
      </c>
      <c r="E686">
        <v>0</v>
      </c>
      <c r="F686">
        <v>5691</v>
      </c>
    </row>
    <row r="687" spans="1:6" x14ac:dyDescent="0.25">
      <c r="A687">
        <v>686</v>
      </c>
      <c r="B687">
        <v>13</v>
      </c>
      <c r="C687">
        <v>0</v>
      </c>
      <c r="D687">
        <v>0</v>
      </c>
      <c r="E687">
        <v>0</v>
      </c>
      <c r="F687">
        <v>1602</v>
      </c>
    </row>
    <row r="688" spans="1:6" x14ac:dyDescent="0.25">
      <c r="A688">
        <v>687</v>
      </c>
      <c r="B688">
        <v>41</v>
      </c>
      <c r="C688">
        <v>0</v>
      </c>
      <c r="D688">
        <v>0</v>
      </c>
      <c r="E688">
        <v>0</v>
      </c>
      <c r="F688">
        <v>1</v>
      </c>
    </row>
    <row r="689" spans="1:6" x14ac:dyDescent="0.25">
      <c r="A689">
        <v>688</v>
      </c>
      <c r="B689" t="s">
        <v>0</v>
      </c>
      <c r="C689">
        <v>24</v>
      </c>
      <c r="D689">
        <v>3482</v>
      </c>
      <c r="E689">
        <v>79776271</v>
      </c>
    </row>
    <row r="690" spans="1:6" x14ac:dyDescent="0.25">
      <c r="A690">
        <v>689</v>
      </c>
      <c r="B690">
        <v>43</v>
      </c>
      <c r="C690">
        <v>0</v>
      </c>
      <c r="D690">
        <v>0</v>
      </c>
      <c r="E690">
        <v>0</v>
      </c>
      <c r="F690">
        <v>0</v>
      </c>
    </row>
    <row r="691" spans="1:6" x14ac:dyDescent="0.25">
      <c r="A691">
        <v>690</v>
      </c>
      <c r="B691">
        <v>44</v>
      </c>
      <c r="C691">
        <v>0</v>
      </c>
      <c r="D691">
        <v>0</v>
      </c>
      <c r="E691">
        <v>0</v>
      </c>
      <c r="F691">
        <v>265.59399999999999</v>
      </c>
    </row>
    <row r="692" spans="1:6" x14ac:dyDescent="0.25">
      <c r="A692">
        <v>691</v>
      </c>
      <c r="B692">
        <v>45</v>
      </c>
      <c r="C692">
        <v>0</v>
      </c>
      <c r="D692">
        <v>0</v>
      </c>
      <c r="E692">
        <v>0</v>
      </c>
      <c r="F692">
        <v>1537.9</v>
      </c>
    </row>
    <row r="693" spans="1:6" x14ac:dyDescent="0.25">
      <c r="A693">
        <v>692</v>
      </c>
      <c r="B693">
        <v>46</v>
      </c>
      <c r="C693">
        <v>0</v>
      </c>
      <c r="D693">
        <v>0</v>
      </c>
      <c r="E693">
        <v>0</v>
      </c>
      <c r="F693">
        <v>0</v>
      </c>
    </row>
    <row r="694" spans="1:6" x14ac:dyDescent="0.25">
      <c r="A694">
        <v>693</v>
      </c>
      <c r="B694">
        <v>2</v>
      </c>
      <c r="C694">
        <v>0</v>
      </c>
      <c r="D694">
        <v>0</v>
      </c>
      <c r="E694">
        <v>0</v>
      </c>
      <c r="F694">
        <v>34.405799999999999</v>
      </c>
    </row>
    <row r="695" spans="1:6" x14ac:dyDescent="0.25">
      <c r="A695">
        <v>694</v>
      </c>
      <c r="B695">
        <v>10</v>
      </c>
      <c r="C695">
        <v>1</v>
      </c>
      <c r="D695">
        <v>0</v>
      </c>
      <c r="E695">
        <v>0</v>
      </c>
      <c r="F695">
        <v>5691</v>
      </c>
    </row>
    <row r="696" spans="1:6" x14ac:dyDescent="0.25">
      <c r="A696">
        <v>695</v>
      </c>
      <c r="B696">
        <v>13</v>
      </c>
      <c r="C696">
        <v>0</v>
      </c>
      <c r="D696">
        <v>0</v>
      </c>
      <c r="E696">
        <v>0</v>
      </c>
      <c r="F696">
        <v>1602</v>
      </c>
    </row>
    <row r="697" spans="1:6" x14ac:dyDescent="0.25">
      <c r="A697">
        <v>696</v>
      </c>
      <c r="B697">
        <v>41</v>
      </c>
      <c r="C697">
        <v>0</v>
      </c>
      <c r="D697">
        <v>0</v>
      </c>
      <c r="E697">
        <v>0</v>
      </c>
      <c r="F697">
        <v>1</v>
      </c>
    </row>
    <row r="698" spans="1:6" x14ac:dyDescent="0.25">
      <c r="A698">
        <v>697</v>
      </c>
      <c r="B698">
        <v>42</v>
      </c>
      <c r="C698">
        <v>0</v>
      </c>
      <c r="D698">
        <v>0</v>
      </c>
      <c r="E698">
        <v>0</v>
      </c>
      <c r="F698">
        <v>0.2</v>
      </c>
    </row>
    <row r="699" spans="1:6" x14ac:dyDescent="0.25">
      <c r="A699">
        <v>698</v>
      </c>
      <c r="B699">
        <v>43</v>
      </c>
      <c r="C699">
        <v>0</v>
      </c>
      <c r="D699">
        <v>0</v>
      </c>
      <c r="E699">
        <v>0</v>
      </c>
      <c r="F699">
        <v>0</v>
      </c>
    </row>
    <row r="700" spans="1:6" x14ac:dyDescent="0.25">
      <c r="A700">
        <v>699</v>
      </c>
      <c r="B700">
        <v>44</v>
      </c>
      <c r="C700">
        <v>0</v>
      </c>
      <c r="D700">
        <v>0</v>
      </c>
      <c r="E700">
        <v>0</v>
      </c>
      <c r="F700">
        <v>265.59399999999999</v>
      </c>
    </row>
    <row r="701" spans="1:6" x14ac:dyDescent="0.25">
      <c r="A701">
        <v>700</v>
      </c>
      <c r="B701">
        <v>45</v>
      </c>
      <c r="C701">
        <v>0</v>
      </c>
      <c r="D701">
        <v>0</v>
      </c>
      <c r="E701">
        <v>0</v>
      </c>
      <c r="F701">
        <v>1537.9</v>
      </c>
    </row>
    <row r="702" spans="1:6" x14ac:dyDescent="0.25">
      <c r="A702">
        <v>701</v>
      </c>
      <c r="B702">
        <v>46</v>
      </c>
      <c r="C702">
        <v>0</v>
      </c>
      <c r="D702">
        <v>0</v>
      </c>
      <c r="E702">
        <v>0</v>
      </c>
      <c r="F702">
        <v>0</v>
      </c>
    </row>
    <row r="703" spans="1:6" x14ac:dyDescent="0.25">
      <c r="A703">
        <v>702</v>
      </c>
      <c r="B703">
        <v>2</v>
      </c>
      <c r="C703">
        <v>0</v>
      </c>
      <c r="D703">
        <v>0</v>
      </c>
      <c r="E703">
        <v>0</v>
      </c>
      <c r="F703">
        <v>34.405799999999999</v>
      </c>
    </row>
    <row r="704" spans="1:6" x14ac:dyDescent="0.25">
      <c r="A704">
        <v>703</v>
      </c>
      <c r="B704" t="s">
        <v>0</v>
      </c>
      <c r="C704">
        <v>25</v>
      </c>
      <c r="D704">
        <v>3482</v>
      </c>
      <c r="E704">
        <v>79777239</v>
      </c>
    </row>
    <row r="705" spans="1:6" x14ac:dyDescent="0.25">
      <c r="A705">
        <v>704</v>
      </c>
      <c r="B705">
        <v>13</v>
      </c>
      <c r="C705">
        <v>0</v>
      </c>
      <c r="D705">
        <v>0</v>
      </c>
      <c r="E705">
        <v>0</v>
      </c>
      <c r="F705">
        <v>1602</v>
      </c>
    </row>
    <row r="706" spans="1:6" x14ac:dyDescent="0.25">
      <c r="A706">
        <v>705</v>
      </c>
      <c r="B706">
        <v>41</v>
      </c>
      <c r="C706">
        <v>0</v>
      </c>
      <c r="D706">
        <v>0</v>
      </c>
      <c r="E706">
        <v>0</v>
      </c>
      <c r="F706">
        <v>1</v>
      </c>
    </row>
    <row r="707" spans="1:6" x14ac:dyDescent="0.25">
      <c r="A707">
        <v>706</v>
      </c>
      <c r="B707">
        <v>42</v>
      </c>
      <c r="C707">
        <v>0</v>
      </c>
      <c r="D707">
        <v>0</v>
      </c>
      <c r="E707">
        <v>0</v>
      </c>
      <c r="F707">
        <v>0.2</v>
      </c>
    </row>
    <row r="708" spans="1:6" x14ac:dyDescent="0.25">
      <c r="A708">
        <v>707</v>
      </c>
      <c r="B708">
        <v>43</v>
      </c>
      <c r="C708">
        <v>0</v>
      </c>
      <c r="D708">
        <v>0</v>
      </c>
      <c r="E708">
        <v>0</v>
      </c>
      <c r="F708">
        <v>0</v>
      </c>
    </row>
    <row r="709" spans="1:6" x14ac:dyDescent="0.25">
      <c r="A709">
        <v>708</v>
      </c>
      <c r="B709">
        <v>44</v>
      </c>
      <c r="C709">
        <v>0</v>
      </c>
      <c r="D709">
        <v>0</v>
      </c>
      <c r="E709">
        <v>0</v>
      </c>
      <c r="F709">
        <v>265.59500000000003</v>
      </c>
    </row>
    <row r="710" spans="1:6" x14ac:dyDescent="0.25">
      <c r="A710">
        <v>709</v>
      </c>
      <c r="B710">
        <v>45</v>
      </c>
      <c r="C710">
        <v>0</v>
      </c>
      <c r="D710">
        <v>0</v>
      </c>
      <c r="E710">
        <v>0</v>
      </c>
      <c r="F710">
        <v>1538.42</v>
      </c>
    </row>
    <row r="711" spans="1:6" x14ac:dyDescent="0.25">
      <c r="A711">
        <v>710</v>
      </c>
      <c r="B711">
        <v>46</v>
      </c>
      <c r="C711">
        <v>0</v>
      </c>
      <c r="D711">
        <v>0</v>
      </c>
      <c r="E711">
        <v>0</v>
      </c>
      <c r="F711">
        <v>0</v>
      </c>
    </row>
    <row r="712" spans="1:6" x14ac:dyDescent="0.25">
      <c r="A712">
        <v>711</v>
      </c>
      <c r="B712">
        <v>2</v>
      </c>
      <c r="C712">
        <v>0</v>
      </c>
      <c r="D712">
        <v>0</v>
      </c>
      <c r="E712">
        <v>0</v>
      </c>
      <c r="F712">
        <v>34.405200000000001</v>
      </c>
    </row>
    <row r="713" spans="1:6" x14ac:dyDescent="0.25">
      <c r="A713">
        <v>712</v>
      </c>
      <c r="B713">
        <v>10</v>
      </c>
      <c r="C713">
        <v>1</v>
      </c>
      <c r="D713">
        <v>0</v>
      </c>
      <c r="E713">
        <v>0</v>
      </c>
      <c r="F713">
        <v>5691</v>
      </c>
    </row>
    <row r="714" spans="1:6" x14ac:dyDescent="0.25">
      <c r="A714">
        <v>713</v>
      </c>
      <c r="B714">
        <v>13</v>
      </c>
      <c r="C714">
        <v>0</v>
      </c>
      <c r="D714">
        <v>0</v>
      </c>
      <c r="E714">
        <v>0</v>
      </c>
      <c r="F714">
        <v>1602</v>
      </c>
    </row>
    <row r="715" spans="1:6" x14ac:dyDescent="0.25">
      <c r="A715">
        <v>714</v>
      </c>
      <c r="B715">
        <v>41</v>
      </c>
      <c r="C715">
        <v>0</v>
      </c>
      <c r="D715">
        <v>0</v>
      </c>
      <c r="E715">
        <v>0</v>
      </c>
      <c r="F715">
        <v>1</v>
      </c>
    </row>
    <row r="716" spans="1:6" x14ac:dyDescent="0.25">
      <c r="A716">
        <v>715</v>
      </c>
      <c r="B716">
        <v>42</v>
      </c>
      <c r="C716">
        <v>0</v>
      </c>
      <c r="D716">
        <v>0</v>
      </c>
      <c r="E716">
        <v>0</v>
      </c>
      <c r="F716">
        <v>0.2</v>
      </c>
    </row>
    <row r="717" spans="1:6" x14ac:dyDescent="0.25">
      <c r="A717">
        <v>716</v>
      </c>
      <c r="B717">
        <v>43</v>
      </c>
      <c r="C717">
        <v>0</v>
      </c>
      <c r="D717">
        <v>0</v>
      </c>
      <c r="E717">
        <v>0</v>
      </c>
      <c r="F717">
        <v>0</v>
      </c>
    </row>
    <row r="718" spans="1:6" x14ac:dyDescent="0.25">
      <c r="A718">
        <v>717</v>
      </c>
      <c r="B718">
        <v>44</v>
      </c>
      <c r="C718">
        <v>0</v>
      </c>
      <c r="D718">
        <v>0</v>
      </c>
      <c r="E718">
        <v>0</v>
      </c>
      <c r="F718">
        <v>265.59500000000003</v>
      </c>
    </row>
    <row r="719" spans="1:6" x14ac:dyDescent="0.25">
      <c r="A719">
        <v>718</v>
      </c>
      <c r="B719" t="s">
        <v>0</v>
      </c>
      <c r="C719">
        <v>26</v>
      </c>
      <c r="D719">
        <v>3482</v>
      </c>
      <c r="E719">
        <v>79778207</v>
      </c>
    </row>
    <row r="720" spans="1:6" x14ac:dyDescent="0.25">
      <c r="A720">
        <v>719</v>
      </c>
      <c r="B720">
        <v>45</v>
      </c>
      <c r="C720">
        <v>0</v>
      </c>
      <c r="D720">
        <v>0</v>
      </c>
      <c r="E720">
        <v>0</v>
      </c>
      <c r="F720">
        <v>1538.93</v>
      </c>
    </row>
    <row r="721" spans="1:6" x14ac:dyDescent="0.25">
      <c r="A721">
        <v>720</v>
      </c>
      <c r="B721">
        <v>46</v>
      </c>
      <c r="C721">
        <v>0</v>
      </c>
      <c r="D721">
        <v>0</v>
      </c>
      <c r="E721">
        <v>0</v>
      </c>
      <c r="F721">
        <v>0</v>
      </c>
    </row>
    <row r="722" spans="1:6" x14ac:dyDescent="0.25">
      <c r="A722">
        <v>721</v>
      </c>
      <c r="B722">
        <v>2</v>
      </c>
      <c r="C722">
        <v>0</v>
      </c>
      <c r="D722">
        <v>0</v>
      </c>
      <c r="E722">
        <v>0</v>
      </c>
      <c r="F722">
        <v>34.406399999999998</v>
      </c>
    </row>
    <row r="723" spans="1:6" x14ac:dyDescent="0.25">
      <c r="A723">
        <v>722</v>
      </c>
      <c r="B723">
        <v>10</v>
      </c>
      <c r="C723">
        <v>1</v>
      </c>
      <c r="D723">
        <v>0</v>
      </c>
      <c r="E723">
        <v>0</v>
      </c>
      <c r="F723">
        <v>5691</v>
      </c>
    </row>
    <row r="724" spans="1:6" x14ac:dyDescent="0.25">
      <c r="A724">
        <v>723</v>
      </c>
      <c r="B724">
        <v>13</v>
      </c>
      <c r="C724">
        <v>0</v>
      </c>
      <c r="D724">
        <v>0</v>
      </c>
      <c r="E724">
        <v>0</v>
      </c>
      <c r="F724">
        <v>1602</v>
      </c>
    </row>
    <row r="725" spans="1:6" x14ac:dyDescent="0.25">
      <c r="A725">
        <v>724</v>
      </c>
      <c r="B725">
        <v>41</v>
      </c>
      <c r="C725">
        <v>0</v>
      </c>
      <c r="D725">
        <v>0</v>
      </c>
      <c r="E725">
        <v>0</v>
      </c>
      <c r="F725">
        <v>1</v>
      </c>
    </row>
    <row r="726" spans="1:6" x14ac:dyDescent="0.25">
      <c r="A726">
        <v>725</v>
      </c>
      <c r="B726">
        <v>42</v>
      </c>
      <c r="C726">
        <v>0</v>
      </c>
      <c r="D726">
        <v>0</v>
      </c>
      <c r="E726">
        <v>0</v>
      </c>
      <c r="F726">
        <v>0.2</v>
      </c>
    </row>
    <row r="727" spans="1:6" x14ac:dyDescent="0.25">
      <c r="A727">
        <v>726</v>
      </c>
      <c r="B727">
        <v>43</v>
      </c>
      <c r="C727">
        <v>0</v>
      </c>
      <c r="D727">
        <v>0</v>
      </c>
      <c r="E727">
        <v>0</v>
      </c>
      <c r="F727">
        <v>0</v>
      </c>
    </row>
    <row r="728" spans="1:6" x14ac:dyDescent="0.25">
      <c r="A728">
        <v>727</v>
      </c>
      <c r="B728">
        <v>44</v>
      </c>
      <c r="C728">
        <v>0</v>
      </c>
      <c r="D728">
        <v>0</v>
      </c>
      <c r="E728">
        <v>0</v>
      </c>
      <c r="F728">
        <v>265.59399999999999</v>
      </c>
    </row>
    <row r="729" spans="1:6" x14ac:dyDescent="0.25">
      <c r="A729">
        <v>728</v>
      </c>
      <c r="B729">
        <v>45</v>
      </c>
      <c r="C729">
        <v>0</v>
      </c>
      <c r="D729">
        <v>0</v>
      </c>
      <c r="E729">
        <v>0</v>
      </c>
      <c r="F729">
        <v>1538.93</v>
      </c>
    </row>
    <row r="730" spans="1:6" x14ac:dyDescent="0.25">
      <c r="A730">
        <v>729</v>
      </c>
      <c r="B730">
        <v>46</v>
      </c>
      <c r="C730">
        <v>0</v>
      </c>
      <c r="D730">
        <v>0</v>
      </c>
      <c r="E730">
        <v>0</v>
      </c>
      <c r="F730">
        <v>0</v>
      </c>
    </row>
    <row r="731" spans="1:6" x14ac:dyDescent="0.25">
      <c r="A731">
        <v>730</v>
      </c>
      <c r="B731">
        <v>2</v>
      </c>
      <c r="C731">
        <v>0</v>
      </c>
      <c r="D731">
        <v>0</v>
      </c>
      <c r="E731">
        <v>0</v>
      </c>
      <c r="F731">
        <v>34.406399999999998</v>
      </c>
    </row>
    <row r="732" spans="1:6" x14ac:dyDescent="0.25">
      <c r="A732">
        <v>731</v>
      </c>
      <c r="B732">
        <v>10</v>
      </c>
      <c r="C732">
        <v>1</v>
      </c>
      <c r="D732">
        <v>0</v>
      </c>
      <c r="E732">
        <v>0</v>
      </c>
      <c r="F732">
        <v>5691</v>
      </c>
    </row>
    <row r="733" spans="1:6" x14ac:dyDescent="0.25">
      <c r="A733">
        <v>732</v>
      </c>
      <c r="B733">
        <v>13</v>
      </c>
      <c r="C733">
        <v>0</v>
      </c>
      <c r="D733">
        <v>0</v>
      </c>
      <c r="E733">
        <v>0</v>
      </c>
      <c r="F733">
        <v>1602</v>
      </c>
    </row>
    <row r="734" spans="1:6" x14ac:dyDescent="0.25">
      <c r="A734">
        <v>733</v>
      </c>
      <c r="B734">
        <v>41</v>
      </c>
      <c r="C734">
        <v>0</v>
      </c>
      <c r="D734">
        <v>0</v>
      </c>
      <c r="E734">
        <v>0</v>
      </c>
      <c r="F734">
        <v>1</v>
      </c>
    </row>
    <row r="735" spans="1:6" x14ac:dyDescent="0.25">
      <c r="A735">
        <v>734</v>
      </c>
      <c r="B735">
        <v>42</v>
      </c>
      <c r="C735">
        <v>0</v>
      </c>
      <c r="D735">
        <v>0</v>
      </c>
      <c r="E735">
        <v>0</v>
      </c>
      <c r="F735">
        <v>0.2</v>
      </c>
    </row>
    <row r="736" spans="1:6" x14ac:dyDescent="0.25">
      <c r="A736">
        <v>735</v>
      </c>
      <c r="B736">
        <v>43</v>
      </c>
      <c r="C736">
        <v>0</v>
      </c>
      <c r="D736">
        <v>0</v>
      </c>
      <c r="E736">
        <v>0</v>
      </c>
      <c r="F736">
        <v>0</v>
      </c>
    </row>
    <row r="737" spans="1:6" x14ac:dyDescent="0.25">
      <c r="A737">
        <v>736</v>
      </c>
      <c r="B737">
        <v>44</v>
      </c>
      <c r="C737">
        <v>0</v>
      </c>
      <c r="D737">
        <v>0</v>
      </c>
      <c r="E737">
        <v>0</v>
      </c>
      <c r="F737">
        <v>265.59399999999999</v>
      </c>
    </row>
    <row r="738" spans="1:6" x14ac:dyDescent="0.25">
      <c r="A738">
        <v>737</v>
      </c>
      <c r="B738">
        <v>45</v>
      </c>
      <c r="C738">
        <v>0</v>
      </c>
      <c r="D738">
        <v>0</v>
      </c>
      <c r="E738">
        <v>0</v>
      </c>
      <c r="F738">
        <v>1539.45</v>
      </c>
    </row>
    <row r="739" spans="1:6" x14ac:dyDescent="0.25">
      <c r="A739">
        <v>738</v>
      </c>
      <c r="B739">
        <v>46</v>
      </c>
      <c r="C739">
        <v>0</v>
      </c>
      <c r="D739">
        <v>0</v>
      </c>
      <c r="E739">
        <v>0</v>
      </c>
      <c r="F739">
        <v>0</v>
      </c>
    </row>
    <row r="740" spans="1:6" x14ac:dyDescent="0.25">
      <c r="A740">
        <v>739</v>
      </c>
      <c r="B740">
        <v>2</v>
      </c>
      <c r="C740">
        <v>0</v>
      </c>
      <c r="D740">
        <v>0</v>
      </c>
      <c r="E740">
        <v>0</v>
      </c>
      <c r="F740">
        <v>34.4056</v>
      </c>
    </row>
    <row r="741" spans="1:6" x14ac:dyDescent="0.25">
      <c r="A741">
        <v>740</v>
      </c>
      <c r="B741">
        <v>10</v>
      </c>
      <c r="C741">
        <v>1</v>
      </c>
      <c r="D741">
        <v>0</v>
      </c>
      <c r="E741">
        <v>0</v>
      </c>
      <c r="F741">
        <v>5691</v>
      </c>
    </row>
    <row r="742" spans="1:6" x14ac:dyDescent="0.25">
      <c r="A742">
        <v>741</v>
      </c>
      <c r="B742">
        <v>13</v>
      </c>
      <c r="C742">
        <v>0</v>
      </c>
      <c r="D742">
        <v>0</v>
      </c>
      <c r="E742">
        <v>0</v>
      </c>
      <c r="F742">
        <v>1602</v>
      </c>
    </row>
    <row r="743" spans="1:6" x14ac:dyDescent="0.25">
      <c r="A743">
        <v>742</v>
      </c>
      <c r="B743">
        <v>41</v>
      </c>
      <c r="C743">
        <v>0</v>
      </c>
      <c r="D743">
        <v>0</v>
      </c>
      <c r="E743">
        <v>0</v>
      </c>
      <c r="F743">
        <v>1</v>
      </c>
    </row>
    <row r="744" spans="1:6" x14ac:dyDescent="0.25">
      <c r="A744">
        <v>743</v>
      </c>
      <c r="B744">
        <v>42</v>
      </c>
      <c r="C744">
        <v>0</v>
      </c>
      <c r="D744">
        <v>0</v>
      </c>
      <c r="E744">
        <v>0</v>
      </c>
      <c r="F744">
        <v>0.2</v>
      </c>
    </row>
    <row r="745" spans="1:6" x14ac:dyDescent="0.25">
      <c r="A745">
        <v>744</v>
      </c>
      <c r="B745">
        <v>43</v>
      </c>
      <c r="C745">
        <v>0</v>
      </c>
      <c r="D745">
        <v>0</v>
      </c>
      <c r="E745">
        <v>0</v>
      </c>
      <c r="F745">
        <v>0</v>
      </c>
    </row>
    <row r="746" spans="1:6" x14ac:dyDescent="0.25">
      <c r="A746">
        <v>745</v>
      </c>
      <c r="B746">
        <v>44</v>
      </c>
      <c r="C746">
        <v>0</v>
      </c>
      <c r="D746">
        <v>0</v>
      </c>
      <c r="E746">
        <v>0</v>
      </c>
      <c r="F746">
        <v>265.59399999999999</v>
      </c>
    </row>
    <row r="747" spans="1:6" x14ac:dyDescent="0.25">
      <c r="A747">
        <v>746</v>
      </c>
      <c r="B747">
        <v>45</v>
      </c>
      <c r="C747">
        <v>0</v>
      </c>
      <c r="D747">
        <v>0</v>
      </c>
      <c r="E747">
        <v>0</v>
      </c>
      <c r="F747">
        <v>1539.45</v>
      </c>
    </row>
    <row r="748" spans="1:6" x14ac:dyDescent="0.25">
      <c r="A748">
        <v>747</v>
      </c>
      <c r="B748">
        <v>46</v>
      </c>
      <c r="C748">
        <v>0</v>
      </c>
      <c r="D748">
        <v>0</v>
      </c>
      <c r="E748">
        <v>0</v>
      </c>
      <c r="F748">
        <v>0</v>
      </c>
    </row>
    <row r="749" spans="1:6" x14ac:dyDescent="0.25">
      <c r="A749">
        <v>748</v>
      </c>
      <c r="B749">
        <v>2</v>
      </c>
      <c r="C749">
        <v>0</v>
      </c>
      <c r="D749">
        <v>0</v>
      </c>
      <c r="E749">
        <v>0</v>
      </c>
      <c r="F749">
        <v>34.4056</v>
      </c>
    </row>
    <row r="750" spans="1:6" x14ac:dyDescent="0.25">
      <c r="A750">
        <v>749</v>
      </c>
      <c r="B750">
        <v>10</v>
      </c>
      <c r="C750">
        <v>1</v>
      </c>
      <c r="D750">
        <v>0</v>
      </c>
      <c r="E750">
        <v>0</v>
      </c>
      <c r="F750">
        <v>5691</v>
      </c>
    </row>
    <row r="751" spans="1:6" x14ac:dyDescent="0.25">
      <c r="A751">
        <v>750</v>
      </c>
      <c r="B751">
        <v>13</v>
      </c>
      <c r="C751">
        <v>0</v>
      </c>
      <c r="D751">
        <v>0</v>
      </c>
      <c r="E751">
        <v>0</v>
      </c>
      <c r="F751">
        <v>1602</v>
      </c>
    </row>
    <row r="752" spans="1:6" x14ac:dyDescent="0.25">
      <c r="A752">
        <v>751</v>
      </c>
      <c r="B752">
        <v>41</v>
      </c>
      <c r="C752">
        <v>0</v>
      </c>
      <c r="D752">
        <v>0</v>
      </c>
      <c r="E752">
        <v>0</v>
      </c>
      <c r="F752">
        <v>1</v>
      </c>
    </row>
    <row r="753" spans="1:6" x14ac:dyDescent="0.25">
      <c r="A753">
        <v>752</v>
      </c>
      <c r="B753">
        <v>42</v>
      </c>
      <c r="C753">
        <v>0</v>
      </c>
      <c r="D753">
        <v>0</v>
      </c>
      <c r="E753">
        <v>0</v>
      </c>
      <c r="F753">
        <v>0.2</v>
      </c>
    </row>
    <row r="754" spans="1:6" x14ac:dyDescent="0.25">
      <c r="A754">
        <v>753</v>
      </c>
      <c r="B754">
        <v>43</v>
      </c>
      <c r="C754">
        <v>0</v>
      </c>
      <c r="D754">
        <v>0</v>
      </c>
      <c r="E754">
        <v>0</v>
      </c>
      <c r="F754">
        <v>0</v>
      </c>
    </row>
    <row r="755" spans="1:6" x14ac:dyDescent="0.25">
      <c r="A755">
        <v>754</v>
      </c>
      <c r="B755">
        <v>44</v>
      </c>
      <c r="C755">
        <v>0</v>
      </c>
      <c r="D755">
        <v>0</v>
      </c>
      <c r="E755">
        <v>0</v>
      </c>
      <c r="F755">
        <v>265.59500000000003</v>
      </c>
    </row>
    <row r="756" spans="1:6" x14ac:dyDescent="0.25">
      <c r="A756">
        <v>755</v>
      </c>
      <c r="B756">
        <v>45</v>
      </c>
      <c r="C756">
        <v>0</v>
      </c>
      <c r="D756">
        <v>0</v>
      </c>
      <c r="E756">
        <v>0</v>
      </c>
      <c r="F756">
        <v>1539.96</v>
      </c>
    </row>
    <row r="757" spans="1:6" x14ac:dyDescent="0.25">
      <c r="A757">
        <v>756</v>
      </c>
      <c r="B757">
        <v>46</v>
      </c>
      <c r="C757">
        <v>0</v>
      </c>
      <c r="D757">
        <v>0</v>
      </c>
      <c r="E757">
        <v>0</v>
      </c>
      <c r="F757">
        <v>0</v>
      </c>
    </row>
    <row r="758" spans="1:6" x14ac:dyDescent="0.25">
      <c r="A758">
        <v>757</v>
      </c>
      <c r="B758">
        <v>2</v>
      </c>
      <c r="C758">
        <v>0</v>
      </c>
      <c r="D758">
        <v>0</v>
      </c>
      <c r="E758">
        <v>0</v>
      </c>
      <c r="F758">
        <v>34.405000000000001</v>
      </c>
    </row>
    <row r="759" spans="1:6" x14ac:dyDescent="0.25">
      <c r="A759">
        <v>758</v>
      </c>
      <c r="B759">
        <v>10</v>
      </c>
      <c r="C759">
        <v>1</v>
      </c>
      <c r="D759">
        <v>0</v>
      </c>
      <c r="E759">
        <v>0</v>
      </c>
      <c r="F759">
        <v>5691</v>
      </c>
    </row>
    <row r="760" spans="1:6" x14ac:dyDescent="0.25">
      <c r="A760">
        <v>759</v>
      </c>
      <c r="B760">
        <v>13</v>
      </c>
      <c r="C760">
        <v>0</v>
      </c>
      <c r="D760">
        <v>0</v>
      </c>
      <c r="E760">
        <v>0</v>
      </c>
      <c r="F760">
        <v>1602</v>
      </c>
    </row>
    <row r="761" spans="1:6" x14ac:dyDescent="0.25">
      <c r="A761">
        <v>760</v>
      </c>
      <c r="B761">
        <v>41</v>
      </c>
      <c r="C761">
        <v>0</v>
      </c>
      <c r="D761">
        <v>0</v>
      </c>
      <c r="E761">
        <v>0</v>
      </c>
      <c r="F761">
        <v>1</v>
      </c>
    </row>
    <row r="762" spans="1:6" x14ac:dyDescent="0.25">
      <c r="A762">
        <v>761</v>
      </c>
      <c r="B762">
        <v>42</v>
      </c>
      <c r="C762">
        <v>0</v>
      </c>
      <c r="D762">
        <v>0</v>
      </c>
      <c r="E762">
        <v>0</v>
      </c>
      <c r="F762">
        <v>0.2</v>
      </c>
    </row>
    <row r="763" spans="1:6" x14ac:dyDescent="0.25">
      <c r="A763">
        <v>762</v>
      </c>
      <c r="B763">
        <v>43</v>
      </c>
      <c r="C763">
        <v>0</v>
      </c>
      <c r="D763">
        <v>0</v>
      </c>
      <c r="E763">
        <v>0</v>
      </c>
      <c r="F763">
        <v>0</v>
      </c>
    </row>
    <row r="764" spans="1:6" x14ac:dyDescent="0.25">
      <c r="A764">
        <v>763</v>
      </c>
      <c r="B764" t="s">
        <v>0</v>
      </c>
      <c r="C764">
        <v>29</v>
      </c>
      <c r="D764">
        <v>3482</v>
      </c>
      <c r="E764">
        <v>79781112</v>
      </c>
    </row>
    <row r="765" spans="1:6" x14ac:dyDescent="0.25">
      <c r="A765">
        <v>764</v>
      </c>
      <c r="B765">
        <v>45</v>
      </c>
      <c r="C765">
        <v>0</v>
      </c>
      <c r="D765">
        <v>0</v>
      </c>
      <c r="E765">
        <v>0</v>
      </c>
      <c r="F765">
        <v>1540.47</v>
      </c>
    </row>
    <row r="766" spans="1:6" x14ac:dyDescent="0.25">
      <c r="A766">
        <v>765</v>
      </c>
      <c r="B766">
        <v>46</v>
      </c>
      <c r="C766">
        <v>0</v>
      </c>
      <c r="D766">
        <v>0</v>
      </c>
      <c r="E766">
        <v>0</v>
      </c>
      <c r="F766">
        <v>0</v>
      </c>
    </row>
    <row r="767" spans="1:6" x14ac:dyDescent="0.25">
      <c r="A767">
        <v>766</v>
      </c>
      <c r="B767">
        <v>2</v>
      </c>
      <c r="C767">
        <v>0</v>
      </c>
      <c r="D767">
        <v>0</v>
      </c>
      <c r="E767">
        <v>0</v>
      </c>
      <c r="F767">
        <v>34.405299999999997</v>
      </c>
    </row>
    <row r="768" spans="1:6" x14ac:dyDescent="0.25">
      <c r="A768">
        <v>767</v>
      </c>
      <c r="B768">
        <v>10</v>
      </c>
      <c r="C768">
        <v>1</v>
      </c>
      <c r="D768">
        <v>0</v>
      </c>
      <c r="E768">
        <v>0</v>
      </c>
      <c r="F768">
        <v>5691</v>
      </c>
    </row>
    <row r="769" spans="1:6" x14ac:dyDescent="0.25">
      <c r="A769">
        <v>768</v>
      </c>
      <c r="B769">
        <v>13</v>
      </c>
      <c r="C769">
        <v>0</v>
      </c>
      <c r="D769">
        <v>0</v>
      </c>
      <c r="E769">
        <v>0</v>
      </c>
      <c r="F769">
        <v>1602</v>
      </c>
    </row>
    <row r="770" spans="1:6" x14ac:dyDescent="0.25">
      <c r="A770">
        <v>769</v>
      </c>
      <c r="B770">
        <v>41</v>
      </c>
      <c r="C770">
        <v>0</v>
      </c>
      <c r="D770">
        <v>0</v>
      </c>
      <c r="E770">
        <v>0</v>
      </c>
      <c r="F770">
        <v>1</v>
      </c>
    </row>
    <row r="771" spans="1:6" x14ac:dyDescent="0.25">
      <c r="A771">
        <v>770</v>
      </c>
      <c r="B771">
        <v>42</v>
      </c>
      <c r="C771">
        <v>0</v>
      </c>
      <c r="D771">
        <v>0</v>
      </c>
      <c r="E771">
        <v>0</v>
      </c>
      <c r="F771">
        <v>0.2</v>
      </c>
    </row>
    <row r="772" spans="1:6" x14ac:dyDescent="0.25">
      <c r="A772">
        <v>771</v>
      </c>
      <c r="B772">
        <v>43</v>
      </c>
      <c r="C772">
        <v>0</v>
      </c>
      <c r="D772">
        <v>0</v>
      </c>
      <c r="E772">
        <v>0</v>
      </c>
      <c r="F772">
        <v>0</v>
      </c>
    </row>
    <row r="773" spans="1:6" x14ac:dyDescent="0.25">
      <c r="A773">
        <v>772</v>
      </c>
      <c r="B773">
        <v>44</v>
      </c>
      <c r="C773">
        <v>0</v>
      </c>
      <c r="D773">
        <v>0</v>
      </c>
      <c r="E773">
        <v>0</v>
      </c>
      <c r="F773">
        <v>265.59500000000003</v>
      </c>
    </row>
    <row r="774" spans="1:6" x14ac:dyDescent="0.25">
      <c r="A774">
        <v>773</v>
      </c>
      <c r="B774">
        <v>45</v>
      </c>
      <c r="C774">
        <v>0</v>
      </c>
      <c r="D774">
        <v>0</v>
      </c>
      <c r="E774">
        <v>0</v>
      </c>
      <c r="F774">
        <v>1540.47</v>
      </c>
    </row>
    <row r="775" spans="1:6" x14ac:dyDescent="0.25">
      <c r="A775">
        <v>774</v>
      </c>
      <c r="B775">
        <v>46</v>
      </c>
      <c r="C775">
        <v>0</v>
      </c>
      <c r="D775">
        <v>0</v>
      </c>
      <c r="E775">
        <v>0</v>
      </c>
      <c r="F775">
        <v>0</v>
      </c>
    </row>
    <row r="776" spans="1:6" x14ac:dyDescent="0.25">
      <c r="A776">
        <v>775</v>
      </c>
      <c r="B776">
        <v>2</v>
      </c>
      <c r="C776">
        <v>0</v>
      </c>
      <c r="D776">
        <v>0</v>
      </c>
      <c r="E776">
        <v>0</v>
      </c>
      <c r="F776">
        <v>34.405299999999997</v>
      </c>
    </row>
    <row r="777" spans="1:6" x14ac:dyDescent="0.25">
      <c r="A777">
        <v>776</v>
      </c>
      <c r="B777">
        <v>10</v>
      </c>
      <c r="C777">
        <v>1</v>
      </c>
      <c r="D777">
        <v>0</v>
      </c>
      <c r="E777">
        <v>0</v>
      </c>
      <c r="F777">
        <v>5691</v>
      </c>
    </row>
    <row r="778" spans="1:6" x14ac:dyDescent="0.25">
      <c r="A778">
        <v>777</v>
      </c>
      <c r="B778">
        <v>13</v>
      </c>
      <c r="C778">
        <v>0</v>
      </c>
      <c r="D778">
        <v>0</v>
      </c>
      <c r="E778">
        <v>0</v>
      </c>
      <c r="F778">
        <v>1602</v>
      </c>
    </row>
    <row r="779" spans="1:6" x14ac:dyDescent="0.25">
      <c r="A779">
        <v>778</v>
      </c>
      <c r="B779" t="s">
        <v>0</v>
      </c>
      <c r="C779">
        <v>30</v>
      </c>
      <c r="D779">
        <v>3482</v>
      </c>
      <c r="E779">
        <v>79782081</v>
      </c>
    </row>
    <row r="780" spans="1:6" x14ac:dyDescent="0.25">
      <c r="A780">
        <v>779</v>
      </c>
      <c r="B780">
        <v>42</v>
      </c>
      <c r="C780">
        <v>0</v>
      </c>
      <c r="D780">
        <v>0</v>
      </c>
      <c r="E780">
        <v>0</v>
      </c>
      <c r="F780">
        <v>0.2</v>
      </c>
    </row>
    <row r="781" spans="1:6" x14ac:dyDescent="0.25">
      <c r="A781">
        <v>780</v>
      </c>
      <c r="B781">
        <v>43</v>
      </c>
      <c r="C781">
        <v>0</v>
      </c>
      <c r="D781">
        <v>0</v>
      </c>
      <c r="E781">
        <v>0</v>
      </c>
      <c r="F781">
        <v>0</v>
      </c>
    </row>
    <row r="782" spans="1:6" x14ac:dyDescent="0.25">
      <c r="A782">
        <v>781</v>
      </c>
      <c r="B782">
        <v>44</v>
      </c>
      <c r="C782">
        <v>0</v>
      </c>
      <c r="D782">
        <v>0</v>
      </c>
      <c r="E782">
        <v>0</v>
      </c>
      <c r="F782">
        <v>265.59500000000003</v>
      </c>
    </row>
    <row r="783" spans="1:6" x14ac:dyDescent="0.25">
      <c r="A783">
        <v>782</v>
      </c>
      <c r="B783">
        <v>45</v>
      </c>
      <c r="C783">
        <v>0</v>
      </c>
      <c r="D783">
        <v>0</v>
      </c>
      <c r="E783">
        <v>0</v>
      </c>
      <c r="F783">
        <v>1540.99</v>
      </c>
    </row>
    <row r="784" spans="1:6" x14ac:dyDescent="0.25">
      <c r="A784">
        <v>783</v>
      </c>
      <c r="B784">
        <v>46</v>
      </c>
      <c r="C784">
        <v>0</v>
      </c>
      <c r="D784">
        <v>0</v>
      </c>
      <c r="E784">
        <v>0</v>
      </c>
      <c r="F784">
        <v>0</v>
      </c>
    </row>
    <row r="785" spans="1:6" x14ac:dyDescent="0.25">
      <c r="A785">
        <v>784</v>
      </c>
      <c r="B785">
        <v>2</v>
      </c>
      <c r="C785">
        <v>0</v>
      </c>
      <c r="D785">
        <v>0</v>
      </c>
      <c r="E785">
        <v>0</v>
      </c>
      <c r="F785">
        <v>34.404699999999998</v>
      </c>
    </row>
    <row r="786" spans="1:6" x14ac:dyDescent="0.25">
      <c r="A786">
        <v>785</v>
      </c>
      <c r="B786">
        <v>10</v>
      </c>
      <c r="C786">
        <v>1</v>
      </c>
      <c r="D786">
        <v>0</v>
      </c>
      <c r="E786">
        <v>0</v>
      </c>
      <c r="F786">
        <v>5691</v>
      </c>
    </row>
    <row r="787" spans="1:6" x14ac:dyDescent="0.25">
      <c r="A787">
        <v>786</v>
      </c>
      <c r="B787">
        <v>13</v>
      </c>
      <c r="C787">
        <v>0</v>
      </c>
      <c r="D787">
        <v>0</v>
      </c>
      <c r="E787">
        <v>0</v>
      </c>
      <c r="F787">
        <v>1602</v>
      </c>
    </row>
    <row r="788" spans="1:6" x14ac:dyDescent="0.25">
      <c r="A788">
        <v>787</v>
      </c>
      <c r="B788">
        <v>41</v>
      </c>
      <c r="C788">
        <v>0</v>
      </c>
      <c r="D788">
        <v>0</v>
      </c>
      <c r="E788">
        <v>0</v>
      </c>
      <c r="F788">
        <v>1</v>
      </c>
    </row>
    <row r="789" spans="1:6" x14ac:dyDescent="0.25">
      <c r="A789">
        <v>788</v>
      </c>
      <c r="B789">
        <v>42</v>
      </c>
      <c r="C789">
        <v>0</v>
      </c>
      <c r="D789">
        <v>0</v>
      </c>
      <c r="E789">
        <v>0</v>
      </c>
      <c r="F789">
        <v>0.2</v>
      </c>
    </row>
    <row r="790" spans="1:6" x14ac:dyDescent="0.25">
      <c r="A790">
        <v>789</v>
      </c>
      <c r="B790">
        <v>43</v>
      </c>
      <c r="C790">
        <v>0</v>
      </c>
      <c r="D790">
        <v>0</v>
      </c>
      <c r="E790">
        <v>0</v>
      </c>
      <c r="F790">
        <v>0</v>
      </c>
    </row>
    <row r="791" spans="1:6" x14ac:dyDescent="0.25">
      <c r="A791">
        <v>790</v>
      </c>
      <c r="B791">
        <v>44</v>
      </c>
      <c r="C791">
        <v>0</v>
      </c>
      <c r="D791">
        <v>0</v>
      </c>
      <c r="E791">
        <v>0</v>
      </c>
      <c r="F791">
        <v>265.59500000000003</v>
      </c>
    </row>
    <row r="792" spans="1:6" x14ac:dyDescent="0.25">
      <c r="A792">
        <v>791</v>
      </c>
      <c r="B792">
        <v>45</v>
      </c>
      <c r="C792">
        <v>0</v>
      </c>
      <c r="D792">
        <v>0</v>
      </c>
      <c r="E792">
        <v>0</v>
      </c>
      <c r="F792">
        <v>1540.99</v>
      </c>
    </row>
    <row r="793" spans="1:6" x14ac:dyDescent="0.25">
      <c r="A793">
        <v>792</v>
      </c>
      <c r="B793">
        <v>46</v>
      </c>
      <c r="C793">
        <v>0</v>
      </c>
      <c r="D793">
        <v>0</v>
      </c>
      <c r="E793">
        <v>0</v>
      </c>
      <c r="F793">
        <v>0</v>
      </c>
    </row>
    <row r="794" spans="1:6" x14ac:dyDescent="0.25">
      <c r="A794">
        <v>793</v>
      </c>
      <c r="B794" t="s">
        <v>0</v>
      </c>
      <c r="C794">
        <v>31</v>
      </c>
      <c r="D794">
        <v>3482</v>
      </c>
      <c r="E794">
        <v>79783049</v>
      </c>
    </row>
    <row r="795" spans="1:6" x14ac:dyDescent="0.25">
      <c r="A795">
        <v>794</v>
      </c>
      <c r="B795">
        <v>2</v>
      </c>
      <c r="C795">
        <v>0</v>
      </c>
      <c r="D795">
        <v>0</v>
      </c>
      <c r="E795">
        <v>0</v>
      </c>
      <c r="F795">
        <v>34.4054</v>
      </c>
    </row>
    <row r="796" spans="1:6" x14ac:dyDescent="0.25">
      <c r="A796">
        <v>795</v>
      </c>
      <c r="B796">
        <v>10</v>
      </c>
      <c r="C796">
        <v>1</v>
      </c>
      <c r="D796">
        <v>0</v>
      </c>
      <c r="E796">
        <v>0</v>
      </c>
      <c r="F796">
        <v>5691</v>
      </c>
    </row>
    <row r="797" spans="1:6" x14ac:dyDescent="0.25">
      <c r="A797">
        <v>796</v>
      </c>
      <c r="B797">
        <v>13</v>
      </c>
      <c r="C797">
        <v>0</v>
      </c>
      <c r="D797">
        <v>0</v>
      </c>
      <c r="E797">
        <v>0</v>
      </c>
      <c r="F797">
        <v>1602</v>
      </c>
    </row>
    <row r="798" spans="1:6" x14ac:dyDescent="0.25">
      <c r="A798">
        <v>797</v>
      </c>
      <c r="B798">
        <v>41</v>
      </c>
      <c r="C798">
        <v>0</v>
      </c>
      <c r="D798">
        <v>0</v>
      </c>
      <c r="E798">
        <v>0</v>
      </c>
      <c r="F798">
        <v>1</v>
      </c>
    </row>
    <row r="799" spans="1:6" x14ac:dyDescent="0.25">
      <c r="A799">
        <v>798</v>
      </c>
      <c r="B799">
        <v>42</v>
      </c>
      <c r="C799">
        <v>0</v>
      </c>
      <c r="D799">
        <v>0</v>
      </c>
      <c r="E799">
        <v>0</v>
      </c>
      <c r="F799">
        <v>0.2</v>
      </c>
    </row>
    <row r="800" spans="1:6" x14ac:dyDescent="0.25">
      <c r="A800">
        <v>799</v>
      </c>
      <c r="B800">
        <v>43</v>
      </c>
      <c r="C800">
        <v>0</v>
      </c>
      <c r="D800">
        <v>0</v>
      </c>
      <c r="E800">
        <v>0</v>
      </c>
      <c r="F800">
        <v>0</v>
      </c>
    </row>
    <row r="801" spans="1:6" x14ac:dyDescent="0.25">
      <c r="A801">
        <v>800</v>
      </c>
      <c r="B801">
        <v>44</v>
      </c>
      <c r="C801">
        <v>0</v>
      </c>
      <c r="D801">
        <v>0</v>
      </c>
      <c r="E801">
        <v>0</v>
      </c>
      <c r="F801">
        <v>265.59500000000003</v>
      </c>
    </row>
    <row r="802" spans="1:6" x14ac:dyDescent="0.25">
      <c r="A802">
        <v>801</v>
      </c>
      <c r="B802">
        <v>45</v>
      </c>
      <c r="C802">
        <v>0</v>
      </c>
      <c r="D802">
        <v>0</v>
      </c>
      <c r="E802">
        <v>0</v>
      </c>
      <c r="F802">
        <v>1541.5</v>
      </c>
    </row>
    <row r="803" spans="1:6" x14ac:dyDescent="0.25">
      <c r="A803">
        <v>802</v>
      </c>
      <c r="B803">
        <v>46</v>
      </c>
      <c r="C803">
        <v>0</v>
      </c>
      <c r="D803">
        <v>0</v>
      </c>
      <c r="E803">
        <v>0</v>
      </c>
      <c r="F803">
        <v>0</v>
      </c>
    </row>
    <row r="804" spans="1:6" x14ac:dyDescent="0.25">
      <c r="A804">
        <v>803</v>
      </c>
      <c r="B804">
        <v>2</v>
      </c>
      <c r="C804">
        <v>0</v>
      </c>
      <c r="D804">
        <v>0</v>
      </c>
      <c r="E804">
        <v>0</v>
      </c>
      <c r="F804">
        <v>34.4054</v>
      </c>
    </row>
    <row r="805" spans="1:6" x14ac:dyDescent="0.25">
      <c r="A805">
        <v>804</v>
      </c>
      <c r="B805">
        <v>10</v>
      </c>
      <c r="C805">
        <v>1</v>
      </c>
      <c r="D805">
        <v>0</v>
      </c>
      <c r="E805">
        <v>0</v>
      </c>
      <c r="F805">
        <v>5691</v>
      </c>
    </row>
    <row r="806" spans="1:6" x14ac:dyDescent="0.25">
      <c r="A806">
        <v>805</v>
      </c>
      <c r="B806">
        <v>13</v>
      </c>
      <c r="C806">
        <v>0</v>
      </c>
      <c r="D806">
        <v>0</v>
      </c>
      <c r="E806">
        <v>0</v>
      </c>
      <c r="F806">
        <v>1602</v>
      </c>
    </row>
    <row r="807" spans="1:6" x14ac:dyDescent="0.25">
      <c r="A807">
        <v>806</v>
      </c>
      <c r="B807">
        <v>41</v>
      </c>
      <c r="C807">
        <v>0</v>
      </c>
      <c r="D807">
        <v>0</v>
      </c>
      <c r="E807">
        <v>0</v>
      </c>
      <c r="F807">
        <v>1</v>
      </c>
    </row>
    <row r="808" spans="1:6" x14ac:dyDescent="0.25">
      <c r="A808">
        <v>807</v>
      </c>
      <c r="B808">
        <v>42</v>
      </c>
      <c r="C808">
        <v>0</v>
      </c>
      <c r="D808">
        <v>0</v>
      </c>
      <c r="E808">
        <v>0</v>
      </c>
      <c r="F808">
        <v>0.2</v>
      </c>
    </row>
    <row r="809" spans="1:6" x14ac:dyDescent="0.25">
      <c r="A809">
        <v>808</v>
      </c>
      <c r="B809">
        <v>43</v>
      </c>
      <c r="C809">
        <v>0</v>
      </c>
      <c r="D809">
        <v>0</v>
      </c>
      <c r="E809">
        <v>0</v>
      </c>
      <c r="F809">
        <v>0</v>
      </c>
    </row>
    <row r="810" spans="1:6" x14ac:dyDescent="0.25">
      <c r="A810">
        <v>809</v>
      </c>
      <c r="B810">
        <v>44</v>
      </c>
      <c r="C810">
        <v>0</v>
      </c>
      <c r="D810">
        <v>0</v>
      </c>
      <c r="E810">
        <v>0</v>
      </c>
      <c r="F810">
        <v>265.59500000000003</v>
      </c>
    </row>
    <row r="811" spans="1:6" x14ac:dyDescent="0.25">
      <c r="A811">
        <v>810</v>
      </c>
      <c r="B811">
        <v>45</v>
      </c>
      <c r="C811">
        <v>0</v>
      </c>
      <c r="D811">
        <v>0</v>
      </c>
      <c r="E811">
        <v>0</v>
      </c>
      <c r="F811">
        <v>1542.02</v>
      </c>
    </row>
    <row r="812" spans="1:6" x14ac:dyDescent="0.25">
      <c r="A812">
        <v>811</v>
      </c>
      <c r="B812">
        <v>46</v>
      </c>
      <c r="C812">
        <v>0</v>
      </c>
      <c r="D812">
        <v>0</v>
      </c>
      <c r="E812">
        <v>0</v>
      </c>
      <c r="F812">
        <v>0</v>
      </c>
    </row>
    <row r="813" spans="1:6" x14ac:dyDescent="0.25">
      <c r="A813">
        <v>812</v>
      </c>
      <c r="B813">
        <v>2</v>
      </c>
      <c r="C813">
        <v>0</v>
      </c>
      <c r="D813">
        <v>0</v>
      </c>
      <c r="E813">
        <v>0</v>
      </c>
      <c r="F813">
        <v>34.4054</v>
      </c>
    </row>
    <row r="814" spans="1:6" x14ac:dyDescent="0.25">
      <c r="A814">
        <v>813</v>
      </c>
      <c r="B814">
        <v>10</v>
      </c>
      <c r="C814">
        <v>1</v>
      </c>
      <c r="D814">
        <v>0</v>
      </c>
      <c r="E814">
        <v>0</v>
      </c>
      <c r="F814">
        <v>5691</v>
      </c>
    </row>
    <row r="815" spans="1:6" x14ac:dyDescent="0.25">
      <c r="A815">
        <v>814</v>
      </c>
      <c r="B815">
        <v>13</v>
      </c>
      <c r="C815">
        <v>0</v>
      </c>
      <c r="D815">
        <v>0</v>
      </c>
      <c r="E815">
        <v>0</v>
      </c>
      <c r="F815">
        <v>1602</v>
      </c>
    </row>
    <row r="816" spans="1:6" x14ac:dyDescent="0.25">
      <c r="A816">
        <v>815</v>
      </c>
      <c r="B816">
        <v>41</v>
      </c>
      <c r="C816">
        <v>0</v>
      </c>
      <c r="D816">
        <v>0</v>
      </c>
      <c r="E816">
        <v>0</v>
      </c>
      <c r="F816">
        <v>1</v>
      </c>
    </row>
    <row r="817" spans="1:6" x14ac:dyDescent="0.25">
      <c r="A817">
        <v>816</v>
      </c>
      <c r="B817">
        <v>42</v>
      </c>
      <c r="C817">
        <v>0</v>
      </c>
      <c r="D817">
        <v>0</v>
      </c>
      <c r="E817">
        <v>0</v>
      </c>
      <c r="F817">
        <v>0.2</v>
      </c>
    </row>
    <row r="818" spans="1:6" x14ac:dyDescent="0.25">
      <c r="A818">
        <v>817</v>
      </c>
      <c r="B818">
        <v>43</v>
      </c>
      <c r="C818">
        <v>0</v>
      </c>
      <c r="D818">
        <v>0</v>
      </c>
      <c r="E818">
        <v>0</v>
      </c>
      <c r="F818">
        <v>0</v>
      </c>
    </row>
    <row r="819" spans="1:6" x14ac:dyDescent="0.25">
      <c r="A819">
        <v>818</v>
      </c>
      <c r="B819">
        <v>44</v>
      </c>
      <c r="C819">
        <v>0</v>
      </c>
      <c r="D819">
        <v>0</v>
      </c>
      <c r="E819">
        <v>0</v>
      </c>
      <c r="F819">
        <v>265.59500000000003</v>
      </c>
    </row>
    <row r="820" spans="1:6" x14ac:dyDescent="0.25">
      <c r="A820">
        <v>819</v>
      </c>
      <c r="B820">
        <v>45</v>
      </c>
      <c r="C820">
        <v>0</v>
      </c>
      <c r="D820">
        <v>0</v>
      </c>
      <c r="E820">
        <v>0</v>
      </c>
      <c r="F820">
        <v>1542.02</v>
      </c>
    </row>
    <row r="821" spans="1:6" x14ac:dyDescent="0.25">
      <c r="A821">
        <v>820</v>
      </c>
      <c r="B821">
        <v>46</v>
      </c>
      <c r="C821">
        <v>0</v>
      </c>
      <c r="D821">
        <v>0</v>
      </c>
      <c r="E821">
        <v>0</v>
      </c>
      <c r="F821">
        <v>0</v>
      </c>
    </row>
    <row r="822" spans="1:6" x14ac:dyDescent="0.25">
      <c r="A822">
        <v>821</v>
      </c>
      <c r="B822">
        <v>2</v>
      </c>
      <c r="C822">
        <v>0</v>
      </c>
      <c r="D822">
        <v>0</v>
      </c>
      <c r="E822">
        <v>0</v>
      </c>
      <c r="F822">
        <v>34.4054</v>
      </c>
    </row>
    <row r="823" spans="1:6" x14ac:dyDescent="0.25">
      <c r="A823">
        <v>822</v>
      </c>
      <c r="B823">
        <v>10</v>
      </c>
      <c r="C823">
        <v>1</v>
      </c>
      <c r="D823">
        <v>0</v>
      </c>
      <c r="E823">
        <v>0</v>
      </c>
      <c r="F823">
        <v>5691</v>
      </c>
    </row>
    <row r="824" spans="1:6" x14ac:dyDescent="0.25">
      <c r="A824">
        <v>823</v>
      </c>
      <c r="B824">
        <v>13</v>
      </c>
      <c r="C824">
        <v>0</v>
      </c>
      <c r="D824">
        <v>0</v>
      </c>
      <c r="E824">
        <v>0</v>
      </c>
      <c r="F824">
        <v>1602</v>
      </c>
    </row>
    <row r="825" spans="1:6" x14ac:dyDescent="0.25">
      <c r="A825">
        <v>824</v>
      </c>
      <c r="B825">
        <v>41</v>
      </c>
      <c r="C825">
        <v>0</v>
      </c>
      <c r="D825">
        <v>0</v>
      </c>
      <c r="E825">
        <v>0</v>
      </c>
      <c r="F825">
        <v>1</v>
      </c>
    </row>
    <row r="826" spans="1:6" x14ac:dyDescent="0.25">
      <c r="A826">
        <v>825</v>
      </c>
      <c r="B826">
        <v>42</v>
      </c>
      <c r="C826">
        <v>0</v>
      </c>
      <c r="D826">
        <v>0</v>
      </c>
      <c r="E826">
        <v>0</v>
      </c>
      <c r="F826">
        <v>0.2</v>
      </c>
    </row>
    <row r="827" spans="1:6" x14ac:dyDescent="0.25">
      <c r="A827">
        <v>826</v>
      </c>
      <c r="B827">
        <v>43</v>
      </c>
      <c r="C827">
        <v>0</v>
      </c>
      <c r="D827">
        <v>0</v>
      </c>
      <c r="E827">
        <v>0</v>
      </c>
      <c r="F827">
        <v>0</v>
      </c>
    </row>
    <row r="828" spans="1:6" x14ac:dyDescent="0.25">
      <c r="A828">
        <v>827</v>
      </c>
      <c r="B828">
        <v>44</v>
      </c>
      <c r="C828">
        <v>0</v>
      </c>
      <c r="D828">
        <v>0</v>
      </c>
      <c r="E828">
        <v>0</v>
      </c>
      <c r="F828">
        <v>265.59399999999999</v>
      </c>
    </row>
    <row r="829" spans="1:6" x14ac:dyDescent="0.25">
      <c r="A829">
        <v>828</v>
      </c>
      <c r="B829">
        <v>45</v>
      </c>
      <c r="C829">
        <v>0</v>
      </c>
      <c r="D829">
        <v>0</v>
      </c>
      <c r="E829">
        <v>0</v>
      </c>
      <c r="F829">
        <v>1542.53</v>
      </c>
    </row>
    <row r="830" spans="1:6" x14ac:dyDescent="0.25">
      <c r="A830">
        <v>829</v>
      </c>
      <c r="B830">
        <v>46</v>
      </c>
      <c r="C830">
        <v>0</v>
      </c>
      <c r="D830">
        <v>0</v>
      </c>
      <c r="E830">
        <v>0</v>
      </c>
      <c r="F830">
        <v>0</v>
      </c>
    </row>
    <row r="831" spans="1:6" x14ac:dyDescent="0.25">
      <c r="A831">
        <v>830</v>
      </c>
      <c r="B831">
        <v>2</v>
      </c>
      <c r="C831">
        <v>0</v>
      </c>
      <c r="D831">
        <v>0</v>
      </c>
      <c r="E831">
        <v>0</v>
      </c>
      <c r="F831">
        <v>34.405500000000004</v>
      </c>
    </row>
    <row r="832" spans="1:6" x14ac:dyDescent="0.25">
      <c r="A832">
        <v>831</v>
      </c>
      <c r="B832">
        <v>10</v>
      </c>
      <c r="C832">
        <v>1</v>
      </c>
      <c r="D832">
        <v>0</v>
      </c>
      <c r="E832">
        <v>0</v>
      </c>
      <c r="F832">
        <v>5691</v>
      </c>
    </row>
    <row r="833" spans="1:6" x14ac:dyDescent="0.25">
      <c r="A833">
        <v>832</v>
      </c>
      <c r="B833">
        <v>13</v>
      </c>
      <c r="C833">
        <v>0</v>
      </c>
      <c r="D833">
        <v>0</v>
      </c>
      <c r="E833">
        <v>0</v>
      </c>
      <c r="F833">
        <v>1602</v>
      </c>
    </row>
    <row r="834" spans="1:6" x14ac:dyDescent="0.25">
      <c r="A834">
        <v>833</v>
      </c>
      <c r="B834">
        <v>41</v>
      </c>
      <c r="C834">
        <v>0</v>
      </c>
      <c r="D834">
        <v>0</v>
      </c>
      <c r="E834">
        <v>0</v>
      </c>
      <c r="F834">
        <v>1</v>
      </c>
    </row>
    <row r="835" spans="1:6" x14ac:dyDescent="0.25">
      <c r="A835">
        <v>834</v>
      </c>
      <c r="B835">
        <v>42</v>
      </c>
      <c r="C835">
        <v>0</v>
      </c>
      <c r="D835">
        <v>0</v>
      </c>
      <c r="E835">
        <v>0</v>
      </c>
      <c r="F835">
        <v>0.2</v>
      </c>
    </row>
    <row r="836" spans="1:6" x14ac:dyDescent="0.25">
      <c r="A836">
        <v>835</v>
      </c>
      <c r="B836">
        <v>43</v>
      </c>
      <c r="C836">
        <v>0</v>
      </c>
      <c r="D836">
        <v>0</v>
      </c>
      <c r="E836">
        <v>0</v>
      </c>
      <c r="F836">
        <v>0</v>
      </c>
    </row>
    <row r="837" spans="1:6" x14ac:dyDescent="0.25">
      <c r="A837">
        <v>836</v>
      </c>
      <c r="B837">
        <v>44</v>
      </c>
      <c r="C837">
        <v>0</v>
      </c>
      <c r="D837">
        <v>0</v>
      </c>
      <c r="E837">
        <v>0</v>
      </c>
      <c r="F837">
        <v>265.59399999999999</v>
      </c>
    </row>
    <row r="838" spans="1:6" x14ac:dyDescent="0.25">
      <c r="A838">
        <v>837</v>
      </c>
      <c r="B838">
        <v>45</v>
      </c>
      <c r="C838">
        <v>0</v>
      </c>
      <c r="D838">
        <v>0</v>
      </c>
      <c r="E838">
        <v>0</v>
      </c>
      <c r="F838">
        <v>1542.53</v>
      </c>
    </row>
    <row r="839" spans="1:6" x14ac:dyDescent="0.25">
      <c r="A839">
        <v>838</v>
      </c>
      <c r="B839" t="s">
        <v>0</v>
      </c>
      <c r="C839">
        <v>34</v>
      </c>
      <c r="D839">
        <v>3482</v>
      </c>
      <c r="E839">
        <v>79785953</v>
      </c>
    </row>
    <row r="840" spans="1:6" x14ac:dyDescent="0.25">
      <c r="A840">
        <v>839</v>
      </c>
      <c r="B840">
        <v>2</v>
      </c>
      <c r="C840">
        <v>0</v>
      </c>
      <c r="D840">
        <v>0</v>
      </c>
      <c r="E840">
        <v>0</v>
      </c>
      <c r="F840">
        <v>34.404899999999998</v>
      </c>
    </row>
    <row r="841" spans="1:6" x14ac:dyDescent="0.25">
      <c r="A841">
        <v>840</v>
      </c>
      <c r="B841">
        <v>10</v>
      </c>
      <c r="C841">
        <v>1</v>
      </c>
      <c r="D841">
        <v>0</v>
      </c>
      <c r="E841">
        <v>0</v>
      </c>
      <c r="F841">
        <v>5691</v>
      </c>
    </row>
    <row r="842" spans="1:6" x14ac:dyDescent="0.25">
      <c r="A842">
        <v>841</v>
      </c>
      <c r="B842">
        <v>13</v>
      </c>
      <c r="C842">
        <v>0</v>
      </c>
      <c r="D842">
        <v>0</v>
      </c>
      <c r="E842">
        <v>0</v>
      </c>
      <c r="F842">
        <v>1602</v>
      </c>
    </row>
    <row r="843" spans="1:6" x14ac:dyDescent="0.25">
      <c r="A843">
        <v>842</v>
      </c>
      <c r="B843">
        <v>41</v>
      </c>
      <c r="C843">
        <v>0</v>
      </c>
      <c r="D843">
        <v>0</v>
      </c>
      <c r="E843">
        <v>0</v>
      </c>
      <c r="F843">
        <v>1</v>
      </c>
    </row>
    <row r="844" spans="1:6" x14ac:dyDescent="0.25">
      <c r="A844">
        <v>843</v>
      </c>
      <c r="B844">
        <v>42</v>
      </c>
      <c r="C844">
        <v>0</v>
      </c>
      <c r="D844">
        <v>0</v>
      </c>
      <c r="E844">
        <v>0</v>
      </c>
      <c r="F844">
        <v>0.2</v>
      </c>
    </row>
    <row r="845" spans="1:6" x14ac:dyDescent="0.25">
      <c r="A845">
        <v>844</v>
      </c>
      <c r="B845">
        <v>43</v>
      </c>
      <c r="C845">
        <v>0</v>
      </c>
      <c r="D845">
        <v>0</v>
      </c>
      <c r="E845">
        <v>0</v>
      </c>
      <c r="F845">
        <v>0</v>
      </c>
    </row>
    <row r="846" spans="1:6" x14ac:dyDescent="0.25">
      <c r="A846">
        <v>845</v>
      </c>
      <c r="B846">
        <v>44</v>
      </c>
      <c r="C846">
        <v>0</v>
      </c>
      <c r="D846">
        <v>0</v>
      </c>
      <c r="E846">
        <v>0</v>
      </c>
      <c r="F846">
        <v>265.59500000000003</v>
      </c>
    </row>
    <row r="847" spans="1:6" x14ac:dyDescent="0.25">
      <c r="A847">
        <v>846</v>
      </c>
      <c r="B847">
        <v>45</v>
      </c>
      <c r="C847">
        <v>0</v>
      </c>
      <c r="D847">
        <v>0</v>
      </c>
      <c r="E847">
        <v>0</v>
      </c>
      <c r="F847">
        <v>1543.05</v>
      </c>
    </row>
    <row r="848" spans="1:6" x14ac:dyDescent="0.25">
      <c r="A848">
        <v>847</v>
      </c>
      <c r="B848">
        <v>46</v>
      </c>
      <c r="C848">
        <v>0</v>
      </c>
      <c r="D848">
        <v>0</v>
      </c>
      <c r="E848">
        <v>0</v>
      </c>
      <c r="F848">
        <v>0</v>
      </c>
    </row>
    <row r="849" spans="1:6" x14ac:dyDescent="0.25">
      <c r="A849">
        <v>848</v>
      </c>
      <c r="B849">
        <v>2</v>
      </c>
      <c r="C849">
        <v>0</v>
      </c>
      <c r="D849">
        <v>0</v>
      </c>
      <c r="E849">
        <v>0</v>
      </c>
      <c r="F849">
        <v>34.404899999999998</v>
      </c>
    </row>
    <row r="850" spans="1:6" x14ac:dyDescent="0.25">
      <c r="A850">
        <v>849</v>
      </c>
      <c r="B850">
        <v>10</v>
      </c>
      <c r="C850">
        <v>1</v>
      </c>
      <c r="D850">
        <v>0</v>
      </c>
      <c r="E850">
        <v>0</v>
      </c>
      <c r="F850">
        <v>5691</v>
      </c>
    </row>
    <row r="851" spans="1:6" x14ac:dyDescent="0.25">
      <c r="A851">
        <v>850</v>
      </c>
      <c r="B851">
        <v>13</v>
      </c>
      <c r="C851">
        <v>0</v>
      </c>
      <c r="D851">
        <v>0</v>
      </c>
      <c r="E851">
        <v>0</v>
      </c>
      <c r="F851">
        <v>1602</v>
      </c>
    </row>
    <row r="852" spans="1:6" x14ac:dyDescent="0.25">
      <c r="A852">
        <v>851</v>
      </c>
      <c r="B852">
        <v>41</v>
      </c>
      <c r="C852">
        <v>0</v>
      </c>
      <c r="D852">
        <v>0</v>
      </c>
      <c r="E852">
        <v>0</v>
      </c>
      <c r="F852">
        <v>1</v>
      </c>
    </row>
    <row r="853" spans="1:6" x14ac:dyDescent="0.25">
      <c r="A853">
        <v>852</v>
      </c>
      <c r="B853">
        <v>42</v>
      </c>
      <c r="C853">
        <v>0</v>
      </c>
      <c r="D853">
        <v>0</v>
      </c>
      <c r="E853">
        <v>0</v>
      </c>
      <c r="F853">
        <v>0.2</v>
      </c>
    </row>
    <row r="854" spans="1:6" x14ac:dyDescent="0.25">
      <c r="A854">
        <v>853</v>
      </c>
      <c r="B854" t="s">
        <v>0</v>
      </c>
      <c r="C854">
        <v>35</v>
      </c>
      <c r="D854">
        <v>3482</v>
      </c>
      <c r="E854">
        <v>79786921</v>
      </c>
    </row>
    <row r="855" spans="1:6" x14ac:dyDescent="0.25">
      <c r="A855">
        <v>854</v>
      </c>
      <c r="B855">
        <v>44</v>
      </c>
      <c r="C855">
        <v>0</v>
      </c>
      <c r="D855">
        <v>0</v>
      </c>
      <c r="E855">
        <v>0</v>
      </c>
      <c r="F855">
        <v>265.59500000000003</v>
      </c>
    </row>
    <row r="856" spans="1:6" x14ac:dyDescent="0.25">
      <c r="A856">
        <v>855</v>
      </c>
      <c r="B856">
        <v>45</v>
      </c>
      <c r="C856">
        <v>0</v>
      </c>
      <c r="D856">
        <v>0</v>
      </c>
      <c r="E856">
        <v>0</v>
      </c>
      <c r="F856">
        <v>1543.56</v>
      </c>
    </row>
    <row r="857" spans="1:6" x14ac:dyDescent="0.25">
      <c r="A857">
        <v>856</v>
      </c>
      <c r="B857">
        <v>46</v>
      </c>
      <c r="C857">
        <v>0</v>
      </c>
      <c r="D857">
        <v>0</v>
      </c>
      <c r="E857">
        <v>0</v>
      </c>
      <c r="F857">
        <v>0</v>
      </c>
    </row>
    <row r="858" spans="1:6" x14ac:dyDescent="0.25">
      <c r="A858">
        <v>857</v>
      </c>
      <c r="B858">
        <v>2</v>
      </c>
      <c r="C858">
        <v>0</v>
      </c>
      <c r="D858">
        <v>0</v>
      </c>
      <c r="E858">
        <v>0</v>
      </c>
      <c r="F858">
        <v>34.405099999999997</v>
      </c>
    </row>
    <row r="859" spans="1:6" x14ac:dyDescent="0.25">
      <c r="A859">
        <v>858</v>
      </c>
      <c r="B859">
        <v>10</v>
      </c>
      <c r="C859">
        <v>1</v>
      </c>
      <c r="D859">
        <v>0</v>
      </c>
      <c r="E859">
        <v>0</v>
      </c>
      <c r="F859">
        <v>5691</v>
      </c>
    </row>
    <row r="860" spans="1:6" x14ac:dyDescent="0.25">
      <c r="A860">
        <v>859</v>
      </c>
      <c r="B860">
        <v>13</v>
      </c>
      <c r="C860">
        <v>0</v>
      </c>
      <c r="D860">
        <v>0</v>
      </c>
      <c r="E860">
        <v>0</v>
      </c>
      <c r="F860">
        <v>1602</v>
      </c>
    </row>
    <row r="861" spans="1:6" x14ac:dyDescent="0.25">
      <c r="A861">
        <v>860</v>
      </c>
      <c r="B861">
        <v>41</v>
      </c>
      <c r="C861">
        <v>0</v>
      </c>
      <c r="D861">
        <v>0</v>
      </c>
      <c r="E861">
        <v>0</v>
      </c>
      <c r="F861">
        <v>1</v>
      </c>
    </row>
    <row r="862" spans="1:6" x14ac:dyDescent="0.25">
      <c r="A862">
        <v>861</v>
      </c>
      <c r="B862">
        <v>42</v>
      </c>
      <c r="C862">
        <v>0</v>
      </c>
      <c r="D862">
        <v>0</v>
      </c>
      <c r="E862">
        <v>0</v>
      </c>
      <c r="F862">
        <v>0.2</v>
      </c>
    </row>
    <row r="863" spans="1:6" x14ac:dyDescent="0.25">
      <c r="A863">
        <v>862</v>
      </c>
      <c r="B863">
        <v>43</v>
      </c>
      <c r="C863">
        <v>0</v>
      </c>
      <c r="D863">
        <v>0</v>
      </c>
      <c r="E863">
        <v>0</v>
      </c>
      <c r="F863">
        <v>0</v>
      </c>
    </row>
    <row r="864" spans="1:6" x14ac:dyDescent="0.25">
      <c r="A864">
        <v>863</v>
      </c>
      <c r="B864">
        <v>44</v>
      </c>
      <c r="C864">
        <v>0</v>
      </c>
      <c r="D864">
        <v>0</v>
      </c>
      <c r="E864">
        <v>0</v>
      </c>
      <c r="F864">
        <v>265.59500000000003</v>
      </c>
    </row>
    <row r="865" spans="1:6" x14ac:dyDescent="0.25">
      <c r="A865">
        <v>864</v>
      </c>
      <c r="B865">
        <v>45</v>
      </c>
      <c r="C865">
        <v>0</v>
      </c>
      <c r="D865">
        <v>0</v>
      </c>
      <c r="E865">
        <v>0</v>
      </c>
      <c r="F865">
        <v>1543.56</v>
      </c>
    </row>
    <row r="866" spans="1:6" x14ac:dyDescent="0.25">
      <c r="A866">
        <v>865</v>
      </c>
      <c r="B866">
        <v>46</v>
      </c>
      <c r="C866">
        <v>0</v>
      </c>
      <c r="D866">
        <v>0</v>
      </c>
      <c r="E866">
        <v>0</v>
      </c>
      <c r="F866">
        <v>0</v>
      </c>
    </row>
    <row r="867" spans="1:6" x14ac:dyDescent="0.25">
      <c r="A867">
        <v>866</v>
      </c>
      <c r="B867">
        <v>2</v>
      </c>
      <c r="C867">
        <v>0</v>
      </c>
      <c r="D867">
        <v>0</v>
      </c>
      <c r="E867">
        <v>0</v>
      </c>
      <c r="F867">
        <v>34.405099999999997</v>
      </c>
    </row>
    <row r="868" spans="1:6" x14ac:dyDescent="0.25">
      <c r="A868">
        <v>867</v>
      </c>
      <c r="B868">
        <v>10</v>
      </c>
      <c r="C868">
        <v>1</v>
      </c>
      <c r="D868">
        <v>0</v>
      </c>
      <c r="E868">
        <v>0</v>
      </c>
      <c r="F868">
        <v>5691</v>
      </c>
    </row>
    <row r="869" spans="1:6" x14ac:dyDescent="0.25">
      <c r="A869">
        <v>868</v>
      </c>
      <c r="B869" t="s">
        <v>0</v>
      </c>
      <c r="C869">
        <v>36</v>
      </c>
      <c r="D869">
        <v>3482</v>
      </c>
      <c r="E869">
        <v>79787889</v>
      </c>
    </row>
    <row r="870" spans="1:6" x14ac:dyDescent="0.25">
      <c r="A870">
        <v>869</v>
      </c>
      <c r="B870">
        <v>13</v>
      </c>
      <c r="C870">
        <v>0</v>
      </c>
      <c r="D870">
        <v>0</v>
      </c>
      <c r="E870">
        <v>0</v>
      </c>
      <c r="F870">
        <v>1602</v>
      </c>
    </row>
    <row r="871" spans="1:6" x14ac:dyDescent="0.25">
      <c r="A871">
        <v>870</v>
      </c>
      <c r="B871">
        <v>41</v>
      </c>
      <c r="C871">
        <v>0</v>
      </c>
      <c r="D871">
        <v>0</v>
      </c>
      <c r="E871">
        <v>0</v>
      </c>
      <c r="F871">
        <v>1</v>
      </c>
    </row>
    <row r="872" spans="1:6" x14ac:dyDescent="0.25">
      <c r="A872">
        <v>871</v>
      </c>
      <c r="B872">
        <v>42</v>
      </c>
      <c r="C872">
        <v>0</v>
      </c>
      <c r="D872">
        <v>0</v>
      </c>
      <c r="E872">
        <v>0</v>
      </c>
      <c r="F872">
        <v>0.2</v>
      </c>
    </row>
    <row r="873" spans="1:6" x14ac:dyDescent="0.25">
      <c r="A873">
        <v>872</v>
      </c>
      <c r="B873">
        <v>43</v>
      </c>
      <c r="C873">
        <v>0</v>
      </c>
      <c r="D873">
        <v>0</v>
      </c>
      <c r="E873">
        <v>0</v>
      </c>
      <c r="F873">
        <v>0</v>
      </c>
    </row>
    <row r="874" spans="1:6" x14ac:dyDescent="0.25">
      <c r="A874">
        <v>873</v>
      </c>
      <c r="B874">
        <v>44</v>
      </c>
      <c r="C874">
        <v>0</v>
      </c>
      <c r="D874">
        <v>0</v>
      </c>
      <c r="E874">
        <v>0</v>
      </c>
      <c r="F874">
        <v>265.59399999999999</v>
      </c>
    </row>
    <row r="875" spans="1:6" x14ac:dyDescent="0.25">
      <c r="A875">
        <v>874</v>
      </c>
      <c r="B875">
        <v>45</v>
      </c>
      <c r="C875">
        <v>0</v>
      </c>
      <c r="D875">
        <v>0</v>
      </c>
      <c r="E875">
        <v>0</v>
      </c>
      <c r="F875">
        <v>1544.08</v>
      </c>
    </row>
    <row r="876" spans="1:6" x14ac:dyDescent="0.25">
      <c r="A876">
        <v>875</v>
      </c>
      <c r="B876">
        <v>46</v>
      </c>
      <c r="C876">
        <v>0</v>
      </c>
      <c r="D876">
        <v>0</v>
      </c>
      <c r="E876">
        <v>0</v>
      </c>
      <c r="F876">
        <v>0</v>
      </c>
    </row>
    <row r="877" spans="1:6" x14ac:dyDescent="0.25">
      <c r="A877">
        <v>876</v>
      </c>
      <c r="B877">
        <v>2</v>
      </c>
      <c r="C877">
        <v>0</v>
      </c>
      <c r="D877">
        <v>0</v>
      </c>
      <c r="E877">
        <v>0</v>
      </c>
      <c r="F877">
        <v>34.4056</v>
      </c>
    </row>
    <row r="878" spans="1:6" x14ac:dyDescent="0.25">
      <c r="A878">
        <v>877</v>
      </c>
      <c r="B878">
        <v>10</v>
      </c>
      <c r="C878">
        <v>1</v>
      </c>
      <c r="D878">
        <v>0</v>
      </c>
      <c r="E878">
        <v>0</v>
      </c>
      <c r="F878">
        <v>5691</v>
      </c>
    </row>
    <row r="879" spans="1:6" x14ac:dyDescent="0.25">
      <c r="A879">
        <v>878</v>
      </c>
      <c r="B879">
        <v>13</v>
      </c>
      <c r="C879">
        <v>0</v>
      </c>
      <c r="D879">
        <v>0</v>
      </c>
      <c r="E879">
        <v>0</v>
      </c>
      <c r="F879">
        <v>1602</v>
      </c>
    </row>
    <row r="880" spans="1:6" x14ac:dyDescent="0.25">
      <c r="A880">
        <v>879</v>
      </c>
      <c r="B880">
        <v>41</v>
      </c>
      <c r="C880">
        <v>0</v>
      </c>
      <c r="D880">
        <v>0</v>
      </c>
      <c r="E880">
        <v>0</v>
      </c>
      <c r="F880">
        <v>1</v>
      </c>
    </row>
    <row r="881" spans="1:6" x14ac:dyDescent="0.25">
      <c r="A881">
        <v>880</v>
      </c>
      <c r="B881">
        <v>42</v>
      </c>
      <c r="C881">
        <v>0</v>
      </c>
      <c r="D881">
        <v>0</v>
      </c>
      <c r="E881">
        <v>0</v>
      </c>
      <c r="F881">
        <v>0.2</v>
      </c>
    </row>
    <row r="882" spans="1:6" x14ac:dyDescent="0.25">
      <c r="A882">
        <v>881</v>
      </c>
      <c r="B882">
        <v>43</v>
      </c>
      <c r="C882">
        <v>0</v>
      </c>
      <c r="D882">
        <v>0</v>
      </c>
      <c r="E882">
        <v>0</v>
      </c>
      <c r="F882">
        <v>0</v>
      </c>
    </row>
    <row r="883" spans="1:6" x14ac:dyDescent="0.25">
      <c r="A883">
        <v>882</v>
      </c>
      <c r="B883">
        <v>44</v>
      </c>
      <c r="C883">
        <v>0</v>
      </c>
      <c r="D883">
        <v>0</v>
      </c>
      <c r="E883">
        <v>0</v>
      </c>
      <c r="F883">
        <v>265.59399999999999</v>
      </c>
    </row>
    <row r="884" spans="1:6" x14ac:dyDescent="0.25">
      <c r="A884">
        <v>883</v>
      </c>
      <c r="B884">
        <v>45</v>
      </c>
      <c r="C884">
        <v>0</v>
      </c>
      <c r="D884">
        <v>0</v>
      </c>
      <c r="E884">
        <v>0</v>
      </c>
      <c r="F884">
        <v>1544.08</v>
      </c>
    </row>
    <row r="885" spans="1:6" x14ac:dyDescent="0.25">
      <c r="A885">
        <v>884</v>
      </c>
      <c r="B885" t="s">
        <v>0</v>
      </c>
      <c r="C885">
        <v>37</v>
      </c>
      <c r="D885">
        <v>3482</v>
      </c>
      <c r="E885">
        <v>79788857</v>
      </c>
    </row>
    <row r="886" spans="1:6" x14ac:dyDescent="0.25">
      <c r="A886">
        <v>885</v>
      </c>
      <c r="B886">
        <v>46</v>
      </c>
      <c r="C886">
        <v>0</v>
      </c>
      <c r="D886">
        <v>0</v>
      </c>
      <c r="E886">
        <v>0</v>
      </c>
      <c r="F886">
        <v>0</v>
      </c>
    </row>
    <row r="887" spans="1:6" x14ac:dyDescent="0.25">
      <c r="A887">
        <v>886</v>
      </c>
      <c r="B887">
        <v>2</v>
      </c>
      <c r="C887">
        <v>0</v>
      </c>
      <c r="D887">
        <v>0</v>
      </c>
      <c r="E887">
        <v>0</v>
      </c>
      <c r="F887">
        <v>34.405299999999997</v>
      </c>
    </row>
    <row r="888" spans="1:6" x14ac:dyDescent="0.25">
      <c r="A888">
        <v>887</v>
      </c>
      <c r="B888">
        <v>10</v>
      </c>
      <c r="C888">
        <v>1</v>
      </c>
      <c r="D888">
        <v>0</v>
      </c>
      <c r="E888">
        <v>0</v>
      </c>
      <c r="F888">
        <v>5691</v>
      </c>
    </row>
    <row r="889" spans="1:6" x14ac:dyDescent="0.25">
      <c r="A889">
        <v>888</v>
      </c>
      <c r="B889">
        <v>13</v>
      </c>
      <c r="C889">
        <v>0</v>
      </c>
      <c r="D889">
        <v>0</v>
      </c>
      <c r="E889">
        <v>0</v>
      </c>
      <c r="F889">
        <v>1602</v>
      </c>
    </row>
    <row r="890" spans="1:6" x14ac:dyDescent="0.25">
      <c r="A890">
        <v>889</v>
      </c>
      <c r="B890">
        <v>41</v>
      </c>
      <c r="C890">
        <v>0</v>
      </c>
      <c r="D890">
        <v>0</v>
      </c>
      <c r="E890">
        <v>0</v>
      </c>
      <c r="F890">
        <v>1</v>
      </c>
    </row>
    <row r="891" spans="1:6" x14ac:dyDescent="0.25">
      <c r="A891">
        <v>890</v>
      </c>
      <c r="B891">
        <v>42</v>
      </c>
      <c r="C891">
        <v>0</v>
      </c>
      <c r="D891">
        <v>0</v>
      </c>
      <c r="E891">
        <v>0</v>
      </c>
      <c r="F891">
        <v>0.2</v>
      </c>
    </row>
    <row r="892" spans="1:6" x14ac:dyDescent="0.25">
      <c r="A892">
        <v>891</v>
      </c>
      <c r="B892">
        <v>43</v>
      </c>
      <c r="C892">
        <v>0</v>
      </c>
      <c r="D892">
        <v>0</v>
      </c>
      <c r="E892">
        <v>0</v>
      </c>
      <c r="F892">
        <v>0</v>
      </c>
    </row>
    <row r="893" spans="1:6" x14ac:dyDescent="0.25">
      <c r="A893">
        <v>892</v>
      </c>
      <c r="B893">
        <v>44</v>
      </c>
      <c r="C893">
        <v>0</v>
      </c>
      <c r="D893">
        <v>0</v>
      </c>
      <c r="E893">
        <v>0</v>
      </c>
      <c r="F893">
        <v>265.59500000000003</v>
      </c>
    </row>
    <row r="894" spans="1:6" x14ac:dyDescent="0.25">
      <c r="A894">
        <v>893</v>
      </c>
      <c r="B894">
        <v>45</v>
      </c>
      <c r="C894">
        <v>0</v>
      </c>
      <c r="D894">
        <v>0</v>
      </c>
      <c r="E894">
        <v>0</v>
      </c>
      <c r="F894">
        <v>1544.59</v>
      </c>
    </row>
    <row r="895" spans="1:6" x14ac:dyDescent="0.25">
      <c r="A895">
        <v>894</v>
      </c>
      <c r="B895">
        <v>46</v>
      </c>
      <c r="C895">
        <v>0</v>
      </c>
      <c r="D895">
        <v>0</v>
      </c>
      <c r="E895">
        <v>0</v>
      </c>
      <c r="F895">
        <v>0</v>
      </c>
    </row>
    <row r="896" spans="1:6" x14ac:dyDescent="0.25">
      <c r="A896">
        <v>895</v>
      </c>
      <c r="B896">
        <v>2</v>
      </c>
      <c r="C896">
        <v>0</v>
      </c>
      <c r="D896">
        <v>0</v>
      </c>
      <c r="E896">
        <v>0</v>
      </c>
      <c r="F896">
        <v>34.405299999999997</v>
      </c>
    </row>
    <row r="897" spans="1:6" x14ac:dyDescent="0.25">
      <c r="A897">
        <v>896</v>
      </c>
      <c r="B897">
        <v>10</v>
      </c>
      <c r="C897">
        <v>1</v>
      </c>
      <c r="D897">
        <v>0</v>
      </c>
      <c r="E897">
        <v>0</v>
      </c>
      <c r="F897">
        <v>5691</v>
      </c>
    </row>
    <row r="898" spans="1:6" x14ac:dyDescent="0.25">
      <c r="A898">
        <v>897</v>
      </c>
      <c r="B898">
        <v>13</v>
      </c>
      <c r="C898">
        <v>0</v>
      </c>
      <c r="D898">
        <v>0</v>
      </c>
      <c r="E898">
        <v>0</v>
      </c>
      <c r="F898">
        <v>1602</v>
      </c>
    </row>
    <row r="899" spans="1:6" x14ac:dyDescent="0.25">
      <c r="A899">
        <v>898</v>
      </c>
      <c r="B899">
        <v>41</v>
      </c>
      <c r="C899">
        <v>0</v>
      </c>
      <c r="D899">
        <v>0</v>
      </c>
      <c r="E899">
        <v>0</v>
      </c>
      <c r="F899">
        <v>1</v>
      </c>
    </row>
    <row r="900" spans="1:6" x14ac:dyDescent="0.25">
      <c r="A900">
        <v>899</v>
      </c>
      <c r="B900">
        <v>42</v>
      </c>
      <c r="C900">
        <v>0</v>
      </c>
      <c r="D900">
        <v>0</v>
      </c>
      <c r="E900">
        <v>0</v>
      </c>
      <c r="F900">
        <v>0.2</v>
      </c>
    </row>
    <row r="901" spans="1:6" x14ac:dyDescent="0.25">
      <c r="A901">
        <v>900</v>
      </c>
      <c r="B901">
        <v>43</v>
      </c>
      <c r="C901">
        <v>0</v>
      </c>
      <c r="D901">
        <v>0</v>
      </c>
      <c r="E901">
        <v>0</v>
      </c>
      <c r="F901">
        <v>0</v>
      </c>
    </row>
    <row r="902" spans="1:6" x14ac:dyDescent="0.25">
      <c r="A902">
        <v>901</v>
      </c>
      <c r="B902">
        <v>44</v>
      </c>
      <c r="C902">
        <v>0</v>
      </c>
      <c r="D902">
        <v>0</v>
      </c>
      <c r="E902">
        <v>0</v>
      </c>
      <c r="F902">
        <v>265.59500000000003</v>
      </c>
    </row>
    <row r="903" spans="1:6" x14ac:dyDescent="0.25">
      <c r="A903">
        <v>902</v>
      </c>
      <c r="B903">
        <v>45</v>
      </c>
      <c r="C903">
        <v>0</v>
      </c>
      <c r="D903">
        <v>0</v>
      </c>
      <c r="E903">
        <v>0</v>
      </c>
      <c r="F903">
        <v>1545.11</v>
      </c>
    </row>
    <row r="904" spans="1:6" x14ac:dyDescent="0.25">
      <c r="A904">
        <v>903</v>
      </c>
      <c r="B904">
        <v>46</v>
      </c>
      <c r="C904">
        <v>0</v>
      </c>
      <c r="D904">
        <v>0</v>
      </c>
      <c r="E904">
        <v>0</v>
      </c>
      <c r="F904">
        <v>0</v>
      </c>
    </row>
    <row r="905" spans="1:6" x14ac:dyDescent="0.25">
      <c r="A905">
        <v>904</v>
      </c>
      <c r="B905">
        <v>2</v>
      </c>
      <c r="C905">
        <v>0</v>
      </c>
      <c r="D905">
        <v>0</v>
      </c>
      <c r="E905">
        <v>0</v>
      </c>
      <c r="F905">
        <v>34.405299999999997</v>
      </c>
    </row>
    <row r="906" spans="1:6" x14ac:dyDescent="0.25">
      <c r="A906">
        <v>905</v>
      </c>
      <c r="B906">
        <v>10</v>
      </c>
      <c r="C906">
        <v>1</v>
      </c>
      <c r="D906">
        <v>0</v>
      </c>
      <c r="E906">
        <v>0</v>
      </c>
      <c r="F906">
        <v>5691</v>
      </c>
    </row>
    <row r="907" spans="1:6" x14ac:dyDescent="0.25">
      <c r="A907">
        <v>906</v>
      </c>
      <c r="B907">
        <v>13</v>
      </c>
      <c r="C907">
        <v>0</v>
      </c>
      <c r="D907">
        <v>0</v>
      </c>
      <c r="E907">
        <v>0</v>
      </c>
      <c r="F907">
        <v>1602</v>
      </c>
    </row>
    <row r="908" spans="1:6" x14ac:dyDescent="0.25">
      <c r="A908">
        <v>907</v>
      </c>
      <c r="B908">
        <v>41</v>
      </c>
      <c r="C908">
        <v>0</v>
      </c>
      <c r="D908">
        <v>0</v>
      </c>
      <c r="E908">
        <v>0</v>
      </c>
      <c r="F908">
        <v>1</v>
      </c>
    </row>
    <row r="909" spans="1:6" x14ac:dyDescent="0.25">
      <c r="A909">
        <v>908</v>
      </c>
      <c r="B909">
        <v>42</v>
      </c>
      <c r="C909">
        <v>0</v>
      </c>
      <c r="D909">
        <v>0</v>
      </c>
      <c r="E909">
        <v>0</v>
      </c>
      <c r="F909">
        <v>0.2</v>
      </c>
    </row>
    <row r="910" spans="1:6" x14ac:dyDescent="0.25">
      <c r="A910">
        <v>909</v>
      </c>
      <c r="B910">
        <v>43</v>
      </c>
      <c r="C910">
        <v>0</v>
      </c>
      <c r="D910">
        <v>0</v>
      </c>
      <c r="E910">
        <v>0</v>
      </c>
      <c r="F910">
        <v>0</v>
      </c>
    </row>
    <row r="911" spans="1:6" x14ac:dyDescent="0.25">
      <c r="A911">
        <v>910</v>
      </c>
      <c r="B911">
        <v>44</v>
      </c>
      <c r="C911">
        <v>0</v>
      </c>
      <c r="D911">
        <v>0</v>
      </c>
      <c r="E911">
        <v>0</v>
      </c>
      <c r="F911">
        <v>265.59500000000003</v>
      </c>
    </row>
    <row r="912" spans="1:6" x14ac:dyDescent="0.25">
      <c r="A912">
        <v>911</v>
      </c>
      <c r="B912">
        <v>45</v>
      </c>
      <c r="C912">
        <v>0</v>
      </c>
      <c r="D912">
        <v>0</v>
      </c>
      <c r="E912">
        <v>0</v>
      </c>
      <c r="F912">
        <v>1545.11</v>
      </c>
    </row>
    <row r="913" spans="1:6" x14ac:dyDescent="0.25">
      <c r="A913">
        <v>912</v>
      </c>
      <c r="B913">
        <v>46</v>
      </c>
      <c r="C913">
        <v>0</v>
      </c>
      <c r="D913">
        <v>0</v>
      </c>
      <c r="E913">
        <v>0</v>
      </c>
      <c r="F913">
        <v>0</v>
      </c>
    </row>
    <row r="914" spans="1:6" x14ac:dyDescent="0.25">
      <c r="A914">
        <v>913</v>
      </c>
      <c r="B914">
        <v>2</v>
      </c>
      <c r="C914">
        <v>0</v>
      </c>
      <c r="D914">
        <v>0</v>
      </c>
      <c r="E914">
        <v>0</v>
      </c>
      <c r="F914">
        <v>34.405299999999997</v>
      </c>
    </row>
    <row r="915" spans="1:6" x14ac:dyDescent="0.25">
      <c r="A915">
        <v>914</v>
      </c>
      <c r="B915" t="s">
        <v>0</v>
      </c>
      <c r="C915">
        <v>39</v>
      </c>
      <c r="D915">
        <v>3482</v>
      </c>
      <c r="E915">
        <v>79790793</v>
      </c>
    </row>
    <row r="916" spans="1:6" x14ac:dyDescent="0.25">
      <c r="A916">
        <v>915</v>
      </c>
      <c r="B916">
        <v>13</v>
      </c>
      <c r="C916">
        <v>0</v>
      </c>
      <c r="D916">
        <v>0</v>
      </c>
      <c r="E916">
        <v>0</v>
      </c>
      <c r="F916">
        <v>1602</v>
      </c>
    </row>
    <row r="917" spans="1:6" x14ac:dyDescent="0.25">
      <c r="A917">
        <v>916</v>
      </c>
      <c r="B917">
        <v>41</v>
      </c>
      <c r="C917">
        <v>0</v>
      </c>
      <c r="D917">
        <v>0</v>
      </c>
      <c r="E917">
        <v>0</v>
      </c>
      <c r="F917">
        <v>1</v>
      </c>
    </row>
    <row r="918" spans="1:6" x14ac:dyDescent="0.25">
      <c r="A918">
        <v>917</v>
      </c>
      <c r="B918">
        <v>42</v>
      </c>
      <c r="C918">
        <v>0</v>
      </c>
      <c r="D918">
        <v>0</v>
      </c>
      <c r="E918">
        <v>0</v>
      </c>
      <c r="F918">
        <v>0.2</v>
      </c>
    </row>
    <row r="919" spans="1:6" x14ac:dyDescent="0.25">
      <c r="A919">
        <v>918</v>
      </c>
      <c r="B919">
        <v>43</v>
      </c>
      <c r="C919">
        <v>0</v>
      </c>
      <c r="D919">
        <v>0</v>
      </c>
      <c r="E919">
        <v>0</v>
      </c>
      <c r="F919">
        <v>0</v>
      </c>
    </row>
    <row r="920" spans="1:6" x14ac:dyDescent="0.25">
      <c r="A920">
        <v>919</v>
      </c>
      <c r="B920">
        <v>44</v>
      </c>
      <c r="C920">
        <v>0</v>
      </c>
      <c r="D920">
        <v>0</v>
      </c>
      <c r="E920">
        <v>0</v>
      </c>
      <c r="F920">
        <v>265.59500000000003</v>
      </c>
    </row>
    <row r="921" spans="1:6" x14ac:dyDescent="0.25">
      <c r="A921">
        <v>920</v>
      </c>
      <c r="B921">
        <v>45</v>
      </c>
      <c r="C921">
        <v>0</v>
      </c>
      <c r="D921">
        <v>0</v>
      </c>
      <c r="E921">
        <v>0</v>
      </c>
      <c r="F921">
        <v>1545.62</v>
      </c>
    </row>
    <row r="922" spans="1:6" x14ac:dyDescent="0.25">
      <c r="A922">
        <v>921</v>
      </c>
      <c r="B922">
        <v>46</v>
      </c>
      <c r="C922">
        <v>0</v>
      </c>
      <c r="D922">
        <v>0</v>
      </c>
      <c r="E922">
        <v>0</v>
      </c>
      <c r="F922">
        <v>0</v>
      </c>
    </row>
    <row r="923" spans="1:6" x14ac:dyDescent="0.25">
      <c r="A923">
        <v>922</v>
      </c>
      <c r="B923">
        <v>2</v>
      </c>
      <c r="C923">
        <v>0</v>
      </c>
      <c r="D923">
        <v>0</v>
      </c>
      <c r="E923">
        <v>0</v>
      </c>
      <c r="F923">
        <v>34.404899999999998</v>
      </c>
    </row>
    <row r="924" spans="1:6" x14ac:dyDescent="0.25">
      <c r="A924">
        <v>923</v>
      </c>
      <c r="B924">
        <v>10</v>
      </c>
      <c r="C924">
        <v>1</v>
      </c>
      <c r="D924">
        <v>0</v>
      </c>
      <c r="E924">
        <v>0</v>
      </c>
      <c r="F924">
        <v>5691</v>
      </c>
    </row>
    <row r="925" spans="1:6" x14ac:dyDescent="0.25">
      <c r="A925">
        <v>924</v>
      </c>
      <c r="B925">
        <v>13</v>
      </c>
      <c r="C925">
        <v>0</v>
      </c>
      <c r="D925">
        <v>0</v>
      </c>
      <c r="E925">
        <v>0</v>
      </c>
      <c r="F925">
        <v>1602</v>
      </c>
    </row>
    <row r="926" spans="1:6" x14ac:dyDescent="0.25">
      <c r="A926">
        <v>925</v>
      </c>
      <c r="B926">
        <v>41</v>
      </c>
      <c r="C926">
        <v>0</v>
      </c>
      <c r="D926">
        <v>0</v>
      </c>
      <c r="E926">
        <v>0</v>
      </c>
      <c r="F926">
        <v>1</v>
      </c>
    </row>
    <row r="927" spans="1:6" x14ac:dyDescent="0.25">
      <c r="A927">
        <v>926</v>
      </c>
      <c r="B927">
        <v>42</v>
      </c>
      <c r="C927">
        <v>0</v>
      </c>
      <c r="D927">
        <v>0</v>
      </c>
      <c r="E927">
        <v>0</v>
      </c>
      <c r="F927">
        <v>0.2</v>
      </c>
    </row>
    <row r="928" spans="1:6" x14ac:dyDescent="0.25">
      <c r="A928">
        <v>927</v>
      </c>
      <c r="B928">
        <v>43</v>
      </c>
      <c r="C928">
        <v>0</v>
      </c>
      <c r="D928">
        <v>0</v>
      </c>
      <c r="E928">
        <v>0</v>
      </c>
      <c r="F928">
        <v>0</v>
      </c>
    </row>
    <row r="929" spans="1:6" x14ac:dyDescent="0.25">
      <c r="A929">
        <v>928</v>
      </c>
      <c r="B929">
        <v>44</v>
      </c>
      <c r="C929">
        <v>0</v>
      </c>
      <c r="D929">
        <v>0</v>
      </c>
      <c r="E929">
        <v>0</v>
      </c>
      <c r="F929">
        <v>265.59500000000003</v>
      </c>
    </row>
    <row r="930" spans="1:6" x14ac:dyDescent="0.25">
      <c r="A930">
        <v>929</v>
      </c>
      <c r="B930" t="s">
        <v>0</v>
      </c>
      <c r="C930">
        <v>40</v>
      </c>
      <c r="D930">
        <v>3482</v>
      </c>
      <c r="E930">
        <v>79791762</v>
      </c>
    </row>
    <row r="931" spans="1:6" x14ac:dyDescent="0.25">
      <c r="A931">
        <v>930</v>
      </c>
      <c r="B931">
        <v>46</v>
      </c>
      <c r="C931">
        <v>0</v>
      </c>
      <c r="D931">
        <v>0</v>
      </c>
      <c r="E931">
        <v>0</v>
      </c>
      <c r="F931">
        <v>0</v>
      </c>
    </row>
    <row r="932" spans="1:6" x14ac:dyDescent="0.25">
      <c r="A932">
        <v>931</v>
      </c>
      <c r="B932">
        <v>2</v>
      </c>
      <c r="C932">
        <v>0</v>
      </c>
      <c r="D932">
        <v>0</v>
      </c>
      <c r="E932">
        <v>0</v>
      </c>
      <c r="F932">
        <v>34.404299999999999</v>
      </c>
    </row>
    <row r="933" spans="1:6" x14ac:dyDescent="0.25">
      <c r="A933">
        <v>932</v>
      </c>
      <c r="B933">
        <v>10</v>
      </c>
      <c r="C933">
        <v>1</v>
      </c>
      <c r="D933">
        <v>0</v>
      </c>
      <c r="E933">
        <v>0</v>
      </c>
      <c r="F933">
        <v>5691</v>
      </c>
    </row>
    <row r="934" spans="1:6" x14ac:dyDescent="0.25">
      <c r="A934">
        <v>933</v>
      </c>
      <c r="B934">
        <v>13</v>
      </c>
      <c r="C934">
        <v>0</v>
      </c>
      <c r="D934">
        <v>0</v>
      </c>
      <c r="E934">
        <v>0</v>
      </c>
      <c r="F934">
        <v>1602</v>
      </c>
    </row>
    <row r="935" spans="1:6" x14ac:dyDescent="0.25">
      <c r="A935">
        <v>934</v>
      </c>
      <c r="B935">
        <v>41</v>
      </c>
      <c r="C935">
        <v>0</v>
      </c>
      <c r="D935">
        <v>0</v>
      </c>
      <c r="E935">
        <v>0</v>
      </c>
      <c r="F935">
        <v>1</v>
      </c>
    </row>
    <row r="936" spans="1:6" x14ac:dyDescent="0.25">
      <c r="A936">
        <v>935</v>
      </c>
      <c r="B936">
        <v>42</v>
      </c>
      <c r="C936">
        <v>0</v>
      </c>
      <c r="D936">
        <v>0</v>
      </c>
      <c r="E936">
        <v>0</v>
      </c>
      <c r="F936">
        <v>0.2</v>
      </c>
    </row>
    <row r="937" spans="1:6" x14ac:dyDescent="0.25">
      <c r="A937">
        <v>936</v>
      </c>
      <c r="B937">
        <v>43</v>
      </c>
      <c r="C937">
        <v>0</v>
      </c>
      <c r="D937">
        <v>0</v>
      </c>
      <c r="E937">
        <v>0</v>
      </c>
      <c r="F937">
        <v>0</v>
      </c>
    </row>
    <row r="938" spans="1:6" x14ac:dyDescent="0.25">
      <c r="A938">
        <v>937</v>
      </c>
      <c r="B938">
        <v>44</v>
      </c>
      <c r="C938">
        <v>0</v>
      </c>
      <c r="D938">
        <v>0</v>
      </c>
      <c r="E938">
        <v>0</v>
      </c>
      <c r="F938">
        <v>265.596</v>
      </c>
    </row>
    <row r="939" spans="1:6" x14ac:dyDescent="0.25">
      <c r="A939">
        <v>938</v>
      </c>
      <c r="B939">
        <v>45</v>
      </c>
      <c r="C939">
        <v>0</v>
      </c>
      <c r="D939">
        <v>0</v>
      </c>
      <c r="E939">
        <v>0</v>
      </c>
      <c r="F939">
        <v>1546.14</v>
      </c>
    </row>
    <row r="940" spans="1:6" x14ac:dyDescent="0.25">
      <c r="A940">
        <v>939</v>
      </c>
      <c r="B940">
        <v>46</v>
      </c>
      <c r="C940">
        <v>0</v>
      </c>
      <c r="D940">
        <v>0</v>
      </c>
      <c r="E940">
        <v>0</v>
      </c>
      <c r="F940">
        <v>0</v>
      </c>
    </row>
    <row r="941" spans="1:6" x14ac:dyDescent="0.25">
      <c r="A941">
        <v>940</v>
      </c>
      <c r="B941">
        <v>2</v>
      </c>
      <c r="C941">
        <v>0</v>
      </c>
      <c r="D941">
        <v>0</v>
      </c>
      <c r="E941">
        <v>0</v>
      </c>
      <c r="F941">
        <v>34.404299999999999</v>
      </c>
    </row>
    <row r="942" spans="1:6" x14ac:dyDescent="0.25">
      <c r="A942">
        <v>941</v>
      </c>
      <c r="B942">
        <v>10</v>
      </c>
      <c r="C942">
        <v>1</v>
      </c>
      <c r="D942">
        <v>0</v>
      </c>
      <c r="E942">
        <v>0</v>
      </c>
      <c r="F942">
        <v>5691</v>
      </c>
    </row>
    <row r="943" spans="1:6" x14ac:dyDescent="0.25">
      <c r="A943">
        <v>942</v>
      </c>
      <c r="B943">
        <v>13</v>
      </c>
      <c r="C943">
        <v>0</v>
      </c>
      <c r="D943">
        <v>0</v>
      </c>
      <c r="E943">
        <v>0</v>
      </c>
      <c r="F943">
        <v>1602</v>
      </c>
    </row>
    <row r="944" spans="1:6" x14ac:dyDescent="0.25">
      <c r="A944">
        <v>943</v>
      </c>
      <c r="B944">
        <v>41</v>
      </c>
      <c r="C944">
        <v>0</v>
      </c>
      <c r="D944">
        <v>0</v>
      </c>
      <c r="E944">
        <v>0</v>
      </c>
      <c r="F944">
        <v>1</v>
      </c>
    </row>
    <row r="945" spans="1:6" x14ac:dyDescent="0.25">
      <c r="A945">
        <v>944</v>
      </c>
      <c r="B945" t="s">
        <v>0</v>
      </c>
      <c r="C945">
        <v>41</v>
      </c>
      <c r="D945">
        <v>3482</v>
      </c>
      <c r="E945">
        <v>79792731</v>
      </c>
    </row>
    <row r="946" spans="1:6" x14ac:dyDescent="0.25">
      <c r="A946">
        <v>945</v>
      </c>
      <c r="B946">
        <v>42</v>
      </c>
      <c r="C946">
        <v>0</v>
      </c>
      <c r="D946">
        <v>0</v>
      </c>
      <c r="E946">
        <v>0</v>
      </c>
      <c r="F946">
        <v>0.2</v>
      </c>
    </row>
    <row r="947" spans="1:6" x14ac:dyDescent="0.25">
      <c r="A947">
        <v>946</v>
      </c>
      <c r="B947">
        <v>43</v>
      </c>
      <c r="C947">
        <v>0</v>
      </c>
      <c r="D947">
        <v>0</v>
      </c>
      <c r="E947">
        <v>0</v>
      </c>
      <c r="F947">
        <v>0</v>
      </c>
    </row>
    <row r="948" spans="1:6" x14ac:dyDescent="0.25">
      <c r="A948">
        <v>947</v>
      </c>
      <c r="B948">
        <v>44</v>
      </c>
      <c r="C948">
        <v>0</v>
      </c>
      <c r="D948">
        <v>0</v>
      </c>
      <c r="E948">
        <v>0</v>
      </c>
      <c r="F948">
        <v>265.59699999999998</v>
      </c>
    </row>
    <row r="949" spans="1:6" x14ac:dyDescent="0.25">
      <c r="A949">
        <v>948</v>
      </c>
      <c r="B949">
        <v>45</v>
      </c>
      <c r="C949">
        <v>0</v>
      </c>
      <c r="D949">
        <v>0</v>
      </c>
      <c r="E949">
        <v>0</v>
      </c>
      <c r="F949">
        <v>1546.65</v>
      </c>
    </row>
    <row r="950" spans="1:6" x14ac:dyDescent="0.25">
      <c r="A950">
        <v>949</v>
      </c>
      <c r="B950">
        <v>46</v>
      </c>
      <c r="C950">
        <v>0</v>
      </c>
      <c r="D950">
        <v>0</v>
      </c>
      <c r="E950">
        <v>0</v>
      </c>
      <c r="F950">
        <v>0</v>
      </c>
    </row>
    <row r="951" spans="1:6" x14ac:dyDescent="0.25">
      <c r="A951">
        <v>950</v>
      </c>
      <c r="B951">
        <v>2</v>
      </c>
      <c r="C951">
        <v>0</v>
      </c>
      <c r="D951">
        <v>0</v>
      </c>
      <c r="E951">
        <v>0</v>
      </c>
      <c r="F951">
        <v>34.403399999999998</v>
      </c>
    </row>
    <row r="952" spans="1:6" x14ac:dyDescent="0.25">
      <c r="A952">
        <v>951</v>
      </c>
      <c r="B952">
        <v>10</v>
      </c>
      <c r="C952">
        <v>1</v>
      </c>
      <c r="D952">
        <v>0</v>
      </c>
      <c r="E952">
        <v>0</v>
      </c>
      <c r="F952">
        <v>5691</v>
      </c>
    </row>
    <row r="953" spans="1:6" x14ac:dyDescent="0.25">
      <c r="A953">
        <v>952</v>
      </c>
      <c r="B953">
        <v>13</v>
      </c>
      <c r="C953">
        <v>0</v>
      </c>
      <c r="D953">
        <v>0</v>
      </c>
      <c r="E953">
        <v>0</v>
      </c>
      <c r="F953">
        <v>1602</v>
      </c>
    </row>
    <row r="954" spans="1:6" x14ac:dyDescent="0.25">
      <c r="A954">
        <v>953</v>
      </c>
      <c r="B954">
        <v>41</v>
      </c>
      <c r="C954">
        <v>0</v>
      </c>
      <c r="D954">
        <v>0</v>
      </c>
      <c r="E954">
        <v>0</v>
      </c>
      <c r="F954">
        <v>1</v>
      </c>
    </row>
    <row r="955" spans="1:6" x14ac:dyDescent="0.25">
      <c r="A955">
        <v>954</v>
      </c>
      <c r="B955">
        <v>42</v>
      </c>
      <c r="C955">
        <v>0</v>
      </c>
      <c r="D955">
        <v>0</v>
      </c>
      <c r="E955">
        <v>0</v>
      </c>
      <c r="F955">
        <v>0.2</v>
      </c>
    </row>
    <row r="956" spans="1:6" x14ac:dyDescent="0.25">
      <c r="A956">
        <v>955</v>
      </c>
      <c r="B956">
        <v>43</v>
      </c>
      <c r="C956">
        <v>0</v>
      </c>
      <c r="D956">
        <v>0</v>
      </c>
      <c r="E956">
        <v>0</v>
      </c>
      <c r="F956">
        <v>0</v>
      </c>
    </row>
    <row r="957" spans="1:6" x14ac:dyDescent="0.25">
      <c r="A957">
        <v>956</v>
      </c>
      <c r="B957">
        <v>44</v>
      </c>
      <c r="C957">
        <v>0</v>
      </c>
      <c r="D957">
        <v>0</v>
      </c>
      <c r="E957">
        <v>0</v>
      </c>
      <c r="F957">
        <v>265.59699999999998</v>
      </c>
    </row>
    <row r="958" spans="1:6" x14ac:dyDescent="0.25">
      <c r="A958">
        <v>957</v>
      </c>
      <c r="B958">
        <v>45</v>
      </c>
      <c r="C958">
        <v>0</v>
      </c>
      <c r="D958">
        <v>0</v>
      </c>
      <c r="E958">
        <v>0</v>
      </c>
      <c r="F958">
        <v>1546.65</v>
      </c>
    </row>
    <row r="959" spans="1:6" x14ac:dyDescent="0.25">
      <c r="A959">
        <v>958</v>
      </c>
      <c r="B959">
        <v>46</v>
      </c>
      <c r="C959">
        <v>0</v>
      </c>
      <c r="D959">
        <v>0</v>
      </c>
      <c r="E959">
        <v>0</v>
      </c>
      <c r="F959">
        <v>0</v>
      </c>
    </row>
    <row r="960" spans="1:6" x14ac:dyDescent="0.25">
      <c r="A960">
        <v>959</v>
      </c>
      <c r="B960">
        <v>2</v>
      </c>
      <c r="C960">
        <v>0</v>
      </c>
      <c r="D960">
        <v>0</v>
      </c>
      <c r="E960">
        <v>0</v>
      </c>
      <c r="F960">
        <v>34.403399999999998</v>
      </c>
    </row>
    <row r="961" spans="1:6" x14ac:dyDescent="0.25">
      <c r="A961">
        <v>960</v>
      </c>
      <c r="B961">
        <v>10</v>
      </c>
      <c r="C961">
        <v>1</v>
      </c>
      <c r="D961">
        <v>0</v>
      </c>
      <c r="E961">
        <v>0</v>
      </c>
      <c r="F961">
        <v>5691</v>
      </c>
    </row>
    <row r="962" spans="1:6" x14ac:dyDescent="0.25">
      <c r="A962">
        <v>961</v>
      </c>
      <c r="B962">
        <v>13</v>
      </c>
      <c r="C962">
        <v>0</v>
      </c>
      <c r="D962">
        <v>0</v>
      </c>
      <c r="E962">
        <v>0</v>
      </c>
      <c r="F962">
        <v>1602</v>
      </c>
    </row>
    <row r="963" spans="1:6" x14ac:dyDescent="0.25">
      <c r="A963">
        <v>962</v>
      </c>
      <c r="B963">
        <v>41</v>
      </c>
      <c r="C963">
        <v>0</v>
      </c>
      <c r="D963">
        <v>0</v>
      </c>
      <c r="E963">
        <v>0</v>
      </c>
      <c r="F963">
        <v>1</v>
      </c>
    </row>
    <row r="964" spans="1:6" x14ac:dyDescent="0.25">
      <c r="A964">
        <v>963</v>
      </c>
      <c r="B964">
        <v>42</v>
      </c>
      <c r="C964">
        <v>0</v>
      </c>
      <c r="D964">
        <v>0</v>
      </c>
      <c r="E964">
        <v>0</v>
      </c>
      <c r="F964">
        <v>0.2</v>
      </c>
    </row>
    <row r="965" spans="1:6" x14ac:dyDescent="0.25">
      <c r="A965">
        <v>964</v>
      </c>
      <c r="B965">
        <v>43</v>
      </c>
      <c r="C965">
        <v>0</v>
      </c>
      <c r="D965">
        <v>0</v>
      </c>
      <c r="E965">
        <v>0</v>
      </c>
      <c r="F965">
        <v>0</v>
      </c>
    </row>
    <row r="966" spans="1:6" x14ac:dyDescent="0.25">
      <c r="A966">
        <v>965</v>
      </c>
      <c r="B966">
        <v>44</v>
      </c>
      <c r="C966">
        <v>0</v>
      </c>
      <c r="D966">
        <v>0</v>
      </c>
      <c r="E966">
        <v>0</v>
      </c>
      <c r="F966">
        <v>265.596</v>
      </c>
    </row>
    <row r="967" spans="1:6" x14ac:dyDescent="0.25">
      <c r="A967">
        <v>966</v>
      </c>
      <c r="B967">
        <v>45</v>
      </c>
      <c r="C967">
        <v>0</v>
      </c>
      <c r="D967">
        <v>0</v>
      </c>
      <c r="E967">
        <v>0</v>
      </c>
      <c r="F967">
        <v>1547.17</v>
      </c>
    </row>
    <row r="968" spans="1:6" x14ac:dyDescent="0.25">
      <c r="A968">
        <v>967</v>
      </c>
      <c r="B968">
        <v>46</v>
      </c>
      <c r="C968">
        <v>0</v>
      </c>
      <c r="D968">
        <v>0</v>
      </c>
      <c r="E968">
        <v>0</v>
      </c>
      <c r="F968">
        <v>0</v>
      </c>
    </row>
    <row r="969" spans="1:6" x14ac:dyDescent="0.25">
      <c r="A969">
        <v>968</v>
      </c>
      <c r="B969">
        <v>2</v>
      </c>
      <c r="C969">
        <v>0</v>
      </c>
      <c r="D969">
        <v>0</v>
      </c>
      <c r="E969">
        <v>0</v>
      </c>
      <c r="F969">
        <v>34.404400000000003</v>
      </c>
    </row>
    <row r="970" spans="1:6" x14ac:dyDescent="0.25">
      <c r="A970">
        <v>969</v>
      </c>
      <c r="B970">
        <v>10</v>
      </c>
      <c r="C970">
        <v>1</v>
      </c>
      <c r="D970">
        <v>0</v>
      </c>
      <c r="E970">
        <v>0</v>
      </c>
      <c r="F970">
        <v>5691</v>
      </c>
    </row>
    <row r="971" spans="1:6" x14ac:dyDescent="0.25">
      <c r="A971">
        <v>970</v>
      </c>
      <c r="B971">
        <v>13</v>
      </c>
      <c r="C971">
        <v>0</v>
      </c>
      <c r="D971">
        <v>0</v>
      </c>
      <c r="E971">
        <v>0</v>
      </c>
      <c r="F971">
        <v>1602</v>
      </c>
    </row>
    <row r="972" spans="1:6" x14ac:dyDescent="0.25">
      <c r="A972">
        <v>971</v>
      </c>
      <c r="B972">
        <v>41</v>
      </c>
      <c r="C972">
        <v>0</v>
      </c>
      <c r="D972">
        <v>0</v>
      </c>
      <c r="E972">
        <v>0</v>
      </c>
      <c r="F972">
        <v>1</v>
      </c>
    </row>
    <row r="973" spans="1:6" x14ac:dyDescent="0.25">
      <c r="A973">
        <v>972</v>
      </c>
      <c r="B973">
        <v>42</v>
      </c>
      <c r="C973">
        <v>0</v>
      </c>
      <c r="D973">
        <v>0</v>
      </c>
      <c r="E973">
        <v>0</v>
      </c>
      <c r="F973">
        <v>0.2</v>
      </c>
    </row>
    <row r="974" spans="1:6" x14ac:dyDescent="0.25">
      <c r="A974">
        <v>973</v>
      </c>
      <c r="B974">
        <v>43</v>
      </c>
      <c r="C974">
        <v>0</v>
      </c>
      <c r="D974">
        <v>0</v>
      </c>
      <c r="E974">
        <v>0</v>
      </c>
      <c r="F974">
        <v>0</v>
      </c>
    </row>
    <row r="975" spans="1:6" x14ac:dyDescent="0.25">
      <c r="A975">
        <v>974</v>
      </c>
      <c r="B975">
        <v>44</v>
      </c>
      <c r="C975">
        <v>0</v>
      </c>
      <c r="D975">
        <v>0</v>
      </c>
      <c r="E975">
        <v>0</v>
      </c>
      <c r="F975">
        <v>265.596</v>
      </c>
    </row>
    <row r="976" spans="1:6" x14ac:dyDescent="0.25">
      <c r="A976">
        <v>975</v>
      </c>
      <c r="B976">
        <v>45</v>
      </c>
      <c r="C976">
        <v>0</v>
      </c>
      <c r="D976">
        <v>0</v>
      </c>
      <c r="E976">
        <v>0</v>
      </c>
      <c r="F976">
        <v>1547.68</v>
      </c>
    </row>
    <row r="977" spans="1:6" x14ac:dyDescent="0.25">
      <c r="A977">
        <v>976</v>
      </c>
      <c r="B977">
        <v>46</v>
      </c>
      <c r="C977">
        <v>0</v>
      </c>
      <c r="D977">
        <v>0</v>
      </c>
      <c r="E977">
        <v>0</v>
      </c>
      <c r="F977">
        <v>0</v>
      </c>
    </row>
    <row r="978" spans="1:6" x14ac:dyDescent="0.25">
      <c r="A978">
        <v>977</v>
      </c>
      <c r="B978">
        <v>2</v>
      </c>
      <c r="C978">
        <v>0</v>
      </c>
      <c r="D978">
        <v>0</v>
      </c>
      <c r="E978">
        <v>0</v>
      </c>
      <c r="F978">
        <v>34.404899999999998</v>
      </c>
    </row>
    <row r="979" spans="1:6" x14ac:dyDescent="0.25">
      <c r="A979">
        <v>978</v>
      </c>
      <c r="B979">
        <v>10</v>
      </c>
      <c r="C979">
        <v>1</v>
      </c>
      <c r="D979">
        <v>0</v>
      </c>
      <c r="E979">
        <v>0</v>
      </c>
      <c r="F979">
        <v>5691</v>
      </c>
    </row>
    <row r="980" spans="1:6" x14ac:dyDescent="0.25">
      <c r="A980">
        <v>979</v>
      </c>
      <c r="B980">
        <v>13</v>
      </c>
      <c r="C980">
        <v>0</v>
      </c>
      <c r="D980">
        <v>0</v>
      </c>
      <c r="E980">
        <v>0</v>
      </c>
      <c r="F980">
        <v>1602</v>
      </c>
    </row>
    <row r="981" spans="1:6" x14ac:dyDescent="0.25">
      <c r="A981">
        <v>980</v>
      </c>
      <c r="B981">
        <v>41</v>
      </c>
      <c r="C981">
        <v>0</v>
      </c>
      <c r="D981">
        <v>0</v>
      </c>
      <c r="E981">
        <v>0</v>
      </c>
      <c r="F981">
        <v>1</v>
      </c>
    </row>
    <row r="982" spans="1:6" x14ac:dyDescent="0.25">
      <c r="A982">
        <v>981</v>
      </c>
      <c r="B982">
        <v>42</v>
      </c>
      <c r="C982">
        <v>0</v>
      </c>
      <c r="D982">
        <v>0</v>
      </c>
      <c r="E982">
        <v>0</v>
      </c>
      <c r="F982">
        <v>0.2</v>
      </c>
    </row>
    <row r="983" spans="1:6" x14ac:dyDescent="0.25">
      <c r="A983">
        <v>982</v>
      </c>
      <c r="B983">
        <v>43</v>
      </c>
      <c r="C983">
        <v>0</v>
      </c>
      <c r="D983">
        <v>0</v>
      </c>
      <c r="E983">
        <v>0</v>
      </c>
      <c r="F983">
        <v>0</v>
      </c>
    </row>
    <row r="984" spans="1:6" x14ac:dyDescent="0.25">
      <c r="A984">
        <v>983</v>
      </c>
      <c r="B984">
        <v>44</v>
      </c>
      <c r="C984">
        <v>0</v>
      </c>
      <c r="D984">
        <v>0</v>
      </c>
      <c r="E984">
        <v>0</v>
      </c>
      <c r="F984">
        <v>265.59500000000003</v>
      </c>
    </row>
    <row r="985" spans="1:6" x14ac:dyDescent="0.25">
      <c r="A985">
        <v>984</v>
      </c>
      <c r="B985">
        <v>45</v>
      </c>
      <c r="C985">
        <v>0</v>
      </c>
      <c r="D985">
        <v>0</v>
      </c>
      <c r="E985">
        <v>0</v>
      </c>
      <c r="F985">
        <v>1547.68</v>
      </c>
    </row>
    <row r="986" spans="1:6" x14ac:dyDescent="0.25">
      <c r="A986">
        <v>985</v>
      </c>
      <c r="B986">
        <v>46</v>
      </c>
      <c r="C986">
        <v>0</v>
      </c>
      <c r="D986">
        <v>0</v>
      </c>
      <c r="E986">
        <v>0</v>
      </c>
      <c r="F986">
        <v>0</v>
      </c>
    </row>
    <row r="987" spans="1:6" x14ac:dyDescent="0.25">
      <c r="A987">
        <v>986</v>
      </c>
      <c r="B987">
        <v>2</v>
      </c>
      <c r="C987">
        <v>0</v>
      </c>
      <c r="D987">
        <v>0</v>
      </c>
      <c r="E987">
        <v>0</v>
      </c>
      <c r="F987">
        <v>34.404899999999998</v>
      </c>
    </row>
    <row r="988" spans="1:6" x14ac:dyDescent="0.25">
      <c r="A988">
        <v>987</v>
      </c>
      <c r="B988">
        <v>10</v>
      </c>
      <c r="C988">
        <v>1</v>
      </c>
      <c r="D988">
        <v>0</v>
      </c>
      <c r="E988">
        <v>0</v>
      </c>
      <c r="F988">
        <v>5691</v>
      </c>
    </row>
    <row r="989" spans="1:6" x14ac:dyDescent="0.25">
      <c r="A989">
        <v>988</v>
      </c>
      <c r="B989">
        <v>13</v>
      </c>
      <c r="C989">
        <v>0</v>
      </c>
      <c r="D989">
        <v>0</v>
      </c>
      <c r="E989">
        <v>0</v>
      </c>
      <c r="F989">
        <v>1602</v>
      </c>
    </row>
    <row r="990" spans="1:6" x14ac:dyDescent="0.25">
      <c r="A990">
        <v>989</v>
      </c>
      <c r="B990" t="s">
        <v>0</v>
      </c>
      <c r="C990">
        <v>44</v>
      </c>
      <c r="D990">
        <v>3482</v>
      </c>
      <c r="E990">
        <v>79795636</v>
      </c>
    </row>
    <row r="991" spans="1:6" x14ac:dyDescent="0.25">
      <c r="A991">
        <v>990</v>
      </c>
      <c r="B991">
        <v>42</v>
      </c>
      <c r="C991">
        <v>0</v>
      </c>
      <c r="D991">
        <v>0</v>
      </c>
      <c r="E991">
        <v>0</v>
      </c>
      <c r="F991">
        <v>0.2</v>
      </c>
    </row>
    <row r="992" spans="1:6" x14ac:dyDescent="0.25">
      <c r="A992">
        <v>991</v>
      </c>
      <c r="B992">
        <v>43</v>
      </c>
      <c r="C992">
        <v>0</v>
      </c>
      <c r="D992">
        <v>0</v>
      </c>
      <c r="E992">
        <v>0</v>
      </c>
      <c r="F992">
        <v>0</v>
      </c>
    </row>
    <row r="993" spans="1:6" x14ac:dyDescent="0.25">
      <c r="A993">
        <v>992</v>
      </c>
      <c r="B993">
        <v>44</v>
      </c>
      <c r="C993">
        <v>0</v>
      </c>
      <c r="D993">
        <v>0</v>
      </c>
      <c r="E993">
        <v>0</v>
      </c>
      <c r="F993">
        <v>265.596</v>
      </c>
    </row>
    <row r="994" spans="1:6" x14ac:dyDescent="0.25">
      <c r="A994">
        <v>993</v>
      </c>
      <c r="B994">
        <v>45</v>
      </c>
      <c r="C994">
        <v>0</v>
      </c>
      <c r="D994">
        <v>0</v>
      </c>
      <c r="E994">
        <v>0</v>
      </c>
      <c r="F994">
        <v>1548.19</v>
      </c>
    </row>
    <row r="995" spans="1:6" x14ac:dyDescent="0.25">
      <c r="A995">
        <v>994</v>
      </c>
      <c r="B995">
        <v>46</v>
      </c>
      <c r="C995">
        <v>0</v>
      </c>
      <c r="D995">
        <v>0</v>
      </c>
      <c r="E995">
        <v>0</v>
      </c>
      <c r="F995">
        <v>0</v>
      </c>
    </row>
    <row r="996" spans="1:6" x14ac:dyDescent="0.25">
      <c r="A996">
        <v>995</v>
      </c>
      <c r="B996">
        <v>2</v>
      </c>
      <c r="C996">
        <v>0</v>
      </c>
      <c r="D996">
        <v>0</v>
      </c>
      <c r="E996">
        <v>0</v>
      </c>
      <c r="F996">
        <v>34.404200000000003</v>
      </c>
    </row>
    <row r="997" spans="1:6" x14ac:dyDescent="0.25">
      <c r="A997">
        <v>996</v>
      </c>
      <c r="B997">
        <v>10</v>
      </c>
      <c r="C997">
        <v>1</v>
      </c>
      <c r="D997">
        <v>0</v>
      </c>
      <c r="E997">
        <v>0</v>
      </c>
      <c r="F997">
        <v>5691</v>
      </c>
    </row>
    <row r="998" spans="1:6" x14ac:dyDescent="0.25">
      <c r="A998">
        <v>997</v>
      </c>
      <c r="B998">
        <v>13</v>
      </c>
      <c r="C998">
        <v>0</v>
      </c>
      <c r="D998">
        <v>0</v>
      </c>
      <c r="E998">
        <v>0</v>
      </c>
      <c r="F998">
        <v>1602</v>
      </c>
    </row>
    <row r="999" spans="1:6" x14ac:dyDescent="0.25">
      <c r="A999">
        <v>998</v>
      </c>
      <c r="B999">
        <v>41</v>
      </c>
      <c r="C999">
        <v>0</v>
      </c>
      <c r="D999">
        <v>0</v>
      </c>
      <c r="E999">
        <v>0</v>
      </c>
      <c r="F999">
        <v>1</v>
      </c>
    </row>
    <row r="1000" spans="1:6" x14ac:dyDescent="0.25">
      <c r="A1000">
        <v>999</v>
      </c>
      <c r="B1000">
        <v>42</v>
      </c>
      <c r="C1000">
        <v>0</v>
      </c>
      <c r="D1000">
        <v>0</v>
      </c>
      <c r="E1000">
        <v>0</v>
      </c>
      <c r="F1000">
        <v>0.2</v>
      </c>
    </row>
    <row r="1001" spans="1:6" x14ac:dyDescent="0.25">
      <c r="A1001">
        <v>1000</v>
      </c>
      <c r="B1001">
        <v>43</v>
      </c>
      <c r="C1001">
        <v>0</v>
      </c>
      <c r="D1001">
        <v>0</v>
      </c>
      <c r="E1001">
        <v>0</v>
      </c>
      <c r="F1001">
        <v>0</v>
      </c>
    </row>
    <row r="1002" spans="1:6" x14ac:dyDescent="0.25">
      <c r="A1002">
        <v>1001</v>
      </c>
      <c r="B1002">
        <v>44</v>
      </c>
      <c r="C1002">
        <v>0</v>
      </c>
      <c r="D1002">
        <v>0</v>
      </c>
      <c r="E1002">
        <v>0</v>
      </c>
      <c r="F1002">
        <v>265.596</v>
      </c>
    </row>
    <row r="1003" spans="1:6" x14ac:dyDescent="0.25">
      <c r="A1003">
        <v>1002</v>
      </c>
      <c r="B1003">
        <v>45</v>
      </c>
      <c r="C1003">
        <v>0</v>
      </c>
      <c r="D1003">
        <v>0</v>
      </c>
      <c r="E1003">
        <v>0</v>
      </c>
      <c r="F1003">
        <v>1548.19</v>
      </c>
    </row>
    <row r="1004" spans="1:6" x14ac:dyDescent="0.25">
      <c r="A1004">
        <v>1003</v>
      </c>
      <c r="B1004">
        <v>46</v>
      </c>
      <c r="C1004">
        <v>0</v>
      </c>
      <c r="D1004">
        <v>0</v>
      </c>
      <c r="E1004">
        <v>0</v>
      </c>
      <c r="F1004">
        <v>0</v>
      </c>
    </row>
    <row r="1005" spans="1:6" x14ac:dyDescent="0.25">
      <c r="A1005">
        <v>1004</v>
      </c>
      <c r="B1005" t="s">
        <v>0</v>
      </c>
      <c r="C1005">
        <v>45</v>
      </c>
      <c r="D1005">
        <v>3482</v>
      </c>
      <c r="E1005">
        <v>79796604</v>
      </c>
    </row>
    <row r="1006" spans="1:6" x14ac:dyDescent="0.25">
      <c r="A1006">
        <v>1005</v>
      </c>
      <c r="B1006">
        <v>10</v>
      </c>
      <c r="C1006">
        <v>1</v>
      </c>
      <c r="D1006">
        <v>0</v>
      </c>
      <c r="E1006">
        <v>0</v>
      </c>
      <c r="F1006">
        <v>5691</v>
      </c>
    </row>
    <row r="1007" spans="1:6" x14ac:dyDescent="0.25">
      <c r="A1007">
        <v>1006</v>
      </c>
      <c r="B1007">
        <v>13</v>
      </c>
      <c r="C1007">
        <v>0</v>
      </c>
      <c r="D1007">
        <v>0</v>
      </c>
      <c r="E1007">
        <v>0</v>
      </c>
      <c r="F1007">
        <v>1602</v>
      </c>
    </row>
    <row r="1008" spans="1:6" x14ac:dyDescent="0.25">
      <c r="A1008">
        <v>1007</v>
      </c>
      <c r="B1008">
        <v>41</v>
      </c>
      <c r="C1008">
        <v>0</v>
      </c>
      <c r="D1008">
        <v>0</v>
      </c>
      <c r="E1008">
        <v>0</v>
      </c>
      <c r="F1008">
        <v>1</v>
      </c>
    </row>
    <row r="1009" spans="1:6" x14ac:dyDescent="0.25">
      <c r="A1009">
        <v>1008</v>
      </c>
      <c r="B1009">
        <v>42</v>
      </c>
      <c r="C1009">
        <v>0</v>
      </c>
      <c r="D1009">
        <v>0</v>
      </c>
      <c r="E1009">
        <v>0</v>
      </c>
      <c r="F1009">
        <v>0.2</v>
      </c>
    </row>
    <row r="1010" spans="1:6" x14ac:dyDescent="0.25">
      <c r="A1010">
        <v>1009</v>
      </c>
      <c r="B1010">
        <v>43</v>
      </c>
      <c r="C1010">
        <v>0</v>
      </c>
      <c r="D1010">
        <v>0</v>
      </c>
      <c r="E1010">
        <v>0</v>
      </c>
      <c r="F1010">
        <v>0</v>
      </c>
    </row>
    <row r="1011" spans="1:6" x14ac:dyDescent="0.25">
      <c r="A1011">
        <v>1010</v>
      </c>
      <c r="B1011">
        <v>44</v>
      </c>
      <c r="C1011">
        <v>0</v>
      </c>
      <c r="D1011">
        <v>0</v>
      </c>
      <c r="E1011">
        <v>0</v>
      </c>
      <c r="F1011">
        <v>265.596</v>
      </c>
    </row>
    <row r="1012" spans="1:6" x14ac:dyDescent="0.25">
      <c r="A1012">
        <v>1011</v>
      </c>
      <c r="B1012">
        <v>45</v>
      </c>
      <c r="C1012">
        <v>0</v>
      </c>
      <c r="D1012">
        <v>0</v>
      </c>
      <c r="E1012">
        <v>0</v>
      </c>
      <c r="F1012">
        <v>1548.71</v>
      </c>
    </row>
    <row r="1013" spans="1:6" x14ac:dyDescent="0.25">
      <c r="A1013">
        <v>1012</v>
      </c>
      <c r="B1013">
        <v>46</v>
      </c>
      <c r="C1013">
        <v>0</v>
      </c>
      <c r="D1013">
        <v>0</v>
      </c>
      <c r="E1013">
        <v>0</v>
      </c>
      <c r="F1013">
        <v>0</v>
      </c>
    </row>
    <row r="1014" spans="1:6" x14ac:dyDescent="0.25">
      <c r="A1014">
        <v>1013</v>
      </c>
      <c r="B1014">
        <v>2</v>
      </c>
      <c r="C1014">
        <v>0</v>
      </c>
      <c r="D1014">
        <v>0</v>
      </c>
      <c r="E1014">
        <v>0</v>
      </c>
      <c r="F1014">
        <v>34.404200000000003</v>
      </c>
    </row>
    <row r="1015" spans="1:6" x14ac:dyDescent="0.25">
      <c r="A1015">
        <v>1014</v>
      </c>
      <c r="B1015">
        <v>10</v>
      </c>
      <c r="C1015">
        <v>1</v>
      </c>
      <c r="D1015">
        <v>0</v>
      </c>
      <c r="E1015">
        <v>0</v>
      </c>
      <c r="F1015">
        <v>5691</v>
      </c>
    </row>
    <row r="1016" spans="1:6" x14ac:dyDescent="0.25">
      <c r="A1016">
        <v>1015</v>
      </c>
      <c r="B1016">
        <v>13</v>
      </c>
      <c r="C1016">
        <v>0</v>
      </c>
      <c r="D1016">
        <v>0</v>
      </c>
      <c r="E1016">
        <v>0</v>
      </c>
      <c r="F1016">
        <v>1602</v>
      </c>
    </row>
    <row r="1017" spans="1:6" x14ac:dyDescent="0.25">
      <c r="A1017">
        <v>1016</v>
      </c>
      <c r="B1017">
        <v>41</v>
      </c>
      <c r="C1017">
        <v>0</v>
      </c>
      <c r="D1017">
        <v>0</v>
      </c>
      <c r="E1017">
        <v>0</v>
      </c>
      <c r="F1017">
        <v>1</v>
      </c>
    </row>
    <row r="1018" spans="1:6" x14ac:dyDescent="0.25">
      <c r="A1018">
        <v>1017</v>
      </c>
      <c r="B1018">
        <v>42</v>
      </c>
      <c r="C1018">
        <v>0</v>
      </c>
      <c r="D1018">
        <v>0</v>
      </c>
      <c r="E1018">
        <v>0</v>
      </c>
      <c r="F1018">
        <v>0.2</v>
      </c>
    </row>
    <row r="1019" spans="1:6" x14ac:dyDescent="0.25">
      <c r="A1019">
        <v>1018</v>
      </c>
      <c r="B1019">
        <v>43</v>
      </c>
      <c r="C1019">
        <v>0</v>
      </c>
      <c r="D1019">
        <v>0</v>
      </c>
      <c r="E1019">
        <v>0</v>
      </c>
      <c r="F1019">
        <v>0</v>
      </c>
    </row>
    <row r="1020" spans="1:6" x14ac:dyDescent="0.25">
      <c r="A1020">
        <v>1019</v>
      </c>
      <c r="B1020" t="s">
        <v>0</v>
      </c>
      <c r="C1020">
        <v>46</v>
      </c>
      <c r="D1020">
        <v>3482</v>
      </c>
      <c r="E1020">
        <v>79797572</v>
      </c>
    </row>
    <row r="1021" spans="1:6" x14ac:dyDescent="0.25">
      <c r="A1021">
        <v>1020</v>
      </c>
      <c r="B1021">
        <v>44</v>
      </c>
      <c r="C1021">
        <v>0</v>
      </c>
      <c r="D1021">
        <v>0</v>
      </c>
      <c r="E1021">
        <v>0</v>
      </c>
      <c r="F1021">
        <v>265.596</v>
      </c>
    </row>
    <row r="1022" spans="1:6" x14ac:dyDescent="0.25">
      <c r="A1022">
        <v>1021</v>
      </c>
      <c r="B1022">
        <v>45</v>
      </c>
      <c r="C1022">
        <v>0</v>
      </c>
      <c r="D1022">
        <v>0</v>
      </c>
      <c r="E1022">
        <v>0</v>
      </c>
      <c r="F1022">
        <v>1549.22</v>
      </c>
    </row>
    <row r="1023" spans="1:6" x14ac:dyDescent="0.25">
      <c r="A1023">
        <v>1022</v>
      </c>
      <c r="B1023">
        <v>46</v>
      </c>
      <c r="C1023">
        <v>0</v>
      </c>
      <c r="D1023">
        <v>0</v>
      </c>
      <c r="E1023">
        <v>0</v>
      </c>
      <c r="F1023">
        <v>0</v>
      </c>
    </row>
    <row r="1024" spans="1:6" x14ac:dyDescent="0.25">
      <c r="A1024">
        <v>1023</v>
      </c>
      <c r="B1024">
        <v>2</v>
      </c>
      <c r="C1024">
        <v>0</v>
      </c>
      <c r="D1024">
        <v>0</v>
      </c>
      <c r="E1024">
        <v>0</v>
      </c>
      <c r="F1024">
        <v>34.403500000000001</v>
      </c>
    </row>
    <row r="1025" spans="1:6" x14ac:dyDescent="0.25">
      <c r="A1025">
        <v>1024</v>
      </c>
      <c r="B1025">
        <v>10</v>
      </c>
      <c r="C1025">
        <v>1</v>
      </c>
      <c r="D1025">
        <v>0</v>
      </c>
      <c r="E1025">
        <v>0</v>
      </c>
      <c r="F1025">
        <v>5691</v>
      </c>
    </row>
    <row r="1026" spans="1:6" x14ac:dyDescent="0.25">
      <c r="A1026">
        <v>1025</v>
      </c>
      <c r="B1026">
        <v>13</v>
      </c>
      <c r="C1026">
        <v>0</v>
      </c>
      <c r="D1026">
        <v>0</v>
      </c>
      <c r="E1026">
        <v>0</v>
      </c>
      <c r="F1026">
        <v>1602</v>
      </c>
    </row>
    <row r="1027" spans="1:6" x14ac:dyDescent="0.25">
      <c r="A1027">
        <v>1026</v>
      </c>
      <c r="B1027">
        <v>41</v>
      </c>
      <c r="C1027">
        <v>0</v>
      </c>
      <c r="D1027">
        <v>0</v>
      </c>
      <c r="E1027">
        <v>0</v>
      </c>
      <c r="F1027">
        <v>1</v>
      </c>
    </row>
    <row r="1028" spans="1:6" x14ac:dyDescent="0.25">
      <c r="A1028">
        <v>1027</v>
      </c>
      <c r="B1028">
        <v>42</v>
      </c>
      <c r="C1028">
        <v>0</v>
      </c>
      <c r="D1028">
        <v>0</v>
      </c>
      <c r="E1028">
        <v>0</v>
      </c>
      <c r="F1028">
        <v>0.2</v>
      </c>
    </row>
    <row r="1029" spans="1:6" x14ac:dyDescent="0.25">
      <c r="A1029">
        <v>1028</v>
      </c>
      <c r="B1029">
        <v>43</v>
      </c>
      <c r="C1029">
        <v>0</v>
      </c>
      <c r="D1029">
        <v>0</v>
      </c>
      <c r="E1029">
        <v>0</v>
      </c>
      <c r="F1029">
        <v>0</v>
      </c>
    </row>
    <row r="1030" spans="1:6" x14ac:dyDescent="0.25">
      <c r="A1030">
        <v>1029</v>
      </c>
      <c r="B1030">
        <v>44</v>
      </c>
      <c r="C1030">
        <v>0</v>
      </c>
      <c r="D1030">
        <v>0</v>
      </c>
      <c r="E1030">
        <v>0</v>
      </c>
      <c r="F1030">
        <v>265.596</v>
      </c>
    </row>
    <row r="1031" spans="1:6" x14ac:dyDescent="0.25">
      <c r="A1031">
        <v>1030</v>
      </c>
      <c r="B1031">
        <v>45</v>
      </c>
      <c r="C1031">
        <v>0</v>
      </c>
      <c r="D1031">
        <v>0</v>
      </c>
      <c r="E1031">
        <v>0</v>
      </c>
      <c r="F1031">
        <v>1549.22</v>
      </c>
    </row>
    <row r="1032" spans="1:6" x14ac:dyDescent="0.25">
      <c r="A1032">
        <v>1031</v>
      </c>
      <c r="B1032">
        <v>46</v>
      </c>
      <c r="C1032">
        <v>0</v>
      </c>
      <c r="D1032">
        <v>0</v>
      </c>
      <c r="E1032">
        <v>0</v>
      </c>
      <c r="F1032">
        <v>0</v>
      </c>
    </row>
    <row r="1033" spans="1:6" x14ac:dyDescent="0.25">
      <c r="A1033">
        <v>1032</v>
      </c>
      <c r="B1033">
        <v>2</v>
      </c>
      <c r="C1033">
        <v>0</v>
      </c>
      <c r="D1033">
        <v>0</v>
      </c>
      <c r="E1033">
        <v>0</v>
      </c>
      <c r="F1033">
        <v>34.403500000000001</v>
      </c>
    </row>
    <row r="1034" spans="1:6" x14ac:dyDescent="0.25">
      <c r="A1034">
        <v>1033</v>
      </c>
      <c r="B1034">
        <v>10</v>
      </c>
      <c r="C1034">
        <v>1</v>
      </c>
      <c r="D1034">
        <v>0</v>
      </c>
      <c r="E1034">
        <v>0</v>
      </c>
      <c r="F1034">
        <v>5691</v>
      </c>
    </row>
    <row r="1035" spans="1:6" x14ac:dyDescent="0.25">
      <c r="A1035">
        <v>1034</v>
      </c>
      <c r="B1035">
        <v>13</v>
      </c>
      <c r="C1035">
        <v>0</v>
      </c>
      <c r="D1035">
        <v>0</v>
      </c>
      <c r="E1035">
        <v>0</v>
      </c>
      <c r="F1035">
        <v>1602</v>
      </c>
    </row>
    <row r="1036" spans="1:6" x14ac:dyDescent="0.25">
      <c r="A1036">
        <v>1035</v>
      </c>
      <c r="B1036">
        <v>41</v>
      </c>
      <c r="C1036">
        <v>0</v>
      </c>
      <c r="D1036">
        <v>0</v>
      </c>
      <c r="E1036">
        <v>0</v>
      </c>
      <c r="F1036">
        <v>1</v>
      </c>
    </row>
    <row r="1037" spans="1:6" x14ac:dyDescent="0.25">
      <c r="A1037">
        <v>1036</v>
      </c>
      <c r="B1037">
        <v>42</v>
      </c>
      <c r="C1037">
        <v>0</v>
      </c>
      <c r="D1037">
        <v>0</v>
      </c>
      <c r="E1037">
        <v>0</v>
      </c>
      <c r="F1037">
        <v>0.2</v>
      </c>
    </row>
    <row r="1038" spans="1:6" x14ac:dyDescent="0.25">
      <c r="A1038">
        <v>1037</v>
      </c>
      <c r="B1038">
        <v>43</v>
      </c>
      <c r="C1038">
        <v>0</v>
      </c>
      <c r="D1038">
        <v>0</v>
      </c>
      <c r="E1038">
        <v>0</v>
      </c>
      <c r="F1038">
        <v>0</v>
      </c>
    </row>
    <row r="1039" spans="1:6" x14ac:dyDescent="0.25">
      <c r="A1039">
        <v>1038</v>
      </c>
      <c r="B1039">
        <v>44</v>
      </c>
      <c r="C1039">
        <v>0</v>
      </c>
      <c r="D1039">
        <v>0</v>
      </c>
      <c r="E1039">
        <v>0</v>
      </c>
      <c r="F1039">
        <v>265.596</v>
      </c>
    </row>
    <row r="1040" spans="1:6" x14ac:dyDescent="0.25">
      <c r="A1040">
        <v>1039</v>
      </c>
      <c r="B1040">
        <v>45</v>
      </c>
      <c r="C1040">
        <v>0</v>
      </c>
      <c r="D1040">
        <v>0</v>
      </c>
      <c r="E1040">
        <v>0</v>
      </c>
      <c r="F1040">
        <v>1549.74</v>
      </c>
    </row>
    <row r="1041" spans="1:6" x14ac:dyDescent="0.25">
      <c r="A1041">
        <v>1040</v>
      </c>
      <c r="B1041">
        <v>46</v>
      </c>
      <c r="C1041">
        <v>0</v>
      </c>
      <c r="D1041">
        <v>0</v>
      </c>
      <c r="E1041">
        <v>0</v>
      </c>
      <c r="F1041">
        <v>0</v>
      </c>
    </row>
    <row r="1042" spans="1:6" x14ac:dyDescent="0.25">
      <c r="A1042">
        <v>1041</v>
      </c>
      <c r="B1042">
        <v>2</v>
      </c>
      <c r="C1042">
        <v>0</v>
      </c>
      <c r="D1042">
        <v>0</v>
      </c>
      <c r="E1042">
        <v>0</v>
      </c>
      <c r="F1042">
        <v>34.4041</v>
      </c>
    </row>
    <row r="1043" spans="1:6" x14ac:dyDescent="0.25">
      <c r="A1043">
        <v>1042</v>
      </c>
      <c r="B1043">
        <v>10</v>
      </c>
      <c r="C1043">
        <v>1</v>
      </c>
      <c r="D1043">
        <v>0</v>
      </c>
      <c r="E1043">
        <v>0</v>
      </c>
      <c r="F1043">
        <v>5691</v>
      </c>
    </row>
    <row r="1044" spans="1:6" x14ac:dyDescent="0.25">
      <c r="A1044">
        <v>1043</v>
      </c>
      <c r="B1044">
        <v>13</v>
      </c>
      <c r="C1044">
        <v>0</v>
      </c>
      <c r="D1044">
        <v>0</v>
      </c>
      <c r="E1044">
        <v>0</v>
      </c>
      <c r="F1044">
        <v>1602</v>
      </c>
    </row>
    <row r="1045" spans="1:6" x14ac:dyDescent="0.25">
      <c r="A1045">
        <v>1044</v>
      </c>
      <c r="B1045">
        <v>41</v>
      </c>
      <c r="C1045">
        <v>0</v>
      </c>
      <c r="D1045">
        <v>0</v>
      </c>
      <c r="E1045">
        <v>0</v>
      </c>
      <c r="F1045">
        <v>1</v>
      </c>
    </row>
    <row r="1046" spans="1:6" x14ac:dyDescent="0.25">
      <c r="A1046">
        <v>1045</v>
      </c>
      <c r="B1046">
        <v>42</v>
      </c>
      <c r="C1046">
        <v>0</v>
      </c>
      <c r="D1046">
        <v>0</v>
      </c>
      <c r="E1046">
        <v>0</v>
      </c>
      <c r="F1046">
        <v>0.2</v>
      </c>
    </row>
    <row r="1047" spans="1:6" x14ac:dyDescent="0.25">
      <c r="A1047">
        <v>1046</v>
      </c>
      <c r="B1047">
        <v>43</v>
      </c>
      <c r="C1047">
        <v>0</v>
      </c>
      <c r="D1047">
        <v>0</v>
      </c>
      <c r="E1047">
        <v>0</v>
      </c>
      <c r="F1047">
        <v>0</v>
      </c>
    </row>
    <row r="1048" spans="1:6" x14ac:dyDescent="0.25">
      <c r="A1048">
        <v>1047</v>
      </c>
      <c r="B1048">
        <v>44</v>
      </c>
      <c r="C1048">
        <v>0</v>
      </c>
      <c r="D1048">
        <v>0</v>
      </c>
      <c r="E1048">
        <v>0</v>
      </c>
      <c r="F1048">
        <v>265.596</v>
      </c>
    </row>
    <row r="1049" spans="1:6" x14ac:dyDescent="0.25">
      <c r="A1049">
        <v>1048</v>
      </c>
      <c r="B1049">
        <v>45</v>
      </c>
      <c r="C1049">
        <v>0</v>
      </c>
      <c r="D1049">
        <v>0</v>
      </c>
      <c r="E1049">
        <v>0</v>
      </c>
      <c r="F1049">
        <v>1549.74</v>
      </c>
    </row>
    <row r="1050" spans="1:6" x14ac:dyDescent="0.25">
      <c r="A1050">
        <v>1049</v>
      </c>
      <c r="B1050">
        <v>46</v>
      </c>
      <c r="C1050">
        <v>0</v>
      </c>
      <c r="D1050">
        <v>0</v>
      </c>
      <c r="E1050">
        <v>0</v>
      </c>
      <c r="F1050">
        <v>0</v>
      </c>
    </row>
    <row r="1051" spans="1:6" x14ac:dyDescent="0.25">
      <c r="A1051">
        <v>1050</v>
      </c>
      <c r="B1051">
        <v>2</v>
      </c>
      <c r="C1051">
        <v>0</v>
      </c>
      <c r="D1051">
        <v>0</v>
      </c>
      <c r="E1051">
        <v>0</v>
      </c>
      <c r="F1051">
        <v>34.404400000000003</v>
      </c>
    </row>
    <row r="1052" spans="1:6" x14ac:dyDescent="0.25">
      <c r="A1052">
        <v>1051</v>
      </c>
      <c r="B1052">
        <v>10</v>
      </c>
      <c r="C1052">
        <v>1</v>
      </c>
      <c r="D1052">
        <v>0</v>
      </c>
      <c r="E1052">
        <v>0</v>
      </c>
      <c r="F1052">
        <v>5691</v>
      </c>
    </row>
    <row r="1053" spans="1:6" x14ac:dyDescent="0.25">
      <c r="A1053">
        <v>1052</v>
      </c>
      <c r="B1053">
        <v>13</v>
      </c>
      <c r="C1053">
        <v>0</v>
      </c>
      <c r="D1053">
        <v>0</v>
      </c>
      <c r="E1053">
        <v>0</v>
      </c>
      <c r="F1053">
        <v>1602</v>
      </c>
    </row>
    <row r="1054" spans="1:6" x14ac:dyDescent="0.25">
      <c r="A1054">
        <v>1053</v>
      </c>
      <c r="B1054">
        <v>41</v>
      </c>
      <c r="C1054">
        <v>0</v>
      </c>
      <c r="D1054">
        <v>0</v>
      </c>
      <c r="E1054">
        <v>0</v>
      </c>
      <c r="F1054">
        <v>1</v>
      </c>
    </row>
    <row r="1055" spans="1:6" x14ac:dyDescent="0.25">
      <c r="A1055">
        <v>1054</v>
      </c>
      <c r="B1055">
        <v>42</v>
      </c>
      <c r="C1055">
        <v>0</v>
      </c>
      <c r="D1055">
        <v>0</v>
      </c>
      <c r="E1055">
        <v>0</v>
      </c>
      <c r="F1055">
        <v>0.2</v>
      </c>
    </row>
    <row r="1056" spans="1:6" x14ac:dyDescent="0.25">
      <c r="A1056">
        <v>1055</v>
      </c>
      <c r="B1056">
        <v>43</v>
      </c>
      <c r="C1056">
        <v>0</v>
      </c>
      <c r="D1056">
        <v>0</v>
      </c>
      <c r="E1056">
        <v>0</v>
      </c>
      <c r="F1056">
        <v>0</v>
      </c>
    </row>
    <row r="1057" spans="1:6" x14ac:dyDescent="0.25">
      <c r="A1057">
        <v>1056</v>
      </c>
      <c r="B1057">
        <v>44</v>
      </c>
      <c r="C1057">
        <v>0</v>
      </c>
      <c r="D1057">
        <v>0</v>
      </c>
      <c r="E1057">
        <v>0</v>
      </c>
      <c r="F1057">
        <v>265.596</v>
      </c>
    </row>
    <row r="1058" spans="1:6" x14ac:dyDescent="0.25">
      <c r="A1058">
        <v>1057</v>
      </c>
      <c r="B1058">
        <v>45</v>
      </c>
      <c r="C1058">
        <v>0</v>
      </c>
      <c r="D1058">
        <v>0</v>
      </c>
      <c r="E1058">
        <v>0</v>
      </c>
      <c r="F1058">
        <v>1550.25</v>
      </c>
    </row>
    <row r="1059" spans="1:6" x14ac:dyDescent="0.25">
      <c r="A1059">
        <v>1058</v>
      </c>
      <c r="B1059">
        <v>46</v>
      </c>
      <c r="C1059">
        <v>0</v>
      </c>
      <c r="D1059">
        <v>0</v>
      </c>
      <c r="E1059">
        <v>0</v>
      </c>
      <c r="F1059">
        <v>0</v>
      </c>
    </row>
    <row r="1060" spans="1:6" x14ac:dyDescent="0.25">
      <c r="A1060">
        <v>1059</v>
      </c>
      <c r="B1060">
        <v>2</v>
      </c>
      <c r="C1060">
        <v>0</v>
      </c>
      <c r="D1060">
        <v>0</v>
      </c>
      <c r="E1060">
        <v>0</v>
      </c>
      <c r="F1060">
        <v>34.404400000000003</v>
      </c>
    </row>
    <row r="1061" spans="1:6" x14ac:dyDescent="0.25">
      <c r="A1061">
        <v>1060</v>
      </c>
      <c r="B1061">
        <v>10</v>
      </c>
      <c r="C1061">
        <v>1</v>
      </c>
      <c r="D1061">
        <v>0</v>
      </c>
      <c r="E1061">
        <v>0</v>
      </c>
      <c r="F1061">
        <v>5691</v>
      </c>
    </row>
    <row r="1062" spans="1:6" x14ac:dyDescent="0.25">
      <c r="A1062">
        <v>1061</v>
      </c>
      <c r="B1062">
        <v>13</v>
      </c>
      <c r="C1062">
        <v>0</v>
      </c>
      <c r="D1062">
        <v>0</v>
      </c>
      <c r="E1062">
        <v>0</v>
      </c>
      <c r="F1062">
        <v>1602</v>
      </c>
    </row>
    <row r="1063" spans="1:6" x14ac:dyDescent="0.25">
      <c r="A1063">
        <v>1062</v>
      </c>
      <c r="B1063">
        <v>41</v>
      </c>
      <c r="C1063">
        <v>0</v>
      </c>
      <c r="D1063">
        <v>0</v>
      </c>
      <c r="E1063">
        <v>0</v>
      </c>
      <c r="F1063">
        <v>1</v>
      </c>
    </row>
    <row r="1064" spans="1:6" x14ac:dyDescent="0.25">
      <c r="A1064">
        <v>1063</v>
      </c>
      <c r="B1064">
        <v>42</v>
      </c>
      <c r="C1064">
        <v>0</v>
      </c>
      <c r="D1064">
        <v>0</v>
      </c>
      <c r="E1064">
        <v>0</v>
      </c>
      <c r="F1064">
        <v>0.2</v>
      </c>
    </row>
    <row r="1065" spans="1:6" x14ac:dyDescent="0.25">
      <c r="A1065">
        <v>1064</v>
      </c>
      <c r="B1065" t="s">
        <v>0</v>
      </c>
      <c r="C1065">
        <v>49</v>
      </c>
      <c r="D1065">
        <v>3482</v>
      </c>
      <c r="E1065">
        <v>79800475</v>
      </c>
    </row>
    <row r="1066" spans="1:6" x14ac:dyDescent="0.25">
      <c r="A1066">
        <v>1065</v>
      </c>
      <c r="B1066">
        <v>44</v>
      </c>
      <c r="C1066">
        <v>0</v>
      </c>
      <c r="D1066">
        <v>0</v>
      </c>
      <c r="E1066">
        <v>0</v>
      </c>
      <c r="F1066">
        <v>265.596</v>
      </c>
    </row>
    <row r="1067" spans="1:6" x14ac:dyDescent="0.25">
      <c r="A1067">
        <v>1066</v>
      </c>
      <c r="B1067">
        <v>45</v>
      </c>
      <c r="C1067">
        <v>0</v>
      </c>
      <c r="D1067">
        <v>0</v>
      </c>
      <c r="E1067">
        <v>0</v>
      </c>
      <c r="F1067">
        <v>1550.77</v>
      </c>
    </row>
    <row r="1068" spans="1:6" x14ac:dyDescent="0.25">
      <c r="A1068">
        <v>1067</v>
      </c>
      <c r="B1068">
        <v>46</v>
      </c>
      <c r="C1068">
        <v>0</v>
      </c>
      <c r="D1068">
        <v>0</v>
      </c>
      <c r="E1068">
        <v>0</v>
      </c>
      <c r="F1068">
        <v>0</v>
      </c>
    </row>
    <row r="1069" spans="1:6" x14ac:dyDescent="0.25">
      <c r="A1069">
        <v>1068</v>
      </c>
      <c r="B1069">
        <v>2</v>
      </c>
      <c r="C1069">
        <v>0</v>
      </c>
      <c r="D1069">
        <v>0</v>
      </c>
      <c r="E1069">
        <v>0</v>
      </c>
      <c r="F1069">
        <v>34.404400000000003</v>
      </c>
    </row>
    <row r="1070" spans="1:6" x14ac:dyDescent="0.25">
      <c r="A1070">
        <v>1069</v>
      </c>
      <c r="B1070">
        <v>10</v>
      </c>
      <c r="C1070">
        <v>1</v>
      </c>
      <c r="D1070">
        <v>0</v>
      </c>
      <c r="E1070">
        <v>0</v>
      </c>
      <c r="F1070">
        <v>5691</v>
      </c>
    </row>
    <row r="1071" spans="1:6" x14ac:dyDescent="0.25">
      <c r="A1071">
        <v>1070</v>
      </c>
      <c r="B1071">
        <v>13</v>
      </c>
      <c r="C1071">
        <v>0</v>
      </c>
      <c r="D1071">
        <v>0</v>
      </c>
      <c r="E1071">
        <v>0</v>
      </c>
      <c r="F1071">
        <v>1602</v>
      </c>
    </row>
    <row r="1072" spans="1:6" x14ac:dyDescent="0.25">
      <c r="A1072">
        <v>1071</v>
      </c>
      <c r="B1072">
        <v>41</v>
      </c>
      <c r="C1072">
        <v>0</v>
      </c>
      <c r="D1072">
        <v>0</v>
      </c>
      <c r="E1072">
        <v>0</v>
      </c>
      <c r="F1072">
        <v>1</v>
      </c>
    </row>
    <row r="1073" spans="1:6" x14ac:dyDescent="0.25">
      <c r="A1073">
        <v>1072</v>
      </c>
      <c r="B1073">
        <v>42</v>
      </c>
      <c r="C1073">
        <v>0</v>
      </c>
      <c r="D1073">
        <v>0</v>
      </c>
      <c r="E1073">
        <v>0</v>
      </c>
      <c r="F1073">
        <v>0.2</v>
      </c>
    </row>
    <row r="1074" spans="1:6" x14ac:dyDescent="0.25">
      <c r="A1074">
        <v>1073</v>
      </c>
      <c r="B1074">
        <v>43</v>
      </c>
      <c r="C1074">
        <v>0</v>
      </c>
      <c r="D1074">
        <v>0</v>
      </c>
      <c r="E1074">
        <v>0</v>
      </c>
      <c r="F1074">
        <v>0</v>
      </c>
    </row>
    <row r="1075" spans="1:6" x14ac:dyDescent="0.25">
      <c r="A1075">
        <v>1074</v>
      </c>
      <c r="B1075">
        <v>44</v>
      </c>
      <c r="C1075">
        <v>0</v>
      </c>
      <c r="D1075">
        <v>0</v>
      </c>
      <c r="E1075">
        <v>0</v>
      </c>
      <c r="F1075">
        <v>265.596</v>
      </c>
    </row>
    <row r="1076" spans="1:6" x14ac:dyDescent="0.25">
      <c r="A1076">
        <v>1075</v>
      </c>
      <c r="B1076">
        <v>45</v>
      </c>
      <c r="C1076">
        <v>0</v>
      </c>
      <c r="D1076">
        <v>0</v>
      </c>
      <c r="E1076">
        <v>0</v>
      </c>
      <c r="F1076">
        <v>1550.77</v>
      </c>
    </row>
    <row r="1077" spans="1:6" x14ac:dyDescent="0.25">
      <c r="A1077">
        <v>1076</v>
      </c>
      <c r="B1077">
        <v>46</v>
      </c>
      <c r="C1077">
        <v>0</v>
      </c>
      <c r="D1077">
        <v>0</v>
      </c>
      <c r="E1077">
        <v>0</v>
      </c>
      <c r="F1077">
        <v>0</v>
      </c>
    </row>
    <row r="1078" spans="1:6" x14ac:dyDescent="0.25">
      <c r="A1078">
        <v>1077</v>
      </c>
      <c r="B1078">
        <v>2</v>
      </c>
      <c r="C1078">
        <v>0</v>
      </c>
      <c r="D1078">
        <v>0</v>
      </c>
      <c r="E1078">
        <v>0</v>
      </c>
      <c r="F1078">
        <v>34.404400000000003</v>
      </c>
    </row>
    <row r="1079" spans="1:6" x14ac:dyDescent="0.25">
      <c r="A1079">
        <v>1078</v>
      </c>
      <c r="B1079">
        <v>10</v>
      </c>
      <c r="C1079">
        <v>1</v>
      </c>
      <c r="D1079">
        <v>0</v>
      </c>
      <c r="E1079">
        <v>0</v>
      </c>
      <c r="F1079">
        <v>5691</v>
      </c>
    </row>
    <row r="1080" spans="1:6" x14ac:dyDescent="0.25">
      <c r="A1080">
        <v>1079</v>
      </c>
      <c r="B1080" t="s">
        <v>0</v>
      </c>
      <c r="C1080">
        <v>50</v>
      </c>
      <c r="D1080">
        <v>3482</v>
      </c>
      <c r="E1080">
        <v>79801443</v>
      </c>
    </row>
    <row r="1081" spans="1:6" x14ac:dyDescent="0.25">
      <c r="A1081">
        <v>1080</v>
      </c>
      <c r="B1081">
        <v>41</v>
      </c>
      <c r="C1081">
        <v>0</v>
      </c>
      <c r="D1081">
        <v>0</v>
      </c>
      <c r="E1081">
        <v>0</v>
      </c>
      <c r="F1081">
        <v>1</v>
      </c>
    </row>
    <row r="1082" spans="1:6" x14ac:dyDescent="0.25">
      <c r="A1082">
        <v>1081</v>
      </c>
      <c r="B1082">
        <v>42</v>
      </c>
      <c r="C1082">
        <v>0</v>
      </c>
      <c r="D1082">
        <v>0</v>
      </c>
      <c r="E1082">
        <v>0</v>
      </c>
      <c r="F1082">
        <v>0.2</v>
      </c>
    </row>
    <row r="1083" spans="1:6" x14ac:dyDescent="0.25">
      <c r="A1083">
        <v>1082</v>
      </c>
      <c r="B1083">
        <v>43</v>
      </c>
      <c r="C1083">
        <v>0</v>
      </c>
      <c r="D1083">
        <v>0</v>
      </c>
      <c r="E1083">
        <v>0</v>
      </c>
      <c r="F1083">
        <v>0</v>
      </c>
    </row>
    <row r="1084" spans="1:6" x14ac:dyDescent="0.25">
      <c r="A1084">
        <v>1083</v>
      </c>
      <c r="B1084">
        <v>44</v>
      </c>
      <c r="C1084">
        <v>0</v>
      </c>
      <c r="D1084">
        <v>0</v>
      </c>
      <c r="E1084">
        <v>0</v>
      </c>
      <c r="F1084">
        <v>265.596</v>
      </c>
    </row>
    <row r="1085" spans="1:6" x14ac:dyDescent="0.25">
      <c r="A1085">
        <v>1084</v>
      </c>
      <c r="B1085">
        <v>45</v>
      </c>
      <c r="C1085">
        <v>0</v>
      </c>
      <c r="D1085">
        <v>0</v>
      </c>
      <c r="E1085">
        <v>0</v>
      </c>
      <c r="F1085">
        <v>1551.28</v>
      </c>
    </row>
    <row r="1086" spans="1:6" x14ac:dyDescent="0.25">
      <c r="A1086">
        <v>1085</v>
      </c>
      <c r="B1086">
        <v>46</v>
      </c>
      <c r="C1086">
        <v>0</v>
      </c>
      <c r="D1086">
        <v>0</v>
      </c>
      <c r="E1086">
        <v>0</v>
      </c>
      <c r="F1086">
        <v>0</v>
      </c>
    </row>
    <row r="1087" spans="1:6" x14ac:dyDescent="0.25">
      <c r="A1087">
        <v>1086</v>
      </c>
      <c r="B1087">
        <v>2</v>
      </c>
      <c r="C1087">
        <v>0</v>
      </c>
      <c r="D1087">
        <v>0</v>
      </c>
      <c r="E1087">
        <v>0</v>
      </c>
      <c r="F1087">
        <v>34.403700000000001</v>
      </c>
    </row>
    <row r="1088" spans="1:6" x14ac:dyDescent="0.25">
      <c r="A1088">
        <v>1087</v>
      </c>
      <c r="B1088">
        <v>10</v>
      </c>
      <c r="C1088">
        <v>1</v>
      </c>
      <c r="D1088">
        <v>0</v>
      </c>
      <c r="E1088">
        <v>0</v>
      </c>
      <c r="F1088">
        <v>5691</v>
      </c>
    </row>
    <row r="1089" spans="1:6" x14ac:dyDescent="0.25">
      <c r="A1089">
        <v>1088</v>
      </c>
      <c r="B1089">
        <v>13</v>
      </c>
      <c r="C1089">
        <v>0</v>
      </c>
      <c r="D1089">
        <v>0</v>
      </c>
      <c r="E1089">
        <v>0</v>
      </c>
      <c r="F1089">
        <v>1602</v>
      </c>
    </row>
    <row r="1090" spans="1:6" x14ac:dyDescent="0.25">
      <c r="A1090">
        <v>1089</v>
      </c>
      <c r="B1090">
        <v>41</v>
      </c>
      <c r="C1090">
        <v>0</v>
      </c>
      <c r="D1090">
        <v>0</v>
      </c>
      <c r="E1090">
        <v>0</v>
      </c>
      <c r="F1090">
        <v>1</v>
      </c>
    </row>
    <row r="1091" spans="1:6" x14ac:dyDescent="0.25">
      <c r="A1091">
        <v>1090</v>
      </c>
      <c r="B1091">
        <v>42</v>
      </c>
      <c r="C1091">
        <v>0</v>
      </c>
      <c r="D1091">
        <v>0</v>
      </c>
      <c r="E1091">
        <v>0</v>
      </c>
      <c r="F1091">
        <v>0.2</v>
      </c>
    </row>
    <row r="1092" spans="1:6" x14ac:dyDescent="0.25">
      <c r="A1092">
        <v>1091</v>
      </c>
      <c r="B1092">
        <v>43</v>
      </c>
      <c r="C1092">
        <v>0</v>
      </c>
      <c r="D1092">
        <v>0</v>
      </c>
      <c r="E1092">
        <v>0</v>
      </c>
      <c r="F1092">
        <v>0</v>
      </c>
    </row>
    <row r="1093" spans="1:6" x14ac:dyDescent="0.25">
      <c r="A1093">
        <v>1092</v>
      </c>
      <c r="B1093">
        <v>44</v>
      </c>
      <c r="C1093">
        <v>0</v>
      </c>
      <c r="D1093">
        <v>0</v>
      </c>
      <c r="E1093">
        <v>0</v>
      </c>
      <c r="F1093">
        <v>265.596</v>
      </c>
    </row>
    <row r="1094" spans="1:6" x14ac:dyDescent="0.25">
      <c r="A1094">
        <v>1093</v>
      </c>
      <c r="B1094">
        <v>45</v>
      </c>
      <c r="C1094">
        <v>0</v>
      </c>
      <c r="D1094">
        <v>0</v>
      </c>
      <c r="E1094">
        <v>0</v>
      </c>
      <c r="F1094">
        <v>1551.28</v>
      </c>
    </row>
    <row r="1095" spans="1:6" x14ac:dyDescent="0.25">
      <c r="A1095">
        <v>1094</v>
      </c>
      <c r="B1095" t="s">
        <v>0</v>
      </c>
      <c r="C1095">
        <v>51</v>
      </c>
      <c r="D1095">
        <v>3482</v>
      </c>
      <c r="E1095">
        <v>79802411</v>
      </c>
    </row>
    <row r="1096" spans="1:6" x14ac:dyDescent="0.25">
      <c r="A1096">
        <v>1095</v>
      </c>
      <c r="B1096">
        <v>46</v>
      </c>
      <c r="C1096">
        <v>0</v>
      </c>
      <c r="D1096">
        <v>0</v>
      </c>
      <c r="E1096">
        <v>0</v>
      </c>
      <c r="F1096">
        <v>0</v>
      </c>
    </row>
    <row r="1097" spans="1:6" x14ac:dyDescent="0.25">
      <c r="A1097">
        <v>1096</v>
      </c>
      <c r="B1097">
        <v>2</v>
      </c>
      <c r="C1097">
        <v>0</v>
      </c>
      <c r="D1097">
        <v>0</v>
      </c>
      <c r="E1097">
        <v>0</v>
      </c>
      <c r="F1097">
        <v>34.403799999999997</v>
      </c>
    </row>
    <row r="1098" spans="1:6" x14ac:dyDescent="0.25">
      <c r="A1098">
        <v>1097</v>
      </c>
      <c r="B1098">
        <v>10</v>
      </c>
      <c r="C1098">
        <v>1</v>
      </c>
      <c r="D1098">
        <v>0</v>
      </c>
      <c r="E1098">
        <v>0</v>
      </c>
      <c r="F1098">
        <v>5691</v>
      </c>
    </row>
    <row r="1099" spans="1:6" x14ac:dyDescent="0.25">
      <c r="A1099">
        <v>1098</v>
      </c>
      <c r="B1099">
        <v>13</v>
      </c>
      <c r="C1099">
        <v>0</v>
      </c>
      <c r="D1099">
        <v>0</v>
      </c>
      <c r="E1099">
        <v>0</v>
      </c>
      <c r="F1099">
        <v>1602</v>
      </c>
    </row>
    <row r="1100" spans="1:6" x14ac:dyDescent="0.25">
      <c r="A1100">
        <v>1099</v>
      </c>
      <c r="B1100">
        <v>41</v>
      </c>
      <c r="C1100">
        <v>0</v>
      </c>
      <c r="D1100">
        <v>0</v>
      </c>
      <c r="E1100">
        <v>0</v>
      </c>
      <c r="F1100">
        <v>1</v>
      </c>
    </row>
    <row r="1101" spans="1:6" x14ac:dyDescent="0.25">
      <c r="A1101">
        <v>1100</v>
      </c>
      <c r="B1101">
        <v>42</v>
      </c>
      <c r="C1101">
        <v>0</v>
      </c>
      <c r="D1101">
        <v>0</v>
      </c>
      <c r="E1101">
        <v>0</v>
      </c>
      <c r="F1101">
        <v>0.2</v>
      </c>
    </row>
    <row r="1102" spans="1:6" x14ac:dyDescent="0.25">
      <c r="A1102">
        <v>1101</v>
      </c>
      <c r="B1102">
        <v>43</v>
      </c>
      <c r="C1102">
        <v>0</v>
      </c>
      <c r="D1102">
        <v>0</v>
      </c>
      <c r="E1102">
        <v>0</v>
      </c>
      <c r="F1102">
        <v>0</v>
      </c>
    </row>
    <row r="1103" spans="1:6" x14ac:dyDescent="0.25">
      <c r="A1103">
        <v>1102</v>
      </c>
      <c r="B1103">
        <v>44</v>
      </c>
      <c r="C1103">
        <v>0</v>
      </c>
      <c r="D1103">
        <v>0</v>
      </c>
      <c r="E1103">
        <v>0</v>
      </c>
      <c r="F1103">
        <v>265.596</v>
      </c>
    </row>
    <row r="1104" spans="1:6" x14ac:dyDescent="0.25">
      <c r="A1104">
        <v>1103</v>
      </c>
      <c r="B1104">
        <v>45</v>
      </c>
      <c r="C1104">
        <v>0</v>
      </c>
      <c r="D1104">
        <v>0</v>
      </c>
      <c r="E1104">
        <v>0</v>
      </c>
      <c r="F1104">
        <v>1551.8</v>
      </c>
    </row>
    <row r="1105" spans="1:6" x14ac:dyDescent="0.25">
      <c r="A1105">
        <v>1104</v>
      </c>
      <c r="B1105">
        <v>46</v>
      </c>
      <c r="C1105">
        <v>0</v>
      </c>
      <c r="D1105">
        <v>0</v>
      </c>
      <c r="E1105">
        <v>0</v>
      </c>
      <c r="F1105">
        <v>0</v>
      </c>
    </row>
    <row r="1106" spans="1:6" x14ac:dyDescent="0.25">
      <c r="A1106">
        <v>1105</v>
      </c>
      <c r="B1106">
        <v>2</v>
      </c>
      <c r="C1106">
        <v>0</v>
      </c>
      <c r="D1106">
        <v>0</v>
      </c>
      <c r="E1106">
        <v>0</v>
      </c>
      <c r="F1106">
        <v>34.403799999999997</v>
      </c>
    </row>
    <row r="1107" spans="1:6" x14ac:dyDescent="0.25">
      <c r="A1107">
        <v>1106</v>
      </c>
      <c r="B1107">
        <v>10</v>
      </c>
      <c r="C1107">
        <v>1</v>
      </c>
      <c r="D1107">
        <v>0</v>
      </c>
      <c r="E1107">
        <v>0</v>
      </c>
      <c r="F1107">
        <v>5691</v>
      </c>
    </row>
    <row r="1108" spans="1:6" x14ac:dyDescent="0.25">
      <c r="A1108">
        <v>1107</v>
      </c>
      <c r="B1108">
        <v>13</v>
      </c>
      <c r="C1108">
        <v>0</v>
      </c>
      <c r="D1108">
        <v>0</v>
      </c>
      <c r="E1108">
        <v>0</v>
      </c>
      <c r="F1108">
        <v>1602</v>
      </c>
    </row>
    <row r="1109" spans="1:6" x14ac:dyDescent="0.25">
      <c r="A1109">
        <v>1108</v>
      </c>
      <c r="B1109">
        <v>41</v>
      </c>
      <c r="C1109">
        <v>0</v>
      </c>
      <c r="D1109">
        <v>0</v>
      </c>
      <c r="E1109">
        <v>0</v>
      </c>
      <c r="F1109">
        <v>1</v>
      </c>
    </row>
    <row r="1110" spans="1:6" x14ac:dyDescent="0.25">
      <c r="A1110">
        <v>1109</v>
      </c>
      <c r="B1110">
        <v>42</v>
      </c>
      <c r="C1110">
        <v>0</v>
      </c>
      <c r="D1110">
        <v>0</v>
      </c>
      <c r="E1110">
        <v>0</v>
      </c>
      <c r="F1110">
        <v>0.2</v>
      </c>
    </row>
    <row r="1111" spans="1:6" x14ac:dyDescent="0.25">
      <c r="A1111">
        <v>1110</v>
      </c>
      <c r="B1111" t="s">
        <v>0</v>
      </c>
      <c r="C1111">
        <v>52</v>
      </c>
      <c r="D1111">
        <v>3482</v>
      </c>
      <c r="E1111">
        <v>79803379</v>
      </c>
    </row>
    <row r="1112" spans="1:6" x14ac:dyDescent="0.25">
      <c r="A1112">
        <v>1111</v>
      </c>
      <c r="B1112">
        <v>43</v>
      </c>
      <c r="C1112">
        <v>0</v>
      </c>
      <c r="D1112">
        <v>0</v>
      </c>
      <c r="E1112">
        <v>0</v>
      </c>
      <c r="F1112">
        <v>0</v>
      </c>
    </row>
    <row r="1113" spans="1:6" x14ac:dyDescent="0.25">
      <c r="A1113">
        <v>1112</v>
      </c>
      <c r="B1113">
        <v>44</v>
      </c>
      <c r="C1113">
        <v>0</v>
      </c>
      <c r="D1113">
        <v>0</v>
      </c>
      <c r="E1113">
        <v>0</v>
      </c>
      <c r="F1113">
        <v>265.596</v>
      </c>
    </row>
    <row r="1114" spans="1:6" x14ac:dyDescent="0.25">
      <c r="A1114">
        <v>1113</v>
      </c>
      <c r="B1114">
        <v>45</v>
      </c>
      <c r="C1114">
        <v>0</v>
      </c>
      <c r="D1114">
        <v>0</v>
      </c>
      <c r="E1114">
        <v>0</v>
      </c>
      <c r="F1114">
        <v>1552.31</v>
      </c>
    </row>
    <row r="1115" spans="1:6" x14ac:dyDescent="0.25">
      <c r="A1115">
        <v>1114</v>
      </c>
      <c r="B1115">
        <v>46</v>
      </c>
      <c r="C1115">
        <v>0</v>
      </c>
      <c r="D1115">
        <v>0</v>
      </c>
      <c r="E1115">
        <v>0</v>
      </c>
      <c r="F1115">
        <v>0</v>
      </c>
    </row>
    <row r="1116" spans="1:6" x14ac:dyDescent="0.25">
      <c r="A1116">
        <v>1115</v>
      </c>
      <c r="B1116">
        <v>2</v>
      </c>
      <c r="C1116">
        <v>0</v>
      </c>
      <c r="D1116">
        <v>0</v>
      </c>
      <c r="E1116">
        <v>0</v>
      </c>
      <c r="F1116">
        <v>34.4041</v>
      </c>
    </row>
    <row r="1117" spans="1:6" x14ac:dyDescent="0.25">
      <c r="A1117">
        <v>1116</v>
      </c>
      <c r="B1117">
        <v>10</v>
      </c>
      <c r="C1117">
        <v>1</v>
      </c>
      <c r="D1117">
        <v>0</v>
      </c>
      <c r="E1117">
        <v>0</v>
      </c>
      <c r="F1117">
        <v>5691</v>
      </c>
    </row>
    <row r="1118" spans="1:6" x14ac:dyDescent="0.25">
      <c r="A1118">
        <v>1117</v>
      </c>
      <c r="B1118">
        <v>13</v>
      </c>
      <c r="C1118">
        <v>0</v>
      </c>
      <c r="D1118">
        <v>0</v>
      </c>
      <c r="E1118">
        <v>0</v>
      </c>
      <c r="F1118">
        <v>1602</v>
      </c>
    </row>
    <row r="1119" spans="1:6" x14ac:dyDescent="0.25">
      <c r="A1119">
        <v>1118</v>
      </c>
      <c r="B1119">
        <v>41</v>
      </c>
      <c r="C1119">
        <v>0</v>
      </c>
      <c r="D1119">
        <v>0</v>
      </c>
      <c r="E1119">
        <v>0</v>
      </c>
      <c r="F1119">
        <v>1</v>
      </c>
    </row>
    <row r="1120" spans="1:6" x14ac:dyDescent="0.25">
      <c r="A1120">
        <v>1119</v>
      </c>
      <c r="B1120">
        <v>42</v>
      </c>
      <c r="C1120">
        <v>0</v>
      </c>
      <c r="D1120">
        <v>0</v>
      </c>
      <c r="E1120">
        <v>0</v>
      </c>
      <c r="F1120">
        <v>0.2</v>
      </c>
    </row>
    <row r="1121" spans="1:6" x14ac:dyDescent="0.25">
      <c r="A1121">
        <v>1120</v>
      </c>
      <c r="B1121">
        <v>43</v>
      </c>
      <c r="C1121">
        <v>0</v>
      </c>
      <c r="D1121">
        <v>0</v>
      </c>
      <c r="E1121">
        <v>0</v>
      </c>
      <c r="F1121">
        <v>0</v>
      </c>
    </row>
    <row r="1122" spans="1:6" x14ac:dyDescent="0.25">
      <c r="A1122">
        <v>1121</v>
      </c>
      <c r="B1122">
        <v>44</v>
      </c>
      <c r="C1122">
        <v>0</v>
      </c>
      <c r="D1122">
        <v>0</v>
      </c>
      <c r="E1122">
        <v>0</v>
      </c>
      <c r="F1122">
        <v>265.596</v>
      </c>
    </row>
    <row r="1123" spans="1:6" x14ac:dyDescent="0.25">
      <c r="A1123">
        <v>1122</v>
      </c>
      <c r="B1123">
        <v>45</v>
      </c>
      <c r="C1123">
        <v>0</v>
      </c>
      <c r="D1123">
        <v>0</v>
      </c>
      <c r="E1123">
        <v>0</v>
      </c>
      <c r="F1123">
        <v>1552.31</v>
      </c>
    </row>
    <row r="1124" spans="1:6" x14ac:dyDescent="0.25">
      <c r="A1124">
        <v>1123</v>
      </c>
      <c r="B1124">
        <v>46</v>
      </c>
      <c r="C1124">
        <v>0</v>
      </c>
      <c r="D1124">
        <v>0</v>
      </c>
      <c r="E1124">
        <v>0</v>
      </c>
      <c r="F1124">
        <v>0</v>
      </c>
    </row>
    <row r="1125" spans="1:6" x14ac:dyDescent="0.25">
      <c r="A1125">
        <v>1124</v>
      </c>
      <c r="B1125">
        <v>2</v>
      </c>
      <c r="C1125">
        <v>0</v>
      </c>
      <c r="D1125">
        <v>0</v>
      </c>
      <c r="E1125">
        <v>0</v>
      </c>
      <c r="F1125">
        <v>34.4041</v>
      </c>
    </row>
    <row r="1126" spans="1:6" x14ac:dyDescent="0.25">
      <c r="A1126">
        <v>1125</v>
      </c>
      <c r="B1126">
        <v>10</v>
      </c>
      <c r="C1126">
        <v>1</v>
      </c>
      <c r="D1126">
        <v>0</v>
      </c>
      <c r="E1126">
        <v>0</v>
      </c>
      <c r="F1126">
        <v>5691</v>
      </c>
    </row>
    <row r="1127" spans="1:6" x14ac:dyDescent="0.25">
      <c r="A1127">
        <v>1126</v>
      </c>
      <c r="B1127">
        <v>13</v>
      </c>
      <c r="C1127">
        <v>0</v>
      </c>
      <c r="D1127">
        <v>0</v>
      </c>
      <c r="E1127">
        <v>0</v>
      </c>
      <c r="F1127">
        <v>1602</v>
      </c>
    </row>
    <row r="1128" spans="1:6" x14ac:dyDescent="0.25">
      <c r="A1128">
        <v>1127</v>
      </c>
      <c r="B1128">
        <v>41</v>
      </c>
      <c r="C1128">
        <v>0</v>
      </c>
      <c r="D1128">
        <v>0</v>
      </c>
      <c r="E1128">
        <v>0</v>
      </c>
      <c r="F1128">
        <v>1</v>
      </c>
    </row>
    <row r="1129" spans="1:6" x14ac:dyDescent="0.25">
      <c r="A1129">
        <v>1128</v>
      </c>
      <c r="B1129">
        <v>42</v>
      </c>
      <c r="C1129">
        <v>0</v>
      </c>
      <c r="D1129">
        <v>0</v>
      </c>
      <c r="E1129">
        <v>0</v>
      </c>
      <c r="F1129">
        <v>0.2</v>
      </c>
    </row>
    <row r="1130" spans="1:6" x14ac:dyDescent="0.25">
      <c r="A1130">
        <v>1129</v>
      </c>
      <c r="B1130">
        <v>43</v>
      </c>
      <c r="C1130">
        <v>0</v>
      </c>
      <c r="D1130">
        <v>0</v>
      </c>
      <c r="E1130">
        <v>0</v>
      </c>
      <c r="F1130">
        <v>0</v>
      </c>
    </row>
    <row r="1131" spans="1:6" x14ac:dyDescent="0.25">
      <c r="A1131">
        <v>1130</v>
      </c>
      <c r="B1131">
        <v>44</v>
      </c>
      <c r="C1131">
        <v>0</v>
      </c>
      <c r="D1131">
        <v>0</v>
      </c>
      <c r="E1131">
        <v>0</v>
      </c>
      <c r="F1131">
        <v>265.596</v>
      </c>
    </row>
    <row r="1132" spans="1:6" x14ac:dyDescent="0.25">
      <c r="A1132">
        <v>1131</v>
      </c>
      <c r="B1132">
        <v>45</v>
      </c>
      <c r="C1132">
        <v>0</v>
      </c>
      <c r="D1132">
        <v>0</v>
      </c>
      <c r="E1132">
        <v>0</v>
      </c>
      <c r="F1132">
        <v>1552.83</v>
      </c>
    </row>
    <row r="1133" spans="1:6" x14ac:dyDescent="0.25">
      <c r="A1133">
        <v>1132</v>
      </c>
      <c r="B1133">
        <v>46</v>
      </c>
      <c r="C1133">
        <v>0</v>
      </c>
      <c r="D1133">
        <v>0</v>
      </c>
      <c r="E1133">
        <v>0</v>
      </c>
      <c r="F1133">
        <v>0</v>
      </c>
    </row>
    <row r="1134" spans="1:6" x14ac:dyDescent="0.25">
      <c r="A1134">
        <v>1133</v>
      </c>
      <c r="B1134">
        <v>2</v>
      </c>
      <c r="C1134">
        <v>0</v>
      </c>
      <c r="D1134">
        <v>0</v>
      </c>
      <c r="E1134">
        <v>0</v>
      </c>
      <c r="F1134">
        <v>34.403599999999997</v>
      </c>
    </row>
    <row r="1135" spans="1:6" x14ac:dyDescent="0.25">
      <c r="A1135">
        <v>1134</v>
      </c>
      <c r="B1135">
        <v>10</v>
      </c>
      <c r="C1135">
        <v>1</v>
      </c>
      <c r="D1135">
        <v>0</v>
      </c>
      <c r="E1135">
        <v>0</v>
      </c>
      <c r="F1135">
        <v>5691</v>
      </c>
    </row>
    <row r="1136" spans="1:6" x14ac:dyDescent="0.25">
      <c r="A1136">
        <v>1135</v>
      </c>
      <c r="B1136">
        <v>13</v>
      </c>
      <c r="C1136">
        <v>0</v>
      </c>
      <c r="D1136">
        <v>0</v>
      </c>
      <c r="E1136">
        <v>0</v>
      </c>
      <c r="F1136">
        <v>1602</v>
      </c>
    </row>
    <row r="1137" spans="1:6" x14ac:dyDescent="0.25">
      <c r="A1137">
        <v>1136</v>
      </c>
      <c r="B1137">
        <v>41</v>
      </c>
      <c r="C1137">
        <v>0</v>
      </c>
      <c r="D1137">
        <v>0</v>
      </c>
      <c r="E1137">
        <v>0</v>
      </c>
      <c r="F1137">
        <v>1</v>
      </c>
    </row>
    <row r="1138" spans="1:6" x14ac:dyDescent="0.25">
      <c r="A1138">
        <v>1137</v>
      </c>
      <c r="B1138">
        <v>42</v>
      </c>
      <c r="C1138">
        <v>0</v>
      </c>
      <c r="D1138">
        <v>0</v>
      </c>
      <c r="E1138">
        <v>0</v>
      </c>
      <c r="F1138">
        <v>0.2</v>
      </c>
    </row>
    <row r="1139" spans="1:6" x14ac:dyDescent="0.25">
      <c r="A1139">
        <v>1138</v>
      </c>
      <c r="B1139">
        <v>43</v>
      </c>
      <c r="C1139">
        <v>0</v>
      </c>
      <c r="D1139">
        <v>0</v>
      </c>
      <c r="E1139">
        <v>0</v>
      </c>
      <c r="F1139">
        <v>0</v>
      </c>
    </row>
    <row r="1140" spans="1:6" x14ac:dyDescent="0.25">
      <c r="A1140">
        <v>1139</v>
      </c>
      <c r="B1140">
        <v>44</v>
      </c>
      <c r="C1140">
        <v>0</v>
      </c>
      <c r="D1140">
        <v>0</v>
      </c>
      <c r="E1140">
        <v>0</v>
      </c>
      <c r="F1140">
        <v>265.596</v>
      </c>
    </row>
    <row r="1141" spans="1:6" x14ac:dyDescent="0.25">
      <c r="A1141">
        <v>1140</v>
      </c>
      <c r="B1141">
        <v>45</v>
      </c>
      <c r="C1141">
        <v>0</v>
      </c>
      <c r="D1141">
        <v>0</v>
      </c>
      <c r="E1141">
        <v>0</v>
      </c>
      <c r="F1141">
        <v>1552.83</v>
      </c>
    </row>
    <row r="1142" spans="1:6" x14ac:dyDescent="0.25">
      <c r="A1142">
        <v>1141</v>
      </c>
      <c r="B1142">
        <v>46</v>
      </c>
      <c r="C1142">
        <v>0</v>
      </c>
      <c r="D1142">
        <v>0</v>
      </c>
      <c r="E1142">
        <v>0</v>
      </c>
      <c r="F1142">
        <v>0</v>
      </c>
    </row>
    <row r="1143" spans="1:6" x14ac:dyDescent="0.25">
      <c r="A1143">
        <v>1142</v>
      </c>
      <c r="B1143">
        <v>2</v>
      </c>
      <c r="C1143">
        <v>0</v>
      </c>
      <c r="D1143">
        <v>0</v>
      </c>
      <c r="E1143">
        <v>0</v>
      </c>
      <c r="F1143">
        <v>34.403500000000001</v>
      </c>
    </row>
    <row r="1144" spans="1:6" x14ac:dyDescent="0.25">
      <c r="A1144">
        <v>1143</v>
      </c>
      <c r="B1144">
        <v>10</v>
      </c>
      <c r="C1144">
        <v>1</v>
      </c>
      <c r="D1144">
        <v>0</v>
      </c>
      <c r="E1144">
        <v>0</v>
      </c>
      <c r="F1144">
        <v>5691</v>
      </c>
    </row>
    <row r="1145" spans="1:6" x14ac:dyDescent="0.25">
      <c r="A1145">
        <v>1144</v>
      </c>
      <c r="B1145">
        <v>13</v>
      </c>
      <c r="C1145">
        <v>0</v>
      </c>
      <c r="D1145">
        <v>0</v>
      </c>
      <c r="E1145">
        <v>0</v>
      </c>
      <c r="F1145">
        <v>1602</v>
      </c>
    </row>
    <row r="1146" spans="1:6" x14ac:dyDescent="0.25">
      <c r="A1146">
        <v>1145</v>
      </c>
      <c r="B1146">
        <v>41</v>
      </c>
      <c r="C1146">
        <v>0</v>
      </c>
      <c r="D1146">
        <v>0</v>
      </c>
      <c r="E1146">
        <v>0</v>
      </c>
      <c r="F1146">
        <v>1</v>
      </c>
    </row>
    <row r="1147" spans="1:6" x14ac:dyDescent="0.25">
      <c r="A1147">
        <v>1146</v>
      </c>
      <c r="B1147">
        <v>42</v>
      </c>
      <c r="C1147">
        <v>0</v>
      </c>
      <c r="D1147">
        <v>0</v>
      </c>
      <c r="E1147">
        <v>0</v>
      </c>
      <c r="F1147">
        <v>0.2</v>
      </c>
    </row>
    <row r="1148" spans="1:6" x14ac:dyDescent="0.25">
      <c r="A1148">
        <v>1147</v>
      </c>
      <c r="B1148">
        <v>43</v>
      </c>
      <c r="C1148">
        <v>0</v>
      </c>
      <c r="D1148">
        <v>0</v>
      </c>
      <c r="E1148">
        <v>0</v>
      </c>
      <c r="F1148">
        <v>0</v>
      </c>
    </row>
    <row r="1149" spans="1:6" x14ac:dyDescent="0.25">
      <c r="A1149">
        <v>1148</v>
      </c>
      <c r="B1149">
        <v>44</v>
      </c>
      <c r="C1149">
        <v>0</v>
      </c>
      <c r="D1149">
        <v>0</v>
      </c>
      <c r="E1149">
        <v>0</v>
      </c>
      <c r="F1149">
        <v>265.59699999999998</v>
      </c>
    </row>
    <row r="1150" spans="1:6" x14ac:dyDescent="0.25">
      <c r="A1150">
        <v>1149</v>
      </c>
      <c r="B1150">
        <v>45</v>
      </c>
      <c r="C1150">
        <v>0</v>
      </c>
      <c r="D1150">
        <v>0</v>
      </c>
      <c r="E1150">
        <v>0</v>
      </c>
      <c r="F1150">
        <v>1553.34</v>
      </c>
    </row>
    <row r="1151" spans="1:6" x14ac:dyDescent="0.25">
      <c r="A1151">
        <v>1150</v>
      </c>
      <c r="B1151">
        <v>46</v>
      </c>
      <c r="C1151">
        <v>0</v>
      </c>
      <c r="D1151">
        <v>0</v>
      </c>
      <c r="E1151">
        <v>0</v>
      </c>
      <c r="F1151">
        <v>0</v>
      </c>
    </row>
    <row r="1152" spans="1:6" x14ac:dyDescent="0.25">
      <c r="A1152">
        <v>1151</v>
      </c>
      <c r="B1152">
        <v>2</v>
      </c>
      <c r="C1152">
        <v>0</v>
      </c>
      <c r="D1152">
        <v>0</v>
      </c>
      <c r="E1152">
        <v>0</v>
      </c>
      <c r="F1152">
        <v>34.403500000000001</v>
      </c>
    </row>
    <row r="1153" spans="1:6" x14ac:dyDescent="0.25">
      <c r="A1153">
        <v>1152</v>
      </c>
      <c r="B1153">
        <v>10</v>
      </c>
      <c r="C1153">
        <v>1</v>
      </c>
      <c r="D1153">
        <v>0</v>
      </c>
      <c r="E1153">
        <v>0</v>
      </c>
      <c r="F1153">
        <v>5691</v>
      </c>
    </row>
    <row r="1154" spans="1:6" x14ac:dyDescent="0.25">
      <c r="A1154">
        <v>1153</v>
      </c>
      <c r="B1154">
        <v>13</v>
      </c>
      <c r="C1154">
        <v>0</v>
      </c>
      <c r="D1154">
        <v>0</v>
      </c>
      <c r="E1154">
        <v>0</v>
      </c>
      <c r="F1154">
        <v>1602</v>
      </c>
    </row>
    <row r="1155" spans="1:6" x14ac:dyDescent="0.25">
      <c r="A1155">
        <v>1154</v>
      </c>
      <c r="B1155">
        <v>41</v>
      </c>
      <c r="C1155">
        <v>0</v>
      </c>
      <c r="D1155">
        <v>0</v>
      </c>
      <c r="E1155">
        <v>0</v>
      </c>
      <c r="F1155">
        <v>1</v>
      </c>
    </row>
    <row r="1156" spans="1:6" x14ac:dyDescent="0.25">
      <c r="A1156">
        <v>1155</v>
      </c>
      <c r="B1156" t="s">
        <v>0</v>
      </c>
      <c r="C1156">
        <v>55</v>
      </c>
      <c r="D1156">
        <v>3482</v>
      </c>
      <c r="E1156">
        <v>79806285</v>
      </c>
    </row>
    <row r="1157" spans="1:6" x14ac:dyDescent="0.25">
      <c r="A1157">
        <v>1156</v>
      </c>
      <c r="B1157">
        <v>43</v>
      </c>
      <c r="C1157">
        <v>0</v>
      </c>
      <c r="D1157">
        <v>0</v>
      </c>
      <c r="E1157">
        <v>0</v>
      </c>
      <c r="F1157">
        <v>0</v>
      </c>
    </row>
    <row r="1158" spans="1:6" x14ac:dyDescent="0.25">
      <c r="A1158">
        <v>1157</v>
      </c>
      <c r="B1158">
        <v>44</v>
      </c>
      <c r="C1158">
        <v>0</v>
      </c>
      <c r="D1158">
        <v>0</v>
      </c>
      <c r="E1158">
        <v>0</v>
      </c>
      <c r="F1158">
        <v>265.59699999999998</v>
      </c>
    </row>
    <row r="1159" spans="1:6" x14ac:dyDescent="0.25">
      <c r="A1159">
        <v>1158</v>
      </c>
      <c r="B1159">
        <v>45</v>
      </c>
      <c r="C1159">
        <v>0</v>
      </c>
      <c r="D1159">
        <v>0</v>
      </c>
      <c r="E1159">
        <v>0</v>
      </c>
      <c r="F1159">
        <v>1553.86</v>
      </c>
    </row>
    <row r="1160" spans="1:6" x14ac:dyDescent="0.25">
      <c r="A1160">
        <v>1159</v>
      </c>
      <c r="B1160">
        <v>46</v>
      </c>
      <c r="C1160">
        <v>0</v>
      </c>
      <c r="D1160">
        <v>0</v>
      </c>
      <c r="E1160">
        <v>0</v>
      </c>
      <c r="F1160">
        <v>0</v>
      </c>
    </row>
    <row r="1161" spans="1:6" x14ac:dyDescent="0.25">
      <c r="A1161">
        <v>1160</v>
      </c>
      <c r="B1161">
        <v>2</v>
      </c>
      <c r="C1161">
        <v>0</v>
      </c>
      <c r="D1161">
        <v>0</v>
      </c>
      <c r="E1161">
        <v>0</v>
      </c>
      <c r="F1161">
        <v>34.402999999999999</v>
      </c>
    </row>
    <row r="1162" spans="1:6" x14ac:dyDescent="0.25">
      <c r="A1162">
        <v>1161</v>
      </c>
      <c r="B1162">
        <v>10</v>
      </c>
      <c r="C1162">
        <v>1</v>
      </c>
      <c r="D1162">
        <v>0</v>
      </c>
      <c r="E1162">
        <v>0</v>
      </c>
      <c r="F1162">
        <v>5691</v>
      </c>
    </row>
    <row r="1163" spans="1:6" x14ac:dyDescent="0.25">
      <c r="A1163">
        <v>1162</v>
      </c>
      <c r="B1163">
        <v>13</v>
      </c>
      <c r="C1163">
        <v>0</v>
      </c>
      <c r="D1163">
        <v>0</v>
      </c>
      <c r="E1163">
        <v>0</v>
      </c>
      <c r="F1163">
        <v>1602</v>
      </c>
    </row>
    <row r="1164" spans="1:6" x14ac:dyDescent="0.25">
      <c r="A1164">
        <v>1163</v>
      </c>
      <c r="B1164">
        <v>41</v>
      </c>
      <c r="C1164">
        <v>0</v>
      </c>
      <c r="D1164">
        <v>0</v>
      </c>
      <c r="E1164">
        <v>0</v>
      </c>
      <c r="F1164">
        <v>1</v>
      </c>
    </row>
    <row r="1165" spans="1:6" x14ac:dyDescent="0.25">
      <c r="A1165">
        <v>1164</v>
      </c>
      <c r="B1165">
        <v>42</v>
      </c>
      <c r="C1165">
        <v>0</v>
      </c>
      <c r="D1165">
        <v>0</v>
      </c>
      <c r="E1165">
        <v>0</v>
      </c>
      <c r="F1165">
        <v>0.2</v>
      </c>
    </row>
    <row r="1166" spans="1:6" x14ac:dyDescent="0.25">
      <c r="A1166">
        <v>1165</v>
      </c>
      <c r="B1166">
        <v>43</v>
      </c>
      <c r="C1166">
        <v>0</v>
      </c>
      <c r="D1166">
        <v>0</v>
      </c>
      <c r="E1166">
        <v>0</v>
      </c>
      <c r="F1166">
        <v>0</v>
      </c>
    </row>
    <row r="1167" spans="1:6" x14ac:dyDescent="0.25">
      <c r="A1167">
        <v>1166</v>
      </c>
      <c r="B1167">
        <v>44</v>
      </c>
      <c r="C1167">
        <v>0</v>
      </c>
      <c r="D1167">
        <v>0</v>
      </c>
      <c r="E1167">
        <v>0</v>
      </c>
      <c r="F1167">
        <v>265.59699999999998</v>
      </c>
    </row>
    <row r="1168" spans="1:6" x14ac:dyDescent="0.25">
      <c r="A1168">
        <v>1167</v>
      </c>
      <c r="B1168">
        <v>45</v>
      </c>
      <c r="C1168">
        <v>0</v>
      </c>
      <c r="D1168">
        <v>0</v>
      </c>
      <c r="E1168">
        <v>0</v>
      </c>
      <c r="F1168">
        <v>1553.86</v>
      </c>
    </row>
    <row r="1169" spans="1:6" x14ac:dyDescent="0.25">
      <c r="A1169">
        <v>1168</v>
      </c>
      <c r="B1169">
        <v>46</v>
      </c>
      <c r="C1169">
        <v>0</v>
      </c>
      <c r="D1169">
        <v>0</v>
      </c>
      <c r="E1169">
        <v>0</v>
      </c>
      <c r="F1169">
        <v>0</v>
      </c>
    </row>
    <row r="1170" spans="1:6" x14ac:dyDescent="0.25">
      <c r="A1170">
        <v>1169</v>
      </c>
      <c r="B1170">
        <v>2</v>
      </c>
      <c r="C1170">
        <v>0</v>
      </c>
      <c r="D1170">
        <v>0</v>
      </c>
      <c r="E1170">
        <v>0</v>
      </c>
      <c r="F1170">
        <v>34.402999999999999</v>
      </c>
    </row>
    <row r="1171" spans="1:6" x14ac:dyDescent="0.25">
      <c r="A1171">
        <v>1170</v>
      </c>
      <c r="B1171" t="s">
        <v>0</v>
      </c>
      <c r="C1171">
        <v>56</v>
      </c>
      <c r="D1171">
        <v>3482</v>
      </c>
      <c r="E1171">
        <v>79807252</v>
      </c>
    </row>
    <row r="1172" spans="1:6" x14ac:dyDescent="0.25">
      <c r="A1172">
        <v>1171</v>
      </c>
      <c r="B1172">
        <v>10</v>
      </c>
      <c r="C1172">
        <v>1</v>
      </c>
      <c r="D1172">
        <v>0</v>
      </c>
      <c r="E1172">
        <v>0</v>
      </c>
      <c r="F1172">
        <v>5691</v>
      </c>
    </row>
    <row r="1173" spans="1:6" x14ac:dyDescent="0.25">
      <c r="A1173">
        <v>1172</v>
      </c>
      <c r="B1173">
        <v>13</v>
      </c>
      <c r="C1173">
        <v>0</v>
      </c>
      <c r="D1173">
        <v>0</v>
      </c>
      <c r="E1173">
        <v>0</v>
      </c>
      <c r="F1173">
        <v>1602</v>
      </c>
    </row>
    <row r="1174" spans="1:6" x14ac:dyDescent="0.25">
      <c r="A1174">
        <v>1173</v>
      </c>
      <c r="B1174">
        <v>41</v>
      </c>
      <c r="C1174">
        <v>0</v>
      </c>
      <c r="D1174">
        <v>0</v>
      </c>
      <c r="E1174">
        <v>0</v>
      </c>
      <c r="F1174">
        <v>1</v>
      </c>
    </row>
    <row r="1175" spans="1:6" x14ac:dyDescent="0.25">
      <c r="A1175">
        <v>1174</v>
      </c>
      <c r="B1175">
        <v>42</v>
      </c>
      <c r="C1175">
        <v>0</v>
      </c>
      <c r="D1175">
        <v>0</v>
      </c>
      <c r="E1175">
        <v>0</v>
      </c>
      <c r="F1175">
        <v>0.2</v>
      </c>
    </row>
    <row r="1176" spans="1:6" x14ac:dyDescent="0.25">
      <c r="A1176">
        <v>1175</v>
      </c>
      <c r="B1176">
        <v>43</v>
      </c>
      <c r="C1176">
        <v>0</v>
      </c>
      <c r="D1176">
        <v>0</v>
      </c>
      <c r="E1176">
        <v>0</v>
      </c>
      <c r="F1176">
        <v>0</v>
      </c>
    </row>
    <row r="1177" spans="1:6" x14ac:dyDescent="0.25">
      <c r="A1177">
        <v>1176</v>
      </c>
      <c r="B1177">
        <v>44</v>
      </c>
      <c r="C1177">
        <v>0</v>
      </c>
      <c r="D1177">
        <v>0</v>
      </c>
      <c r="E1177">
        <v>0</v>
      </c>
      <c r="F1177">
        <v>265.596</v>
      </c>
    </row>
    <row r="1178" spans="1:6" x14ac:dyDescent="0.25">
      <c r="A1178">
        <v>1177</v>
      </c>
      <c r="B1178">
        <v>45</v>
      </c>
      <c r="C1178">
        <v>0</v>
      </c>
      <c r="D1178">
        <v>0</v>
      </c>
      <c r="E1178">
        <v>0</v>
      </c>
      <c r="F1178">
        <v>1554.37</v>
      </c>
    </row>
    <row r="1179" spans="1:6" x14ac:dyDescent="0.25">
      <c r="A1179">
        <v>1178</v>
      </c>
      <c r="B1179">
        <v>46</v>
      </c>
      <c r="C1179">
        <v>0</v>
      </c>
      <c r="D1179">
        <v>0</v>
      </c>
      <c r="E1179">
        <v>0</v>
      </c>
      <c r="F1179">
        <v>0</v>
      </c>
    </row>
    <row r="1180" spans="1:6" x14ac:dyDescent="0.25">
      <c r="A1180">
        <v>1179</v>
      </c>
      <c r="B1180">
        <v>2</v>
      </c>
      <c r="C1180">
        <v>0</v>
      </c>
      <c r="D1180">
        <v>0</v>
      </c>
      <c r="E1180">
        <v>0</v>
      </c>
      <c r="F1180">
        <v>34.404299999999999</v>
      </c>
    </row>
    <row r="1181" spans="1:6" x14ac:dyDescent="0.25">
      <c r="A1181">
        <v>1180</v>
      </c>
      <c r="B1181">
        <v>10</v>
      </c>
      <c r="C1181">
        <v>1</v>
      </c>
      <c r="D1181">
        <v>0</v>
      </c>
      <c r="E1181">
        <v>0</v>
      </c>
      <c r="F1181">
        <v>5691</v>
      </c>
    </row>
    <row r="1182" spans="1:6" x14ac:dyDescent="0.25">
      <c r="A1182">
        <v>1181</v>
      </c>
      <c r="B1182">
        <v>13</v>
      </c>
      <c r="C1182">
        <v>0</v>
      </c>
      <c r="D1182">
        <v>0</v>
      </c>
      <c r="E1182">
        <v>0</v>
      </c>
      <c r="F1182">
        <v>1602</v>
      </c>
    </row>
    <row r="1183" spans="1:6" x14ac:dyDescent="0.25">
      <c r="A1183">
        <v>1182</v>
      </c>
      <c r="B1183">
        <v>41</v>
      </c>
      <c r="C1183">
        <v>0</v>
      </c>
      <c r="D1183">
        <v>0</v>
      </c>
      <c r="E1183">
        <v>0</v>
      </c>
      <c r="F1183">
        <v>1</v>
      </c>
    </row>
    <row r="1184" spans="1:6" x14ac:dyDescent="0.25">
      <c r="A1184">
        <v>1183</v>
      </c>
      <c r="B1184">
        <v>42</v>
      </c>
      <c r="C1184">
        <v>0</v>
      </c>
      <c r="D1184">
        <v>0</v>
      </c>
      <c r="E1184">
        <v>0</v>
      </c>
      <c r="F1184">
        <v>0.2</v>
      </c>
    </row>
    <row r="1185" spans="1:6" x14ac:dyDescent="0.25">
      <c r="A1185">
        <v>1184</v>
      </c>
      <c r="B1185">
        <v>43</v>
      </c>
      <c r="C1185">
        <v>0</v>
      </c>
      <c r="D1185">
        <v>0</v>
      </c>
      <c r="E1185">
        <v>0</v>
      </c>
      <c r="F1185">
        <v>0</v>
      </c>
    </row>
    <row r="1186" spans="1:6" x14ac:dyDescent="0.25">
      <c r="A1186">
        <v>1185</v>
      </c>
      <c r="B1186">
        <v>44</v>
      </c>
      <c r="C1186">
        <v>0</v>
      </c>
      <c r="D1186">
        <v>0</v>
      </c>
      <c r="E1186">
        <v>0</v>
      </c>
      <c r="F1186">
        <v>265.596</v>
      </c>
    </row>
    <row r="1187" spans="1:6" x14ac:dyDescent="0.25">
      <c r="A1187">
        <v>1186</v>
      </c>
      <c r="B1187" t="s">
        <v>0</v>
      </c>
      <c r="C1187">
        <v>57</v>
      </c>
      <c r="D1187">
        <v>3482</v>
      </c>
      <c r="E1187">
        <v>79808220</v>
      </c>
    </row>
    <row r="1188" spans="1:6" x14ac:dyDescent="0.25">
      <c r="A1188">
        <v>1187</v>
      </c>
      <c r="B1188">
        <v>45</v>
      </c>
      <c r="C1188">
        <v>0</v>
      </c>
      <c r="D1188">
        <v>0</v>
      </c>
      <c r="E1188">
        <v>0</v>
      </c>
      <c r="F1188">
        <v>1554.89</v>
      </c>
    </row>
    <row r="1189" spans="1:6" x14ac:dyDescent="0.25">
      <c r="A1189">
        <v>1188</v>
      </c>
      <c r="B1189">
        <v>46</v>
      </c>
      <c r="C1189">
        <v>0</v>
      </c>
      <c r="D1189">
        <v>0</v>
      </c>
      <c r="E1189">
        <v>0</v>
      </c>
      <c r="F1189">
        <v>0</v>
      </c>
    </row>
    <row r="1190" spans="1:6" x14ac:dyDescent="0.25">
      <c r="A1190">
        <v>1189</v>
      </c>
      <c r="B1190">
        <v>2</v>
      </c>
      <c r="C1190">
        <v>0</v>
      </c>
      <c r="D1190">
        <v>0</v>
      </c>
      <c r="E1190">
        <v>0</v>
      </c>
      <c r="F1190">
        <v>34.403799999999997</v>
      </c>
    </row>
    <row r="1191" spans="1:6" x14ac:dyDescent="0.25">
      <c r="A1191">
        <v>1190</v>
      </c>
      <c r="B1191">
        <v>10</v>
      </c>
      <c r="C1191">
        <v>1</v>
      </c>
      <c r="D1191">
        <v>0</v>
      </c>
      <c r="E1191">
        <v>0</v>
      </c>
      <c r="F1191">
        <v>5691</v>
      </c>
    </row>
    <row r="1192" spans="1:6" x14ac:dyDescent="0.25">
      <c r="A1192">
        <v>1191</v>
      </c>
      <c r="B1192">
        <v>13</v>
      </c>
      <c r="C1192">
        <v>0</v>
      </c>
      <c r="D1192">
        <v>0</v>
      </c>
      <c r="E1192">
        <v>0</v>
      </c>
      <c r="F1192">
        <v>1602</v>
      </c>
    </row>
    <row r="1193" spans="1:6" x14ac:dyDescent="0.25">
      <c r="A1193">
        <v>1192</v>
      </c>
      <c r="B1193">
        <v>41</v>
      </c>
      <c r="C1193">
        <v>0</v>
      </c>
      <c r="D1193">
        <v>0</v>
      </c>
      <c r="E1193">
        <v>0</v>
      </c>
      <c r="F1193">
        <v>1</v>
      </c>
    </row>
    <row r="1194" spans="1:6" x14ac:dyDescent="0.25">
      <c r="A1194">
        <v>1193</v>
      </c>
      <c r="B1194">
        <v>42</v>
      </c>
      <c r="C1194">
        <v>0</v>
      </c>
      <c r="D1194">
        <v>0</v>
      </c>
      <c r="E1194">
        <v>0</v>
      </c>
      <c r="F1194">
        <v>0.2</v>
      </c>
    </row>
    <row r="1195" spans="1:6" x14ac:dyDescent="0.25">
      <c r="A1195">
        <v>1194</v>
      </c>
      <c r="B1195">
        <v>43</v>
      </c>
      <c r="C1195">
        <v>0</v>
      </c>
      <c r="D1195">
        <v>0</v>
      </c>
      <c r="E1195">
        <v>0</v>
      </c>
      <c r="F1195">
        <v>0</v>
      </c>
    </row>
    <row r="1196" spans="1:6" x14ac:dyDescent="0.25">
      <c r="A1196">
        <v>1195</v>
      </c>
      <c r="B1196">
        <v>44</v>
      </c>
      <c r="C1196">
        <v>0</v>
      </c>
      <c r="D1196">
        <v>0</v>
      </c>
      <c r="E1196">
        <v>0</v>
      </c>
      <c r="F1196">
        <v>265.596</v>
      </c>
    </row>
    <row r="1197" spans="1:6" x14ac:dyDescent="0.25">
      <c r="A1197">
        <v>1196</v>
      </c>
      <c r="B1197">
        <v>45</v>
      </c>
      <c r="C1197">
        <v>0</v>
      </c>
      <c r="D1197">
        <v>0</v>
      </c>
      <c r="E1197">
        <v>0</v>
      </c>
      <c r="F1197">
        <v>1554.89</v>
      </c>
    </row>
    <row r="1198" spans="1:6" x14ac:dyDescent="0.25">
      <c r="A1198">
        <v>1197</v>
      </c>
      <c r="B1198">
        <v>46</v>
      </c>
      <c r="C1198">
        <v>0</v>
      </c>
      <c r="D1198">
        <v>0</v>
      </c>
      <c r="E1198">
        <v>0</v>
      </c>
      <c r="F1198">
        <v>0</v>
      </c>
    </row>
    <row r="1199" spans="1:6" x14ac:dyDescent="0.25">
      <c r="A1199">
        <v>1198</v>
      </c>
      <c r="B1199">
        <v>2</v>
      </c>
      <c r="C1199">
        <v>0</v>
      </c>
      <c r="D1199">
        <v>0</v>
      </c>
      <c r="E1199">
        <v>0</v>
      </c>
      <c r="F1199">
        <v>34.403799999999997</v>
      </c>
    </row>
    <row r="1200" spans="1:6" x14ac:dyDescent="0.25">
      <c r="A1200">
        <v>1199</v>
      </c>
      <c r="B1200">
        <v>10</v>
      </c>
      <c r="C1200">
        <v>1</v>
      </c>
      <c r="D1200">
        <v>0</v>
      </c>
      <c r="E1200">
        <v>0</v>
      </c>
      <c r="F1200">
        <v>5691</v>
      </c>
    </row>
    <row r="1201" spans="1:6" x14ac:dyDescent="0.25">
      <c r="A1201">
        <v>1200</v>
      </c>
      <c r="B1201">
        <v>13</v>
      </c>
      <c r="C1201">
        <v>0</v>
      </c>
      <c r="D1201">
        <v>0</v>
      </c>
      <c r="E1201">
        <v>0</v>
      </c>
      <c r="F1201">
        <v>1602</v>
      </c>
    </row>
    <row r="1202" spans="1:6" x14ac:dyDescent="0.25">
      <c r="A1202">
        <v>1201</v>
      </c>
      <c r="B1202">
        <v>41</v>
      </c>
      <c r="C1202">
        <v>0</v>
      </c>
      <c r="D1202">
        <v>0</v>
      </c>
      <c r="E1202">
        <v>0</v>
      </c>
      <c r="F1202">
        <v>1</v>
      </c>
    </row>
    <row r="1203" spans="1:6" x14ac:dyDescent="0.25">
      <c r="A1203">
        <v>1202</v>
      </c>
      <c r="B1203">
        <v>42</v>
      </c>
      <c r="C1203">
        <v>0</v>
      </c>
      <c r="D1203">
        <v>0</v>
      </c>
      <c r="E1203">
        <v>0</v>
      </c>
      <c r="F1203">
        <v>0.2</v>
      </c>
    </row>
    <row r="1204" spans="1:6" x14ac:dyDescent="0.25">
      <c r="A1204">
        <v>1203</v>
      </c>
      <c r="B1204">
        <v>43</v>
      </c>
      <c r="C1204">
        <v>0</v>
      </c>
      <c r="D1204">
        <v>0</v>
      </c>
      <c r="E1204">
        <v>0</v>
      </c>
      <c r="F1204">
        <v>0</v>
      </c>
    </row>
    <row r="1205" spans="1:6" x14ac:dyDescent="0.25">
      <c r="A1205">
        <v>1204</v>
      </c>
      <c r="B1205">
        <v>44</v>
      </c>
      <c r="C1205">
        <v>0</v>
      </c>
      <c r="D1205">
        <v>0</v>
      </c>
      <c r="E1205">
        <v>0</v>
      </c>
      <c r="F1205">
        <v>265.596</v>
      </c>
    </row>
    <row r="1206" spans="1:6" x14ac:dyDescent="0.25">
      <c r="A1206">
        <v>1205</v>
      </c>
      <c r="B1206">
        <v>45</v>
      </c>
      <c r="C1206">
        <v>0</v>
      </c>
      <c r="D1206">
        <v>0</v>
      </c>
      <c r="E1206">
        <v>0</v>
      </c>
      <c r="F1206">
        <v>1555.4</v>
      </c>
    </row>
    <row r="1207" spans="1:6" x14ac:dyDescent="0.25">
      <c r="A1207">
        <v>1206</v>
      </c>
      <c r="B1207">
        <v>46</v>
      </c>
      <c r="C1207">
        <v>0</v>
      </c>
      <c r="D1207">
        <v>0</v>
      </c>
      <c r="E1207">
        <v>0</v>
      </c>
      <c r="F1207">
        <v>0</v>
      </c>
    </row>
    <row r="1208" spans="1:6" x14ac:dyDescent="0.25">
      <c r="A1208">
        <v>1207</v>
      </c>
      <c r="B1208">
        <v>2</v>
      </c>
      <c r="C1208">
        <v>0</v>
      </c>
      <c r="D1208">
        <v>0</v>
      </c>
      <c r="E1208">
        <v>0</v>
      </c>
      <c r="F1208">
        <v>34.404299999999999</v>
      </c>
    </row>
    <row r="1209" spans="1:6" x14ac:dyDescent="0.25">
      <c r="A1209">
        <v>1208</v>
      </c>
      <c r="B1209">
        <v>10</v>
      </c>
      <c r="C1209">
        <v>1</v>
      </c>
      <c r="D1209">
        <v>0</v>
      </c>
      <c r="E1209">
        <v>0</v>
      </c>
      <c r="F1209">
        <v>5691</v>
      </c>
    </row>
    <row r="1210" spans="1:6" x14ac:dyDescent="0.25">
      <c r="A1210">
        <v>1209</v>
      </c>
      <c r="B1210">
        <v>13</v>
      </c>
      <c r="C1210">
        <v>0</v>
      </c>
      <c r="D1210">
        <v>0</v>
      </c>
      <c r="E1210">
        <v>0</v>
      </c>
      <c r="F1210">
        <v>1602</v>
      </c>
    </row>
    <row r="1211" spans="1:6" x14ac:dyDescent="0.25">
      <c r="A1211">
        <v>1210</v>
      </c>
      <c r="B1211">
        <v>41</v>
      </c>
      <c r="C1211">
        <v>0</v>
      </c>
      <c r="D1211">
        <v>0</v>
      </c>
      <c r="E1211">
        <v>0</v>
      </c>
      <c r="F1211">
        <v>1</v>
      </c>
    </row>
    <row r="1212" spans="1:6" x14ac:dyDescent="0.25">
      <c r="A1212">
        <v>1211</v>
      </c>
      <c r="B1212">
        <v>42</v>
      </c>
      <c r="C1212">
        <v>0</v>
      </c>
      <c r="D1212">
        <v>0</v>
      </c>
      <c r="E1212">
        <v>0</v>
      </c>
      <c r="F1212">
        <v>0.2</v>
      </c>
    </row>
    <row r="1213" spans="1:6" x14ac:dyDescent="0.25">
      <c r="A1213">
        <v>1212</v>
      </c>
      <c r="B1213">
        <v>43</v>
      </c>
      <c r="C1213">
        <v>0</v>
      </c>
      <c r="D1213">
        <v>0</v>
      </c>
      <c r="E1213">
        <v>0</v>
      </c>
      <c r="F1213">
        <v>0</v>
      </c>
    </row>
    <row r="1214" spans="1:6" x14ac:dyDescent="0.25">
      <c r="A1214">
        <v>1213</v>
      </c>
      <c r="B1214">
        <v>44</v>
      </c>
      <c r="C1214">
        <v>0</v>
      </c>
      <c r="D1214">
        <v>0</v>
      </c>
      <c r="E1214">
        <v>0</v>
      </c>
      <c r="F1214">
        <v>265.596</v>
      </c>
    </row>
    <row r="1215" spans="1:6" x14ac:dyDescent="0.25">
      <c r="A1215">
        <v>1214</v>
      </c>
      <c r="B1215">
        <v>45</v>
      </c>
      <c r="C1215">
        <v>0</v>
      </c>
      <c r="D1215">
        <v>0</v>
      </c>
      <c r="E1215">
        <v>0</v>
      </c>
      <c r="F1215">
        <v>1555.4</v>
      </c>
    </row>
    <row r="1216" spans="1:6" x14ac:dyDescent="0.25">
      <c r="A1216">
        <v>1215</v>
      </c>
      <c r="B1216">
        <v>46</v>
      </c>
      <c r="C1216">
        <v>0</v>
      </c>
      <c r="D1216">
        <v>0</v>
      </c>
      <c r="E1216">
        <v>0</v>
      </c>
      <c r="F1216">
        <v>0</v>
      </c>
    </row>
    <row r="1217" spans="1:6" x14ac:dyDescent="0.25">
      <c r="A1217">
        <v>1216</v>
      </c>
      <c r="B1217">
        <v>2</v>
      </c>
      <c r="C1217">
        <v>0</v>
      </c>
      <c r="D1217">
        <v>0</v>
      </c>
      <c r="E1217">
        <v>0</v>
      </c>
      <c r="F1217">
        <v>34.404299999999999</v>
      </c>
    </row>
    <row r="1218" spans="1:6" x14ac:dyDescent="0.25">
      <c r="A1218">
        <v>1217</v>
      </c>
      <c r="B1218">
        <v>10</v>
      </c>
      <c r="C1218">
        <v>1</v>
      </c>
      <c r="D1218">
        <v>0</v>
      </c>
      <c r="E1218">
        <v>0</v>
      </c>
      <c r="F1218">
        <v>5691</v>
      </c>
    </row>
    <row r="1219" spans="1:6" x14ac:dyDescent="0.25">
      <c r="A1219">
        <v>1218</v>
      </c>
      <c r="B1219">
        <v>13</v>
      </c>
      <c r="C1219">
        <v>0</v>
      </c>
      <c r="D1219">
        <v>0</v>
      </c>
      <c r="E1219">
        <v>0</v>
      </c>
      <c r="F1219">
        <v>1602</v>
      </c>
    </row>
    <row r="1220" spans="1:6" x14ac:dyDescent="0.25">
      <c r="A1220">
        <v>1219</v>
      </c>
      <c r="B1220">
        <v>41</v>
      </c>
      <c r="C1220">
        <v>0</v>
      </c>
      <c r="D1220">
        <v>0</v>
      </c>
      <c r="E1220">
        <v>0</v>
      </c>
      <c r="F1220">
        <v>1</v>
      </c>
    </row>
    <row r="1221" spans="1:6" x14ac:dyDescent="0.25">
      <c r="A1221">
        <v>1220</v>
      </c>
      <c r="B1221">
        <v>42</v>
      </c>
      <c r="C1221">
        <v>0</v>
      </c>
      <c r="D1221">
        <v>0</v>
      </c>
      <c r="E1221">
        <v>0</v>
      </c>
      <c r="F1221">
        <v>0.2</v>
      </c>
    </row>
    <row r="1222" spans="1:6" x14ac:dyDescent="0.25">
      <c r="A1222">
        <v>1221</v>
      </c>
      <c r="B1222">
        <v>43</v>
      </c>
      <c r="C1222">
        <v>0</v>
      </c>
      <c r="D1222">
        <v>0</v>
      </c>
      <c r="E1222">
        <v>0</v>
      </c>
      <c r="F1222">
        <v>0</v>
      </c>
    </row>
    <row r="1223" spans="1:6" x14ac:dyDescent="0.25">
      <c r="A1223">
        <v>1222</v>
      </c>
      <c r="B1223">
        <v>44</v>
      </c>
      <c r="C1223">
        <v>0</v>
      </c>
      <c r="D1223">
        <v>0</v>
      </c>
      <c r="E1223">
        <v>0</v>
      </c>
      <c r="F1223">
        <v>265.59500000000003</v>
      </c>
    </row>
    <row r="1224" spans="1:6" x14ac:dyDescent="0.25">
      <c r="A1224">
        <v>1223</v>
      </c>
      <c r="B1224">
        <v>45</v>
      </c>
      <c r="C1224">
        <v>0</v>
      </c>
      <c r="D1224">
        <v>0</v>
      </c>
      <c r="E1224">
        <v>0</v>
      </c>
      <c r="F1224">
        <v>1555.91</v>
      </c>
    </row>
    <row r="1225" spans="1:6" x14ac:dyDescent="0.25">
      <c r="A1225">
        <v>1224</v>
      </c>
      <c r="B1225">
        <v>46</v>
      </c>
      <c r="C1225">
        <v>0</v>
      </c>
      <c r="D1225">
        <v>0</v>
      </c>
      <c r="E1225">
        <v>0</v>
      </c>
      <c r="F1225">
        <v>0</v>
      </c>
    </row>
    <row r="1226" spans="1:6" x14ac:dyDescent="0.25">
      <c r="A1226">
        <v>1225</v>
      </c>
      <c r="B1226">
        <v>2</v>
      </c>
      <c r="C1226">
        <v>0</v>
      </c>
      <c r="D1226">
        <v>0</v>
      </c>
      <c r="E1226">
        <v>0</v>
      </c>
      <c r="F1226">
        <v>34.404699999999998</v>
      </c>
    </row>
    <row r="1227" spans="1:6" x14ac:dyDescent="0.25">
      <c r="A1227">
        <v>1226</v>
      </c>
      <c r="B1227">
        <v>10</v>
      </c>
      <c r="C1227">
        <v>1</v>
      </c>
      <c r="D1227">
        <v>0</v>
      </c>
      <c r="E1227">
        <v>0</v>
      </c>
      <c r="F1227">
        <v>5691</v>
      </c>
    </row>
    <row r="1228" spans="1:6" x14ac:dyDescent="0.25">
      <c r="A1228">
        <v>1227</v>
      </c>
      <c r="B1228">
        <v>13</v>
      </c>
      <c r="C1228">
        <v>0</v>
      </c>
      <c r="D1228">
        <v>0</v>
      </c>
      <c r="E1228">
        <v>0</v>
      </c>
      <c r="F1228">
        <v>1602</v>
      </c>
    </row>
    <row r="1229" spans="1:6" x14ac:dyDescent="0.25">
      <c r="A1229">
        <v>1228</v>
      </c>
      <c r="B1229">
        <v>41</v>
      </c>
      <c r="C1229">
        <v>0</v>
      </c>
      <c r="D1229">
        <v>0</v>
      </c>
      <c r="E1229">
        <v>0</v>
      </c>
      <c r="F1229">
        <v>1</v>
      </c>
    </row>
    <row r="1230" spans="1:6" x14ac:dyDescent="0.25">
      <c r="A1230">
        <v>1229</v>
      </c>
      <c r="B1230">
        <v>42</v>
      </c>
      <c r="C1230">
        <v>0</v>
      </c>
      <c r="D1230">
        <v>0</v>
      </c>
      <c r="E1230">
        <v>0</v>
      </c>
      <c r="F1230">
        <v>0.2</v>
      </c>
    </row>
    <row r="1231" spans="1:6" x14ac:dyDescent="0.25">
      <c r="A1231">
        <v>1230</v>
      </c>
      <c r="B1231">
        <v>43</v>
      </c>
      <c r="C1231">
        <v>0</v>
      </c>
      <c r="D1231">
        <v>0</v>
      </c>
      <c r="E1231">
        <v>0</v>
      </c>
      <c r="F1231">
        <v>0</v>
      </c>
    </row>
    <row r="1232" spans="1:6" x14ac:dyDescent="0.25">
      <c r="A1232">
        <v>1231</v>
      </c>
      <c r="B1232" t="s">
        <v>0</v>
      </c>
      <c r="C1232">
        <v>60</v>
      </c>
      <c r="D1232">
        <v>3482</v>
      </c>
      <c r="E1232">
        <v>79811123</v>
      </c>
    </row>
    <row r="1233" spans="1:6" x14ac:dyDescent="0.25">
      <c r="A1233">
        <v>1232</v>
      </c>
      <c r="B1233">
        <v>45</v>
      </c>
      <c r="C1233">
        <v>0</v>
      </c>
      <c r="D1233">
        <v>0</v>
      </c>
      <c r="E1233">
        <v>0</v>
      </c>
      <c r="F1233">
        <v>1556.43</v>
      </c>
    </row>
    <row r="1234" spans="1:6" x14ac:dyDescent="0.25">
      <c r="A1234">
        <v>1233</v>
      </c>
      <c r="B1234">
        <v>46</v>
      </c>
      <c r="C1234">
        <v>0</v>
      </c>
      <c r="D1234">
        <v>0</v>
      </c>
      <c r="E1234">
        <v>0</v>
      </c>
      <c r="F1234">
        <v>0</v>
      </c>
    </row>
    <row r="1235" spans="1:6" x14ac:dyDescent="0.25">
      <c r="A1235">
        <v>1234</v>
      </c>
      <c r="B1235">
        <v>2</v>
      </c>
      <c r="C1235">
        <v>0</v>
      </c>
      <c r="D1235">
        <v>0</v>
      </c>
      <c r="E1235">
        <v>0</v>
      </c>
      <c r="F1235">
        <v>34.404499999999999</v>
      </c>
    </row>
    <row r="1236" spans="1:6" x14ac:dyDescent="0.25">
      <c r="A1236">
        <v>1235</v>
      </c>
      <c r="B1236">
        <v>10</v>
      </c>
      <c r="C1236">
        <v>1</v>
      </c>
      <c r="D1236">
        <v>0</v>
      </c>
      <c r="E1236">
        <v>0</v>
      </c>
      <c r="F1236">
        <v>5691</v>
      </c>
    </row>
    <row r="1237" spans="1:6" x14ac:dyDescent="0.25">
      <c r="A1237">
        <v>1236</v>
      </c>
      <c r="B1237">
        <v>13</v>
      </c>
      <c r="C1237">
        <v>0</v>
      </c>
      <c r="D1237">
        <v>0</v>
      </c>
      <c r="E1237">
        <v>0</v>
      </c>
      <c r="F1237">
        <v>1602</v>
      </c>
    </row>
    <row r="1238" spans="1:6" x14ac:dyDescent="0.25">
      <c r="A1238">
        <v>1237</v>
      </c>
      <c r="B1238">
        <v>41</v>
      </c>
      <c r="C1238">
        <v>0</v>
      </c>
      <c r="D1238">
        <v>0</v>
      </c>
      <c r="E1238">
        <v>0</v>
      </c>
      <c r="F1238">
        <v>1</v>
      </c>
    </row>
    <row r="1239" spans="1:6" x14ac:dyDescent="0.25">
      <c r="A1239">
        <v>1238</v>
      </c>
      <c r="B1239">
        <v>42</v>
      </c>
      <c r="C1239">
        <v>0</v>
      </c>
      <c r="D1239">
        <v>0</v>
      </c>
      <c r="E1239">
        <v>0</v>
      </c>
      <c r="F1239">
        <v>0.2</v>
      </c>
    </row>
    <row r="1240" spans="1:6" x14ac:dyDescent="0.25">
      <c r="A1240">
        <v>1239</v>
      </c>
      <c r="B1240">
        <v>43</v>
      </c>
      <c r="C1240">
        <v>0</v>
      </c>
      <c r="D1240">
        <v>0</v>
      </c>
      <c r="E1240">
        <v>0</v>
      </c>
      <c r="F1240">
        <v>0</v>
      </c>
    </row>
    <row r="1241" spans="1:6" x14ac:dyDescent="0.25">
      <c r="A1241">
        <v>1240</v>
      </c>
      <c r="B1241">
        <v>44</v>
      </c>
      <c r="C1241">
        <v>0</v>
      </c>
      <c r="D1241">
        <v>0</v>
      </c>
      <c r="E1241">
        <v>0</v>
      </c>
      <c r="F1241">
        <v>265.59500000000003</v>
      </c>
    </row>
    <row r="1242" spans="1:6" x14ac:dyDescent="0.25">
      <c r="A1242">
        <v>1241</v>
      </c>
      <c r="B1242">
        <v>45</v>
      </c>
      <c r="C1242">
        <v>0</v>
      </c>
      <c r="D1242">
        <v>0</v>
      </c>
      <c r="E1242">
        <v>0</v>
      </c>
      <c r="F1242">
        <v>1556.43</v>
      </c>
    </row>
    <row r="1243" spans="1:6" x14ac:dyDescent="0.25">
      <c r="A1243">
        <v>1242</v>
      </c>
      <c r="B1243">
        <v>46</v>
      </c>
      <c r="C1243">
        <v>0</v>
      </c>
      <c r="D1243">
        <v>0</v>
      </c>
      <c r="E1243">
        <v>0</v>
      </c>
      <c r="F1243">
        <v>0</v>
      </c>
    </row>
    <row r="1244" spans="1:6" x14ac:dyDescent="0.25">
      <c r="A1244">
        <v>1243</v>
      </c>
      <c r="B1244">
        <v>2</v>
      </c>
      <c r="C1244">
        <v>0</v>
      </c>
      <c r="D1244">
        <v>0</v>
      </c>
      <c r="E1244">
        <v>0</v>
      </c>
      <c r="F1244">
        <v>34.404499999999999</v>
      </c>
    </row>
    <row r="1245" spans="1:6" x14ac:dyDescent="0.25">
      <c r="A1245">
        <v>1244</v>
      </c>
      <c r="B1245">
        <v>10</v>
      </c>
      <c r="C1245">
        <v>1</v>
      </c>
      <c r="D1245">
        <v>0</v>
      </c>
      <c r="E1245">
        <v>0</v>
      </c>
      <c r="F1245">
        <v>5691</v>
      </c>
    </row>
    <row r="1246" spans="1:6" x14ac:dyDescent="0.25">
      <c r="A1246">
        <v>1245</v>
      </c>
      <c r="B1246">
        <v>13</v>
      </c>
      <c r="C1246">
        <v>0</v>
      </c>
      <c r="D1246">
        <v>0</v>
      </c>
      <c r="E1246">
        <v>0</v>
      </c>
      <c r="F1246">
        <v>1602</v>
      </c>
    </row>
    <row r="1247" spans="1:6" x14ac:dyDescent="0.25">
      <c r="A1247">
        <v>1246</v>
      </c>
      <c r="B1247" t="s">
        <v>0</v>
      </c>
      <c r="C1247">
        <v>61</v>
      </c>
      <c r="D1247">
        <v>3482</v>
      </c>
      <c r="E1247">
        <v>79812092</v>
      </c>
    </row>
    <row r="1248" spans="1:6" x14ac:dyDescent="0.25">
      <c r="A1248">
        <v>1247</v>
      </c>
      <c r="B1248">
        <v>42</v>
      </c>
      <c r="C1248">
        <v>0</v>
      </c>
      <c r="D1248">
        <v>0</v>
      </c>
      <c r="E1248">
        <v>0</v>
      </c>
      <c r="F1248">
        <v>0.2</v>
      </c>
    </row>
    <row r="1249" spans="1:6" x14ac:dyDescent="0.25">
      <c r="A1249">
        <v>1248</v>
      </c>
      <c r="B1249">
        <v>43</v>
      </c>
      <c r="C1249">
        <v>0</v>
      </c>
      <c r="D1249">
        <v>0</v>
      </c>
      <c r="E1249">
        <v>0</v>
      </c>
      <c r="F1249">
        <v>0</v>
      </c>
    </row>
    <row r="1250" spans="1:6" x14ac:dyDescent="0.25">
      <c r="A1250">
        <v>1249</v>
      </c>
      <c r="B1250">
        <v>44</v>
      </c>
      <c r="C1250">
        <v>0</v>
      </c>
      <c r="D1250">
        <v>0</v>
      </c>
      <c r="E1250">
        <v>0</v>
      </c>
      <c r="F1250">
        <v>265.596</v>
      </c>
    </row>
    <row r="1251" spans="1:6" x14ac:dyDescent="0.25">
      <c r="A1251">
        <v>1250</v>
      </c>
      <c r="B1251">
        <v>45</v>
      </c>
      <c r="C1251">
        <v>0</v>
      </c>
      <c r="D1251">
        <v>0</v>
      </c>
      <c r="E1251">
        <v>0</v>
      </c>
      <c r="F1251">
        <v>1556.94</v>
      </c>
    </row>
    <row r="1252" spans="1:6" x14ac:dyDescent="0.25">
      <c r="A1252">
        <v>1251</v>
      </c>
      <c r="B1252">
        <v>46</v>
      </c>
      <c r="C1252">
        <v>0</v>
      </c>
      <c r="D1252">
        <v>0</v>
      </c>
      <c r="E1252">
        <v>0</v>
      </c>
      <c r="F1252">
        <v>0</v>
      </c>
    </row>
    <row r="1253" spans="1:6" x14ac:dyDescent="0.25">
      <c r="A1253">
        <v>1252</v>
      </c>
      <c r="B1253">
        <v>2</v>
      </c>
      <c r="C1253">
        <v>0</v>
      </c>
      <c r="D1253">
        <v>0</v>
      </c>
      <c r="E1253">
        <v>0</v>
      </c>
      <c r="F1253">
        <v>34.404000000000003</v>
      </c>
    </row>
    <row r="1254" spans="1:6" x14ac:dyDescent="0.25">
      <c r="A1254">
        <v>1253</v>
      </c>
      <c r="B1254">
        <v>10</v>
      </c>
      <c r="C1254">
        <v>1</v>
      </c>
      <c r="D1254">
        <v>0</v>
      </c>
      <c r="E1254">
        <v>0</v>
      </c>
      <c r="F1254">
        <v>5691</v>
      </c>
    </row>
    <row r="1255" spans="1:6" x14ac:dyDescent="0.25">
      <c r="A1255">
        <v>1254</v>
      </c>
      <c r="B1255">
        <v>13</v>
      </c>
      <c r="C1255">
        <v>0</v>
      </c>
      <c r="D1255">
        <v>0</v>
      </c>
      <c r="E1255">
        <v>0</v>
      </c>
      <c r="F1255">
        <v>1602</v>
      </c>
    </row>
    <row r="1256" spans="1:6" x14ac:dyDescent="0.25">
      <c r="A1256">
        <v>1255</v>
      </c>
      <c r="B1256">
        <v>41</v>
      </c>
      <c r="C1256">
        <v>0</v>
      </c>
      <c r="D1256">
        <v>0</v>
      </c>
      <c r="E1256">
        <v>0</v>
      </c>
      <c r="F1256">
        <v>1</v>
      </c>
    </row>
    <row r="1257" spans="1:6" x14ac:dyDescent="0.25">
      <c r="A1257">
        <v>1256</v>
      </c>
      <c r="B1257">
        <v>42</v>
      </c>
      <c r="C1257">
        <v>0</v>
      </c>
      <c r="D1257">
        <v>0</v>
      </c>
      <c r="E1257">
        <v>0</v>
      </c>
      <c r="F1257">
        <v>0.2</v>
      </c>
    </row>
    <row r="1258" spans="1:6" x14ac:dyDescent="0.25">
      <c r="A1258">
        <v>1257</v>
      </c>
      <c r="B1258">
        <v>43</v>
      </c>
      <c r="C1258">
        <v>0</v>
      </c>
      <c r="D1258">
        <v>0</v>
      </c>
      <c r="E1258">
        <v>0</v>
      </c>
      <c r="F1258">
        <v>0</v>
      </c>
    </row>
    <row r="1259" spans="1:6" x14ac:dyDescent="0.25">
      <c r="A1259">
        <v>1258</v>
      </c>
      <c r="B1259">
        <v>44</v>
      </c>
      <c r="C1259">
        <v>0</v>
      </c>
      <c r="D1259">
        <v>0</v>
      </c>
      <c r="E1259">
        <v>0</v>
      </c>
      <c r="F1259">
        <v>265.596</v>
      </c>
    </row>
    <row r="1260" spans="1:6" x14ac:dyDescent="0.25">
      <c r="A1260">
        <v>1259</v>
      </c>
      <c r="B1260">
        <v>45</v>
      </c>
      <c r="C1260">
        <v>0</v>
      </c>
      <c r="D1260">
        <v>0</v>
      </c>
      <c r="E1260">
        <v>0</v>
      </c>
      <c r="F1260">
        <v>1556.94</v>
      </c>
    </row>
    <row r="1261" spans="1:6" x14ac:dyDescent="0.25">
      <c r="A1261">
        <v>1260</v>
      </c>
      <c r="B1261">
        <v>46</v>
      </c>
      <c r="C1261">
        <v>0</v>
      </c>
      <c r="D1261">
        <v>0</v>
      </c>
      <c r="E1261">
        <v>0</v>
      </c>
      <c r="F1261">
        <v>0</v>
      </c>
    </row>
    <row r="1262" spans="1:6" x14ac:dyDescent="0.25">
      <c r="A1262">
        <v>1261</v>
      </c>
      <c r="B1262" t="s">
        <v>0</v>
      </c>
      <c r="C1262">
        <v>62</v>
      </c>
      <c r="D1262">
        <v>3482</v>
      </c>
      <c r="E1262">
        <v>79813060</v>
      </c>
    </row>
    <row r="1263" spans="1:6" x14ac:dyDescent="0.25">
      <c r="A1263">
        <v>1262</v>
      </c>
      <c r="B1263">
        <v>2</v>
      </c>
      <c r="C1263">
        <v>0</v>
      </c>
      <c r="D1263">
        <v>0</v>
      </c>
      <c r="E1263">
        <v>0</v>
      </c>
      <c r="F1263">
        <v>34.404000000000003</v>
      </c>
    </row>
    <row r="1264" spans="1:6" x14ac:dyDescent="0.25">
      <c r="A1264">
        <v>1263</v>
      </c>
      <c r="B1264">
        <v>10</v>
      </c>
      <c r="C1264">
        <v>1</v>
      </c>
      <c r="D1264">
        <v>0</v>
      </c>
      <c r="E1264">
        <v>0</v>
      </c>
      <c r="F1264">
        <v>5691</v>
      </c>
    </row>
    <row r="1265" spans="1:6" x14ac:dyDescent="0.25">
      <c r="A1265">
        <v>1264</v>
      </c>
      <c r="B1265">
        <v>13</v>
      </c>
      <c r="C1265">
        <v>0</v>
      </c>
      <c r="D1265">
        <v>0</v>
      </c>
      <c r="E1265">
        <v>0</v>
      </c>
      <c r="F1265">
        <v>1602</v>
      </c>
    </row>
    <row r="1266" spans="1:6" x14ac:dyDescent="0.25">
      <c r="A1266">
        <v>1265</v>
      </c>
      <c r="B1266">
        <v>41</v>
      </c>
      <c r="C1266">
        <v>0</v>
      </c>
      <c r="D1266">
        <v>0</v>
      </c>
      <c r="E1266">
        <v>0</v>
      </c>
      <c r="F1266">
        <v>1</v>
      </c>
    </row>
    <row r="1267" spans="1:6" x14ac:dyDescent="0.25">
      <c r="A1267">
        <v>1266</v>
      </c>
      <c r="B1267">
        <v>42</v>
      </c>
      <c r="C1267">
        <v>0</v>
      </c>
      <c r="D1267">
        <v>0</v>
      </c>
      <c r="E1267">
        <v>0</v>
      </c>
      <c r="F1267">
        <v>0.2</v>
      </c>
    </row>
    <row r="1268" spans="1:6" x14ac:dyDescent="0.25">
      <c r="A1268">
        <v>1267</v>
      </c>
      <c r="B1268">
        <v>43</v>
      </c>
      <c r="C1268">
        <v>0</v>
      </c>
      <c r="D1268">
        <v>0</v>
      </c>
      <c r="E1268">
        <v>0</v>
      </c>
      <c r="F1268">
        <v>0</v>
      </c>
    </row>
    <row r="1269" spans="1:6" x14ac:dyDescent="0.25">
      <c r="A1269">
        <v>1268</v>
      </c>
      <c r="B1269">
        <v>44</v>
      </c>
      <c r="C1269">
        <v>0</v>
      </c>
      <c r="D1269">
        <v>0</v>
      </c>
      <c r="E1269">
        <v>0</v>
      </c>
      <c r="F1269">
        <v>265.596</v>
      </c>
    </row>
    <row r="1270" spans="1:6" x14ac:dyDescent="0.25">
      <c r="A1270">
        <v>1269</v>
      </c>
      <c r="B1270">
        <v>45</v>
      </c>
      <c r="C1270">
        <v>0</v>
      </c>
      <c r="D1270">
        <v>0</v>
      </c>
      <c r="E1270">
        <v>0</v>
      </c>
      <c r="F1270">
        <v>1557.46</v>
      </c>
    </row>
    <row r="1271" spans="1:6" x14ac:dyDescent="0.25">
      <c r="A1271">
        <v>1270</v>
      </c>
      <c r="B1271">
        <v>46</v>
      </c>
      <c r="C1271">
        <v>0</v>
      </c>
      <c r="D1271">
        <v>0</v>
      </c>
      <c r="E1271">
        <v>0</v>
      </c>
      <c r="F1271">
        <v>0</v>
      </c>
    </row>
    <row r="1272" spans="1:6" x14ac:dyDescent="0.25">
      <c r="A1272">
        <v>1271</v>
      </c>
      <c r="B1272">
        <v>2</v>
      </c>
      <c r="C1272">
        <v>0</v>
      </c>
      <c r="D1272">
        <v>0</v>
      </c>
      <c r="E1272">
        <v>0</v>
      </c>
      <c r="F1272">
        <v>34.404000000000003</v>
      </c>
    </row>
    <row r="1273" spans="1:6" x14ac:dyDescent="0.25">
      <c r="A1273">
        <v>1272</v>
      </c>
      <c r="B1273">
        <v>10</v>
      </c>
      <c r="C1273">
        <v>1</v>
      </c>
      <c r="D1273">
        <v>0</v>
      </c>
      <c r="E1273">
        <v>0</v>
      </c>
      <c r="F1273">
        <v>5691</v>
      </c>
    </row>
    <row r="1274" spans="1:6" x14ac:dyDescent="0.25">
      <c r="A1274">
        <v>1273</v>
      </c>
      <c r="B1274">
        <v>13</v>
      </c>
      <c r="C1274">
        <v>0</v>
      </c>
      <c r="D1274">
        <v>0</v>
      </c>
      <c r="E1274">
        <v>0</v>
      </c>
      <c r="F1274">
        <v>1602</v>
      </c>
    </row>
    <row r="1275" spans="1:6" x14ac:dyDescent="0.25">
      <c r="A1275">
        <v>1274</v>
      </c>
      <c r="B1275">
        <v>41</v>
      </c>
      <c r="C1275">
        <v>0</v>
      </c>
      <c r="D1275">
        <v>0</v>
      </c>
      <c r="E1275">
        <v>0</v>
      </c>
      <c r="F1275">
        <v>1</v>
      </c>
    </row>
    <row r="1276" spans="1:6" x14ac:dyDescent="0.25">
      <c r="A1276">
        <v>1275</v>
      </c>
      <c r="B1276">
        <v>42</v>
      </c>
      <c r="C1276">
        <v>0</v>
      </c>
      <c r="D1276">
        <v>0</v>
      </c>
      <c r="E1276">
        <v>0</v>
      </c>
      <c r="F1276">
        <v>0.2</v>
      </c>
    </row>
    <row r="1277" spans="1:6" x14ac:dyDescent="0.25">
      <c r="A1277">
        <v>1276</v>
      </c>
      <c r="B1277">
        <v>43</v>
      </c>
      <c r="C1277">
        <v>0</v>
      </c>
      <c r="D1277">
        <v>0</v>
      </c>
      <c r="E1277">
        <v>0</v>
      </c>
      <c r="F1277">
        <v>0</v>
      </c>
    </row>
    <row r="1278" spans="1:6" x14ac:dyDescent="0.25">
      <c r="A1278">
        <v>1277</v>
      </c>
      <c r="B1278">
        <v>44</v>
      </c>
      <c r="C1278">
        <v>0</v>
      </c>
      <c r="D1278">
        <v>0</v>
      </c>
      <c r="E1278">
        <v>0</v>
      </c>
      <c r="F1278">
        <v>265.596</v>
      </c>
    </row>
    <row r="1279" spans="1:6" x14ac:dyDescent="0.25">
      <c r="A1279">
        <v>1278</v>
      </c>
      <c r="B1279">
        <v>45</v>
      </c>
      <c r="C1279">
        <v>0</v>
      </c>
      <c r="D1279">
        <v>0</v>
      </c>
      <c r="E1279">
        <v>0</v>
      </c>
      <c r="F1279">
        <v>1557.97</v>
      </c>
    </row>
    <row r="1280" spans="1:6" x14ac:dyDescent="0.25">
      <c r="A1280">
        <v>1279</v>
      </c>
      <c r="B1280">
        <v>46</v>
      </c>
      <c r="C1280">
        <v>0</v>
      </c>
      <c r="D1280">
        <v>0</v>
      </c>
      <c r="E1280">
        <v>0</v>
      </c>
      <c r="F1280">
        <v>0</v>
      </c>
    </row>
    <row r="1281" spans="1:6" x14ac:dyDescent="0.25">
      <c r="A1281">
        <v>1280</v>
      </c>
      <c r="B1281">
        <v>2</v>
      </c>
      <c r="C1281">
        <v>0</v>
      </c>
      <c r="D1281">
        <v>0</v>
      </c>
      <c r="E1281">
        <v>0</v>
      </c>
      <c r="F1281">
        <v>34.404400000000003</v>
      </c>
    </row>
    <row r="1282" spans="1:6" x14ac:dyDescent="0.25">
      <c r="A1282">
        <v>1281</v>
      </c>
      <c r="B1282">
        <v>10</v>
      </c>
      <c r="C1282">
        <v>1</v>
      </c>
      <c r="D1282">
        <v>0</v>
      </c>
      <c r="E1282">
        <v>0</v>
      </c>
      <c r="F1282">
        <v>5691</v>
      </c>
    </row>
    <row r="1283" spans="1:6" x14ac:dyDescent="0.25">
      <c r="A1283">
        <v>1282</v>
      </c>
      <c r="B1283">
        <v>13</v>
      </c>
      <c r="C1283">
        <v>0</v>
      </c>
      <c r="D1283">
        <v>0</v>
      </c>
      <c r="E1283">
        <v>0</v>
      </c>
      <c r="F1283">
        <v>1602</v>
      </c>
    </row>
    <row r="1284" spans="1:6" x14ac:dyDescent="0.25">
      <c r="A1284">
        <v>1283</v>
      </c>
      <c r="B1284">
        <v>41</v>
      </c>
      <c r="C1284">
        <v>0</v>
      </c>
      <c r="D1284">
        <v>0</v>
      </c>
      <c r="E1284">
        <v>0</v>
      </c>
      <c r="F1284">
        <v>1</v>
      </c>
    </row>
    <row r="1285" spans="1:6" x14ac:dyDescent="0.25">
      <c r="A1285">
        <v>1284</v>
      </c>
      <c r="B1285">
        <v>42</v>
      </c>
      <c r="C1285">
        <v>0</v>
      </c>
      <c r="D1285">
        <v>0</v>
      </c>
      <c r="E1285">
        <v>0</v>
      </c>
      <c r="F1285">
        <v>0.2</v>
      </c>
    </row>
    <row r="1286" spans="1:6" x14ac:dyDescent="0.25">
      <c r="A1286">
        <v>1285</v>
      </c>
      <c r="B1286">
        <v>43</v>
      </c>
      <c r="C1286">
        <v>0</v>
      </c>
      <c r="D1286">
        <v>0</v>
      </c>
      <c r="E1286">
        <v>0</v>
      </c>
      <c r="F1286">
        <v>0</v>
      </c>
    </row>
    <row r="1287" spans="1:6" x14ac:dyDescent="0.25">
      <c r="A1287">
        <v>1286</v>
      </c>
      <c r="B1287">
        <v>44</v>
      </c>
      <c r="C1287">
        <v>0</v>
      </c>
      <c r="D1287">
        <v>0</v>
      </c>
      <c r="E1287">
        <v>0</v>
      </c>
      <c r="F1287">
        <v>265.596</v>
      </c>
    </row>
    <row r="1288" spans="1:6" x14ac:dyDescent="0.25">
      <c r="A1288">
        <v>1287</v>
      </c>
      <c r="B1288">
        <v>45</v>
      </c>
      <c r="C1288">
        <v>0</v>
      </c>
      <c r="D1288">
        <v>0</v>
      </c>
      <c r="E1288">
        <v>0</v>
      </c>
      <c r="F1288">
        <v>1557.97</v>
      </c>
    </row>
    <row r="1289" spans="1:6" x14ac:dyDescent="0.25">
      <c r="A1289">
        <v>1288</v>
      </c>
      <c r="B1289">
        <v>46</v>
      </c>
      <c r="C1289">
        <v>0</v>
      </c>
      <c r="D1289">
        <v>0</v>
      </c>
      <c r="E1289">
        <v>0</v>
      </c>
      <c r="F1289">
        <v>0</v>
      </c>
    </row>
    <row r="1290" spans="1:6" x14ac:dyDescent="0.25">
      <c r="A1290">
        <v>1289</v>
      </c>
      <c r="B1290">
        <v>2</v>
      </c>
      <c r="C1290">
        <v>0</v>
      </c>
      <c r="D1290">
        <v>0</v>
      </c>
      <c r="E1290">
        <v>0</v>
      </c>
      <c r="F1290">
        <v>34.404400000000003</v>
      </c>
    </row>
    <row r="1291" spans="1:6" x14ac:dyDescent="0.25">
      <c r="A1291">
        <v>1290</v>
      </c>
      <c r="B1291">
        <v>10</v>
      </c>
      <c r="C1291">
        <v>1</v>
      </c>
      <c r="D1291">
        <v>0</v>
      </c>
      <c r="E1291">
        <v>0</v>
      </c>
      <c r="F1291">
        <v>5691</v>
      </c>
    </row>
    <row r="1292" spans="1:6" x14ac:dyDescent="0.25">
      <c r="A1292">
        <v>1291</v>
      </c>
      <c r="B1292">
        <v>13</v>
      </c>
      <c r="C1292">
        <v>0</v>
      </c>
      <c r="D1292">
        <v>0</v>
      </c>
      <c r="E1292">
        <v>0</v>
      </c>
      <c r="F1292">
        <v>1602</v>
      </c>
    </row>
    <row r="1293" spans="1:6" x14ac:dyDescent="0.25">
      <c r="A1293">
        <v>1292</v>
      </c>
      <c r="B1293">
        <v>41</v>
      </c>
      <c r="C1293">
        <v>0</v>
      </c>
      <c r="D1293">
        <v>0</v>
      </c>
      <c r="E1293">
        <v>0</v>
      </c>
      <c r="F1293">
        <v>1</v>
      </c>
    </row>
    <row r="1294" spans="1:6" x14ac:dyDescent="0.25">
      <c r="A1294">
        <v>1293</v>
      </c>
      <c r="B1294">
        <v>42</v>
      </c>
      <c r="C1294">
        <v>0</v>
      </c>
      <c r="D1294">
        <v>0</v>
      </c>
      <c r="E1294">
        <v>0</v>
      </c>
      <c r="F1294">
        <v>0.2</v>
      </c>
    </row>
    <row r="1295" spans="1:6" x14ac:dyDescent="0.25">
      <c r="A1295">
        <v>1294</v>
      </c>
      <c r="B1295">
        <v>43</v>
      </c>
      <c r="C1295">
        <v>0</v>
      </c>
      <c r="D1295">
        <v>0</v>
      </c>
      <c r="E1295">
        <v>0</v>
      </c>
      <c r="F1295">
        <v>0</v>
      </c>
    </row>
    <row r="1296" spans="1:6" x14ac:dyDescent="0.25">
      <c r="A1296">
        <v>1295</v>
      </c>
      <c r="B1296">
        <v>44</v>
      </c>
      <c r="C1296">
        <v>0</v>
      </c>
      <c r="D1296">
        <v>0</v>
      </c>
      <c r="E1296">
        <v>0</v>
      </c>
      <c r="F1296">
        <v>265.596</v>
      </c>
    </row>
    <row r="1297" spans="1:6" x14ac:dyDescent="0.25">
      <c r="A1297">
        <v>1296</v>
      </c>
      <c r="B1297">
        <v>45</v>
      </c>
      <c r="C1297">
        <v>0</v>
      </c>
      <c r="D1297">
        <v>0</v>
      </c>
      <c r="E1297">
        <v>0</v>
      </c>
      <c r="F1297">
        <v>1558.49</v>
      </c>
    </row>
    <row r="1298" spans="1:6" x14ac:dyDescent="0.25">
      <c r="A1298">
        <v>1297</v>
      </c>
      <c r="B1298">
        <v>46</v>
      </c>
      <c r="C1298">
        <v>0</v>
      </c>
      <c r="D1298">
        <v>0</v>
      </c>
      <c r="E1298">
        <v>0</v>
      </c>
      <c r="F1298">
        <v>0</v>
      </c>
    </row>
    <row r="1299" spans="1:6" x14ac:dyDescent="0.25">
      <c r="A1299">
        <v>1298</v>
      </c>
      <c r="B1299">
        <v>2</v>
      </c>
      <c r="C1299">
        <v>0</v>
      </c>
      <c r="D1299">
        <v>0</v>
      </c>
      <c r="E1299">
        <v>0</v>
      </c>
      <c r="F1299">
        <v>34.404400000000003</v>
      </c>
    </row>
    <row r="1300" spans="1:6" x14ac:dyDescent="0.25">
      <c r="A1300">
        <v>1299</v>
      </c>
      <c r="B1300">
        <v>10</v>
      </c>
      <c r="C1300">
        <v>1</v>
      </c>
      <c r="D1300">
        <v>0</v>
      </c>
      <c r="E1300">
        <v>0</v>
      </c>
      <c r="F1300">
        <v>5691</v>
      </c>
    </row>
    <row r="1301" spans="1:6" x14ac:dyDescent="0.25">
      <c r="A1301">
        <v>1300</v>
      </c>
      <c r="B1301">
        <v>13</v>
      </c>
      <c r="C1301">
        <v>0</v>
      </c>
      <c r="D1301">
        <v>0</v>
      </c>
      <c r="E1301">
        <v>0</v>
      </c>
      <c r="F1301">
        <v>1602</v>
      </c>
    </row>
    <row r="1302" spans="1:6" x14ac:dyDescent="0.25">
      <c r="A1302">
        <v>1301</v>
      </c>
      <c r="B1302">
        <v>41</v>
      </c>
      <c r="C1302">
        <v>0</v>
      </c>
      <c r="D1302">
        <v>0</v>
      </c>
      <c r="E1302">
        <v>0</v>
      </c>
      <c r="F1302">
        <v>1</v>
      </c>
    </row>
    <row r="1303" spans="1:6" x14ac:dyDescent="0.25">
      <c r="A1303">
        <v>1302</v>
      </c>
      <c r="B1303">
        <v>42</v>
      </c>
      <c r="C1303">
        <v>0</v>
      </c>
      <c r="D1303">
        <v>0</v>
      </c>
      <c r="E1303">
        <v>0</v>
      </c>
      <c r="F1303">
        <v>0.2</v>
      </c>
    </row>
    <row r="1304" spans="1:6" x14ac:dyDescent="0.25">
      <c r="A1304">
        <v>1303</v>
      </c>
      <c r="B1304">
        <v>43</v>
      </c>
      <c r="C1304">
        <v>0</v>
      </c>
      <c r="D1304">
        <v>0</v>
      </c>
      <c r="E1304">
        <v>0</v>
      </c>
      <c r="F1304">
        <v>0</v>
      </c>
    </row>
    <row r="1305" spans="1:6" x14ac:dyDescent="0.25">
      <c r="A1305">
        <v>1304</v>
      </c>
      <c r="B1305">
        <v>44</v>
      </c>
      <c r="C1305">
        <v>0</v>
      </c>
      <c r="D1305">
        <v>0</v>
      </c>
      <c r="E1305">
        <v>0</v>
      </c>
      <c r="F1305">
        <v>265.596</v>
      </c>
    </row>
    <row r="1306" spans="1:6" x14ac:dyDescent="0.25">
      <c r="A1306">
        <v>1305</v>
      </c>
      <c r="B1306">
        <v>45</v>
      </c>
      <c r="C1306">
        <v>0</v>
      </c>
      <c r="D1306">
        <v>0</v>
      </c>
      <c r="E1306">
        <v>0</v>
      </c>
      <c r="F1306">
        <v>1558.49</v>
      </c>
    </row>
    <row r="1307" spans="1:6" x14ac:dyDescent="0.25">
      <c r="A1307">
        <v>1306</v>
      </c>
      <c r="B1307" t="s">
        <v>0</v>
      </c>
      <c r="C1307">
        <v>65</v>
      </c>
      <c r="D1307">
        <v>3482</v>
      </c>
      <c r="E1307">
        <v>79815965</v>
      </c>
    </row>
    <row r="1308" spans="1:6" x14ac:dyDescent="0.25">
      <c r="A1308">
        <v>1307</v>
      </c>
      <c r="B1308">
        <v>2</v>
      </c>
      <c r="C1308">
        <v>0</v>
      </c>
      <c r="D1308">
        <v>0</v>
      </c>
      <c r="E1308">
        <v>0</v>
      </c>
      <c r="F1308">
        <v>34.404200000000003</v>
      </c>
    </row>
    <row r="1309" spans="1:6" x14ac:dyDescent="0.25">
      <c r="A1309">
        <v>1308</v>
      </c>
      <c r="B1309">
        <v>10</v>
      </c>
      <c r="C1309">
        <v>1</v>
      </c>
      <c r="D1309">
        <v>0</v>
      </c>
      <c r="E1309">
        <v>0</v>
      </c>
      <c r="F1309">
        <v>5691</v>
      </c>
    </row>
    <row r="1310" spans="1:6" x14ac:dyDescent="0.25">
      <c r="A1310">
        <v>1309</v>
      </c>
      <c r="B1310">
        <v>13</v>
      </c>
      <c r="C1310">
        <v>0</v>
      </c>
      <c r="D1310">
        <v>0</v>
      </c>
      <c r="E1310">
        <v>0</v>
      </c>
      <c r="F1310">
        <v>1602</v>
      </c>
    </row>
    <row r="1311" spans="1:6" x14ac:dyDescent="0.25">
      <c r="A1311">
        <v>1310</v>
      </c>
      <c r="B1311">
        <v>41</v>
      </c>
      <c r="C1311">
        <v>0</v>
      </c>
      <c r="D1311">
        <v>0</v>
      </c>
      <c r="E1311">
        <v>0</v>
      </c>
      <c r="F1311">
        <v>1</v>
      </c>
    </row>
    <row r="1312" spans="1:6" x14ac:dyDescent="0.25">
      <c r="A1312">
        <v>1311</v>
      </c>
      <c r="B1312">
        <v>42</v>
      </c>
      <c r="C1312">
        <v>0</v>
      </c>
      <c r="D1312">
        <v>0</v>
      </c>
      <c r="E1312">
        <v>0</v>
      </c>
      <c r="F1312">
        <v>0.2</v>
      </c>
    </row>
    <row r="1313" spans="1:6" x14ac:dyDescent="0.25">
      <c r="A1313">
        <v>1312</v>
      </c>
      <c r="B1313">
        <v>43</v>
      </c>
      <c r="C1313">
        <v>0</v>
      </c>
      <c r="D1313">
        <v>0</v>
      </c>
      <c r="E1313">
        <v>0</v>
      </c>
      <c r="F1313">
        <v>0</v>
      </c>
    </row>
    <row r="1314" spans="1:6" x14ac:dyDescent="0.25">
      <c r="A1314">
        <v>1313</v>
      </c>
      <c r="B1314">
        <v>44</v>
      </c>
      <c r="C1314">
        <v>0</v>
      </c>
      <c r="D1314">
        <v>0</v>
      </c>
      <c r="E1314">
        <v>0</v>
      </c>
      <c r="F1314">
        <v>265.596</v>
      </c>
    </row>
    <row r="1315" spans="1:6" x14ac:dyDescent="0.25">
      <c r="A1315">
        <v>1314</v>
      </c>
      <c r="B1315">
        <v>45</v>
      </c>
      <c r="C1315">
        <v>0</v>
      </c>
      <c r="D1315">
        <v>0</v>
      </c>
      <c r="E1315">
        <v>0</v>
      </c>
      <c r="F1315">
        <v>1559</v>
      </c>
    </row>
    <row r="1316" spans="1:6" x14ac:dyDescent="0.25">
      <c r="A1316">
        <v>1315</v>
      </c>
      <c r="B1316">
        <v>46</v>
      </c>
      <c r="C1316">
        <v>0</v>
      </c>
      <c r="D1316">
        <v>0</v>
      </c>
      <c r="E1316">
        <v>0</v>
      </c>
      <c r="F1316">
        <v>0</v>
      </c>
    </row>
    <row r="1317" spans="1:6" x14ac:dyDescent="0.25">
      <c r="A1317">
        <v>1316</v>
      </c>
      <c r="B1317">
        <v>2</v>
      </c>
      <c r="C1317">
        <v>0</v>
      </c>
      <c r="D1317">
        <v>0</v>
      </c>
      <c r="E1317">
        <v>0</v>
      </c>
      <c r="F1317">
        <v>34.404200000000003</v>
      </c>
    </row>
    <row r="1318" spans="1:6" x14ac:dyDescent="0.25">
      <c r="A1318">
        <v>1317</v>
      </c>
      <c r="B1318">
        <v>10</v>
      </c>
      <c r="C1318">
        <v>1</v>
      </c>
      <c r="D1318">
        <v>0</v>
      </c>
      <c r="E1318">
        <v>0</v>
      </c>
      <c r="F1318">
        <v>5691</v>
      </c>
    </row>
    <row r="1319" spans="1:6" x14ac:dyDescent="0.25">
      <c r="A1319">
        <v>1318</v>
      </c>
      <c r="B1319">
        <v>13</v>
      </c>
      <c r="C1319">
        <v>0</v>
      </c>
      <c r="D1319">
        <v>0</v>
      </c>
      <c r="E1319">
        <v>0</v>
      </c>
      <c r="F1319">
        <v>1602</v>
      </c>
    </row>
    <row r="1320" spans="1:6" x14ac:dyDescent="0.25">
      <c r="A1320">
        <v>1319</v>
      </c>
      <c r="B1320">
        <v>41</v>
      </c>
      <c r="C1320">
        <v>0</v>
      </c>
      <c r="D1320">
        <v>0</v>
      </c>
      <c r="E1320">
        <v>0</v>
      </c>
      <c r="F1320">
        <v>1</v>
      </c>
    </row>
    <row r="1321" spans="1:6" x14ac:dyDescent="0.25">
      <c r="A1321">
        <v>1320</v>
      </c>
      <c r="B1321">
        <v>42</v>
      </c>
      <c r="C1321">
        <v>0</v>
      </c>
      <c r="D1321">
        <v>0</v>
      </c>
      <c r="E1321">
        <v>0</v>
      </c>
      <c r="F1321">
        <v>0.2</v>
      </c>
    </row>
    <row r="1322" spans="1:6" x14ac:dyDescent="0.25">
      <c r="A1322">
        <v>1321</v>
      </c>
      <c r="B1322" t="s">
        <v>0</v>
      </c>
      <c r="C1322">
        <v>66</v>
      </c>
      <c r="D1322">
        <v>3482</v>
      </c>
      <c r="E1322">
        <v>79816933</v>
      </c>
    </row>
    <row r="1323" spans="1:6" x14ac:dyDescent="0.25">
      <c r="A1323">
        <v>1322</v>
      </c>
      <c r="B1323">
        <v>44</v>
      </c>
      <c r="C1323">
        <v>0</v>
      </c>
      <c r="D1323">
        <v>0</v>
      </c>
      <c r="E1323">
        <v>0</v>
      </c>
      <c r="F1323">
        <v>265.596</v>
      </c>
    </row>
    <row r="1324" spans="1:6" x14ac:dyDescent="0.25">
      <c r="A1324">
        <v>1323</v>
      </c>
      <c r="B1324">
        <v>45</v>
      </c>
      <c r="C1324">
        <v>0</v>
      </c>
      <c r="D1324">
        <v>0</v>
      </c>
      <c r="E1324">
        <v>0</v>
      </c>
      <c r="F1324">
        <v>1559.52</v>
      </c>
    </row>
    <row r="1325" spans="1:6" x14ac:dyDescent="0.25">
      <c r="A1325">
        <v>1324</v>
      </c>
      <c r="B1325">
        <v>46</v>
      </c>
      <c r="C1325">
        <v>0</v>
      </c>
      <c r="D1325">
        <v>0</v>
      </c>
      <c r="E1325">
        <v>0</v>
      </c>
      <c r="F1325">
        <v>0</v>
      </c>
    </row>
    <row r="1326" spans="1:6" x14ac:dyDescent="0.25">
      <c r="A1326">
        <v>1325</v>
      </c>
      <c r="B1326">
        <v>2</v>
      </c>
      <c r="C1326">
        <v>0</v>
      </c>
      <c r="D1326">
        <v>0</v>
      </c>
      <c r="E1326">
        <v>0</v>
      </c>
      <c r="F1326">
        <v>34.404200000000003</v>
      </c>
    </row>
    <row r="1327" spans="1:6" x14ac:dyDescent="0.25">
      <c r="A1327">
        <v>1326</v>
      </c>
      <c r="B1327">
        <v>10</v>
      </c>
      <c r="C1327">
        <v>1</v>
      </c>
      <c r="D1327">
        <v>0</v>
      </c>
      <c r="E1327">
        <v>0</v>
      </c>
      <c r="F1327">
        <v>5691</v>
      </c>
    </row>
    <row r="1328" spans="1:6" x14ac:dyDescent="0.25">
      <c r="A1328">
        <v>1327</v>
      </c>
      <c r="B1328">
        <v>13</v>
      </c>
      <c r="C1328">
        <v>0</v>
      </c>
      <c r="D1328">
        <v>0</v>
      </c>
      <c r="E1328">
        <v>0</v>
      </c>
      <c r="F1328">
        <v>1602</v>
      </c>
    </row>
    <row r="1329" spans="1:6" x14ac:dyDescent="0.25">
      <c r="A1329">
        <v>1328</v>
      </c>
      <c r="B1329">
        <v>41</v>
      </c>
      <c r="C1329">
        <v>0</v>
      </c>
      <c r="D1329">
        <v>0</v>
      </c>
      <c r="E1329">
        <v>0</v>
      </c>
      <c r="F1329">
        <v>1</v>
      </c>
    </row>
    <row r="1330" spans="1:6" x14ac:dyDescent="0.25">
      <c r="A1330">
        <v>1329</v>
      </c>
      <c r="B1330">
        <v>42</v>
      </c>
      <c r="C1330">
        <v>0</v>
      </c>
      <c r="D1330">
        <v>0</v>
      </c>
      <c r="E1330">
        <v>0</v>
      </c>
      <c r="F1330">
        <v>0.2</v>
      </c>
    </row>
    <row r="1331" spans="1:6" x14ac:dyDescent="0.25">
      <c r="A1331">
        <v>1330</v>
      </c>
      <c r="B1331">
        <v>43</v>
      </c>
      <c r="C1331">
        <v>0</v>
      </c>
      <c r="D1331">
        <v>0</v>
      </c>
      <c r="E1331">
        <v>0</v>
      </c>
      <c r="F1331">
        <v>0</v>
      </c>
    </row>
    <row r="1332" spans="1:6" x14ac:dyDescent="0.25">
      <c r="A1332">
        <v>1331</v>
      </c>
      <c r="B1332">
        <v>44</v>
      </c>
      <c r="C1332">
        <v>0</v>
      </c>
      <c r="D1332">
        <v>0</v>
      </c>
      <c r="E1332">
        <v>0</v>
      </c>
      <c r="F1332">
        <v>265.596</v>
      </c>
    </row>
    <row r="1333" spans="1:6" x14ac:dyDescent="0.25">
      <c r="A1333">
        <v>1332</v>
      </c>
      <c r="B1333">
        <v>45</v>
      </c>
      <c r="C1333">
        <v>0</v>
      </c>
      <c r="D1333">
        <v>0</v>
      </c>
      <c r="E1333">
        <v>0</v>
      </c>
      <c r="F1333">
        <v>1559.52</v>
      </c>
    </row>
    <row r="1334" spans="1:6" x14ac:dyDescent="0.25">
      <c r="A1334">
        <v>1333</v>
      </c>
      <c r="B1334">
        <v>46</v>
      </c>
      <c r="C1334">
        <v>0</v>
      </c>
      <c r="D1334">
        <v>0</v>
      </c>
      <c r="E1334">
        <v>0</v>
      </c>
      <c r="F1334">
        <v>0</v>
      </c>
    </row>
    <row r="1335" spans="1:6" x14ac:dyDescent="0.25">
      <c r="A1335">
        <v>1334</v>
      </c>
      <c r="B1335">
        <v>2</v>
      </c>
      <c r="C1335">
        <v>0</v>
      </c>
      <c r="D1335">
        <v>0</v>
      </c>
      <c r="E1335">
        <v>0</v>
      </c>
      <c r="F1335">
        <v>34.404200000000003</v>
      </c>
    </row>
    <row r="1336" spans="1:6" x14ac:dyDescent="0.25">
      <c r="A1336">
        <v>1335</v>
      </c>
      <c r="B1336">
        <v>10</v>
      </c>
      <c r="C1336">
        <v>1</v>
      </c>
      <c r="D1336">
        <v>0</v>
      </c>
      <c r="E1336">
        <v>0</v>
      </c>
      <c r="F1336">
        <v>5691</v>
      </c>
    </row>
    <row r="1337" spans="1:6" x14ac:dyDescent="0.25">
      <c r="A1337">
        <v>1336</v>
      </c>
      <c r="B1337" t="s">
        <v>0</v>
      </c>
      <c r="C1337">
        <v>67</v>
      </c>
      <c r="D1337">
        <v>3482</v>
      </c>
      <c r="E1337">
        <v>79817901</v>
      </c>
    </row>
    <row r="1338" spans="1:6" x14ac:dyDescent="0.25">
      <c r="A1338">
        <v>1337</v>
      </c>
      <c r="B1338">
        <v>13</v>
      </c>
      <c r="C1338">
        <v>0</v>
      </c>
      <c r="D1338">
        <v>0</v>
      </c>
      <c r="E1338">
        <v>0</v>
      </c>
      <c r="F1338">
        <v>1602</v>
      </c>
    </row>
    <row r="1339" spans="1:6" x14ac:dyDescent="0.25">
      <c r="A1339">
        <v>1338</v>
      </c>
      <c r="B1339">
        <v>41</v>
      </c>
      <c r="C1339">
        <v>0</v>
      </c>
      <c r="D1339">
        <v>0</v>
      </c>
      <c r="E1339">
        <v>0</v>
      </c>
      <c r="F1339">
        <v>1</v>
      </c>
    </row>
    <row r="1340" spans="1:6" x14ac:dyDescent="0.25">
      <c r="A1340">
        <v>1339</v>
      </c>
      <c r="B1340">
        <v>42</v>
      </c>
      <c r="C1340">
        <v>0</v>
      </c>
      <c r="D1340">
        <v>0</v>
      </c>
      <c r="E1340">
        <v>0</v>
      </c>
      <c r="F1340">
        <v>0.2</v>
      </c>
    </row>
    <row r="1341" spans="1:6" x14ac:dyDescent="0.25">
      <c r="A1341">
        <v>1340</v>
      </c>
      <c r="B1341">
        <v>43</v>
      </c>
      <c r="C1341">
        <v>0</v>
      </c>
      <c r="D1341">
        <v>0</v>
      </c>
      <c r="E1341">
        <v>0</v>
      </c>
      <c r="F1341">
        <v>0</v>
      </c>
    </row>
    <row r="1342" spans="1:6" x14ac:dyDescent="0.25">
      <c r="A1342">
        <v>1341</v>
      </c>
      <c r="B1342">
        <v>44</v>
      </c>
      <c r="C1342">
        <v>0</v>
      </c>
      <c r="D1342">
        <v>0</v>
      </c>
      <c r="E1342">
        <v>0</v>
      </c>
      <c r="F1342">
        <v>265.596</v>
      </c>
    </row>
    <row r="1343" spans="1:6" x14ac:dyDescent="0.25">
      <c r="A1343">
        <v>1342</v>
      </c>
      <c r="B1343">
        <v>45</v>
      </c>
      <c r="C1343">
        <v>0</v>
      </c>
      <c r="D1343">
        <v>0</v>
      </c>
      <c r="E1343">
        <v>0</v>
      </c>
      <c r="F1343">
        <v>1560.03</v>
      </c>
    </row>
    <row r="1344" spans="1:6" x14ac:dyDescent="0.25">
      <c r="A1344">
        <v>1343</v>
      </c>
      <c r="B1344">
        <v>46</v>
      </c>
      <c r="C1344">
        <v>0</v>
      </c>
      <c r="D1344">
        <v>0</v>
      </c>
      <c r="E1344">
        <v>0</v>
      </c>
      <c r="F1344">
        <v>0</v>
      </c>
    </row>
    <row r="1345" spans="1:6" x14ac:dyDescent="0.25">
      <c r="A1345">
        <v>1344</v>
      </c>
      <c r="B1345">
        <v>2</v>
      </c>
      <c r="C1345">
        <v>0</v>
      </c>
      <c r="D1345">
        <v>0</v>
      </c>
      <c r="E1345">
        <v>0</v>
      </c>
      <c r="F1345">
        <v>34.404000000000003</v>
      </c>
    </row>
    <row r="1346" spans="1:6" x14ac:dyDescent="0.25">
      <c r="A1346">
        <v>1345</v>
      </c>
      <c r="B1346">
        <v>10</v>
      </c>
      <c r="C1346">
        <v>1</v>
      </c>
      <c r="D1346">
        <v>0</v>
      </c>
      <c r="E1346">
        <v>0</v>
      </c>
      <c r="F1346">
        <v>5691</v>
      </c>
    </row>
    <row r="1347" spans="1:6" x14ac:dyDescent="0.25">
      <c r="A1347">
        <v>1346</v>
      </c>
      <c r="B1347">
        <v>13</v>
      </c>
      <c r="C1347">
        <v>0</v>
      </c>
      <c r="D1347">
        <v>0</v>
      </c>
      <c r="E1347">
        <v>0</v>
      </c>
      <c r="F1347">
        <v>1602</v>
      </c>
    </row>
    <row r="1348" spans="1:6" x14ac:dyDescent="0.25">
      <c r="A1348">
        <v>1347</v>
      </c>
      <c r="B1348">
        <v>41</v>
      </c>
      <c r="C1348">
        <v>0</v>
      </c>
      <c r="D1348">
        <v>0</v>
      </c>
      <c r="E1348">
        <v>0</v>
      </c>
      <c r="F1348">
        <v>1</v>
      </c>
    </row>
    <row r="1349" spans="1:6" x14ac:dyDescent="0.25">
      <c r="A1349">
        <v>1348</v>
      </c>
      <c r="B1349">
        <v>42</v>
      </c>
      <c r="C1349">
        <v>0</v>
      </c>
      <c r="D1349">
        <v>0</v>
      </c>
      <c r="E1349">
        <v>0</v>
      </c>
      <c r="F1349">
        <v>0.2</v>
      </c>
    </row>
    <row r="1350" spans="1:6" x14ac:dyDescent="0.25">
      <c r="A1350">
        <v>1349</v>
      </c>
      <c r="B1350">
        <v>43</v>
      </c>
      <c r="C1350">
        <v>0</v>
      </c>
      <c r="D1350">
        <v>0</v>
      </c>
      <c r="E1350">
        <v>0</v>
      </c>
      <c r="F1350">
        <v>0</v>
      </c>
    </row>
    <row r="1351" spans="1:6" x14ac:dyDescent="0.25">
      <c r="A1351">
        <v>1350</v>
      </c>
      <c r="B1351">
        <v>44</v>
      </c>
      <c r="C1351">
        <v>0</v>
      </c>
      <c r="D1351">
        <v>0</v>
      </c>
      <c r="E1351">
        <v>0</v>
      </c>
      <c r="F1351">
        <v>265.596</v>
      </c>
    </row>
    <row r="1352" spans="1:6" x14ac:dyDescent="0.25">
      <c r="A1352">
        <v>1351</v>
      </c>
      <c r="B1352">
        <v>45</v>
      </c>
      <c r="C1352">
        <v>0</v>
      </c>
      <c r="D1352">
        <v>0</v>
      </c>
      <c r="E1352">
        <v>0</v>
      </c>
      <c r="F1352">
        <v>1560.03</v>
      </c>
    </row>
    <row r="1353" spans="1:6" x14ac:dyDescent="0.25">
      <c r="A1353">
        <v>1352</v>
      </c>
      <c r="B1353" t="s">
        <v>0</v>
      </c>
      <c r="C1353">
        <v>68</v>
      </c>
      <c r="D1353">
        <v>3482</v>
      </c>
      <c r="E1353">
        <v>79818869</v>
      </c>
    </row>
    <row r="1354" spans="1:6" x14ac:dyDescent="0.25">
      <c r="A1354">
        <v>1353</v>
      </c>
      <c r="B1354">
        <v>46</v>
      </c>
      <c r="C1354">
        <v>0</v>
      </c>
      <c r="D1354">
        <v>0</v>
      </c>
      <c r="E1354">
        <v>0</v>
      </c>
      <c r="F1354">
        <v>0</v>
      </c>
    </row>
    <row r="1355" spans="1:6" x14ac:dyDescent="0.25">
      <c r="A1355">
        <v>1354</v>
      </c>
      <c r="B1355">
        <v>2</v>
      </c>
      <c r="C1355">
        <v>0</v>
      </c>
      <c r="D1355">
        <v>0</v>
      </c>
      <c r="E1355">
        <v>0</v>
      </c>
      <c r="F1355">
        <v>34.404200000000003</v>
      </c>
    </row>
    <row r="1356" spans="1:6" x14ac:dyDescent="0.25">
      <c r="A1356">
        <v>1355</v>
      </c>
      <c r="B1356">
        <v>10</v>
      </c>
      <c r="C1356">
        <v>1</v>
      </c>
      <c r="D1356">
        <v>0</v>
      </c>
      <c r="E1356">
        <v>0</v>
      </c>
      <c r="F1356">
        <v>5691</v>
      </c>
    </row>
    <row r="1357" spans="1:6" x14ac:dyDescent="0.25">
      <c r="A1357">
        <v>1356</v>
      </c>
      <c r="B1357">
        <v>13</v>
      </c>
      <c r="C1357">
        <v>0</v>
      </c>
      <c r="D1357">
        <v>0</v>
      </c>
      <c r="E1357">
        <v>0</v>
      </c>
      <c r="F1357">
        <v>1602</v>
      </c>
    </row>
    <row r="1358" spans="1:6" x14ac:dyDescent="0.25">
      <c r="A1358">
        <v>1357</v>
      </c>
      <c r="B1358">
        <v>41</v>
      </c>
      <c r="C1358">
        <v>0</v>
      </c>
      <c r="D1358">
        <v>0</v>
      </c>
      <c r="E1358">
        <v>0</v>
      </c>
      <c r="F1358">
        <v>1</v>
      </c>
    </row>
    <row r="1359" spans="1:6" x14ac:dyDescent="0.25">
      <c r="A1359">
        <v>1358</v>
      </c>
      <c r="B1359">
        <v>42</v>
      </c>
      <c r="C1359">
        <v>0</v>
      </c>
      <c r="D1359">
        <v>0</v>
      </c>
      <c r="E1359">
        <v>0</v>
      </c>
      <c r="F1359">
        <v>0.2</v>
      </c>
    </row>
    <row r="1360" spans="1:6" x14ac:dyDescent="0.25">
      <c r="A1360">
        <v>1359</v>
      </c>
      <c r="B1360">
        <v>43</v>
      </c>
      <c r="C1360">
        <v>0</v>
      </c>
      <c r="D1360">
        <v>0</v>
      </c>
      <c r="E1360">
        <v>0</v>
      </c>
      <c r="F1360">
        <v>0</v>
      </c>
    </row>
    <row r="1361" spans="1:6" x14ac:dyDescent="0.25">
      <c r="A1361">
        <v>1360</v>
      </c>
      <c r="B1361">
        <v>44</v>
      </c>
      <c r="C1361">
        <v>0</v>
      </c>
      <c r="D1361">
        <v>0</v>
      </c>
      <c r="E1361">
        <v>0</v>
      </c>
      <c r="F1361">
        <v>265.596</v>
      </c>
    </row>
    <row r="1362" spans="1:6" x14ac:dyDescent="0.25">
      <c r="A1362">
        <v>1361</v>
      </c>
      <c r="B1362">
        <v>45</v>
      </c>
      <c r="C1362">
        <v>0</v>
      </c>
      <c r="D1362">
        <v>0</v>
      </c>
      <c r="E1362">
        <v>0</v>
      </c>
      <c r="F1362">
        <v>1560.55</v>
      </c>
    </row>
    <row r="1363" spans="1:6" x14ac:dyDescent="0.25">
      <c r="A1363">
        <v>1362</v>
      </c>
      <c r="B1363">
        <v>46</v>
      </c>
      <c r="C1363">
        <v>0</v>
      </c>
      <c r="D1363">
        <v>0</v>
      </c>
      <c r="E1363">
        <v>0</v>
      </c>
      <c r="F1363">
        <v>0</v>
      </c>
    </row>
    <row r="1364" spans="1:6" x14ac:dyDescent="0.25">
      <c r="A1364">
        <v>1363</v>
      </c>
      <c r="B1364">
        <v>2</v>
      </c>
      <c r="C1364">
        <v>0</v>
      </c>
      <c r="D1364">
        <v>0</v>
      </c>
      <c r="E1364">
        <v>0</v>
      </c>
      <c r="F1364">
        <v>34.404200000000003</v>
      </c>
    </row>
    <row r="1365" spans="1:6" x14ac:dyDescent="0.25">
      <c r="A1365">
        <v>1364</v>
      </c>
      <c r="B1365">
        <v>10</v>
      </c>
      <c r="C1365">
        <v>1</v>
      </c>
      <c r="D1365">
        <v>0</v>
      </c>
      <c r="E1365">
        <v>0</v>
      </c>
      <c r="F1365">
        <v>5691</v>
      </c>
    </row>
    <row r="1366" spans="1:6" x14ac:dyDescent="0.25">
      <c r="A1366">
        <v>1365</v>
      </c>
      <c r="B1366">
        <v>13</v>
      </c>
      <c r="C1366">
        <v>0</v>
      </c>
      <c r="D1366">
        <v>0</v>
      </c>
      <c r="E1366">
        <v>0</v>
      </c>
      <c r="F1366">
        <v>1602</v>
      </c>
    </row>
    <row r="1367" spans="1:6" x14ac:dyDescent="0.25">
      <c r="A1367">
        <v>1366</v>
      </c>
      <c r="B1367">
        <v>41</v>
      </c>
      <c r="C1367">
        <v>0</v>
      </c>
      <c r="D1367">
        <v>0</v>
      </c>
      <c r="E1367">
        <v>0</v>
      </c>
      <c r="F1367">
        <v>1</v>
      </c>
    </row>
    <row r="1368" spans="1:6" x14ac:dyDescent="0.25">
      <c r="A1368">
        <v>1367</v>
      </c>
      <c r="B1368">
        <v>42</v>
      </c>
      <c r="C1368">
        <v>0</v>
      </c>
      <c r="D1368">
        <v>0</v>
      </c>
      <c r="E1368">
        <v>0</v>
      </c>
      <c r="F1368">
        <v>0.2</v>
      </c>
    </row>
    <row r="1369" spans="1:6" x14ac:dyDescent="0.25">
      <c r="A1369">
        <v>1368</v>
      </c>
      <c r="B1369">
        <v>43</v>
      </c>
      <c r="C1369">
        <v>0</v>
      </c>
      <c r="D1369">
        <v>0</v>
      </c>
      <c r="E1369">
        <v>0</v>
      </c>
      <c r="F1369">
        <v>0</v>
      </c>
    </row>
    <row r="1370" spans="1:6" x14ac:dyDescent="0.25">
      <c r="A1370">
        <v>1369</v>
      </c>
      <c r="B1370">
        <v>44</v>
      </c>
      <c r="C1370">
        <v>0</v>
      </c>
      <c r="D1370">
        <v>0</v>
      </c>
      <c r="E1370">
        <v>0</v>
      </c>
      <c r="F1370">
        <v>265.59500000000003</v>
      </c>
    </row>
    <row r="1371" spans="1:6" x14ac:dyDescent="0.25">
      <c r="A1371">
        <v>1370</v>
      </c>
      <c r="B1371">
        <v>45</v>
      </c>
      <c r="C1371">
        <v>0</v>
      </c>
      <c r="D1371">
        <v>0</v>
      </c>
      <c r="E1371">
        <v>0</v>
      </c>
      <c r="F1371">
        <v>1561.06</v>
      </c>
    </row>
    <row r="1372" spans="1:6" x14ac:dyDescent="0.25">
      <c r="A1372">
        <v>1371</v>
      </c>
      <c r="B1372">
        <v>46</v>
      </c>
      <c r="C1372">
        <v>0</v>
      </c>
      <c r="D1372">
        <v>0</v>
      </c>
      <c r="E1372">
        <v>0</v>
      </c>
      <c r="F1372">
        <v>0</v>
      </c>
    </row>
    <row r="1373" spans="1:6" x14ac:dyDescent="0.25">
      <c r="A1373">
        <v>1372</v>
      </c>
      <c r="B1373">
        <v>2</v>
      </c>
      <c r="C1373">
        <v>0</v>
      </c>
      <c r="D1373">
        <v>0</v>
      </c>
      <c r="E1373">
        <v>0</v>
      </c>
      <c r="F1373">
        <v>34.405099999999997</v>
      </c>
    </row>
    <row r="1374" spans="1:6" x14ac:dyDescent="0.25">
      <c r="A1374">
        <v>1373</v>
      </c>
      <c r="B1374">
        <v>10</v>
      </c>
      <c r="C1374">
        <v>1</v>
      </c>
      <c r="D1374">
        <v>0</v>
      </c>
      <c r="E1374">
        <v>0</v>
      </c>
      <c r="F1374">
        <v>5691</v>
      </c>
    </row>
    <row r="1375" spans="1:6" x14ac:dyDescent="0.25">
      <c r="A1375">
        <v>1374</v>
      </c>
      <c r="B1375">
        <v>13</v>
      </c>
      <c r="C1375">
        <v>0</v>
      </c>
      <c r="D1375">
        <v>0</v>
      </c>
      <c r="E1375">
        <v>0</v>
      </c>
      <c r="F1375">
        <v>1602</v>
      </c>
    </row>
    <row r="1376" spans="1:6" x14ac:dyDescent="0.25">
      <c r="A1376">
        <v>1375</v>
      </c>
      <c r="B1376">
        <v>41</v>
      </c>
      <c r="C1376">
        <v>0</v>
      </c>
      <c r="D1376">
        <v>0</v>
      </c>
      <c r="E1376">
        <v>0</v>
      </c>
      <c r="F1376">
        <v>1</v>
      </c>
    </row>
    <row r="1377" spans="1:6" x14ac:dyDescent="0.25">
      <c r="A1377">
        <v>1376</v>
      </c>
      <c r="B1377">
        <v>42</v>
      </c>
      <c r="C1377">
        <v>0</v>
      </c>
      <c r="D1377">
        <v>0</v>
      </c>
      <c r="E1377">
        <v>0</v>
      </c>
      <c r="F1377">
        <v>0.2</v>
      </c>
    </row>
    <row r="1378" spans="1:6" x14ac:dyDescent="0.25">
      <c r="A1378">
        <v>1377</v>
      </c>
      <c r="B1378">
        <v>43</v>
      </c>
      <c r="C1378">
        <v>0</v>
      </c>
      <c r="D1378">
        <v>0</v>
      </c>
      <c r="E1378">
        <v>0</v>
      </c>
      <c r="F1378">
        <v>0</v>
      </c>
    </row>
    <row r="1379" spans="1:6" x14ac:dyDescent="0.25">
      <c r="A1379">
        <v>1378</v>
      </c>
      <c r="B1379">
        <v>44</v>
      </c>
      <c r="C1379">
        <v>0</v>
      </c>
      <c r="D1379">
        <v>0</v>
      </c>
      <c r="E1379">
        <v>0</v>
      </c>
      <c r="F1379">
        <v>265.59500000000003</v>
      </c>
    </row>
    <row r="1380" spans="1:6" x14ac:dyDescent="0.25">
      <c r="A1380">
        <v>1379</v>
      </c>
      <c r="B1380">
        <v>45</v>
      </c>
      <c r="C1380">
        <v>0</v>
      </c>
      <c r="D1380">
        <v>0</v>
      </c>
      <c r="E1380">
        <v>0</v>
      </c>
      <c r="F1380">
        <v>1561.06</v>
      </c>
    </row>
    <row r="1381" spans="1:6" x14ac:dyDescent="0.25">
      <c r="A1381">
        <v>1380</v>
      </c>
      <c r="B1381">
        <v>46</v>
      </c>
      <c r="C1381">
        <v>0</v>
      </c>
      <c r="D1381">
        <v>0</v>
      </c>
      <c r="E1381">
        <v>0</v>
      </c>
      <c r="F1381">
        <v>0</v>
      </c>
    </row>
    <row r="1382" spans="1:6" x14ac:dyDescent="0.25">
      <c r="A1382">
        <v>1381</v>
      </c>
      <c r="B1382">
        <v>2</v>
      </c>
      <c r="C1382">
        <v>0</v>
      </c>
      <c r="D1382">
        <v>0</v>
      </c>
      <c r="E1382">
        <v>0</v>
      </c>
      <c r="F1382">
        <v>34.405099999999997</v>
      </c>
    </row>
    <row r="1383" spans="1:6" x14ac:dyDescent="0.25">
      <c r="A1383">
        <v>1382</v>
      </c>
      <c r="B1383" t="s">
        <v>0</v>
      </c>
      <c r="C1383">
        <v>70</v>
      </c>
      <c r="D1383">
        <v>3482</v>
      </c>
      <c r="E1383">
        <v>79820804</v>
      </c>
    </row>
    <row r="1384" spans="1:6" x14ac:dyDescent="0.25">
      <c r="A1384">
        <v>1383</v>
      </c>
      <c r="B1384">
        <v>13</v>
      </c>
      <c r="C1384">
        <v>0</v>
      </c>
      <c r="D1384">
        <v>0</v>
      </c>
      <c r="E1384">
        <v>0</v>
      </c>
      <c r="F1384">
        <v>1602</v>
      </c>
    </row>
    <row r="1385" spans="1:6" x14ac:dyDescent="0.25">
      <c r="A1385">
        <v>1384</v>
      </c>
      <c r="B1385">
        <v>41</v>
      </c>
      <c r="C1385">
        <v>0</v>
      </c>
      <c r="D1385">
        <v>0</v>
      </c>
      <c r="E1385">
        <v>0</v>
      </c>
      <c r="F1385">
        <v>1</v>
      </c>
    </row>
    <row r="1386" spans="1:6" x14ac:dyDescent="0.25">
      <c r="A1386">
        <v>1385</v>
      </c>
      <c r="B1386">
        <v>42</v>
      </c>
      <c r="C1386">
        <v>0</v>
      </c>
      <c r="D1386">
        <v>0</v>
      </c>
      <c r="E1386">
        <v>0</v>
      </c>
      <c r="F1386">
        <v>0.2</v>
      </c>
    </row>
    <row r="1387" spans="1:6" x14ac:dyDescent="0.25">
      <c r="A1387">
        <v>1386</v>
      </c>
      <c r="B1387">
        <v>43</v>
      </c>
      <c r="C1387">
        <v>0</v>
      </c>
      <c r="D1387">
        <v>0</v>
      </c>
      <c r="E1387">
        <v>0</v>
      </c>
      <c r="F1387">
        <v>0</v>
      </c>
    </row>
    <row r="1388" spans="1:6" x14ac:dyDescent="0.25">
      <c r="A1388">
        <v>1387</v>
      </c>
      <c r="B1388">
        <v>44</v>
      </c>
      <c r="C1388">
        <v>0</v>
      </c>
      <c r="D1388">
        <v>0</v>
      </c>
      <c r="E1388">
        <v>0</v>
      </c>
      <c r="F1388">
        <v>265.59500000000003</v>
      </c>
    </row>
    <row r="1389" spans="1:6" x14ac:dyDescent="0.25">
      <c r="A1389">
        <v>1388</v>
      </c>
      <c r="B1389">
        <v>45</v>
      </c>
      <c r="C1389">
        <v>0</v>
      </c>
      <c r="D1389">
        <v>0</v>
      </c>
      <c r="E1389">
        <v>0</v>
      </c>
      <c r="F1389">
        <v>1561.58</v>
      </c>
    </row>
    <row r="1390" spans="1:6" x14ac:dyDescent="0.25">
      <c r="A1390">
        <v>1389</v>
      </c>
      <c r="B1390">
        <v>46</v>
      </c>
      <c r="C1390">
        <v>0</v>
      </c>
      <c r="D1390">
        <v>0</v>
      </c>
      <c r="E1390">
        <v>0</v>
      </c>
      <c r="F1390">
        <v>0</v>
      </c>
    </row>
    <row r="1391" spans="1:6" x14ac:dyDescent="0.25">
      <c r="A1391">
        <v>1390</v>
      </c>
      <c r="B1391">
        <v>2</v>
      </c>
      <c r="C1391">
        <v>0</v>
      </c>
      <c r="D1391">
        <v>0</v>
      </c>
      <c r="E1391">
        <v>0</v>
      </c>
      <c r="F1391">
        <v>34.404600000000002</v>
      </c>
    </row>
    <row r="1392" spans="1:6" x14ac:dyDescent="0.25">
      <c r="A1392">
        <v>1391</v>
      </c>
      <c r="B1392">
        <v>10</v>
      </c>
      <c r="C1392">
        <v>1</v>
      </c>
      <c r="D1392">
        <v>0</v>
      </c>
      <c r="E1392">
        <v>0</v>
      </c>
      <c r="F1392">
        <v>5691</v>
      </c>
    </row>
    <row r="1393" spans="1:6" x14ac:dyDescent="0.25">
      <c r="A1393">
        <v>1392</v>
      </c>
      <c r="B1393">
        <v>13</v>
      </c>
      <c r="C1393">
        <v>0</v>
      </c>
      <c r="D1393">
        <v>0</v>
      </c>
      <c r="E1393">
        <v>0</v>
      </c>
      <c r="F1393">
        <v>1602</v>
      </c>
    </row>
    <row r="1394" spans="1:6" x14ac:dyDescent="0.25">
      <c r="A1394">
        <v>1393</v>
      </c>
      <c r="B1394">
        <v>41</v>
      </c>
      <c r="C1394">
        <v>0</v>
      </c>
      <c r="D1394">
        <v>0</v>
      </c>
      <c r="E1394">
        <v>0</v>
      </c>
      <c r="F1394">
        <v>1</v>
      </c>
    </row>
    <row r="1395" spans="1:6" x14ac:dyDescent="0.25">
      <c r="A1395">
        <v>1394</v>
      </c>
      <c r="B1395">
        <v>42</v>
      </c>
      <c r="C1395">
        <v>0</v>
      </c>
      <c r="D1395">
        <v>0</v>
      </c>
      <c r="E1395">
        <v>0</v>
      </c>
      <c r="F1395">
        <v>0.2</v>
      </c>
    </row>
    <row r="1396" spans="1:6" x14ac:dyDescent="0.25">
      <c r="A1396">
        <v>1395</v>
      </c>
      <c r="B1396">
        <v>43</v>
      </c>
      <c r="C1396">
        <v>0</v>
      </c>
      <c r="D1396">
        <v>0</v>
      </c>
      <c r="E1396">
        <v>0</v>
      </c>
      <c r="F1396">
        <v>0</v>
      </c>
    </row>
    <row r="1397" spans="1:6" x14ac:dyDescent="0.25">
      <c r="A1397">
        <v>1396</v>
      </c>
      <c r="B1397">
        <v>44</v>
      </c>
      <c r="C1397">
        <v>0</v>
      </c>
      <c r="D1397">
        <v>0</v>
      </c>
      <c r="E1397">
        <v>0</v>
      </c>
      <c r="F1397">
        <v>265.59500000000003</v>
      </c>
    </row>
    <row r="1398" spans="1:6" x14ac:dyDescent="0.25">
      <c r="A1398">
        <v>1397</v>
      </c>
      <c r="B1398" t="s">
        <v>0</v>
      </c>
      <c r="C1398">
        <v>71</v>
      </c>
      <c r="D1398">
        <v>3482</v>
      </c>
      <c r="E1398">
        <v>79821772</v>
      </c>
    </row>
    <row r="1399" spans="1:6" x14ac:dyDescent="0.25">
      <c r="A1399">
        <v>1398</v>
      </c>
      <c r="B1399">
        <v>46</v>
      </c>
      <c r="C1399">
        <v>0</v>
      </c>
      <c r="D1399">
        <v>0</v>
      </c>
      <c r="E1399">
        <v>0</v>
      </c>
      <c r="F1399">
        <v>0</v>
      </c>
    </row>
    <row r="1400" spans="1:6" x14ac:dyDescent="0.25">
      <c r="A1400">
        <v>1399</v>
      </c>
      <c r="B1400">
        <v>2</v>
      </c>
      <c r="C1400">
        <v>0</v>
      </c>
      <c r="D1400">
        <v>0</v>
      </c>
      <c r="E1400">
        <v>0</v>
      </c>
      <c r="F1400">
        <v>34.403799999999997</v>
      </c>
    </row>
    <row r="1401" spans="1:6" x14ac:dyDescent="0.25">
      <c r="A1401">
        <v>1400</v>
      </c>
      <c r="B1401">
        <v>10</v>
      </c>
      <c r="C1401">
        <v>1</v>
      </c>
      <c r="D1401">
        <v>0</v>
      </c>
      <c r="E1401">
        <v>0</v>
      </c>
      <c r="F1401">
        <v>5691</v>
      </c>
    </row>
    <row r="1402" spans="1:6" x14ac:dyDescent="0.25">
      <c r="A1402">
        <v>1401</v>
      </c>
      <c r="B1402">
        <v>13</v>
      </c>
      <c r="C1402">
        <v>0</v>
      </c>
      <c r="D1402">
        <v>0</v>
      </c>
      <c r="E1402">
        <v>0</v>
      </c>
      <c r="F1402">
        <v>1602</v>
      </c>
    </row>
    <row r="1403" spans="1:6" x14ac:dyDescent="0.25">
      <c r="A1403">
        <v>1402</v>
      </c>
      <c r="B1403">
        <v>41</v>
      </c>
      <c r="C1403">
        <v>0</v>
      </c>
      <c r="D1403">
        <v>0</v>
      </c>
      <c r="E1403">
        <v>0</v>
      </c>
      <c r="F1403">
        <v>1</v>
      </c>
    </row>
    <row r="1404" spans="1:6" x14ac:dyDescent="0.25">
      <c r="A1404">
        <v>1403</v>
      </c>
      <c r="B1404">
        <v>42</v>
      </c>
      <c r="C1404">
        <v>0</v>
      </c>
      <c r="D1404">
        <v>0</v>
      </c>
      <c r="E1404">
        <v>0</v>
      </c>
      <c r="F1404">
        <v>0.2</v>
      </c>
    </row>
    <row r="1405" spans="1:6" x14ac:dyDescent="0.25">
      <c r="A1405">
        <v>1404</v>
      </c>
      <c r="B1405">
        <v>43</v>
      </c>
      <c r="C1405">
        <v>0</v>
      </c>
      <c r="D1405">
        <v>0</v>
      </c>
      <c r="E1405">
        <v>0</v>
      </c>
      <c r="F1405">
        <v>0</v>
      </c>
    </row>
    <row r="1406" spans="1:6" x14ac:dyDescent="0.25">
      <c r="A1406">
        <v>1405</v>
      </c>
      <c r="B1406">
        <v>44</v>
      </c>
      <c r="C1406">
        <v>0</v>
      </c>
      <c r="D1406">
        <v>0</v>
      </c>
      <c r="E1406">
        <v>0</v>
      </c>
      <c r="F1406">
        <v>265.596</v>
      </c>
    </row>
    <row r="1407" spans="1:6" x14ac:dyDescent="0.25">
      <c r="A1407">
        <v>1406</v>
      </c>
      <c r="B1407">
        <v>45</v>
      </c>
      <c r="C1407">
        <v>0</v>
      </c>
      <c r="D1407">
        <v>0</v>
      </c>
      <c r="E1407">
        <v>0</v>
      </c>
      <c r="F1407">
        <v>1562.09</v>
      </c>
    </row>
    <row r="1408" spans="1:6" x14ac:dyDescent="0.25">
      <c r="A1408">
        <v>1407</v>
      </c>
      <c r="B1408">
        <v>46</v>
      </c>
      <c r="C1408">
        <v>0</v>
      </c>
      <c r="D1408">
        <v>0</v>
      </c>
      <c r="E1408">
        <v>0</v>
      </c>
      <c r="F1408">
        <v>0</v>
      </c>
    </row>
    <row r="1409" spans="1:6" x14ac:dyDescent="0.25">
      <c r="A1409">
        <v>1408</v>
      </c>
      <c r="B1409">
        <v>2</v>
      </c>
      <c r="C1409">
        <v>0</v>
      </c>
      <c r="D1409">
        <v>0</v>
      </c>
      <c r="E1409">
        <v>0</v>
      </c>
      <c r="F1409">
        <v>34.403799999999997</v>
      </c>
    </row>
    <row r="1410" spans="1:6" x14ac:dyDescent="0.25">
      <c r="A1410">
        <v>1409</v>
      </c>
      <c r="B1410">
        <v>10</v>
      </c>
      <c r="C1410">
        <v>1</v>
      </c>
      <c r="D1410">
        <v>0</v>
      </c>
      <c r="E1410">
        <v>0</v>
      </c>
      <c r="F1410">
        <v>5691</v>
      </c>
    </row>
    <row r="1411" spans="1:6" x14ac:dyDescent="0.25">
      <c r="A1411">
        <v>1410</v>
      </c>
      <c r="B1411">
        <v>13</v>
      </c>
      <c r="C1411">
        <v>0</v>
      </c>
      <c r="D1411">
        <v>0</v>
      </c>
      <c r="E1411">
        <v>0</v>
      </c>
      <c r="F1411">
        <v>1602</v>
      </c>
    </row>
    <row r="1412" spans="1:6" x14ac:dyDescent="0.25">
      <c r="A1412">
        <v>1411</v>
      </c>
      <c r="B1412">
        <v>41</v>
      </c>
      <c r="C1412">
        <v>0</v>
      </c>
      <c r="D1412">
        <v>0</v>
      </c>
      <c r="E1412">
        <v>0</v>
      </c>
      <c r="F1412">
        <v>1</v>
      </c>
    </row>
    <row r="1413" spans="1:6" x14ac:dyDescent="0.25">
      <c r="A1413">
        <v>1412</v>
      </c>
      <c r="B1413" t="s">
        <v>0</v>
      </c>
      <c r="C1413">
        <v>72</v>
      </c>
      <c r="D1413">
        <v>3482</v>
      </c>
      <c r="E1413">
        <v>79822740</v>
      </c>
    </row>
    <row r="1414" spans="1:6" x14ac:dyDescent="0.25">
      <c r="A1414">
        <v>1413</v>
      </c>
      <c r="B1414">
        <v>42</v>
      </c>
      <c r="C1414">
        <v>0</v>
      </c>
      <c r="D1414">
        <v>0</v>
      </c>
      <c r="E1414">
        <v>0</v>
      </c>
      <c r="F1414">
        <v>0.2</v>
      </c>
    </row>
    <row r="1415" spans="1:6" x14ac:dyDescent="0.25">
      <c r="A1415">
        <v>1414</v>
      </c>
      <c r="B1415">
        <v>43</v>
      </c>
      <c r="C1415">
        <v>0</v>
      </c>
      <c r="D1415">
        <v>0</v>
      </c>
      <c r="E1415">
        <v>0</v>
      </c>
      <c r="F1415">
        <v>0</v>
      </c>
    </row>
    <row r="1416" spans="1:6" x14ac:dyDescent="0.25">
      <c r="A1416">
        <v>1415</v>
      </c>
      <c r="B1416">
        <v>44</v>
      </c>
      <c r="C1416">
        <v>0</v>
      </c>
      <c r="D1416">
        <v>0</v>
      </c>
      <c r="E1416">
        <v>0</v>
      </c>
      <c r="F1416">
        <v>265.59500000000003</v>
      </c>
    </row>
    <row r="1417" spans="1:6" x14ac:dyDescent="0.25">
      <c r="A1417">
        <v>1416</v>
      </c>
      <c r="B1417">
        <v>45</v>
      </c>
      <c r="C1417">
        <v>0</v>
      </c>
      <c r="D1417">
        <v>0</v>
      </c>
      <c r="E1417">
        <v>0</v>
      </c>
      <c r="F1417">
        <v>1562.61</v>
      </c>
    </row>
    <row r="1418" spans="1:6" x14ac:dyDescent="0.25">
      <c r="A1418">
        <v>1417</v>
      </c>
      <c r="B1418">
        <v>46</v>
      </c>
      <c r="C1418">
        <v>0</v>
      </c>
      <c r="D1418">
        <v>0</v>
      </c>
      <c r="E1418">
        <v>0</v>
      </c>
      <c r="F1418">
        <v>0</v>
      </c>
    </row>
    <row r="1419" spans="1:6" x14ac:dyDescent="0.25">
      <c r="A1419">
        <v>1418</v>
      </c>
      <c r="B1419">
        <v>2</v>
      </c>
      <c r="C1419">
        <v>0</v>
      </c>
      <c r="D1419">
        <v>0</v>
      </c>
      <c r="E1419">
        <v>0</v>
      </c>
      <c r="F1419">
        <v>34.405099999999997</v>
      </c>
    </row>
    <row r="1420" spans="1:6" x14ac:dyDescent="0.25">
      <c r="A1420">
        <v>1419</v>
      </c>
      <c r="B1420">
        <v>10</v>
      </c>
      <c r="C1420">
        <v>1</v>
      </c>
      <c r="D1420">
        <v>0</v>
      </c>
      <c r="E1420">
        <v>0</v>
      </c>
      <c r="F1420">
        <v>5691</v>
      </c>
    </row>
    <row r="1421" spans="1:6" x14ac:dyDescent="0.25">
      <c r="A1421">
        <v>1420</v>
      </c>
      <c r="B1421">
        <v>13</v>
      </c>
      <c r="C1421">
        <v>0</v>
      </c>
      <c r="D1421">
        <v>0</v>
      </c>
      <c r="E1421">
        <v>0</v>
      </c>
      <c r="F1421">
        <v>1602</v>
      </c>
    </row>
    <row r="1422" spans="1:6" x14ac:dyDescent="0.25">
      <c r="A1422">
        <v>1421</v>
      </c>
      <c r="B1422">
        <v>41</v>
      </c>
      <c r="C1422">
        <v>0</v>
      </c>
      <c r="D1422">
        <v>0</v>
      </c>
      <c r="E1422">
        <v>0</v>
      </c>
      <c r="F1422">
        <v>1</v>
      </c>
    </row>
    <row r="1423" spans="1:6" x14ac:dyDescent="0.25">
      <c r="A1423">
        <v>1422</v>
      </c>
      <c r="B1423">
        <v>42</v>
      </c>
      <c r="C1423">
        <v>0</v>
      </c>
      <c r="D1423">
        <v>0</v>
      </c>
      <c r="E1423">
        <v>0</v>
      </c>
      <c r="F1423">
        <v>0.2</v>
      </c>
    </row>
    <row r="1424" spans="1:6" x14ac:dyDescent="0.25">
      <c r="A1424">
        <v>1423</v>
      </c>
      <c r="B1424">
        <v>43</v>
      </c>
      <c r="C1424">
        <v>0</v>
      </c>
      <c r="D1424">
        <v>0</v>
      </c>
      <c r="E1424">
        <v>0</v>
      </c>
      <c r="F1424">
        <v>0</v>
      </c>
    </row>
    <row r="1425" spans="1:6" x14ac:dyDescent="0.25">
      <c r="A1425">
        <v>1424</v>
      </c>
      <c r="B1425">
        <v>44</v>
      </c>
      <c r="C1425">
        <v>0</v>
      </c>
      <c r="D1425">
        <v>0</v>
      </c>
      <c r="E1425">
        <v>0</v>
      </c>
      <c r="F1425">
        <v>265.59500000000003</v>
      </c>
    </row>
    <row r="1426" spans="1:6" x14ac:dyDescent="0.25">
      <c r="A1426">
        <v>1425</v>
      </c>
      <c r="B1426">
        <v>45</v>
      </c>
      <c r="C1426">
        <v>0</v>
      </c>
      <c r="D1426">
        <v>0</v>
      </c>
      <c r="E1426">
        <v>0</v>
      </c>
      <c r="F1426">
        <v>1562.61</v>
      </c>
    </row>
    <row r="1427" spans="1:6" x14ac:dyDescent="0.25">
      <c r="A1427">
        <v>1426</v>
      </c>
      <c r="B1427">
        <v>46</v>
      </c>
      <c r="C1427">
        <v>0</v>
      </c>
      <c r="D1427">
        <v>0</v>
      </c>
      <c r="E1427">
        <v>0</v>
      </c>
      <c r="F1427">
        <v>0</v>
      </c>
    </row>
    <row r="1428" spans="1:6" x14ac:dyDescent="0.25">
      <c r="A1428">
        <v>1427</v>
      </c>
      <c r="B1428">
        <v>2</v>
      </c>
      <c r="C1428">
        <v>0</v>
      </c>
      <c r="D1428">
        <v>0</v>
      </c>
      <c r="E1428">
        <v>0</v>
      </c>
      <c r="F1428">
        <v>34.405099999999997</v>
      </c>
    </row>
    <row r="1429" spans="1:6" x14ac:dyDescent="0.25">
      <c r="A1429">
        <v>1428</v>
      </c>
      <c r="B1429" t="s">
        <v>0</v>
      </c>
      <c r="C1429">
        <v>73</v>
      </c>
      <c r="D1429">
        <v>3482</v>
      </c>
      <c r="E1429">
        <v>79823708</v>
      </c>
    </row>
    <row r="1430" spans="1:6" x14ac:dyDescent="0.25">
      <c r="A1430">
        <v>1429</v>
      </c>
      <c r="B1430">
        <v>10</v>
      </c>
      <c r="C1430">
        <v>1</v>
      </c>
      <c r="D1430">
        <v>0</v>
      </c>
      <c r="E1430">
        <v>0</v>
      </c>
      <c r="F1430">
        <v>5691</v>
      </c>
    </row>
    <row r="1431" spans="1:6" x14ac:dyDescent="0.25">
      <c r="A1431">
        <v>1430</v>
      </c>
      <c r="B1431">
        <v>13</v>
      </c>
      <c r="C1431">
        <v>0</v>
      </c>
      <c r="D1431">
        <v>0</v>
      </c>
      <c r="E1431">
        <v>0</v>
      </c>
      <c r="F1431">
        <v>1602</v>
      </c>
    </row>
    <row r="1432" spans="1:6" x14ac:dyDescent="0.25">
      <c r="A1432">
        <v>1431</v>
      </c>
      <c r="B1432">
        <v>41</v>
      </c>
      <c r="C1432">
        <v>0</v>
      </c>
      <c r="D1432">
        <v>0</v>
      </c>
      <c r="E1432">
        <v>0</v>
      </c>
      <c r="F1432">
        <v>1</v>
      </c>
    </row>
    <row r="1433" spans="1:6" x14ac:dyDescent="0.25">
      <c r="A1433">
        <v>1432</v>
      </c>
      <c r="B1433">
        <v>42</v>
      </c>
      <c r="C1433">
        <v>0</v>
      </c>
      <c r="D1433">
        <v>0</v>
      </c>
      <c r="E1433">
        <v>0</v>
      </c>
      <c r="F1433">
        <v>0.2</v>
      </c>
    </row>
    <row r="1434" spans="1:6" x14ac:dyDescent="0.25">
      <c r="A1434">
        <v>1433</v>
      </c>
      <c r="B1434">
        <v>43</v>
      </c>
      <c r="C1434">
        <v>0</v>
      </c>
      <c r="D1434">
        <v>0</v>
      </c>
      <c r="E1434">
        <v>0</v>
      </c>
      <c r="F1434">
        <v>0</v>
      </c>
    </row>
    <row r="1435" spans="1:6" x14ac:dyDescent="0.25">
      <c r="A1435">
        <v>1434</v>
      </c>
      <c r="B1435">
        <v>44</v>
      </c>
      <c r="C1435">
        <v>0</v>
      </c>
      <c r="D1435">
        <v>0</v>
      </c>
      <c r="E1435">
        <v>0</v>
      </c>
      <c r="F1435">
        <v>265.59399999999999</v>
      </c>
    </row>
    <row r="1436" spans="1:6" x14ac:dyDescent="0.25">
      <c r="A1436">
        <v>1435</v>
      </c>
      <c r="B1436">
        <v>45</v>
      </c>
      <c r="C1436">
        <v>0</v>
      </c>
      <c r="D1436">
        <v>0</v>
      </c>
      <c r="E1436">
        <v>0</v>
      </c>
      <c r="F1436">
        <v>1563.12</v>
      </c>
    </row>
    <row r="1437" spans="1:6" x14ac:dyDescent="0.25">
      <c r="A1437">
        <v>1436</v>
      </c>
      <c r="B1437">
        <v>46</v>
      </c>
      <c r="C1437">
        <v>0</v>
      </c>
      <c r="D1437">
        <v>0</v>
      </c>
      <c r="E1437">
        <v>0</v>
      </c>
      <c r="F1437">
        <v>0</v>
      </c>
    </row>
    <row r="1438" spans="1:6" x14ac:dyDescent="0.25">
      <c r="A1438">
        <v>1437</v>
      </c>
      <c r="B1438">
        <v>2</v>
      </c>
      <c r="C1438">
        <v>0</v>
      </c>
      <c r="D1438">
        <v>0</v>
      </c>
      <c r="E1438">
        <v>0</v>
      </c>
      <c r="F1438">
        <v>34.405700000000003</v>
      </c>
    </row>
    <row r="1439" spans="1:6" x14ac:dyDescent="0.25">
      <c r="A1439">
        <v>1438</v>
      </c>
      <c r="B1439">
        <v>10</v>
      </c>
      <c r="C1439">
        <v>1</v>
      </c>
      <c r="D1439">
        <v>0</v>
      </c>
      <c r="E1439">
        <v>0</v>
      </c>
      <c r="F1439">
        <v>5691</v>
      </c>
    </row>
    <row r="1440" spans="1:6" x14ac:dyDescent="0.25">
      <c r="A1440">
        <v>1439</v>
      </c>
      <c r="B1440">
        <v>13</v>
      </c>
      <c r="C1440">
        <v>0</v>
      </c>
      <c r="D1440">
        <v>0</v>
      </c>
      <c r="E1440">
        <v>0</v>
      </c>
      <c r="F1440">
        <v>1602</v>
      </c>
    </row>
    <row r="1441" spans="1:6" x14ac:dyDescent="0.25">
      <c r="A1441">
        <v>1440</v>
      </c>
      <c r="B1441">
        <v>41</v>
      </c>
      <c r="C1441">
        <v>0</v>
      </c>
      <c r="D1441">
        <v>0</v>
      </c>
      <c r="E1441">
        <v>0</v>
      </c>
      <c r="F1441">
        <v>1</v>
      </c>
    </row>
    <row r="1442" spans="1:6" x14ac:dyDescent="0.25">
      <c r="A1442">
        <v>1441</v>
      </c>
      <c r="B1442">
        <v>42</v>
      </c>
      <c r="C1442">
        <v>0</v>
      </c>
      <c r="D1442">
        <v>0</v>
      </c>
      <c r="E1442">
        <v>0</v>
      </c>
      <c r="F1442">
        <v>0.2</v>
      </c>
    </row>
    <row r="1443" spans="1:6" x14ac:dyDescent="0.25">
      <c r="A1443">
        <v>1442</v>
      </c>
      <c r="B1443">
        <v>43</v>
      </c>
      <c r="C1443">
        <v>0</v>
      </c>
      <c r="D1443">
        <v>0</v>
      </c>
      <c r="E1443">
        <v>0</v>
      </c>
      <c r="F1443">
        <v>0</v>
      </c>
    </row>
    <row r="1444" spans="1:6" x14ac:dyDescent="0.25">
      <c r="A1444">
        <v>1443</v>
      </c>
      <c r="B1444">
        <v>44</v>
      </c>
      <c r="C1444">
        <v>0</v>
      </c>
      <c r="D1444">
        <v>0</v>
      </c>
      <c r="E1444">
        <v>0</v>
      </c>
      <c r="F1444">
        <v>265.59399999999999</v>
      </c>
    </row>
    <row r="1445" spans="1:6" x14ac:dyDescent="0.25">
      <c r="A1445">
        <v>1444</v>
      </c>
      <c r="B1445">
        <v>45</v>
      </c>
      <c r="C1445">
        <v>0</v>
      </c>
      <c r="D1445">
        <v>0</v>
      </c>
      <c r="E1445">
        <v>0</v>
      </c>
      <c r="F1445">
        <v>1563.63</v>
      </c>
    </row>
    <row r="1446" spans="1:6" x14ac:dyDescent="0.25">
      <c r="A1446">
        <v>1445</v>
      </c>
      <c r="B1446">
        <v>46</v>
      </c>
      <c r="C1446">
        <v>0</v>
      </c>
      <c r="D1446">
        <v>0</v>
      </c>
      <c r="E1446">
        <v>0</v>
      </c>
      <c r="F1446">
        <v>0</v>
      </c>
    </row>
    <row r="1447" spans="1:6" x14ac:dyDescent="0.25">
      <c r="A1447">
        <v>1446</v>
      </c>
      <c r="B1447">
        <v>2</v>
      </c>
      <c r="C1447">
        <v>0</v>
      </c>
      <c r="D1447">
        <v>0</v>
      </c>
      <c r="E1447">
        <v>0</v>
      </c>
      <c r="F1447">
        <v>34.406300000000002</v>
      </c>
    </row>
    <row r="1448" spans="1:6" x14ac:dyDescent="0.25">
      <c r="A1448">
        <v>1447</v>
      </c>
      <c r="B1448">
        <v>10</v>
      </c>
      <c r="C1448">
        <v>1</v>
      </c>
      <c r="D1448">
        <v>0</v>
      </c>
      <c r="E1448">
        <v>0</v>
      </c>
      <c r="F1448">
        <v>5691</v>
      </c>
    </row>
    <row r="1449" spans="1:6" x14ac:dyDescent="0.25">
      <c r="A1449">
        <v>1448</v>
      </c>
      <c r="B1449">
        <v>13</v>
      </c>
      <c r="C1449">
        <v>0</v>
      </c>
      <c r="D1449">
        <v>0</v>
      </c>
      <c r="E1449">
        <v>0</v>
      </c>
      <c r="F1449">
        <v>1602</v>
      </c>
    </row>
    <row r="1450" spans="1:6" x14ac:dyDescent="0.25">
      <c r="A1450">
        <v>1449</v>
      </c>
      <c r="B1450">
        <v>41</v>
      </c>
      <c r="C1450">
        <v>0</v>
      </c>
      <c r="D1450">
        <v>0</v>
      </c>
      <c r="E1450">
        <v>0</v>
      </c>
      <c r="F1450">
        <v>1</v>
      </c>
    </row>
    <row r="1451" spans="1:6" x14ac:dyDescent="0.25">
      <c r="A1451">
        <v>1450</v>
      </c>
      <c r="B1451">
        <v>42</v>
      </c>
      <c r="C1451">
        <v>0</v>
      </c>
      <c r="D1451">
        <v>0</v>
      </c>
      <c r="E1451">
        <v>0</v>
      </c>
      <c r="F1451">
        <v>0.2</v>
      </c>
    </row>
    <row r="1452" spans="1:6" x14ac:dyDescent="0.25">
      <c r="A1452">
        <v>1451</v>
      </c>
      <c r="B1452">
        <v>43</v>
      </c>
      <c r="C1452">
        <v>0</v>
      </c>
      <c r="D1452">
        <v>0</v>
      </c>
      <c r="E1452">
        <v>0</v>
      </c>
      <c r="F1452">
        <v>0</v>
      </c>
    </row>
    <row r="1453" spans="1:6" x14ac:dyDescent="0.25">
      <c r="A1453">
        <v>1452</v>
      </c>
      <c r="B1453">
        <v>44</v>
      </c>
      <c r="C1453">
        <v>0</v>
      </c>
      <c r="D1453">
        <v>0</v>
      </c>
      <c r="E1453">
        <v>0</v>
      </c>
      <c r="F1453">
        <v>265.59399999999999</v>
      </c>
    </row>
    <row r="1454" spans="1:6" x14ac:dyDescent="0.25">
      <c r="A1454">
        <v>1453</v>
      </c>
      <c r="B1454">
        <v>45</v>
      </c>
      <c r="C1454">
        <v>0</v>
      </c>
      <c r="D1454">
        <v>0</v>
      </c>
      <c r="E1454">
        <v>0</v>
      </c>
      <c r="F1454">
        <v>1563.63</v>
      </c>
    </row>
    <row r="1455" spans="1:6" x14ac:dyDescent="0.25">
      <c r="A1455">
        <v>1454</v>
      </c>
      <c r="B1455">
        <v>46</v>
      </c>
      <c r="C1455">
        <v>0</v>
      </c>
      <c r="D1455">
        <v>0</v>
      </c>
      <c r="E1455">
        <v>0</v>
      </c>
      <c r="F1455">
        <v>0</v>
      </c>
    </row>
    <row r="1456" spans="1:6" x14ac:dyDescent="0.25">
      <c r="A1456">
        <v>1455</v>
      </c>
      <c r="B1456">
        <v>2</v>
      </c>
      <c r="C1456">
        <v>0</v>
      </c>
      <c r="D1456">
        <v>0</v>
      </c>
      <c r="E1456">
        <v>0</v>
      </c>
      <c r="F1456">
        <v>34.406300000000002</v>
      </c>
    </row>
    <row r="1457" spans="1:6" x14ac:dyDescent="0.25">
      <c r="A1457">
        <v>1456</v>
      </c>
      <c r="B1457">
        <v>10</v>
      </c>
      <c r="C1457">
        <v>1</v>
      </c>
      <c r="D1457">
        <v>0</v>
      </c>
      <c r="E1457">
        <v>0</v>
      </c>
      <c r="F1457">
        <v>5691</v>
      </c>
    </row>
    <row r="1458" spans="1:6" x14ac:dyDescent="0.25">
      <c r="A1458">
        <v>1457</v>
      </c>
      <c r="B1458">
        <v>13</v>
      </c>
      <c r="C1458">
        <v>0</v>
      </c>
      <c r="D1458">
        <v>0</v>
      </c>
      <c r="E1458">
        <v>0</v>
      </c>
      <c r="F1458">
        <v>1602</v>
      </c>
    </row>
    <row r="1459" spans="1:6" x14ac:dyDescent="0.25">
      <c r="A1459">
        <v>1458</v>
      </c>
      <c r="B1459" t="s">
        <v>0</v>
      </c>
      <c r="C1459">
        <v>75</v>
      </c>
      <c r="D1459">
        <v>3482</v>
      </c>
      <c r="E1459">
        <v>79825643</v>
      </c>
    </row>
    <row r="1460" spans="1:6" x14ac:dyDescent="0.25">
      <c r="A1460">
        <v>1459</v>
      </c>
      <c r="B1460">
        <v>42</v>
      </c>
      <c r="C1460">
        <v>0</v>
      </c>
      <c r="D1460">
        <v>0</v>
      </c>
      <c r="E1460">
        <v>0</v>
      </c>
      <c r="F1460">
        <v>0.2</v>
      </c>
    </row>
    <row r="1461" spans="1:6" x14ac:dyDescent="0.25">
      <c r="A1461">
        <v>1460</v>
      </c>
      <c r="B1461">
        <v>43</v>
      </c>
      <c r="C1461">
        <v>0</v>
      </c>
      <c r="D1461">
        <v>0</v>
      </c>
      <c r="E1461">
        <v>0</v>
      </c>
      <c r="F1461">
        <v>0</v>
      </c>
    </row>
    <row r="1462" spans="1:6" x14ac:dyDescent="0.25">
      <c r="A1462">
        <v>1461</v>
      </c>
      <c r="B1462">
        <v>44</v>
      </c>
      <c r="C1462">
        <v>0</v>
      </c>
      <c r="D1462">
        <v>0</v>
      </c>
      <c r="E1462">
        <v>0</v>
      </c>
      <c r="F1462">
        <v>265.59300000000002</v>
      </c>
    </row>
    <row r="1463" spans="1:6" x14ac:dyDescent="0.25">
      <c r="A1463">
        <v>1462</v>
      </c>
      <c r="B1463">
        <v>45</v>
      </c>
      <c r="C1463">
        <v>0</v>
      </c>
      <c r="D1463">
        <v>0</v>
      </c>
      <c r="E1463">
        <v>0</v>
      </c>
      <c r="F1463">
        <v>1564.15</v>
      </c>
    </row>
    <row r="1464" spans="1:6" x14ac:dyDescent="0.25">
      <c r="A1464">
        <v>1463</v>
      </c>
      <c r="B1464">
        <v>46</v>
      </c>
      <c r="C1464">
        <v>0</v>
      </c>
      <c r="D1464">
        <v>0</v>
      </c>
      <c r="E1464">
        <v>0</v>
      </c>
      <c r="F1464">
        <v>0</v>
      </c>
    </row>
    <row r="1465" spans="1:6" x14ac:dyDescent="0.25">
      <c r="A1465">
        <v>1464</v>
      </c>
      <c r="B1465">
        <v>2</v>
      </c>
      <c r="C1465">
        <v>0</v>
      </c>
      <c r="D1465">
        <v>0</v>
      </c>
      <c r="E1465">
        <v>0</v>
      </c>
      <c r="F1465">
        <v>34.406500000000001</v>
      </c>
    </row>
    <row r="1466" spans="1:6" x14ac:dyDescent="0.25">
      <c r="A1466">
        <v>1465</v>
      </c>
      <c r="B1466">
        <v>10</v>
      </c>
      <c r="C1466">
        <v>1</v>
      </c>
      <c r="D1466">
        <v>0</v>
      </c>
      <c r="E1466">
        <v>0</v>
      </c>
      <c r="F1466">
        <v>5691</v>
      </c>
    </row>
    <row r="1467" spans="1:6" x14ac:dyDescent="0.25">
      <c r="A1467">
        <v>1466</v>
      </c>
      <c r="B1467">
        <v>13</v>
      </c>
      <c r="C1467">
        <v>0</v>
      </c>
      <c r="D1467">
        <v>0</v>
      </c>
      <c r="E1467">
        <v>0</v>
      </c>
      <c r="F1467">
        <v>1602</v>
      </c>
    </row>
    <row r="1468" spans="1:6" x14ac:dyDescent="0.25">
      <c r="A1468">
        <v>1467</v>
      </c>
      <c r="B1468">
        <v>41</v>
      </c>
      <c r="C1468">
        <v>0</v>
      </c>
      <c r="D1468">
        <v>0</v>
      </c>
      <c r="E1468">
        <v>0</v>
      </c>
      <c r="F1468">
        <v>1</v>
      </c>
    </row>
    <row r="1469" spans="1:6" x14ac:dyDescent="0.25">
      <c r="A1469">
        <v>1468</v>
      </c>
      <c r="B1469">
        <v>42</v>
      </c>
      <c r="C1469">
        <v>0</v>
      </c>
      <c r="D1469">
        <v>0</v>
      </c>
      <c r="E1469">
        <v>0</v>
      </c>
      <c r="F1469">
        <v>0.2</v>
      </c>
    </row>
    <row r="1470" spans="1:6" x14ac:dyDescent="0.25">
      <c r="A1470">
        <v>1469</v>
      </c>
      <c r="B1470">
        <v>43</v>
      </c>
      <c r="C1470">
        <v>0</v>
      </c>
      <c r="D1470">
        <v>0</v>
      </c>
      <c r="E1470">
        <v>0</v>
      </c>
      <c r="F1470">
        <v>0</v>
      </c>
    </row>
    <row r="1471" spans="1:6" x14ac:dyDescent="0.25">
      <c r="A1471">
        <v>1470</v>
      </c>
      <c r="B1471">
        <v>44</v>
      </c>
      <c r="C1471">
        <v>0</v>
      </c>
      <c r="D1471">
        <v>0</v>
      </c>
      <c r="E1471">
        <v>0</v>
      </c>
      <c r="F1471">
        <v>265.59300000000002</v>
      </c>
    </row>
    <row r="1472" spans="1:6" x14ac:dyDescent="0.25">
      <c r="A1472">
        <v>1471</v>
      </c>
      <c r="B1472">
        <v>45</v>
      </c>
      <c r="C1472">
        <v>0</v>
      </c>
      <c r="D1472">
        <v>0</v>
      </c>
      <c r="E1472">
        <v>0</v>
      </c>
      <c r="F1472">
        <v>1564.15</v>
      </c>
    </row>
    <row r="1473" spans="1:6" x14ac:dyDescent="0.25">
      <c r="A1473">
        <v>1472</v>
      </c>
      <c r="B1473">
        <v>46</v>
      </c>
      <c r="C1473">
        <v>0</v>
      </c>
      <c r="D1473">
        <v>0</v>
      </c>
      <c r="E1473">
        <v>0</v>
      </c>
      <c r="F1473">
        <v>0</v>
      </c>
    </row>
    <row r="1474" spans="1:6" x14ac:dyDescent="0.25">
      <c r="A1474">
        <v>1473</v>
      </c>
      <c r="B1474" t="s">
        <v>0</v>
      </c>
      <c r="C1474">
        <v>76</v>
      </c>
      <c r="D1474">
        <v>3482</v>
      </c>
      <c r="E1474">
        <v>79826611</v>
      </c>
    </row>
    <row r="1475" spans="1:6" x14ac:dyDescent="0.25">
      <c r="A1475">
        <v>1474</v>
      </c>
      <c r="B1475">
        <v>10</v>
      </c>
      <c r="C1475">
        <v>1</v>
      </c>
      <c r="D1475">
        <v>0</v>
      </c>
      <c r="E1475">
        <v>0</v>
      </c>
      <c r="F1475">
        <v>5691</v>
      </c>
    </row>
    <row r="1476" spans="1:6" x14ac:dyDescent="0.25">
      <c r="A1476">
        <v>1475</v>
      </c>
      <c r="B1476">
        <v>13</v>
      </c>
      <c r="C1476">
        <v>0</v>
      </c>
      <c r="D1476">
        <v>0</v>
      </c>
      <c r="E1476">
        <v>0</v>
      </c>
      <c r="F1476">
        <v>1602</v>
      </c>
    </row>
    <row r="1477" spans="1:6" x14ac:dyDescent="0.25">
      <c r="A1477">
        <v>1476</v>
      </c>
      <c r="B1477">
        <v>41</v>
      </c>
      <c r="C1477">
        <v>0</v>
      </c>
      <c r="D1477">
        <v>0</v>
      </c>
      <c r="E1477">
        <v>0</v>
      </c>
      <c r="F1477">
        <v>1</v>
      </c>
    </row>
    <row r="1478" spans="1:6" x14ac:dyDescent="0.25">
      <c r="A1478">
        <v>1477</v>
      </c>
      <c r="B1478">
        <v>42</v>
      </c>
      <c r="C1478">
        <v>0</v>
      </c>
      <c r="D1478">
        <v>0</v>
      </c>
      <c r="E1478">
        <v>0</v>
      </c>
      <c r="F1478">
        <v>0.2</v>
      </c>
    </row>
    <row r="1479" spans="1:6" x14ac:dyDescent="0.25">
      <c r="A1479">
        <v>1478</v>
      </c>
      <c r="B1479">
        <v>43</v>
      </c>
      <c r="C1479">
        <v>0</v>
      </c>
      <c r="D1479">
        <v>0</v>
      </c>
      <c r="E1479">
        <v>0</v>
      </c>
      <c r="F1479">
        <v>0</v>
      </c>
    </row>
    <row r="1480" spans="1:6" x14ac:dyDescent="0.25">
      <c r="A1480">
        <v>1479</v>
      </c>
      <c r="B1480">
        <v>44</v>
      </c>
      <c r="C1480">
        <v>0</v>
      </c>
      <c r="D1480">
        <v>0</v>
      </c>
      <c r="E1480">
        <v>0</v>
      </c>
      <c r="F1480">
        <v>265.59399999999999</v>
      </c>
    </row>
    <row r="1481" spans="1:6" x14ac:dyDescent="0.25">
      <c r="A1481">
        <v>1480</v>
      </c>
      <c r="B1481">
        <v>45</v>
      </c>
      <c r="C1481">
        <v>0</v>
      </c>
      <c r="D1481">
        <v>0</v>
      </c>
      <c r="E1481">
        <v>0</v>
      </c>
      <c r="F1481">
        <v>1564.66</v>
      </c>
    </row>
    <row r="1482" spans="1:6" x14ac:dyDescent="0.25">
      <c r="A1482">
        <v>1481</v>
      </c>
      <c r="B1482">
        <v>46</v>
      </c>
      <c r="C1482">
        <v>0</v>
      </c>
      <c r="D1482">
        <v>0</v>
      </c>
      <c r="E1482">
        <v>0</v>
      </c>
      <c r="F1482">
        <v>0</v>
      </c>
    </row>
    <row r="1483" spans="1:6" x14ac:dyDescent="0.25">
      <c r="A1483">
        <v>1482</v>
      </c>
      <c r="B1483">
        <v>2</v>
      </c>
      <c r="C1483">
        <v>0</v>
      </c>
      <c r="D1483">
        <v>0</v>
      </c>
      <c r="E1483">
        <v>0</v>
      </c>
      <c r="F1483">
        <v>34.405900000000003</v>
      </c>
    </row>
    <row r="1484" spans="1:6" x14ac:dyDescent="0.25">
      <c r="A1484">
        <v>1483</v>
      </c>
      <c r="B1484">
        <v>10</v>
      </c>
      <c r="C1484">
        <v>1</v>
      </c>
      <c r="D1484">
        <v>0</v>
      </c>
      <c r="E1484">
        <v>0</v>
      </c>
      <c r="F1484">
        <v>5691</v>
      </c>
    </row>
    <row r="1485" spans="1:6" x14ac:dyDescent="0.25">
      <c r="A1485">
        <v>1484</v>
      </c>
      <c r="B1485">
        <v>13</v>
      </c>
      <c r="C1485">
        <v>0</v>
      </c>
      <c r="D1485">
        <v>0</v>
      </c>
      <c r="E1485">
        <v>0</v>
      </c>
      <c r="F1485">
        <v>1602</v>
      </c>
    </row>
    <row r="1486" spans="1:6" x14ac:dyDescent="0.25">
      <c r="A1486">
        <v>1485</v>
      </c>
      <c r="B1486">
        <v>41</v>
      </c>
      <c r="C1486">
        <v>0</v>
      </c>
      <c r="D1486">
        <v>0</v>
      </c>
      <c r="E1486">
        <v>0</v>
      </c>
      <c r="F1486">
        <v>1</v>
      </c>
    </row>
    <row r="1487" spans="1:6" x14ac:dyDescent="0.25">
      <c r="A1487">
        <v>1486</v>
      </c>
      <c r="B1487">
        <v>42</v>
      </c>
      <c r="C1487">
        <v>0</v>
      </c>
      <c r="D1487">
        <v>0</v>
      </c>
      <c r="E1487">
        <v>0</v>
      </c>
      <c r="F1487">
        <v>0.2</v>
      </c>
    </row>
    <row r="1488" spans="1:6" x14ac:dyDescent="0.25">
      <c r="A1488">
        <v>1487</v>
      </c>
      <c r="B1488">
        <v>43</v>
      </c>
      <c r="C1488">
        <v>0</v>
      </c>
      <c r="D1488">
        <v>0</v>
      </c>
      <c r="E1488">
        <v>0</v>
      </c>
      <c r="F1488">
        <v>0</v>
      </c>
    </row>
    <row r="1489" spans="1:6" x14ac:dyDescent="0.25">
      <c r="A1489">
        <v>1488</v>
      </c>
      <c r="B1489" t="s">
        <v>0</v>
      </c>
      <c r="C1489">
        <v>77</v>
      </c>
      <c r="D1489">
        <v>3482</v>
      </c>
      <c r="E1489">
        <v>79827578</v>
      </c>
    </row>
    <row r="1490" spans="1:6" x14ac:dyDescent="0.25">
      <c r="A1490">
        <v>1489</v>
      </c>
      <c r="B1490">
        <v>44</v>
      </c>
      <c r="C1490">
        <v>0</v>
      </c>
      <c r="D1490">
        <v>0</v>
      </c>
      <c r="E1490">
        <v>0</v>
      </c>
      <c r="F1490">
        <v>265.59399999999999</v>
      </c>
    </row>
    <row r="1491" spans="1:6" x14ac:dyDescent="0.25">
      <c r="A1491">
        <v>1490</v>
      </c>
      <c r="B1491">
        <v>45</v>
      </c>
      <c r="C1491">
        <v>0</v>
      </c>
      <c r="D1491">
        <v>0</v>
      </c>
      <c r="E1491">
        <v>0</v>
      </c>
      <c r="F1491">
        <v>1565.18</v>
      </c>
    </row>
    <row r="1492" spans="1:6" x14ac:dyDescent="0.25">
      <c r="A1492">
        <v>1491</v>
      </c>
      <c r="B1492">
        <v>46</v>
      </c>
      <c r="C1492">
        <v>0</v>
      </c>
      <c r="D1492">
        <v>0</v>
      </c>
      <c r="E1492">
        <v>0</v>
      </c>
      <c r="F1492">
        <v>0</v>
      </c>
    </row>
    <row r="1493" spans="1:6" x14ac:dyDescent="0.25">
      <c r="A1493">
        <v>1492</v>
      </c>
      <c r="B1493">
        <v>2</v>
      </c>
      <c r="C1493">
        <v>0</v>
      </c>
      <c r="D1493">
        <v>0</v>
      </c>
      <c r="E1493">
        <v>0</v>
      </c>
      <c r="F1493">
        <v>34.406500000000001</v>
      </c>
    </row>
    <row r="1494" spans="1:6" x14ac:dyDescent="0.25">
      <c r="A1494">
        <v>1493</v>
      </c>
      <c r="B1494">
        <v>10</v>
      </c>
      <c r="C1494">
        <v>1</v>
      </c>
      <c r="D1494">
        <v>0</v>
      </c>
      <c r="E1494">
        <v>0</v>
      </c>
      <c r="F1494">
        <v>5691</v>
      </c>
    </row>
    <row r="1495" spans="1:6" x14ac:dyDescent="0.25">
      <c r="A1495">
        <v>1494</v>
      </c>
      <c r="B1495">
        <v>13</v>
      </c>
      <c r="C1495">
        <v>0</v>
      </c>
      <c r="D1495">
        <v>0</v>
      </c>
      <c r="E1495">
        <v>0</v>
      </c>
      <c r="F1495">
        <v>1602</v>
      </c>
    </row>
    <row r="1496" spans="1:6" x14ac:dyDescent="0.25">
      <c r="A1496">
        <v>1495</v>
      </c>
      <c r="B1496">
        <v>41</v>
      </c>
      <c r="C1496">
        <v>0</v>
      </c>
      <c r="D1496">
        <v>0</v>
      </c>
      <c r="E1496">
        <v>0</v>
      </c>
      <c r="F1496">
        <v>1</v>
      </c>
    </row>
    <row r="1497" spans="1:6" x14ac:dyDescent="0.25">
      <c r="A1497">
        <v>1496</v>
      </c>
      <c r="B1497">
        <v>42</v>
      </c>
      <c r="C1497">
        <v>0</v>
      </c>
      <c r="D1497">
        <v>0</v>
      </c>
      <c r="E1497">
        <v>0</v>
      </c>
      <c r="F1497">
        <v>0.2</v>
      </c>
    </row>
    <row r="1498" spans="1:6" x14ac:dyDescent="0.25">
      <c r="A1498">
        <v>1497</v>
      </c>
      <c r="B1498">
        <v>43</v>
      </c>
      <c r="C1498">
        <v>0</v>
      </c>
      <c r="D1498">
        <v>0</v>
      </c>
      <c r="E1498">
        <v>0</v>
      </c>
      <c r="F1498">
        <v>0</v>
      </c>
    </row>
    <row r="1499" spans="1:6" x14ac:dyDescent="0.25">
      <c r="A1499">
        <v>1498</v>
      </c>
      <c r="B1499">
        <v>44</v>
      </c>
      <c r="C1499">
        <v>0</v>
      </c>
      <c r="D1499">
        <v>0</v>
      </c>
      <c r="E1499">
        <v>0</v>
      </c>
      <c r="F1499">
        <v>265.59399999999999</v>
      </c>
    </row>
    <row r="1500" spans="1:6" x14ac:dyDescent="0.25">
      <c r="A1500">
        <v>1499</v>
      </c>
      <c r="B1500">
        <v>45</v>
      </c>
      <c r="C1500">
        <v>0</v>
      </c>
      <c r="D1500">
        <v>0</v>
      </c>
      <c r="E1500">
        <v>0</v>
      </c>
      <c r="F1500">
        <v>1565.18</v>
      </c>
    </row>
    <row r="1501" spans="1:6" x14ac:dyDescent="0.25">
      <c r="A1501">
        <v>1500</v>
      </c>
      <c r="B1501">
        <v>46</v>
      </c>
      <c r="C1501">
        <v>0</v>
      </c>
      <c r="D1501">
        <v>0</v>
      </c>
      <c r="E1501">
        <v>0</v>
      </c>
      <c r="F1501">
        <v>0</v>
      </c>
    </row>
    <row r="1502" spans="1:6" x14ac:dyDescent="0.25">
      <c r="A1502">
        <v>1501</v>
      </c>
      <c r="B1502">
        <v>2</v>
      </c>
      <c r="C1502">
        <v>0</v>
      </c>
      <c r="D1502">
        <v>0</v>
      </c>
      <c r="E1502">
        <v>0</v>
      </c>
      <c r="F1502">
        <v>34.406500000000001</v>
      </c>
    </row>
    <row r="1503" spans="1:6" x14ac:dyDescent="0.25">
      <c r="A1503">
        <v>1502</v>
      </c>
      <c r="B1503">
        <v>10</v>
      </c>
      <c r="C1503">
        <v>1</v>
      </c>
      <c r="D1503">
        <v>0</v>
      </c>
      <c r="E1503">
        <v>0</v>
      </c>
      <c r="F1503">
        <v>5691</v>
      </c>
    </row>
    <row r="1504" spans="1:6" x14ac:dyDescent="0.25">
      <c r="A1504">
        <v>1503</v>
      </c>
      <c r="B1504">
        <v>13</v>
      </c>
      <c r="C1504">
        <v>0</v>
      </c>
      <c r="D1504">
        <v>0</v>
      </c>
      <c r="E1504">
        <v>0</v>
      </c>
      <c r="F1504">
        <v>1602</v>
      </c>
    </row>
    <row r="1505" spans="1:6" x14ac:dyDescent="0.25">
      <c r="A1505">
        <v>1504</v>
      </c>
      <c r="B1505" t="s">
        <v>0</v>
      </c>
      <c r="C1505">
        <v>78</v>
      </c>
      <c r="D1505">
        <v>3482</v>
      </c>
      <c r="E1505">
        <v>79828546</v>
      </c>
    </row>
    <row r="1506" spans="1:6" x14ac:dyDescent="0.25">
      <c r="A1506">
        <v>1505</v>
      </c>
      <c r="B1506">
        <v>41</v>
      </c>
      <c r="C1506">
        <v>0</v>
      </c>
      <c r="D1506">
        <v>0</v>
      </c>
      <c r="E1506">
        <v>0</v>
      </c>
      <c r="F1506">
        <v>1</v>
      </c>
    </row>
    <row r="1507" spans="1:6" x14ac:dyDescent="0.25">
      <c r="A1507">
        <v>1506</v>
      </c>
      <c r="B1507">
        <v>42</v>
      </c>
      <c r="C1507">
        <v>0</v>
      </c>
      <c r="D1507">
        <v>0</v>
      </c>
      <c r="E1507">
        <v>0</v>
      </c>
      <c r="F1507">
        <v>0.2</v>
      </c>
    </row>
    <row r="1508" spans="1:6" x14ac:dyDescent="0.25">
      <c r="A1508">
        <v>1507</v>
      </c>
      <c r="B1508">
        <v>43</v>
      </c>
      <c r="C1508">
        <v>0</v>
      </c>
      <c r="D1508">
        <v>0</v>
      </c>
      <c r="E1508">
        <v>0</v>
      </c>
      <c r="F1508">
        <v>0</v>
      </c>
    </row>
    <row r="1509" spans="1:6" x14ac:dyDescent="0.25">
      <c r="A1509">
        <v>1508</v>
      </c>
      <c r="B1509">
        <v>44</v>
      </c>
      <c r="C1509">
        <v>0</v>
      </c>
      <c r="D1509">
        <v>0</v>
      </c>
      <c r="E1509">
        <v>0</v>
      </c>
      <c r="F1509">
        <v>265.59300000000002</v>
      </c>
    </row>
    <row r="1510" spans="1:6" x14ac:dyDescent="0.25">
      <c r="A1510">
        <v>1509</v>
      </c>
      <c r="B1510">
        <v>45</v>
      </c>
      <c r="C1510">
        <v>0</v>
      </c>
      <c r="D1510">
        <v>0</v>
      </c>
      <c r="E1510">
        <v>0</v>
      </c>
      <c r="F1510">
        <v>1565.69</v>
      </c>
    </row>
    <row r="1511" spans="1:6" x14ac:dyDescent="0.25">
      <c r="A1511">
        <v>1510</v>
      </c>
      <c r="B1511">
        <v>46</v>
      </c>
      <c r="C1511">
        <v>0</v>
      </c>
      <c r="D1511">
        <v>0</v>
      </c>
      <c r="E1511">
        <v>0</v>
      </c>
      <c r="F1511">
        <v>0</v>
      </c>
    </row>
    <row r="1512" spans="1:6" x14ac:dyDescent="0.25">
      <c r="A1512">
        <v>1511</v>
      </c>
      <c r="B1512">
        <v>2</v>
      </c>
      <c r="C1512">
        <v>0</v>
      </c>
      <c r="D1512">
        <v>0</v>
      </c>
      <c r="E1512">
        <v>0</v>
      </c>
      <c r="F1512">
        <v>34.406799999999997</v>
      </c>
    </row>
    <row r="1513" spans="1:6" x14ac:dyDescent="0.25">
      <c r="A1513">
        <v>1512</v>
      </c>
      <c r="B1513">
        <v>10</v>
      </c>
      <c r="C1513">
        <v>1</v>
      </c>
      <c r="D1513">
        <v>0</v>
      </c>
      <c r="E1513">
        <v>0</v>
      </c>
      <c r="F1513">
        <v>5691</v>
      </c>
    </row>
    <row r="1514" spans="1:6" x14ac:dyDescent="0.25">
      <c r="A1514">
        <v>1513</v>
      </c>
      <c r="B1514">
        <v>13</v>
      </c>
      <c r="C1514">
        <v>0</v>
      </c>
      <c r="D1514">
        <v>0</v>
      </c>
      <c r="E1514">
        <v>0</v>
      </c>
      <c r="F1514">
        <v>1602</v>
      </c>
    </row>
    <row r="1515" spans="1:6" x14ac:dyDescent="0.25">
      <c r="A1515">
        <v>1514</v>
      </c>
      <c r="B1515">
        <v>41</v>
      </c>
      <c r="C1515">
        <v>0</v>
      </c>
      <c r="D1515">
        <v>0</v>
      </c>
      <c r="E1515">
        <v>0</v>
      </c>
      <c r="F1515">
        <v>1</v>
      </c>
    </row>
    <row r="1516" spans="1:6" x14ac:dyDescent="0.25">
      <c r="A1516">
        <v>1515</v>
      </c>
      <c r="B1516">
        <v>42</v>
      </c>
      <c r="C1516">
        <v>0</v>
      </c>
      <c r="D1516">
        <v>0</v>
      </c>
      <c r="E1516">
        <v>0</v>
      </c>
      <c r="F1516">
        <v>0.2</v>
      </c>
    </row>
    <row r="1517" spans="1:6" x14ac:dyDescent="0.25">
      <c r="A1517">
        <v>1516</v>
      </c>
      <c r="B1517">
        <v>43</v>
      </c>
      <c r="C1517">
        <v>0</v>
      </c>
      <c r="D1517">
        <v>0</v>
      </c>
      <c r="E1517">
        <v>0</v>
      </c>
      <c r="F1517">
        <v>0</v>
      </c>
    </row>
    <row r="1518" spans="1:6" x14ac:dyDescent="0.25">
      <c r="A1518">
        <v>1517</v>
      </c>
      <c r="B1518">
        <v>44</v>
      </c>
      <c r="C1518">
        <v>0</v>
      </c>
      <c r="D1518">
        <v>0</v>
      </c>
      <c r="E1518">
        <v>0</v>
      </c>
      <c r="F1518">
        <v>265.59300000000002</v>
      </c>
    </row>
    <row r="1519" spans="1:6" x14ac:dyDescent="0.25">
      <c r="A1519">
        <v>1518</v>
      </c>
      <c r="B1519">
        <v>45</v>
      </c>
      <c r="C1519">
        <v>0</v>
      </c>
      <c r="D1519">
        <v>0</v>
      </c>
      <c r="E1519">
        <v>0</v>
      </c>
      <c r="F1519">
        <v>1565.69</v>
      </c>
    </row>
    <row r="1520" spans="1:6" x14ac:dyDescent="0.25">
      <c r="A1520">
        <v>1519</v>
      </c>
      <c r="B1520">
        <v>46</v>
      </c>
      <c r="C1520">
        <v>0</v>
      </c>
      <c r="D1520">
        <v>0</v>
      </c>
      <c r="E1520">
        <v>0</v>
      </c>
      <c r="F1520">
        <v>0</v>
      </c>
    </row>
    <row r="1521" spans="1:6" x14ac:dyDescent="0.25">
      <c r="A1521">
        <v>1520</v>
      </c>
      <c r="B1521">
        <v>2</v>
      </c>
      <c r="C1521">
        <v>0</v>
      </c>
      <c r="D1521">
        <v>0</v>
      </c>
      <c r="E1521">
        <v>0</v>
      </c>
      <c r="F1521">
        <v>34.406799999999997</v>
      </c>
    </row>
    <row r="1522" spans="1:6" x14ac:dyDescent="0.25">
      <c r="A1522">
        <v>1521</v>
      </c>
      <c r="B1522">
        <v>10</v>
      </c>
      <c r="C1522">
        <v>1</v>
      </c>
      <c r="D1522">
        <v>0</v>
      </c>
      <c r="E1522">
        <v>0</v>
      </c>
      <c r="F1522">
        <v>5691</v>
      </c>
    </row>
    <row r="1523" spans="1:6" x14ac:dyDescent="0.25">
      <c r="A1523">
        <v>1522</v>
      </c>
      <c r="B1523">
        <v>13</v>
      </c>
      <c r="C1523">
        <v>0</v>
      </c>
      <c r="D1523">
        <v>0</v>
      </c>
      <c r="E1523">
        <v>0</v>
      </c>
      <c r="F1523">
        <v>1602</v>
      </c>
    </row>
    <row r="1524" spans="1:6" x14ac:dyDescent="0.25">
      <c r="A1524">
        <v>1523</v>
      </c>
      <c r="B1524">
        <v>41</v>
      </c>
      <c r="C1524">
        <v>0</v>
      </c>
      <c r="D1524">
        <v>0</v>
      </c>
      <c r="E1524">
        <v>0</v>
      </c>
      <c r="F1524">
        <v>1</v>
      </c>
    </row>
    <row r="1525" spans="1:6" x14ac:dyDescent="0.25">
      <c r="A1525">
        <v>1524</v>
      </c>
      <c r="B1525">
        <v>42</v>
      </c>
      <c r="C1525">
        <v>0</v>
      </c>
      <c r="D1525">
        <v>0</v>
      </c>
      <c r="E1525">
        <v>0</v>
      </c>
      <c r="F1525">
        <v>0.2</v>
      </c>
    </row>
    <row r="1526" spans="1:6" x14ac:dyDescent="0.25">
      <c r="A1526">
        <v>1525</v>
      </c>
      <c r="B1526">
        <v>43</v>
      </c>
      <c r="C1526">
        <v>0</v>
      </c>
      <c r="D1526">
        <v>0</v>
      </c>
      <c r="E1526">
        <v>0</v>
      </c>
      <c r="F1526">
        <v>0</v>
      </c>
    </row>
    <row r="1527" spans="1:6" x14ac:dyDescent="0.25">
      <c r="A1527">
        <v>1526</v>
      </c>
      <c r="B1527">
        <v>44</v>
      </c>
      <c r="C1527">
        <v>0</v>
      </c>
      <c r="D1527">
        <v>0</v>
      </c>
      <c r="E1527">
        <v>0</v>
      </c>
      <c r="F1527">
        <v>265.59300000000002</v>
      </c>
    </row>
    <row r="1528" spans="1:6" x14ac:dyDescent="0.25">
      <c r="A1528">
        <v>1527</v>
      </c>
      <c r="B1528">
        <v>45</v>
      </c>
      <c r="C1528">
        <v>0</v>
      </c>
      <c r="D1528">
        <v>0</v>
      </c>
      <c r="E1528">
        <v>0</v>
      </c>
      <c r="F1528">
        <v>1566.21</v>
      </c>
    </row>
    <row r="1529" spans="1:6" x14ac:dyDescent="0.25">
      <c r="A1529">
        <v>1528</v>
      </c>
      <c r="B1529">
        <v>46</v>
      </c>
      <c r="C1529">
        <v>0</v>
      </c>
      <c r="D1529">
        <v>0</v>
      </c>
      <c r="E1529">
        <v>0</v>
      </c>
      <c r="F1529">
        <v>0</v>
      </c>
    </row>
    <row r="1530" spans="1:6" x14ac:dyDescent="0.25">
      <c r="A1530">
        <v>1529</v>
      </c>
      <c r="B1530">
        <v>2</v>
      </c>
      <c r="C1530">
        <v>0</v>
      </c>
      <c r="D1530">
        <v>0</v>
      </c>
      <c r="E1530">
        <v>0</v>
      </c>
      <c r="F1530">
        <v>34.406799999999997</v>
      </c>
    </row>
    <row r="1531" spans="1:6" x14ac:dyDescent="0.25">
      <c r="A1531">
        <v>1530</v>
      </c>
      <c r="B1531">
        <v>10</v>
      </c>
      <c r="C1531">
        <v>1</v>
      </c>
      <c r="D1531">
        <v>0</v>
      </c>
      <c r="E1531">
        <v>0</v>
      </c>
      <c r="F1531">
        <v>5691</v>
      </c>
    </row>
    <row r="1532" spans="1:6" x14ac:dyDescent="0.25">
      <c r="A1532">
        <v>1531</v>
      </c>
      <c r="B1532">
        <v>13</v>
      </c>
      <c r="C1532">
        <v>0</v>
      </c>
      <c r="D1532">
        <v>0</v>
      </c>
      <c r="E1532">
        <v>0</v>
      </c>
      <c r="F1532">
        <v>1602</v>
      </c>
    </row>
    <row r="1533" spans="1:6" x14ac:dyDescent="0.25">
      <c r="A1533">
        <v>1532</v>
      </c>
      <c r="B1533">
        <v>41</v>
      </c>
      <c r="C1533">
        <v>0</v>
      </c>
      <c r="D1533">
        <v>0</v>
      </c>
      <c r="E1533">
        <v>0</v>
      </c>
      <c r="F1533">
        <v>1</v>
      </c>
    </row>
    <row r="1534" spans="1:6" x14ac:dyDescent="0.25">
      <c r="A1534">
        <v>1533</v>
      </c>
      <c r="B1534">
        <v>42</v>
      </c>
      <c r="C1534">
        <v>0</v>
      </c>
      <c r="D1534">
        <v>0</v>
      </c>
      <c r="E1534">
        <v>0</v>
      </c>
      <c r="F1534">
        <v>0.2</v>
      </c>
    </row>
    <row r="1535" spans="1:6" x14ac:dyDescent="0.25">
      <c r="A1535">
        <v>1534</v>
      </c>
      <c r="B1535">
        <v>43</v>
      </c>
      <c r="C1535">
        <v>0</v>
      </c>
      <c r="D1535">
        <v>0</v>
      </c>
      <c r="E1535">
        <v>0</v>
      </c>
      <c r="F1535">
        <v>0</v>
      </c>
    </row>
    <row r="1536" spans="1:6" x14ac:dyDescent="0.25">
      <c r="A1536">
        <v>1535</v>
      </c>
      <c r="B1536">
        <v>44</v>
      </c>
      <c r="C1536">
        <v>0</v>
      </c>
      <c r="D1536">
        <v>0</v>
      </c>
      <c r="E1536">
        <v>0</v>
      </c>
      <c r="F1536">
        <v>265.59300000000002</v>
      </c>
    </row>
    <row r="1537" spans="1:6" x14ac:dyDescent="0.25">
      <c r="A1537">
        <v>1536</v>
      </c>
      <c r="B1537">
        <v>45</v>
      </c>
      <c r="C1537">
        <v>0</v>
      </c>
      <c r="D1537">
        <v>0</v>
      </c>
      <c r="E1537">
        <v>0</v>
      </c>
      <c r="F1537">
        <v>1566.72</v>
      </c>
    </row>
    <row r="1538" spans="1:6" x14ac:dyDescent="0.25">
      <c r="A1538">
        <v>1537</v>
      </c>
      <c r="B1538">
        <v>46</v>
      </c>
      <c r="C1538">
        <v>0</v>
      </c>
      <c r="D1538">
        <v>0</v>
      </c>
      <c r="E1538">
        <v>0</v>
      </c>
      <c r="F1538">
        <v>0</v>
      </c>
    </row>
    <row r="1539" spans="1:6" x14ac:dyDescent="0.25">
      <c r="A1539">
        <v>1538</v>
      </c>
      <c r="B1539">
        <v>2</v>
      </c>
      <c r="C1539">
        <v>0</v>
      </c>
      <c r="D1539">
        <v>0</v>
      </c>
      <c r="E1539">
        <v>0</v>
      </c>
      <c r="F1539">
        <v>34.406599999999997</v>
      </c>
    </row>
    <row r="1540" spans="1:6" x14ac:dyDescent="0.25">
      <c r="A1540">
        <v>1539</v>
      </c>
      <c r="B1540">
        <v>10</v>
      </c>
      <c r="C1540">
        <v>1</v>
      </c>
      <c r="D1540">
        <v>0</v>
      </c>
      <c r="E1540">
        <v>0</v>
      </c>
      <c r="F1540">
        <v>5691</v>
      </c>
    </row>
    <row r="1541" spans="1:6" x14ac:dyDescent="0.25">
      <c r="A1541">
        <v>1540</v>
      </c>
      <c r="B1541">
        <v>13</v>
      </c>
      <c r="C1541">
        <v>0</v>
      </c>
      <c r="D1541">
        <v>0</v>
      </c>
      <c r="E1541">
        <v>0</v>
      </c>
      <c r="F1541">
        <v>1602</v>
      </c>
    </row>
    <row r="1542" spans="1:6" x14ac:dyDescent="0.25">
      <c r="A1542">
        <v>1541</v>
      </c>
      <c r="B1542">
        <v>41</v>
      </c>
      <c r="C1542">
        <v>0</v>
      </c>
      <c r="D1542">
        <v>0</v>
      </c>
      <c r="E1542">
        <v>0</v>
      </c>
      <c r="F1542">
        <v>1</v>
      </c>
    </row>
    <row r="1543" spans="1:6" x14ac:dyDescent="0.25">
      <c r="A1543">
        <v>1542</v>
      </c>
      <c r="B1543">
        <v>42</v>
      </c>
      <c r="C1543">
        <v>0</v>
      </c>
      <c r="D1543">
        <v>0</v>
      </c>
      <c r="E1543">
        <v>0</v>
      </c>
      <c r="F1543">
        <v>0.2</v>
      </c>
    </row>
    <row r="1544" spans="1:6" x14ac:dyDescent="0.25">
      <c r="A1544">
        <v>1543</v>
      </c>
      <c r="B1544">
        <v>43</v>
      </c>
      <c r="C1544">
        <v>0</v>
      </c>
      <c r="D1544">
        <v>0</v>
      </c>
      <c r="E1544">
        <v>0</v>
      </c>
      <c r="F1544">
        <v>0</v>
      </c>
    </row>
    <row r="1545" spans="1:6" x14ac:dyDescent="0.25">
      <c r="A1545">
        <v>1544</v>
      </c>
      <c r="B1545">
        <v>44</v>
      </c>
      <c r="C1545">
        <v>0</v>
      </c>
      <c r="D1545">
        <v>0</v>
      </c>
      <c r="E1545">
        <v>0</v>
      </c>
      <c r="F1545">
        <v>265.59300000000002</v>
      </c>
    </row>
    <row r="1546" spans="1:6" x14ac:dyDescent="0.25">
      <c r="A1546">
        <v>1545</v>
      </c>
      <c r="B1546">
        <v>45</v>
      </c>
      <c r="C1546">
        <v>0</v>
      </c>
      <c r="D1546">
        <v>0</v>
      </c>
      <c r="E1546">
        <v>0</v>
      </c>
      <c r="F1546">
        <v>1566.72</v>
      </c>
    </row>
    <row r="1547" spans="1:6" x14ac:dyDescent="0.25">
      <c r="A1547">
        <v>1546</v>
      </c>
      <c r="B1547">
        <v>46</v>
      </c>
      <c r="C1547">
        <v>0</v>
      </c>
      <c r="D1547">
        <v>0</v>
      </c>
      <c r="E1547">
        <v>0</v>
      </c>
      <c r="F1547">
        <v>0</v>
      </c>
    </row>
    <row r="1548" spans="1:6" x14ac:dyDescent="0.25">
      <c r="A1548">
        <v>1547</v>
      </c>
      <c r="B1548">
        <v>2</v>
      </c>
      <c r="C1548">
        <v>0</v>
      </c>
      <c r="D1548">
        <v>0</v>
      </c>
      <c r="E1548">
        <v>0</v>
      </c>
      <c r="F1548">
        <v>34.406599999999997</v>
      </c>
    </row>
    <row r="1549" spans="1:6" x14ac:dyDescent="0.25">
      <c r="A1549">
        <v>1548</v>
      </c>
      <c r="B1549">
        <v>10</v>
      </c>
      <c r="C1549">
        <v>1</v>
      </c>
      <c r="D1549">
        <v>0</v>
      </c>
      <c r="E1549">
        <v>0</v>
      </c>
      <c r="F1549">
        <v>5691</v>
      </c>
    </row>
    <row r="1550" spans="1:6" x14ac:dyDescent="0.25">
      <c r="A1550">
        <v>1549</v>
      </c>
      <c r="B1550" t="s">
        <v>0</v>
      </c>
      <c r="C1550">
        <v>81</v>
      </c>
      <c r="D1550">
        <v>3482</v>
      </c>
      <c r="E1550">
        <v>79831450</v>
      </c>
    </row>
    <row r="1551" spans="1:6" x14ac:dyDescent="0.25">
      <c r="A1551">
        <v>1550</v>
      </c>
      <c r="B1551">
        <v>41</v>
      </c>
      <c r="C1551">
        <v>0</v>
      </c>
      <c r="D1551">
        <v>0</v>
      </c>
      <c r="E1551">
        <v>0</v>
      </c>
      <c r="F1551">
        <v>1</v>
      </c>
    </row>
    <row r="1552" spans="1:6" x14ac:dyDescent="0.25">
      <c r="A1552">
        <v>1551</v>
      </c>
      <c r="B1552">
        <v>42</v>
      </c>
      <c r="C1552">
        <v>0</v>
      </c>
      <c r="D1552">
        <v>0</v>
      </c>
      <c r="E1552">
        <v>0</v>
      </c>
      <c r="F1552">
        <v>0.2</v>
      </c>
    </row>
    <row r="1553" spans="1:6" x14ac:dyDescent="0.25">
      <c r="A1553">
        <v>1552</v>
      </c>
      <c r="B1553">
        <v>43</v>
      </c>
      <c r="C1553">
        <v>0</v>
      </c>
      <c r="D1553">
        <v>0</v>
      </c>
      <c r="E1553">
        <v>0</v>
      </c>
      <c r="F1553">
        <v>0</v>
      </c>
    </row>
    <row r="1554" spans="1:6" x14ac:dyDescent="0.25">
      <c r="A1554">
        <v>1553</v>
      </c>
      <c r="B1554">
        <v>44</v>
      </c>
      <c r="C1554">
        <v>0</v>
      </c>
      <c r="D1554">
        <v>0</v>
      </c>
      <c r="E1554">
        <v>0</v>
      </c>
      <c r="F1554">
        <v>265.59300000000002</v>
      </c>
    </row>
    <row r="1555" spans="1:6" x14ac:dyDescent="0.25">
      <c r="A1555">
        <v>1554</v>
      </c>
      <c r="B1555">
        <v>45</v>
      </c>
      <c r="C1555">
        <v>0</v>
      </c>
      <c r="D1555">
        <v>0</v>
      </c>
      <c r="E1555">
        <v>0</v>
      </c>
      <c r="F1555">
        <v>1567.24</v>
      </c>
    </row>
    <row r="1556" spans="1:6" x14ac:dyDescent="0.25">
      <c r="A1556">
        <v>1555</v>
      </c>
      <c r="B1556">
        <v>46</v>
      </c>
      <c r="C1556">
        <v>0</v>
      </c>
      <c r="D1556">
        <v>0</v>
      </c>
      <c r="E1556">
        <v>0</v>
      </c>
      <c r="F1556">
        <v>0</v>
      </c>
    </row>
    <row r="1557" spans="1:6" x14ac:dyDescent="0.25">
      <c r="A1557">
        <v>1556</v>
      </c>
      <c r="B1557">
        <v>2</v>
      </c>
      <c r="C1557">
        <v>0</v>
      </c>
      <c r="D1557">
        <v>0</v>
      </c>
      <c r="E1557">
        <v>0</v>
      </c>
      <c r="F1557">
        <v>34.406799999999997</v>
      </c>
    </row>
    <row r="1558" spans="1:6" x14ac:dyDescent="0.25">
      <c r="A1558">
        <v>1557</v>
      </c>
      <c r="B1558">
        <v>10</v>
      </c>
      <c r="C1558">
        <v>1</v>
      </c>
      <c r="D1558">
        <v>0</v>
      </c>
      <c r="E1558">
        <v>0</v>
      </c>
      <c r="F1558">
        <v>5691</v>
      </c>
    </row>
    <row r="1559" spans="1:6" x14ac:dyDescent="0.25">
      <c r="A1559">
        <v>1558</v>
      </c>
      <c r="B1559">
        <v>13</v>
      </c>
      <c r="C1559">
        <v>0</v>
      </c>
      <c r="D1559">
        <v>0</v>
      </c>
      <c r="E1559">
        <v>0</v>
      </c>
      <c r="F1559">
        <v>1602</v>
      </c>
    </row>
    <row r="1560" spans="1:6" x14ac:dyDescent="0.25">
      <c r="A1560">
        <v>1559</v>
      </c>
      <c r="B1560">
        <v>41</v>
      </c>
      <c r="C1560">
        <v>0</v>
      </c>
      <c r="D1560">
        <v>0</v>
      </c>
      <c r="E1560">
        <v>0</v>
      </c>
      <c r="F1560">
        <v>1</v>
      </c>
    </row>
    <row r="1561" spans="1:6" x14ac:dyDescent="0.25">
      <c r="A1561">
        <v>1560</v>
      </c>
      <c r="B1561">
        <v>42</v>
      </c>
      <c r="C1561">
        <v>0</v>
      </c>
      <c r="D1561">
        <v>0</v>
      </c>
      <c r="E1561">
        <v>0</v>
      </c>
      <c r="F1561">
        <v>0.2</v>
      </c>
    </row>
    <row r="1562" spans="1:6" x14ac:dyDescent="0.25">
      <c r="A1562">
        <v>1561</v>
      </c>
      <c r="B1562">
        <v>43</v>
      </c>
      <c r="C1562">
        <v>0</v>
      </c>
      <c r="D1562">
        <v>0</v>
      </c>
      <c r="E1562">
        <v>0</v>
      </c>
      <c r="F1562">
        <v>0</v>
      </c>
    </row>
    <row r="1563" spans="1:6" x14ac:dyDescent="0.25">
      <c r="A1563">
        <v>1562</v>
      </c>
      <c r="B1563">
        <v>44</v>
      </c>
      <c r="C1563">
        <v>0</v>
      </c>
      <c r="D1563">
        <v>0</v>
      </c>
      <c r="E1563">
        <v>0</v>
      </c>
      <c r="F1563">
        <v>265.59300000000002</v>
      </c>
    </row>
    <row r="1564" spans="1:6" x14ac:dyDescent="0.25">
      <c r="A1564">
        <v>1563</v>
      </c>
      <c r="B1564">
        <v>45</v>
      </c>
      <c r="C1564">
        <v>0</v>
      </c>
      <c r="D1564">
        <v>0</v>
      </c>
      <c r="E1564">
        <v>0</v>
      </c>
      <c r="F1564">
        <v>1567.24</v>
      </c>
    </row>
    <row r="1565" spans="1:6" x14ac:dyDescent="0.25">
      <c r="A1565">
        <v>1564</v>
      </c>
      <c r="B1565" t="s">
        <v>0</v>
      </c>
      <c r="C1565">
        <v>82</v>
      </c>
      <c r="D1565">
        <v>3482</v>
      </c>
      <c r="E1565">
        <v>79832418</v>
      </c>
    </row>
    <row r="1566" spans="1:6" x14ac:dyDescent="0.25">
      <c r="A1566">
        <v>1565</v>
      </c>
      <c r="B1566">
        <v>46</v>
      </c>
      <c r="C1566">
        <v>0</v>
      </c>
      <c r="D1566">
        <v>0</v>
      </c>
      <c r="E1566">
        <v>0</v>
      </c>
      <c r="F1566">
        <v>0</v>
      </c>
    </row>
    <row r="1567" spans="1:6" x14ac:dyDescent="0.25">
      <c r="A1567">
        <v>1566</v>
      </c>
      <c r="B1567">
        <v>2</v>
      </c>
      <c r="C1567">
        <v>0</v>
      </c>
      <c r="D1567">
        <v>0</v>
      </c>
      <c r="E1567">
        <v>0</v>
      </c>
      <c r="F1567">
        <v>34.407200000000003</v>
      </c>
    </row>
    <row r="1568" spans="1:6" x14ac:dyDescent="0.25">
      <c r="A1568">
        <v>1567</v>
      </c>
      <c r="B1568">
        <v>10</v>
      </c>
      <c r="C1568">
        <v>1</v>
      </c>
      <c r="D1568">
        <v>0</v>
      </c>
      <c r="E1568">
        <v>0</v>
      </c>
      <c r="F1568">
        <v>5691</v>
      </c>
    </row>
    <row r="1569" spans="1:6" x14ac:dyDescent="0.25">
      <c r="A1569">
        <v>1568</v>
      </c>
      <c r="B1569">
        <v>13</v>
      </c>
      <c r="C1569">
        <v>0</v>
      </c>
      <c r="D1569">
        <v>0</v>
      </c>
      <c r="E1569">
        <v>0</v>
      </c>
      <c r="F1569">
        <v>1602</v>
      </c>
    </row>
    <row r="1570" spans="1:6" x14ac:dyDescent="0.25">
      <c r="A1570">
        <v>1569</v>
      </c>
      <c r="B1570">
        <v>41</v>
      </c>
      <c r="C1570">
        <v>0</v>
      </c>
      <c r="D1570">
        <v>0</v>
      </c>
      <c r="E1570">
        <v>0</v>
      </c>
      <c r="F1570">
        <v>1</v>
      </c>
    </row>
    <row r="1571" spans="1:6" x14ac:dyDescent="0.25">
      <c r="A1571">
        <v>1570</v>
      </c>
      <c r="B1571">
        <v>42</v>
      </c>
      <c r="C1571">
        <v>0</v>
      </c>
      <c r="D1571">
        <v>0</v>
      </c>
      <c r="E1571">
        <v>0</v>
      </c>
      <c r="F1571">
        <v>0.2</v>
      </c>
    </row>
    <row r="1572" spans="1:6" x14ac:dyDescent="0.25">
      <c r="A1572">
        <v>1571</v>
      </c>
      <c r="B1572">
        <v>43</v>
      </c>
      <c r="C1572">
        <v>0</v>
      </c>
      <c r="D1572">
        <v>0</v>
      </c>
      <c r="E1572">
        <v>0</v>
      </c>
      <c r="F1572">
        <v>0</v>
      </c>
    </row>
    <row r="1573" spans="1:6" x14ac:dyDescent="0.25">
      <c r="A1573">
        <v>1572</v>
      </c>
      <c r="B1573">
        <v>44</v>
      </c>
      <c r="C1573">
        <v>0</v>
      </c>
      <c r="D1573">
        <v>0</v>
      </c>
      <c r="E1573">
        <v>0</v>
      </c>
      <c r="F1573">
        <v>265.59300000000002</v>
      </c>
    </row>
    <row r="1574" spans="1:6" x14ac:dyDescent="0.25">
      <c r="A1574">
        <v>1573</v>
      </c>
      <c r="B1574">
        <v>45</v>
      </c>
      <c r="C1574">
        <v>0</v>
      </c>
      <c r="D1574">
        <v>0</v>
      </c>
      <c r="E1574">
        <v>0</v>
      </c>
      <c r="F1574">
        <v>1567.75</v>
      </c>
    </row>
    <row r="1575" spans="1:6" x14ac:dyDescent="0.25">
      <c r="A1575">
        <v>1574</v>
      </c>
      <c r="B1575">
        <v>46</v>
      </c>
      <c r="C1575">
        <v>0</v>
      </c>
      <c r="D1575">
        <v>0</v>
      </c>
      <c r="E1575">
        <v>0</v>
      </c>
      <c r="F1575">
        <v>0</v>
      </c>
    </row>
    <row r="1576" spans="1:6" x14ac:dyDescent="0.25">
      <c r="A1576">
        <v>1575</v>
      </c>
      <c r="B1576">
        <v>2</v>
      </c>
      <c r="C1576">
        <v>0</v>
      </c>
      <c r="D1576">
        <v>0</v>
      </c>
      <c r="E1576">
        <v>0</v>
      </c>
      <c r="F1576">
        <v>34.407200000000003</v>
      </c>
    </row>
    <row r="1577" spans="1:6" x14ac:dyDescent="0.25">
      <c r="A1577">
        <v>1576</v>
      </c>
      <c r="B1577">
        <v>10</v>
      </c>
      <c r="C1577">
        <v>1</v>
      </c>
      <c r="D1577">
        <v>0</v>
      </c>
      <c r="E1577">
        <v>0</v>
      </c>
      <c r="F1577">
        <v>5691</v>
      </c>
    </row>
    <row r="1578" spans="1:6" x14ac:dyDescent="0.25">
      <c r="A1578">
        <v>1577</v>
      </c>
      <c r="B1578">
        <v>13</v>
      </c>
      <c r="C1578">
        <v>0</v>
      </c>
      <c r="D1578">
        <v>0</v>
      </c>
      <c r="E1578">
        <v>0</v>
      </c>
      <c r="F1578">
        <v>1602</v>
      </c>
    </row>
    <row r="1579" spans="1:6" x14ac:dyDescent="0.25">
      <c r="A1579">
        <v>1578</v>
      </c>
      <c r="B1579">
        <v>41</v>
      </c>
      <c r="C1579">
        <v>0</v>
      </c>
      <c r="D1579">
        <v>0</v>
      </c>
      <c r="E1579">
        <v>0</v>
      </c>
      <c r="F1579">
        <v>1</v>
      </c>
    </row>
    <row r="1580" spans="1:6" x14ac:dyDescent="0.25">
      <c r="A1580">
        <v>1579</v>
      </c>
      <c r="B1580">
        <v>42</v>
      </c>
      <c r="C1580">
        <v>0</v>
      </c>
      <c r="D1580">
        <v>0</v>
      </c>
      <c r="E1580">
        <v>0</v>
      </c>
      <c r="F1580">
        <v>0.2</v>
      </c>
    </row>
    <row r="1581" spans="1:6" x14ac:dyDescent="0.25">
      <c r="A1581">
        <v>1580</v>
      </c>
      <c r="B1581" t="s">
        <v>0</v>
      </c>
      <c r="C1581">
        <v>83</v>
      </c>
      <c r="D1581">
        <v>3482</v>
      </c>
      <c r="E1581">
        <v>79833386</v>
      </c>
    </row>
    <row r="1582" spans="1:6" x14ac:dyDescent="0.25">
      <c r="A1582">
        <v>1581</v>
      </c>
      <c r="B1582">
        <v>43</v>
      </c>
      <c r="C1582">
        <v>0</v>
      </c>
      <c r="D1582">
        <v>0</v>
      </c>
      <c r="E1582">
        <v>0</v>
      </c>
      <c r="F1582">
        <v>0</v>
      </c>
    </row>
    <row r="1583" spans="1:6" x14ac:dyDescent="0.25">
      <c r="A1583">
        <v>1582</v>
      </c>
      <c r="B1583">
        <v>44</v>
      </c>
      <c r="C1583">
        <v>0</v>
      </c>
      <c r="D1583">
        <v>0</v>
      </c>
      <c r="E1583">
        <v>0</v>
      </c>
      <c r="F1583">
        <v>265.59300000000002</v>
      </c>
    </row>
    <row r="1584" spans="1:6" x14ac:dyDescent="0.25">
      <c r="A1584">
        <v>1583</v>
      </c>
      <c r="B1584">
        <v>45</v>
      </c>
      <c r="C1584">
        <v>0</v>
      </c>
      <c r="D1584">
        <v>0</v>
      </c>
      <c r="E1584">
        <v>0</v>
      </c>
      <c r="F1584">
        <v>1568.27</v>
      </c>
    </row>
    <row r="1585" spans="1:6" x14ac:dyDescent="0.25">
      <c r="A1585">
        <v>1584</v>
      </c>
      <c r="B1585">
        <v>46</v>
      </c>
      <c r="C1585">
        <v>0</v>
      </c>
      <c r="D1585">
        <v>0</v>
      </c>
      <c r="E1585">
        <v>0</v>
      </c>
      <c r="F1585">
        <v>0</v>
      </c>
    </row>
    <row r="1586" spans="1:6" x14ac:dyDescent="0.25">
      <c r="A1586">
        <v>1585</v>
      </c>
      <c r="B1586">
        <v>2</v>
      </c>
      <c r="C1586">
        <v>0</v>
      </c>
      <c r="D1586">
        <v>0</v>
      </c>
      <c r="E1586">
        <v>0</v>
      </c>
      <c r="F1586">
        <v>34.406700000000001</v>
      </c>
    </row>
    <row r="1587" spans="1:6" x14ac:dyDescent="0.25">
      <c r="A1587">
        <v>1586</v>
      </c>
      <c r="B1587">
        <v>10</v>
      </c>
      <c r="C1587">
        <v>1</v>
      </c>
      <c r="D1587">
        <v>0</v>
      </c>
      <c r="E1587">
        <v>0</v>
      </c>
      <c r="F1587">
        <v>5691</v>
      </c>
    </row>
    <row r="1588" spans="1:6" x14ac:dyDescent="0.25">
      <c r="A1588">
        <v>1587</v>
      </c>
      <c r="B1588">
        <v>13</v>
      </c>
      <c r="C1588">
        <v>0</v>
      </c>
      <c r="D1588">
        <v>0</v>
      </c>
      <c r="E1588">
        <v>0</v>
      </c>
      <c r="F1588">
        <v>1602</v>
      </c>
    </row>
    <row r="1589" spans="1:6" x14ac:dyDescent="0.25">
      <c r="A1589">
        <v>1588</v>
      </c>
      <c r="B1589">
        <v>41</v>
      </c>
      <c r="C1589">
        <v>0</v>
      </c>
      <c r="D1589">
        <v>0</v>
      </c>
      <c r="E1589">
        <v>0</v>
      </c>
      <c r="F1589">
        <v>1</v>
      </c>
    </row>
    <row r="1590" spans="1:6" x14ac:dyDescent="0.25">
      <c r="A1590">
        <v>1589</v>
      </c>
      <c r="B1590">
        <v>42</v>
      </c>
      <c r="C1590">
        <v>0</v>
      </c>
      <c r="D1590">
        <v>0</v>
      </c>
      <c r="E1590">
        <v>0</v>
      </c>
      <c r="F1590">
        <v>0.2</v>
      </c>
    </row>
    <row r="1591" spans="1:6" x14ac:dyDescent="0.25">
      <c r="A1591">
        <v>1590</v>
      </c>
      <c r="B1591">
        <v>43</v>
      </c>
      <c r="C1591">
        <v>0</v>
      </c>
      <c r="D1591">
        <v>0</v>
      </c>
      <c r="E1591">
        <v>0</v>
      </c>
      <c r="F1591">
        <v>0</v>
      </c>
    </row>
    <row r="1592" spans="1:6" x14ac:dyDescent="0.25">
      <c r="A1592">
        <v>1591</v>
      </c>
      <c r="B1592">
        <v>44</v>
      </c>
      <c r="C1592">
        <v>0</v>
      </c>
      <c r="D1592">
        <v>0</v>
      </c>
      <c r="E1592">
        <v>0</v>
      </c>
      <c r="F1592">
        <v>265.59300000000002</v>
      </c>
    </row>
    <row r="1593" spans="1:6" x14ac:dyDescent="0.25">
      <c r="A1593">
        <v>1592</v>
      </c>
      <c r="B1593">
        <v>45</v>
      </c>
      <c r="C1593">
        <v>0</v>
      </c>
      <c r="D1593">
        <v>0</v>
      </c>
      <c r="E1593">
        <v>0</v>
      </c>
      <c r="F1593">
        <v>1568.27</v>
      </c>
    </row>
    <row r="1594" spans="1:6" x14ac:dyDescent="0.25">
      <c r="A1594">
        <v>1593</v>
      </c>
      <c r="B1594">
        <v>46</v>
      </c>
      <c r="C1594">
        <v>0</v>
      </c>
      <c r="D1594">
        <v>0</v>
      </c>
      <c r="E1594">
        <v>0</v>
      </c>
      <c r="F1594">
        <v>0</v>
      </c>
    </row>
    <row r="1595" spans="1:6" x14ac:dyDescent="0.25">
      <c r="A1595">
        <v>1594</v>
      </c>
      <c r="B1595">
        <v>2</v>
      </c>
      <c r="C1595">
        <v>0</v>
      </c>
      <c r="D1595">
        <v>0</v>
      </c>
      <c r="E1595">
        <v>0</v>
      </c>
      <c r="F1595">
        <v>34.406700000000001</v>
      </c>
    </row>
    <row r="1596" spans="1:6" x14ac:dyDescent="0.25">
      <c r="A1596">
        <v>1595</v>
      </c>
      <c r="B1596">
        <v>10</v>
      </c>
      <c r="C1596">
        <v>1</v>
      </c>
      <c r="D1596">
        <v>0</v>
      </c>
      <c r="E1596">
        <v>0</v>
      </c>
      <c r="F1596">
        <v>5691</v>
      </c>
    </row>
    <row r="1597" spans="1:6" x14ac:dyDescent="0.25">
      <c r="A1597">
        <v>1596</v>
      </c>
      <c r="B1597">
        <v>13</v>
      </c>
      <c r="C1597">
        <v>0</v>
      </c>
      <c r="D1597">
        <v>0</v>
      </c>
      <c r="E1597">
        <v>0</v>
      </c>
      <c r="F1597">
        <v>1602</v>
      </c>
    </row>
    <row r="1598" spans="1:6" x14ac:dyDescent="0.25">
      <c r="A1598">
        <v>1597</v>
      </c>
      <c r="B1598">
        <v>41</v>
      </c>
      <c r="C1598">
        <v>0</v>
      </c>
      <c r="D1598">
        <v>0</v>
      </c>
      <c r="E1598">
        <v>0</v>
      </c>
      <c r="F1598">
        <v>1</v>
      </c>
    </row>
    <row r="1599" spans="1:6" x14ac:dyDescent="0.25">
      <c r="A1599">
        <v>1598</v>
      </c>
      <c r="B1599">
        <v>42</v>
      </c>
      <c r="C1599">
        <v>0</v>
      </c>
      <c r="D1599">
        <v>0</v>
      </c>
      <c r="E1599">
        <v>0</v>
      </c>
      <c r="F1599">
        <v>0.2</v>
      </c>
    </row>
    <row r="1600" spans="1:6" x14ac:dyDescent="0.25">
      <c r="A1600">
        <v>1599</v>
      </c>
      <c r="B1600">
        <v>43</v>
      </c>
      <c r="C1600">
        <v>0</v>
      </c>
      <c r="D1600">
        <v>0</v>
      </c>
      <c r="E1600">
        <v>0</v>
      </c>
      <c r="F1600">
        <v>0</v>
      </c>
    </row>
    <row r="1601" spans="1:6" x14ac:dyDescent="0.25">
      <c r="A1601">
        <v>1600</v>
      </c>
      <c r="B1601">
        <v>44</v>
      </c>
      <c r="C1601">
        <v>0</v>
      </c>
      <c r="D1601">
        <v>0</v>
      </c>
      <c r="E1601">
        <v>0</v>
      </c>
      <c r="F1601">
        <v>265.59300000000002</v>
      </c>
    </row>
    <row r="1602" spans="1:6" x14ac:dyDescent="0.25">
      <c r="A1602">
        <v>1601</v>
      </c>
      <c r="B1602">
        <v>45</v>
      </c>
      <c r="C1602">
        <v>0</v>
      </c>
      <c r="D1602">
        <v>0</v>
      </c>
      <c r="E1602">
        <v>0</v>
      </c>
      <c r="F1602">
        <v>1568.78</v>
      </c>
    </row>
    <row r="1603" spans="1:6" x14ac:dyDescent="0.25">
      <c r="A1603">
        <v>1602</v>
      </c>
      <c r="B1603">
        <v>46</v>
      </c>
      <c r="C1603">
        <v>0</v>
      </c>
      <c r="D1603">
        <v>0</v>
      </c>
      <c r="E1603">
        <v>0</v>
      </c>
      <c r="F1603">
        <v>0</v>
      </c>
    </row>
    <row r="1604" spans="1:6" x14ac:dyDescent="0.25">
      <c r="A1604">
        <v>1603</v>
      </c>
      <c r="B1604">
        <v>2</v>
      </c>
      <c r="C1604">
        <v>0</v>
      </c>
      <c r="D1604">
        <v>0</v>
      </c>
      <c r="E1604">
        <v>0</v>
      </c>
      <c r="F1604">
        <v>34.406599999999997</v>
      </c>
    </row>
    <row r="1605" spans="1:6" x14ac:dyDescent="0.25">
      <c r="A1605">
        <v>1604</v>
      </c>
      <c r="B1605">
        <v>10</v>
      </c>
      <c r="C1605">
        <v>1</v>
      </c>
      <c r="D1605">
        <v>0</v>
      </c>
      <c r="E1605">
        <v>0</v>
      </c>
      <c r="F1605">
        <v>5691</v>
      </c>
    </row>
    <row r="1606" spans="1:6" x14ac:dyDescent="0.25">
      <c r="A1606">
        <v>1605</v>
      </c>
      <c r="B1606">
        <v>13</v>
      </c>
      <c r="C1606">
        <v>0</v>
      </c>
      <c r="D1606">
        <v>0</v>
      </c>
      <c r="E1606">
        <v>0</v>
      </c>
      <c r="F1606">
        <v>1602</v>
      </c>
    </row>
    <row r="1607" spans="1:6" x14ac:dyDescent="0.25">
      <c r="A1607">
        <v>1606</v>
      </c>
      <c r="B1607">
        <v>41</v>
      </c>
      <c r="C1607">
        <v>0</v>
      </c>
      <c r="D1607">
        <v>0</v>
      </c>
      <c r="E1607">
        <v>0</v>
      </c>
      <c r="F1607">
        <v>1</v>
      </c>
    </row>
    <row r="1608" spans="1:6" x14ac:dyDescent="0.25">
      <c r="A1608">
        <v>1607</v>
      </c>
      <c r="B1608">
        <v>42</v>
      </c>
      <c r="C1608">
        <v>0</v>
      </c>
      <c r="D1608">
        <v>0</v>
      </c>
      <c r="E1608">
        <v>0</v>
      </c>
      <c r="F1608">
        <v>0.2</v>
      </c>
    </row>
    <row r="1609" spans="1:6" x14ac:dyDescent="0.25">
      <c r="A1609">
        <v>1608</v>
      </c>
      <c r="B1609">
        <v>43</v>
      </c>
      <c r="C1609">
        <v>0</v>
      </c>
      <c r="D1609">
        <v>0</v>
      </c>
      <c r="E1609">
        <v>0</v>
      </c>
      <c r="F1609">
        <v>0</v>
      </c>
    </row>
    <row r="1610" spans="1:6" x14ac:dyDescent="0.25">
      <c r="A1610">
        <v>1609</v>
      </c>
      <c r="B1610">
        <v>44</v>
      </c>
      <c r="C1610">
        <v>0</v>
      </c>
      <c r="D1610">
        <v>0</v>
      </c>
      <c r="E1610">
        <v>0</v>
      </c>
      <c r="F1610">
        <v>265.59300000000002</v>
      </c>
    </row>
    <row r="1611" spans="1:6" x14ac:dyDescent="0.25">
      <c r="A1611">
        <v>1610</v>
      </c>
      <c r="B1611">
        <v>45</v>
      </c>
      <c r="C1611">
        <v>0</v>
      </c>
      <c r="D1611">
        <v>0</v>
      </c>
      <c r="E1611">
        <v>0</v>
      </c>
      <c r="F1611">
        <v>1568.78</v>
      </c>
    </row>
    <row r="1612" spans="1:6" x14ac:dyDescent="0.25">
      <c r="A1612">
        <v>1611</v>
      </c>
      <c r="B1612">
        <v>46</v>
      </c>
      <c r="C1612">
        <v>0</v>
      </c>
      <c r="D1612">
        <v>0</v>
      </c>
      <c r="E1612">
        <v>0</v>
      </c>
      <c r="F1612">
        <v>0</v>
      </c>
    </row>
    <row r="1613" spans="1:6" x14ac:dyDescent="0.25">
      <c r="A1613">
        <v>1612</v>
      </c>
      <c r="B1613">
        <v>2</v>
      </c>
      <c r="C1613">
        <v>0</v>
      </c>
      <c r="D1613">
        <v>0</v>
      </c>
      <c r="E1613">
        <v>0</v>
      </c>
      <c r="F1613">
        <v>34.407200000000003</v>
      </c>
    </row>
    <row r="1614" spans="1:6" x14ac:dyDescent="0.25">
      <c r="A1614">
        <v>1613</v>
      </c>
      <c r="B1614">
        <v>10</v>
      </c>
      <c r="C1614">
        <v>1</v>
      </c>
      <c r="D1614">
        <v>0</v>
      </c>
      <c r="E1614">
        <v>0</v>
      </c>
      <c r="F1614">
        <v>5691</v>
      </c>
    </row>
    <row r="1615" spans="1:6" x14ac:dyDescent="0.25">
      <c r="A1615">
        <v>1614</v>
      </c>
      <c r="B1615">
        <v>13</v>
      </c>
      <c r="C1615">
        <v>0</v>
      </c>
      <c r="D1615">
        <v>0</v>
      </c>
      <c r="E1615">
        <v>0</v>
      </c>
      <c r="F1615">
        <v>1602</v>
      </c>
    </row>
    <row r="1616" spans="1:6" x14ac:dyDescent="0.25">
      <c r="A1616">
        <v>1615</v>
      </c>
      <c r="B1616">
        <v>41</v>
      </c>
      <c r="C1616">
        <v>0</v>
      </c>
      <c r="D1616">
        <v>0</v>
      </c>
      <c r="E1616">
        <v>0</v>
      </c>
      <c r="F1616">
        <v>1</v>
      </c>
    </row>
    <row r="1617" spans="1:6" x14ac:dyDescent="0.25">
      <c r="A1617">
        <v>1616</v>
      </c>
      <c r="B1617">
        <v>42</v>
      </c>
      <c r="C1617">
        <v>0</v>
      </c>
      <c r="D1617">
        <v>0</v>
      </c>
      <c r="E1617">
        <v>0</v>
      </c>
      <c r="F1617">
        <v>0.2</v>
      </c>
    </row>
    <row r="1618" spans="1:6" x14ac:dyDescent="0.25">
      <c r="A1618">
        <v>1617</v>
      </c>
      <c r="B1618">
        <v>43</v>
      </c>
      <c r="C1618">
        <v>0</v>
      </c>
      <c r="D1618">
        <v>0</v>
      </c>
      <c r="E1618">
        <v>0</v>
      </c>
      <c r="F1618">
        <v>0</v>
      </c>
    </row>
    <row r="1619" spans="1:6" x14ac:dyDescent="0.25">
      <c r="A1619">
        <v>1618</v>
      </c>
      <c r="B1619">
        <v>44</v>
      </c>
      <c r="C1619">
        <v>0</v>
      </c>
      <c r="D1619">
        <v>0</v>
      </c>
      <c r="E1619">
        <v>0</v>
      </c>
      <c r="F1619">
        <v>265.59300000000002</v>
      </c>
    </row>
    <row r="1620" spans="1:6" x14ac:dyDescent="0.25">
      <c r="A1620">
        <v>1619</v>
      </c>
      <c r="B1620">
        <v>45</v>
      </c>
      <c r="C1620">
        <v>0</v>
      </c>
      <c r="D1620">
        <v>0</v>
      </c>
      <c r="E1620">
        <v>0</v>
      </c>
      <c r="F1620">
        <v>1569.29</v>
      </c>
    </row>
    <row r="1621" spans="1:6" x14ac:dyDescent="0.25">
      <c r="A1621">
        <v>1620</v>
      </c>
      <c r="B1621">
        <v>46</v>
      </c>
      <c r="C1621">
        <v>0</v>
      </c>
      <c r="D1621">
        <v>0</v>
      </c>
      <c r="E1621">
        <v>0</v>
      </c>
      <c r="F1621">
        <v>0</v>
      </c>
    </row>
    <row r="1622" spans="1:6" x14ac:dyDescent="0.25">
      <c r="A1622">
        <v>1621</v>
      </c>
      <c r="B1622">
        <v>2</v>
      </c>
      <c r="C1622">
        <v>0</v>
      </c>
      <c r="D1622">
        <v>0</v>
      </c>
      <c r="E1622">
        <v>0</v>
      </c>
      <c r="F1622">
        <v>34.407200000000003</v>
      </c>
    </row>
    <row r="1623" spans="1:6" x14ac:dyDescent="0.25">
      <c r="A1623">
        <v>1622</v>
      </c>
      <c r="B1623">
        <v>10</v>
      </c>
      <c r="C1623">
        <v>1</v>
      </c>
      <c r="D1623">
        <v>0</v>
      </c>
      <c r="E1623">
        <v>0</v>
      </c>
      <c r="F1623">
        <v>5691</v>
      </c>
    </row>
    <row r="1624" spans="1:6" x14ac:dyDescent="0.25">
      <c r="A1624">
        <v>1623</v>
      </c>
      <c r="B1624">
        <v>13</v>
      </c>
      <c r="C1624">
        <v>0</v>
      </c>
      <c r="D1624">
        <v>0</v>
      </c>
      <c r="E1624">
        <v>0</v>
      </c>
      <c r="F1624">
        <v>1602</v>
      </c>
    </row>
    <row r="1625" spans="1:6" x14ac:dyDescent="0.25">
      <c r="A1625">
        <v>1624</v>
      </c>
      <c r="B1625">
        <v>41</v>
      </c>
      <c r="C1625">
        <v>0</v>
      </c>
      <c r="D1625">
        <v>0</v>
      </c>
      <c r="E1625">
        <v>0</v>
      </c>
      <c r="F1625">
        <v>1</v>
      </c>
    </row>
    <row r="1626" spans="1:6" x14ac:dyDescent="0.25">
      <c r="A1626">
        <v>1625</v>
      </c>
      <c r="B1626" t="s">
        <v>0</v>
      </c>
      <c r="C1626">
        <v>86</v>
      </c>
      <c r="D1626">
        <v>3482</v>
      </c>
      <c r="E1626">
        <v>79836288</v>
      </c>
    </row>
    <row r="1627" spans="1:6" x14ac:dyDescent="0.25">
      <c r="A1627">
        <v>1626</v>
      </c>
      <c r="B1627">
        <v>43</v>
      </c>
      <c r="C1627">
        <v>0</v>
      </c>
      <c r="D1627">
        <v>0</v>
      </c>
      <c r="E1627">
        <v>0</v>
      </c>
      <c r="F1627">
        <v>0</v>
      </c>
    </row>
    <row r="1628" spans="1:6" x14ac:dyDescent="0.25">
      <c r="A1628">
        <v>1627</v>
      </c>
      <c r="B1628">
        <v>44</v>
      </c>
      <c r="C1628">
        <v>0</v>
      </c>
      <c r="D1628">
        <v>0</v>
      </c>
      <c r="E1628">
        <v>0</v>
      </c>
      <c r="F1628">
        <v>265.59199999999998</v>
      </c>
    </row>
    <row r="1629" spans="1:6" x14ac:dyDescent="0.25">
      <c r="A1629">
        <v>1628</v>
      </c>
      <c r="B1629">
        <v>45</v>
      </c>
      <c r="C1629">
        <v>0</v>
      </c>
      <c r="D1629">
        <v>0</v>
      </c>
      <c r="E1629">
        <v>0</v>
      </c>
      <c r="F1629">
        <v>1569.81</v>
      </c>
    </row>
    <row r="1630" spans="1:6" x14ac:dyDescent="0.25">
      <c r="A1630">
        <v>1629</v>
      </c>
      <c r="B1630">
        <v>46</v>
      </c>
      <c r="C1630">
        <v>0</v>
      </c>
      <c r="D1630">
        <v>0</v>
      </c>
      <c r="E1630">
        <v>0</v>
      </c>
      <c r="F1630">
        <v>0</v>
      </c>
    </row>
    <row r="1631" spans="1:6" x14ac:dyDescent="0.25">
      <c r="A1631">
        <v>1630</v>
      </c>
      <c r="B1631">
        <v>2</v>
      </c>
      <c r="C1631">
        <v>0</v>
      </c>
      <c r="D1631">
        <v>0</v>
      </c>
      <c r="E1631">
        <v>0</v>
      </c>
      <c r="F1631">
        <v>34.407899999999998</v>
      </c>
    </row>
    <row r="1632" spans="1:6" x14ac:dyDescent="0.25">
      <c r="A1632">
        <v>1631</v>
      </c>
      <c r="B1632">
        <v>10</v>
      </c>
      <c r="C1632">
        <v>1</v>
      </c>
      <c r="D1632">
        <v>0</v>
      </c>
      <c r="E1632">
        <v>0</v>
      </c>
      <c r="F1632">
        <v>5691</v>
      </c>
    </row>
    <row r="1633" spans="1:6" x14ac:dyDescent="0.25">
      <c r="A1633">
        <v>1632</v>
      </c>
      <c r="B1633">
        <v>13</v>
      </c>
      <c r="C1633">
        <v>0</v>
      </c>
      <c r="D1633">
        <v>0</v>
      </c>
      <c r="E1633">
        <v>0</v>
      </c>
      <c r="F1633">
        <v>1602</v>
      </c>
    </row>
    <row r="1634" spans="1:6" x14ac:dyDescent="0.25">
      <c r="A1634">
        <v>1633</v>
      </c>
      <c r="B1634">
        <v>41</v>
      </c>
      <c r="C1634">
        <v>0</v>
      </c>
      <c r="D1634">
        <v>0</v>
      </c>
      <c r="E1634">
        <v>0</v>
      </c>
      <c r="F1634">
        <v>1</v>
      </c>
    </row>
    <row r="1635" spans="1:6" x14ac:dyDescent="0.25">
      <c r="A1635">
        <v>1634</v>
      </c>
      <c r="B1635">
        <v>42</v>
      </c>
      <c r="C1635">
        <v>0</v>
      </c>
      <c r="D1635">
        <v>0</v>
      </c>
      <c r="E1635">
        <v>0</v>
      </c>
      <c r="F1635">
        <v>0.2</v>
      </c>
    </row>
    <row r="1636" spans="1:6" x14ac:dyDescent="0.25">
      <c r="A1636">
        <v>1635</v>
      </c>
      <c r="B1636">
        <v>43</v>
      </c>
      <c r="C1636">
        <v>0</v>
      </c>
      <c r="D1636">
        <v>0</v>
      </c>
      <c r="E1636">
        <v>0</v>
      </c>
      <c r="F1636">
        <v>0</v>
      </c>
    </row>
    <row r="1637" spans="1:6" x14ac:dyDescent="0.25">
      <c r="A1637">
        <v>1636</v>
      </c>
      <c r="B1637">
        <v>44</v>
      </c>
      <c r="C1637">
        <v>0</v>
      </c>
      <c r="D1637">
        <v>0</v>
      </c>
      <c r="E1637">
        <v>0</v>
      </c>
      <c r="F1637">
        <v>265.59199999999998</v>
      </c>
    </row>
    <row r="1638" spans="1:6" x14ac:dyDescent="0.25">
      <c r="A1638">
        <v>1637</v>
      </c>
      <c r="B1638">
        <v>45</v>
      </c>
      <c r="C1638">
        <v>0</v>
      </c>
      <c r="D1638">
        <v>0</v>
      </c>
      <c r="E1638">
        <v>0</v>
      </c>
      <c r="F1638">
        <v>1569.81</v>
      </c>
    </row>
    <row r="1639" spans="1:6" x14ac:dyDescent="0.25">
      <c r="A1639">
        <v>1638</v>
      </c>
      <c r="B1639">
        <v>46</v>
      </c>
      <c r="C1639">
        <v>0</v>
      </c>
      <c r="D1639">
        <v>0</v>
      </c>
      <c r="E1639">
        <v>0</v>
      </c>
      <c r="F1639">
        <v>0</v>
      </c>
    </row>
    <row r="1640" spans="1:6" x14ac:dyDescent="0.25">
      <c r="A1640">
        <v>1639</v>
      </c>
      <c r="B1640">
        <v>2</v>
      </c>
      <c r="C1640">
        <v>0</v>
      </c>
      <c r="D1640">
        <v>0</v>
      </c>
      <c r="E1640">
        <v>0</v>
      </c>
      <c r="F1640">
        <v>34.407899999999998</v>
      </c>
    </row>
    <row r="1641" spans="1:6" x14ac:dyDescent="0.25">
      <c r="A1641">
        <v>1640</v>
      </c>
      <c r="B1641" t="s">
        <v>0</v>
      </c>
      <c r="C1641">
        <v>87</v>
      </c>
      <c r="D1641">
        <v>3482</v>
      </c>
      <c r="E1641">
        <v>79837257</v>
      </c>
    </row>
    <row r="1642" spans="1:6" x14ac:dyDescent="0.25">
      <c r="A1642">
        <v>1641</v>
      </c>
      <c r="B1642">
        <v>13</v>
      </c>
      <c r="C1642">
        <v>0</v>
      </c>
      <c r="D1642">
        <v>0</v>
      </c>
      <c r="E1642">
        <v>0</v>
      </c>
      <c r="F1642">
        <v>1602</v>
      </c>
    </row>
    <row r="1643" spans="1:6" x14ac:dyDescent="0.25">
      <c r="A1643">
        <v>1642</v>
      </c>
      <c r="B1643">
        <v>41</v>
      </c>
      <c r="C1643">
        <v>0</v>
      </c>
      <c r="D1643">
        <v>0</v>
      </c>
      <c r="E1643">
        <v>0</v>
      </c>
      <c r="F1643">
        <v>1</v>
      </c>
    </row>
    <row r="1644" spans="1:6" x14ac:dyDescent="0.25">
      <c r="A1644">
        <v>1643</v>
      </c>
      <c r="B1644">
        <v>42</v>
      </c>
      <c r="C1644">
        <v>0</v>
      </c>
      <c r="D1644">
        <v>0</v>
      </c>
      <c r="E1644">
        <v>0</v>
      </c>
      <c r="F1644">
        <v>0.2</v>
      </c>
    </row>
    <row r="1645" spans="1:6" x14ac:dyDescent="0.25">
      <c r="A1645">
        <v>1644</v>
      </c>
      <c r="B1645">
        <v>43</v>
      </c>
      <c r="C1645">
        <v>0</v>
      </c>
      <c r="D1645">
        <v>0</v>
      </c>
      <c r="E1645">
        <v>0</v>
      </c>
      <c r="F1645">
        <v>0</v>
      </c>
    </row>
    <row r="1646" spans="1:6" x14ac:dyDescent="0.25">
      <c r="A1646">
        <v>1645</v>
      </c>
      <c r="B1646">
        <v>44</v>
      </c>
      <c r="C1646">
        <v>0</v>
      </c>
      <c r="D1646">
        <v>0</v>
      </c>
      <c r="E1646">
        <v>0</v>
      </c>
      <c r="F1646">
        <v>265.59300000000002</v>
      </c>
    </row>
    <row r="1647" spans="1:6" x14ac:dyDescent="0.25">
      <c r="A1647">
        <v>1646</v>
      </c>
      <c r="B1647">
        <v>45</v>
      </c>
      <c r="C1647">
        <v>0</v>
      </c>
      <c r="D1647">
        <v>0</v>
      </c>
      <c r="E1647">
        <v>0</v>
      </c>
      <c r="F1647">
        <v>1570.32</v>
      </c>
    </row>
    <row r="1648" spans="1:6" x14ac:dyDescent="0.25">
      <c r="A1648">
        <v>1647</v>
      </c>
      <c r="B1648">
        <v>46</v>
      </c>
      <c r="C1648">
        <v>0</v>
      </c>
      <c r="D1648">
        <v>0</v>
      </c>
      <c r="E1648">
        <v>0</v>
      </c>
      <c r="F1648">
        <v>0</v>
      </c>
    </row>
    <row r="1649" spans="1:6" x14ac:dyDescent="0.25">
      <c r="A1649">
        <v>1648</v>
      </c>
      <c r="B1649">
        <v>2</v>
      </c>
      <c r="C1649">
        <v>0</v>
      </c>
      <c r="D1649">
        <v>0</v>
      </c>
      <c r="E1649">
        <v>0</v>
      </c>
      <c r="F1649">
        <v>34.406700000000001</v>
      </c>
    </row>
    <row r="1650" spans="1:6" x14ac:dyDescent="0.25">
      <c r="A1650">
        <v>1649</v>
      </c>
      <c r="B1650">
        <v>10</v>
      </c>
      <c r="C1650">
        <v>1</v>
      </c>
      <c r="D1650">
        <v>0</v>
      </c>
      <c r="E1650">
        <v>0</v>
      </c>
      <c r="F1650">
        <v>5691</v>
      </c>
    </row>
    <row r="1651" spans="1:6" x14ac:dyDescent="0.25">
      <c r="A1651">
        <v>1650</v>
      </c>
      <c r="B1651">
        <v>13</v>
      </c>
      <c r="C1651">
        <v>0</v>
      </c>
      <c r="D1651">
        <v>0</v>
      </c>
      <c r="E1651">
        <v>0</v>
      </c>
      <c r="F1651">
        <v>1602</v>
      </c>
    </row>
    <row r="1652" spans="1:6" x14ac:dyDescent="0.25">
      <c r="A1652">
        <v>1651</v>
      </c>
      <c r="B1652">
        <v>41</v>
      </c>
      <c r="C1652">
        <v>0</v>
      </c>
      <c r="D1652">
        <v>0</v>
      </c>
      <c r="E1652">
        <v>0</v>
      </c>
      <c r="F1652">
        <v>1</v>
      </c>
    </row>
    <row r="1653" spans="1:6" x14ac:dyDescent="0.25">
      <c r="A1653">
        <v>1652</v>
      </c>
      <c r="B1653">
        <v>42</v>
      </c>
      <c r="C1653">
        <v>0</v>
      </c>
      <c r="D1653">
        <v>0</v>
      </c>
      <c r="E1653">
        <v>0</v>
      </c>
      <c r="F1653">
        <v>0.2</v>
      </c>
    </row>
    <row r="1654" spans="1:6" x14ac:dyDescent="0.25">
      <c r="A1654">
        <v>1653</v>
      </c>
      <c r="B1654">
        <v>43</v>
      </c>
      <c r="C1654">
        <v>0</v>
      </c>
      <c r="D1654">
        <v>0</v>
      </c>
      <c r="E1654">
        <v>0</v>
      </c>
      <c r="F1654">
        <v>0</v>
      </c>
    </row>
    <row r="1655" spans="1:6" x14ac:dyDescent="0.25">
      <c r="A1655">
        <v>1654</v>
      </c>
      <c r="B1655">
        <v>44</v>
      </c>
      <c r="C1655">
        <v>0</v>
      </c>
      <c r="D1655">
        <v>0</v>
      </c>
      <c r="E1655">
        <v>0</v>
      </c>
      <c r="F1655">
        <v>265.59300000000002</v>
      </c>
    </row>
    <row r="1656" spans="1:6" x14ac:dyDescent="0.25">
      <c r="A1656">
        <v>1655</v>
      </c>
      <c r="B1656" t="s">
        <v>0</v>
      </c>
      <c r="C1656">
        <v>88</v>
      </c>
      <c r="D1656">
        <v>3482</v>
      </c>
      <c r="E1656">
        <v>79838225</v>
      </c>
    </row>
    <row r="1657" spans="1:6" x14ac:dyDescent="0.25">
      <c r="A1657">
        <v>1656</v>
      </c>
      <c r="B1657">
        <v>45</v>
      </c>
      <c r="C1657">
        <v>0</v>
      </c>
      <c r="D1657">
        <v>0</v>
      </c>
      <c r="E1657">
        <v>0</v>
      </c>
      <c r="F1657">
        <v>1570.84</v>
      </c>
    </row>
    <row r="1658" spans="1:6" x14ac:dyDescent="0.25">
      <c r="A1658">
        <v>1657</v>
      </c>
      <c r="B1658">
        <v>46</v>
      </c>
      <c r="C1658">
        <v>0</v>
      </c>
      <c r="D1658">
        <v>0</v>
      </c>
      <c r="E1658">
        <v>0</v>
      </c>
      <c r="F1658">
        <v>0</v>
      </c>
    </row>
    <row r="1659" spans="1:6" x14ac:dyDescent="0.25">
      <c r="A1659">
        <v>1658</v>
      </c>
      <c r="B1659">
        <v>2</v>
      </c>
      <c r="C1659">
        <v>0</v>
      </c>
      <c r="D1659">
        <v>0</v>
      </c>
      <c r="E1659">
        <v>0</v>
      </c>
      <c r="F1659">
        <v>34.407499999999999</v>
      </c>
    </row>
    <row r="1660" spans="1:6" x14ac:dyDescent="0.25">
      <c r="A1660">
        <v>1659</v>
      </c>
      <c r="B1660">
        <v>10</v>
      </c>
      <c r="C1660">
        <v>1</v>
      </c>
      <c r="D1660">
        <v>0</v>
      </c>
      <c r="E1660">
        <v>0</v>
      </c>
      <c r="F1660">
        <v>5691</v>
      </c>
    </row>
    <row r="1661" spans="1:6" x14ac:dyDescent="0.25">
      <c r="A1661">
        <v>1660</v>
      </c>
      <c r="B1661">
        <v>13</v>
      </c>
      <c r="C1661">
        <v>0</v>
      </c>
      <c r="D1661">
        <v>0</v>
      </c>
      <c r="E1661">
        <v>0</v>
      </c>
      <c r="F1661">
        <v>1602</v>
      </c>
    </row>
    <row r="1662" spans="1:6" x14ac:dyDescent="0.25">
      <c r="A1662">
        <v>1661</v>
      </c>
      <c r="B1662">
        <v>41</v>
      </c>
      <c r="C1662">
        <v>0</v>
      </c>
      <c r="D1662">
        <v>0</v>
      </c>
      <c r="E1662">
        <v>0</v>
      </c>
      <c r="F1662">
        <v>1</v>
      </c>
    </row>
    <row r="1663" spans="1:6" x14ac:dyDescent="0.25">
      <c r="A1663">
        <v>1662</v>
      </c>
      <c r="B1663">
        <v>42</v>
      </c>
      <c r="C1663">
        <v>0</v>
      </c>
      <c r="D1663">
        <v>0</v>
      </c>
      <c r="E1663">
        <v>0</v>
      </c>
      <c r="F1663">
        <v>0.2</v>
      </c>
    </row>
    <row r="1664" spans="1:6" x14ac:dyDescent="0.25">
      <c r="A1664">
        <v>1663</v>
      </c>
      <c r="B1664">
        <v>43</v>
      </c>
      <c r="C1664">
        <v>0</v>
      </c>
      <c r="D1664">
        <v>0</v>
      </c>
      <c r="E1664">
        <v>0</v>
      </c>
      <c r="F1664">
        <v>0</v>
      </c>
    </row>
    <row r="1665" spans="1:6" x14ac:dyDescent="0.25">
      <c r="A1665">
        <v>1664</v>
      </c>
      <c r="B1665">
        <v>44</v>
      </c>
      <c r="C1665">
        <v>0</v>
      </c>
      <c r="D1665">
        <v>0</v>
      </c>
      <c r="E1665">
        <v>0</v>
      </c>
      <c r="F1665">
        <v>265.59300000000002</v>
      </c>
    </row>
    <row r="1666" spans="1:6" x14ac:dyDescent="0.25">
      <c r="A1666">
        <v>1665</v>
      </c>
      <c r="B1666">
        <v>45</v>
      </c>
      <c r="C1666">
        <v>0</v>
      </c>
      <c r="D1666">
        <v>0</v>
      </c>
      <c r="E1666">
        <v>0</v>
      </c>
      <c r="F1666">
        <v>1570.84</v>
      </c>
    </row>
    <row r="1667" spans="1:6" x14ac:dyDescent="0.25">
      <c r="A1667">
        <v>1666</v>
      </c>
      <c r="B1667">
        <v>46</v>
      </c>
      <c r="C1667">
        <v>0</v>
      </c>
      <c r="D1667">
        <v>0</v>
      </c>
      <c r="E1667">
        <v>0</v>
      </c>
      <c r="F1667">
        <v>0</v>
      </c>
    </row>
    <row r="1668" spans="1:6" x14ac:dyDescent="0.25">
      <c r="A1668">
        <v>1667</v>
      </c>
      <c r="B1668">
        <v>2</v>
      </c>
      <c r="C1668">
        <v>0</v>
      </c>
      <c r="D1668">
        <v>0</v>
      </c>
      <c r="E1668">
        <v>0</v>
      </c>
      <c r="F1668">
        <v>34.407499999999999</v>
      </c>
    </row>
    <row r="1669" spans="1:6" x14ac:dyDescent="0.25">
      <c r="A1669">
        <v>1668</v>
      </c>
      <c r="B1669">
        <v>10</v>
      </c>
      <c r="C1669">
        <v>1</v>
      </c>
      <c r="D1669">
        <v>0</v>
      </c>
      <c r="E1669">
        <v>0</v>
      </c>
      <c r="F1669">
        <v>5691</v>
      </c>
    </row>
    <row r="1670" spans="1:6" x14ac:dyDescent="0.25">
      <c r="A1670">
        <v>1669</v>
      </c>
      <c r="B1670">
        <v>13</v>
      </c>
      <c r="C1670">
        <v>0</v>
      </c>
      <c r="D1670">
        <v>0</v>
      </c>
      <c r="E1670">
        <v>0</v>
      </c>
      <c r="F1670">
        <v>1602</v>
      </c>
    </row>
    <row r="1671" spans="1:6" x14ac:dyDescent="0.25">
      <c r="A1671">
        <v>1670</v>
      </c>
      <c r="B1671">
        <v>41</v>
      </c>
      <c r="C1671">
        <v>0</v>
      </c>
      <c r="D1671">
        <v>0</v>
      </c>
      <c r="E1671">
        <v>0</v>
      </c>
      <c r="F1671">
        <v>1</v>
      </c>
    </row>
    <row r="1672" spans="1:6" x14ac:dyDescent="0.25">
      <c r="A1672">
        <v>1671</v>
      </c>
      <c r="B1672">
        <v>42</v>
      </c>
      <c r="C1672">
        <v>0</v>
      </c>
      <c r="D1672">
        <v>0</v>
      </c>
      <c r="E1672">
        <v>0</v>
      </c>
      <c r="F1672">
        <v>0.2</v>
      </c>
    </row>
    <row r="1673" spans="1:6" x14ac:dyDescent="0.25">
      <c r="A1673">
        <v>1672</v>
      </c>
      <c r="B1673">
        <v>43</v>
      </c>
      <c r="C1673">
        <v>0</v>
      </c>
      <c r="D1673">
        <v>0</v>
      </c>
      <c r="E1673">
        <v>0</v>
      </c>
      <c r="F1673">
        <v>0</v>
      </c>
    </row>
    <row r="1674" spans="1:6" x14ac:dyDescent="0.25">
      <c r="A1674">
        <v>1673</v>
      </c>
      <c r="B1674">
        <v>44</v>
      </c>
      <c r="C1674">
        <v>0</v>
      </c>
      <c r="D1674">
        <v>0</v>
      </c>
      <c r="E1674">
        <v>0</v>
      </c>
      <c r="F1674">
        <v>265.59199999999998</v>
      </c>
    </row>
    <row r="1675" spans="1:6" x14ac:dyDescent="0.25">
      <c r="A1675">
        <v>1674</v>
      </c>
      <c r="B1675">
        <v>45</v>
      </c>
      <c r="C1675">
        <v>0</v>
      </c>
      <c r="D1675">
        <v>0</v>
      </c>
      <c r="E1675">
        <v>0</v>
      </c>
      <c r="F1675">
        <v>1571.35</v>
      </c>
    </row>
    <row r="1676" spans="1:6" x14ac:dyDescent="0.25">
      <c r="A1676">
        <v>1675</v>
      </c>
      <c r="B1676">
        <v>46</v>
      </c>
      <c r="C1676">
        <v>0</v>
      </c>
      <c r="D1676">
        <v>0</v>
      </c>
      <c r="E1676">
        <v>0</v>
      </c>
      <c r="F1676">
        <v>0</v>
      </c>
    </row>
    <row r="1677" spans="1:6" x14ac:dyDescent="0.25">
      <c r="A1677">
        <v>1676</v>
      </c>
      <c r="B1677">
        <v>2</v>
      </c>
      <c r="C1677">
        <v>0</v>
      </c>
      <c r="D1677">
        <v>0</v>
      </c>
      <c r="E1677">
        <v>0</v>
      </c>
      <c r="F1677">
        <v>34.407699999999998</v>
      </c>
    </row>
    <row r="1678" spans="1:6" x14ac:dyDescent="0.25">
      <c r="A1678">
        <v>1677</v>
      </c>
      <c r="B1678">
        <v>10</v>
      </c>
      <c r="C1678">
        <v>1</v>
      </c>
      <c r="D1678">
        <v>0</v>
      </c>
      <c r="E1678">
        <v>0</v>
      </c>
      <c r="F1678">
        <v>5691</v>
      </c>
    </row>
    <row r="1679" spans="1:6" x14ac:dyDescent="0.25">
      <c r="A1679">
        <v>1678</v>
      </c>
      <c r="B1679">
        <v>13</v>
      </c>
      <c r="C1679">
        <v>0</v>
      </c>
      <c r="D1679">
        <v>0</v>
      </c>
      <c r="E1679">
        <v>0</v>
      </c>
      <c r="F1679">
        <v>1602</v>
      </c>
    </row>
    <row r="1680" spans="1:6" x14ac:dyDescent="0.25">
      <c r="A1680">
        <v>1679</v>
      </c>
      <c r="B1680">
        <v>41</v>
      </c>
      <c r="C1680">
        <v>0</v>
      </c>
      <c r="D1680">
        <v>0</v>
      </c>
      <c r="E1680">
        <v>0</v>
      </c>
      <c r="F1680">
        <v>1</v>
      </c>
    </row>
    <row r="1681" spans="1:6" x14ac:dyDescent="0.25">
      <c r="A1681">
        <v>1680</v>
      </c>
      <c r="B1681">
        <v>42</v>
      </c>
      <c r="C1681">
        <v>0</v>
      </c>
      <c r="D1681">
        <v>0</v>
      </c>
      <c r="E1681">
        <v>0</v>
      </c>
      <c r="F1681">
        <v>0.2</v>
      </c>
    </row>
    <row r="1682" spans="1:6" x14ac:dyDescent="0.25">
      <c r="A1682">
        <v>1681</v>
      </c>
      <c r="B1682">
        <v>43</v>
      </c>
      <c r="C1682">
        <v>0</v>
      </c>
      <c r="D1682">
        <v>0</v>
      </c>
      <c r="E1682">
        <v>0</v>
      </c>
      <c r="F1682">
        <v>0</v>
      </c>
    </row>
    <row r="1683" spans="1:6" x14ac:dyDescent="0.25">
      <c r="A1683">
        <v>1682</v>
      </c>
      <c r="B1683">
        <v>44</v>
      </c>
      <c r="C1683">
        <v>0</v>
      </c>
      <c r="D1683">
        <v>0</v>
      </c>
      <c r="E1683">
        <v>0</v>
      </c>
      <c r="F1683">
        <v>265.59199999999998</v>
      </c>
    </row>
    <row r="1684" spans="1:6" x14ac:dyDescent="0.25">
      <c r="A1684">
        <v>1683</v>
      </c>
      <c r="B1684">
        <v>45</v>
      </c>
      <c r="C1684">
        <v>0</v>
      </c>
      <c r="D1684">
        <v>0</v>
      </c>
      <c r="E1684">
        <v>0</v>
      </c>
      <c r="F1684">
        <v>1571.35</v>
      </c>
    </row>
    <row r="1685" spans="1:6" x14ac:dyDescent="0.25">
      <c r="A1685">
        <v>1684</v>
      </c>
      <c r="B1685">
        <v>46</v>
      </c>
      <c r="C1685">
        <v>0</v>
      </c>
      <c r="D1685">
        <v>0</v>
      </c>
      <c r="E1685">
        <v>0</v>
      </c>
      <c r="F1685">
        <v>0</v>
      </c>
    </row>
    <row r="1686" spans="1:6" x14ac:dyDescent="0.25">
      <c r="A1686">
        <v>1685</v>
      </c>
      <c r="B1686">
        <v>2</v>
      </c>
      <c r="C1686">
        <v>0</v>
      </c>
      <c r="D1686">
        <v>0</v>
      </c>
      <c r="E1686">
        <v>0</v>
      </c>
      <c r="F1686">
        <v>34.407699999999998</v>
      </c>
    </row>
    <row r="1687" spans="1:6" x14ac:dyDescent="0.25">
      <c r="A1687">
        <v>1686</v>
      </c>
      <c r="B1687">
        <v>10</v>
      </c>
      <c r="C1687">
        <v>1</v>
      </c>
      <c r="D1687">
        <v>0</v>
      </c>
      <c r="E1687">
        <v>0</v>
      </c>
      <c r="F1687">
        <v>5691</v>
      </c>
    </row>
    <row r="1688" spans="1:6" x14ac:dyDescent="0.25">
      <c r="A1688">
        <v>1687</v>
      </c>
      <c r="B1688">
        <v>13</v>
      </c>
      <c r="C1688">
        <v>0</v>
      </c>
      <c r="D1688">
        <v>0</v>
      </c>
      <c r="E1688">
        <v>0</v>
      </c>
      <c r="F1688">
        <v>1602</v>
      </c>
    </row>
    <row r="1689" spans="1:6" x14ac:dyDescent="0.25">
      <c r="A1689">
        <v>1688</v>
      </c>
      <c r="B1689">
        <v>41</v>
      </c>
      <c r="C1689">
        <v>0</v>
      </c>
      <c r="D1689">
        <v>0</v>
      </c>
      <c r="E1689">
        <v>0</v>
      </c>
      <c r="F1689">
        <v>1</v>
      </c>
    </row>
    <row r="1690" spans="1:6" x14ac:dyDescent="0.25">
      <c r="A1690">
        <v>1689</v>
      </c>
      <c r="B1690">
        <v>42</v>
      </c>
      <c r="C1690">
        <v>0</v>
      </c>
      <c r="D1690">
        <v>0</v>
      </c>
      <c r="E1690">
        <v>0</v>
      </c>
      <c r="F1690">
        <v>0.2</v>
      </c>
    </row>
    <row r="1691" spans="1:6" x14ac:dyDescent="0.25">
      <c r="A1691">
        <v>1690</v>
      </c>
      <c r="B1691">
        <v>43</v>
      </c>
      <c r="C1691">
        <v>0</v>
      </c>
      <c r="D1691">
        <v>0</v>
      </c>
      <c r="E1691">
        <v>0</v>
      </c>
      <c r="F1691">
        <v>0</v>
      </c>
    </row>
    <row r="1692" spans="1:6" x14ac:dyDescent="0.25">
      <c r="A1692">
        <v>1691</v>
      </c>
      <c r="B1692">
        <v>44</v>
      </c>
      <c r="C1692">
        <v>0</v>
      </c>
      <c r="D1692">
        <v>0</v>
      </c>
      <c r="E1692">
        <v>0</v>
      </c>
      <c r="F1692">
        <v>265.59199999999998</v>
      </c>
    </row>
    <row r="1693" spans="1:6" x14ac:dyDescent="0.25">
      <c r="A1693">
        <v>1692</v>
      </c>
      <c r="B1693">
        <v>45</v>
      </c>
      <c r="C1693">
        <v>0</v>
      </c>
      <c r="D1693">
        <v>0</v>
      </c>
      <c r="E1693">
        <v>0</v>
      </c>
      <c r="F1693">
        <v>1571.87</v>
      </c>
    </row>
    <row r="1694" spans="1:6" x14ac:dyDescent="0.25">
      <c r="A1694">
        <v>1693</v>
      </c>
      <c r="B1694">
        <v>46</v>
      </c>
      <c r="C1694">
        <v>0</v>
      </c>
      <c r="D1694">
        <v>0</v>
      </c>
      <c r="E1694">
        <v>0</v>
      </c>
      <c r="F1694">
        <v>0</v>
      </c>
    </row>
    <row r="1695" spans="1:6" x14ac:dyDescent="0.25">
      <c r="A1695">
        <v>1694</v>
      </c>
      <c r="B1695">
        <v>2</v>
      </c>
      <c r="C1695">
        <v>0</v>
      </c>
      <c r="D1695">
        <v>0</v>
      </c>
      <c r="E1695">
        <v>0</v>
      </c>
      <c r="F1695">
        <v>34.407699999999998</v>
      </c>
    </row>
    <row r="1696" spans="1:6" x14ac:dyDescent="0.25">
      <c r="A1696">
        <v>1695</v>
      </c>
      <c r="B1696">
        <v>10</v>
      </c>
      <c r="C1696">
        <v>1</v>
      </c>
      <c r="D1696">
        <v>0</v>
      </c>
      <c r="E1696">
        <v>0</v>
      </c>
      <c r="F1696">
        <v>5691</v>
      </c>
    </row>
    <row r="1697" spans="1:6" x14ac:dyDescent="0.25">
      <c r="A1697">
        <v>1696</v>
      </c>
      <c r="B1697">
        <v>13</v>
      </c>
      <c r="C1697">
        <v>0</v>
      </c>
      <c r="D1697">
        <v>0</v>
      </c>
      <c r="E1697">
        <v>0</v>
      </c>
      <c r="F1697">
        <v>1602</v>
      </c>
    </row>
    <row r="1698" spans="1:6" x14ac:dyDescent="0.25">
      <c r="A1698">
        <v>1697</v>
      </c>
      <c r="B1698">
        <v>41</v>
      </c>
      <c r="C1698">
        <v>0</v>
      </c>
      <c r="D1698">
        <v>0</v>
      </c>
      <c r="E1698">
        <v>0</v>
      </c>
      <c r="F1698">
        <v>1</v>
      </c>
    </row>
    <row r="1699" spans="1:6" x14ac:dyDescent="0.25">
      <c r="A1699">
        <v>1698</v>
      </c>
      <c r="B1699">
        <v>42</v>
      </c>
      <c r="C1699">
        <v>0</v>
      </c>
      <c r="D1699">
        <v>0</v>
      </c>
      <c r="E1699">
        <v>0</v>
      </c>
      <c r="F1699">
        <v>0.2</v>
      </c>
    </row>
    <row r="1700" spans="1:6" x14ac:dyDescent="0.25">
      <c r="A1700">
        <v>1699</v>
      </c>
      <c r="B1700">
        <v>43</v>
      </c>
      <c r="C1700">
        <v>0</v>
      </c>
      <c r="D1700">
        <v>0</v>
      </c>
      <c r="E1700">
        <v>0</v>
      </c>
      <c r="F1700">
        <v>0</v>
      </c>
    </row>
    <row r="1701" spans="1:6" x14ac:dyDescent="0.25">
      <c r="A1701">
        <v>1700</v>
      </c>
      <c r="B1701" t="s">
        <v>0</v>
      </c>
      <c r="C1701">
        <v>91</v>
      </c>
      <c r="D1701">
        <v>3482</v>
      </c>
      <c r="E1701">
        <v>79841129</v>
      </c>
    </row>
    <row r="1702" spans="1:6" x14ac:dyDescent="0.25">
      <c r="A1702">
        <v>1701</v>
      </c>
      <c r="B1702">
        <v>45</v>
      </c>
      <c r="C1702">
        <v>0</v>
      </c>
      <c r="D1702">
        <v>0</v>
      </c>
      <c r="E1702">
        <v>0</v>
      </c>
      <c r="F1702">
        <v>1572.38</v>
      </c>
    </row>
    <row r="1703" spans="1:6" x14ac:dyDescent="0.25">
      <c r="A1703">
        <v>1702</v>
      </c>
      <c r="B1703">
        <v>46</v>
      </c>
      <c r="C1703">
        <v>0</v>
      </c>
      <c r="D1703">
        <v>0</v>
      </c>
      <c r="E1703">
        <v>0</v>
      </c>
      <c r="F1703">
        <v>0</v>
      </c>
    </row>
    <row r="1704" spans="1:6" x14ac:dyDescent="0.25">
      <c r="A1704">
        <v>1703</v>
      </c>
      <c r="B1704">
        <v>2</v>
      </c>
      <c r="C1704">
        <v>0</v>
      </c>
      <c r="D1704">
        <v>0</v>
      </c>
      <c r="E1704">
        <v>0</v>
      </c>
      <c r="F1704">
        <v>34.407499999999999</v>
      </c>
    </row>
    <row r="1705" spans="1:6" x14ac:dyDescent="0.25">
      <c r="A1705">
        <v>1704</v>
      </c>
      <c r="B1705">
        <v>10</v>
      </c>
      <c r="C1705">
        <v>1</v>
      </c>
      <c r="D1705">
        <v>0</v>
      </c>
      <c r="E1705">
        <v>0</v>
      </c>
      <c r="F1705">
        <v>5691</v>
      </c>
    </row>
    <row r="1706" spans="1:6" x14ac:dyDescent="0.25">
      <c r="A1706">
        <v>1705</v>
      </c>
      <c r="B1706">
        <v>13</v>
      </c>
      <c r="C1706">
        <v>0</v>
      </c>
      <c r="D1706">
        <v>0</v>
      </c>
      <c r="E1706">
        <v>0</v>
      </c>
      <c r="F1706">
        <v>1602</v>
      </c>
    </row>
    <row r="1707" spans="1:6" x14ac:dyDescent="0.25">
      <c r="A1707">
        <v>1706</v>
      </c>
      <c r="B1707">
        <v>41</v>
      </c>
      <c r="C1707">
        <v>0</v>
      </c>
      <c r="D1707">
        <v>0</v>
      </c>
      <c r="E1707">
        <v>0</v>
      </c>
      <c r="F1707">
        <v>1</v>
      </c>
    </row>
    <row r="1708" spans="1:6" x14ac:dyDescent="0.25">
      <c r="A1708">
        <v>1707</v>
      </c>
      <c r="B1708">
        <v>42</v>
      </c>
      <c r="C1708">
        <v>0</v>
      </c>
      <c r="D1708">
        <v>0</v>
      </c>
      <c r="E1708">
        <v>0</v>
      </c>
      <c r="F1708">
        <v>0.2</v>
      </c>
    </row>
    <row r="1709" spans="1:6" x14ac:dyDescent="0.25">
      <c r="A1709">
        <v>1708</v>
      </c>
      <c r="B1709">
        <v>43</v>
      </c>
      <c r="C1709">
        <v>0</v>
      </c>
      <c r="D1709">
        <v>0</v>
      </c>
      <c r="E1709">
        <v>0</v>
      </c>
      <c r="F1709">
        <v>0</v>
      </c>
    </row>
    <row r="1710" spans="1:6" x14ac:dyDescent="0.25">
      <c r="A1710">
        <v>1709</v>
      </c>
      <c r="B1710">
        <v>44</v>
      </c>
      <c r="C1710">
        <v>0</v>
      </c>
      <c r="D1710">
        <v>0</v>
      </c>
      <c r="E1710">
        <v>0</v>
      </c>
      <c r="F1710">
        <v>265.59199999999998</v>
      </c>
    </row>
    <row r="1711" spans="1:6" x14ac:dyDescent="0.25">
      <c r="A1711">
        <v>1710</v>
      </c>
      <c r="B1711">
        <v>45</v>
      </c>
      <c r="C1711">
        <v>0</v>
      </c>
      <c r="D1711">
        <v>0</v>
      </c>
      <c r="E1711">
        <v>0</v>
      </c>
      <c r="F1711">
        <v>1572.38</v>
      </c>
    </row>
    <row r="1712" spans="1:6" x14ac:dyDescent="0.25">
      <c r="A1712">
        <v>1711</v>
      </c>
      <c r="B1712">
        <v>46</v>
      </c>
      <c r="C1712">
        <v>0</v>
      </c>
      <c r="D1712">
        <v>0</v>
      </c>
      <c r="E1712">
        <v>0</v>
      </c>
      <c r="F1712">
        <v>0</v>
      </c>
    </row>
    <row r="1713" spans="1:6" x14ac:dyDescent="0.25">
      <c r="A1713">
        <v>1712</v>
      </c>
      <c r="B1713">
        <v>2</v>
      </c>
      <c r="C1713">
        <v>0</v>
      </c>
      <c r="D1713">
        <v>0</v>
      </c>
      <c r="E1713">
        <v>0</v>
      </c>
      <c r="F1713">
        <v>34.407499999999999</v>
      </c>
    </row>
    <row r="1714" spans="1:6" x14ac:dyDescent="0.25">
      <c r="A1714">
        <v>1713</v>
      </c>
      <c r="B1714">
        <v>10</v>
      </c>
      <c r="C1714">
        <v>1</v>
      </c>
      <c r="D1714">
        <v>0</v>
      </c>
      <c r="E1714">
        <v>0</v>
      </c>
      <c r="F1714">
        <v>5691</v>
      </c>
    </row>
    <row r="1715" spans="1:6" x14ac:dyDescent="0.25">
      <c r="A1715">
        <v>1714</v>
      </c>
      <c r="B1715">
        <v>13</v>
      </c>
      <c r="C1715">
        <v>0</v>
      </c>
      <c r="D1715">
        <v>0</v>
      </c>
      <c r="E1715">
        <v>0</v>
      </c>
      <c r="F1715">
        <v>1602</v>
      </c>
    </row>
    <row r="1716" spans="1:6" x14ac:dyDescent="0.25">
      <c r="A1716">
        <v>1715</v>
      </c>
      <c r="B1716" t="s">
        <v>0</v>
      </c>
      <c r="C1716">
        <v>92</v>
      </c>
      <c r="D1716">
        <v>3482</v>
      </c>
      <c r="E1716">
        <v>79842098</v>
      </c>
    </row>
    <row r="1717" spans="1:6" x14ac:dyDescent="0.25">
      <c r="A1717">
        <v>1716</v>
      </c>
      <c r="B1717">
        <v>42</v>
      </c>
      <c r="C1717">
        <v>0</v>
      </c>
      <c r="D1717">
        <v>0</v>
      </c>
      <c r="E1717">
        <v>0</v>
      </c>
      <c r="F1717">
        <v>0.2</v>
      </c>
    </row>
    <row r="1718" spans="1:6" x14ac:dyDescent="0.25">
      <c r="A1718">
        <v>1717</v>
      </c>
      <c r="B1718">
        <v>43</v>
      </c>
      <c r="C1718">
        <v>0</v>
      </c>
      <c r="D1718">
        <v>0</v>
      </c>
      <c r="E1718">
        <v>0</v>
      </c>
      <c r="F1718">
        <v>0</v>
      </c>
    </row>
    <row r="1719" spans="1:6" x14ac:dyDescent="0.25">
      <c r="A1719">
        <v>1718</v>
      </c>
      <c r="B1719">
        <v>44</v>
      </c>
      <c r="C1719">
        <v>0</v>
      </c>
      <c r="D1719">
        <v>0</v>
      </c>
      <c r="E1719">
        <v>0</v>
      </c>
      <c r="F1719">
        <v>265.59300000000002</v>
      </c>
    </row>
    <row r="1720" spans="1:6" x14ac:dyDescent="0.25">
      <c r="A1720">
        <v>1719</v>
      </c>
      <c r="B1720">
        <v>45</v>
      </c>
      <c r="C1720">
        <v>0</v>
      </c>
      <c r="D1720">
        <v>0</v>
      </c>
      <c r="E1720">
        <v>0</v>
      </c>
      <c r="F1720">
        <v>1572.9</v>
      </c>
    </row>
    <row r="1721" spans="1:6" x14ac:dyDescent="0.25">
      <c r="A1721">
        <v>1720</v>
      </c>
      <c r="B1721">
        <v>46</v>
      </c>
      <c r="C1721">
        <v>0</v>
      </c>
      <c r="D1721">
        <v>0</v>
      </c>
      <c r="E1721">
        <v>0</v>
      </c>
      <c r="F1721">
        <v>0</v>
      </c>
    </row>
    <row r="1722" spans="1:6" x14ac:dyDescent="0.25">
      <c r="A1722">
        <v>1721</v>
      </c>
      <c r="B1722">
        <v>2</v>
      </c>
      <c r="C1722">
        <v>0</v>
      </c>
      <c r="D1722">
        <v>0</v>
      </c>
      <c r="E1722">
        <v>0</v>
      </c>
      <c r="F1722">
        <v>34.406700000000001</v>
      </c>
    </row>
    <row r="1723" spans="1:6" x14ac:dyDescent="0.25">
      <c r="A1723">
        <v>1722</v>
      </c>
      <c r="B1723">
        <v>10</v>
      </c>
      <c r="C1723">
        <v>1</v>
      </c>
      <c r="D1723">
        <v>0</v>
      </c>
      <c r="E1723">
        <v>0</v>
      </c>
      <c r="F1723">
        <v>5691</v>
      </c>
    </row>
    <row r="1724" spans="1:6" x14ac:dyDescent="0.25">
      <c r="A1724">
        <v>1723</v>
      </c>
      <c r="B1724">
        <v>13</v>
      </c>
      <c r="C1724">
        <v>0</v>
      </c>
      <c r="D1724">
        <v>0</v>
      </c>
      <c r="E1724">
        <v>0</v>
      </c>
      <c r="F1724">
        <v>1602</v>
      </c>
    </row>
    <row r="1725" spans="1:6" x14ac:dyDescent="0.25">
      <c r="A1725">
        <v>1724</v>
      </c>
      <c r="B1725">
        <v>41</v>
      </c>
      <c r="C1725">
        <v>0</v>
      </c>
      <c r="D1725">
        <v>0</v>
      </c>
      <c r="E1725">
        <v>0</v>
      </c>
      <c r="F1725">
        <v>1</v>
      </c>
    </row>
    <row r="1726" spans="1:6" x14ac:dyDescent="0.25">
      <c r="A1726">
        <v>1725</v>
      </c>
      <c r="B1726">
        <v>42</v>
      </c>
      <c r="C1726">
        <v>0</v>
      </c>
      <c r="D1726">
        <v>0</v>
      </c>
      <c r="E1726">
        <v>0</v>
      </c>
      <c r="F1726">
        <v>0.2</v>
      </c>
    </row>
    <row r="1727" spans="1:6" x14ac:dyDescent="0.25">
      <c r="A1727">
        <v>1726</v>
      </c>
      <c r="B1727">
        <v>43</v>
      </c>
      <c r="C1727">
        <v>0</v>
      </c>
      <c r="D1727">
        <v>0</v>
      </c>
      <c r="E1727">
        <v>0</v>
      </c>
      <c r="F1727">
        <v>0</v>
      </c>
    </row>
    <row r="1728" spans="1:6" x14ac:dyDescent="0.25">
      <c r="A1728">
        <v>1727</v>
      </c>
      <c r="B1728">
        <v>44</v>
      </c>
      <c r="C1728">
        <v>0</v>
      </c>
      <c r="D1728">
        <v>0</v>
      </c>
      <c r="E1728">
        <v>0</v>
      </c>
      <c r="F1728">
        <v>265.59300000000002</v>
      </c>
    </row>
    <row r="1729" spans="1:6" x14ac:dyDescent="0.25">
      <c r="A1729">
        <v>1728</v>
      </c>
      <c r="B1729">
        <v>45</v>
      </c>
      <c r="C1729">
        <v>0</v>
      </c>
      <c r="D1729">
        <v>0</v>
      </c>
      <c r="E1729">
        <v>0</v>
      </c>
      <c r="F1729">
        <v>1572.9</v>
      </c>
    </row>
    <row r="1730" spans="1:6" x14ac:dyDescent="0.25">
      <c r="A1730">
        <v>1729</v>
      </c>
      <c r="B1730">
        <v>46</v>
      </c>
      <c r="C1730">
        <v>0</v>
      </c>
      <c r="D1730">
        <v>0</v>
      </c>
      <c r="E1730">
        <v>0</v>
      </c>
      <c r="F1730">
        <v>0</v>
      </c>
    </row>
    <row r="1731" spans="1:6" x14ac:dyDescent="0.25">
      <c r="A1731">
        <v>1730</v>
      </c>
      <c r="B1731" t="s">
        <v>0</v>
      </c>
      <c r="C1731">
        <v>93</v>
      </c>
      <c r="D1731">
        <v>3482</v>
      </c>
      <c r="E1731">
        <v>79843066</v>
      </c>
    </row>
    <row r="1732" spans="1:6" x14ac:dyDescent="0.25">
      <c r="A1732">
        <v>1731</v>
      </c>
      <c r="B1732">
        <v>2</v>
      </c>
      <c r="C1732">
        <v>0</v>
      </c>
      <c r="D1732">
        <v>0</v>
      </c>
      <c r="E1732">
        <v>0</v>
      </c>
      <c r="F1732">
        <v>34.4071</v>
      </c>
    </row>
    <row r="1733" spans="1:6" x14ac:dyDescent="0.25">
      <c r="A1733">
        <v>1732</v>
      </c>
      <c r="B1733">
        <v>10</v>
      </c>
      <c r="C1733">
        <v>1</v>
      </c>
      <c r="D1733">
        <v>0</v>
      </c>
      <c r="E1733">
        <v>0</v>
      </c>
      <c r="F1733">
        <v>5691</v>
      </c>
    </row>
    <row r="1734" spans="1:6" x14ac:dyDescent="0.25">
      <c r="A1734">
        <v>1733</v>
      </c>
      <c r="B1734">
        <v>13</v>
      </c>
      <c r="C1734">
        <v>0</v>
      </c>
      <c r="D1734">
        <v>0</v>
      </c>
      <c r="E1734">
        <v>0</v>
      </c>
      <c r="F1734">
        <v>1602</v>
      </c>
    </row>
    <row r="1735" spans="1:6" x14ac:dyDescent="0.25">
      <c r="A1735">
        <v>1734</v>
      </c>
      <c r="B1735">
        <v>41</v>
      </c>
      <c r="C1735">
        <v>0</v>
      </c>
      <c r="D1735">
        <v>0</v>
      </c>
      <c r="E1735">
        <v>0</v>
      </c>
      <c r="F1735">
        <v>1</v>
      </c>
    </row>
    <row r="1736" spans="1:6" x14ac:dyDescent="0.25">
      <c r="A1736">
        <v>1735</v>
      </c>
      <c r="B1736">
        <v>42</v>
      </c>
      <c r="C1736">
        <v>0</v>
      </c>
      <c r="D1736">
        <v>0</v>
      </c>
      <c r="E1736">
        <v>0</v>
      </c>
      <c r="F1736">
        <v>0.2</v>
      </c>
    </row>
    <row r="1737" spans="1:6" x14ac:dyDescent="0.25">
      <c r="A1737">
        <v>1736</v>
      </c>
      <c r="B1737">
        <v>43</v>
      </c>
      <c r="C1737">
        <v>0</v>
      </c>
      <c r="D1737">
        <v>0</v>
      </c>
      <c r="E1737">
        <v>0</v>
      </c>
      <c r="F1737">
        <v>0</v>
      </c>
    </row>
    <row r="1738" spans="1:6" x14ac:dyDescent="0.25">
      <c r="A1738">
        <v>1737</v>
      </c>
      <c r="B1738">
        <v>44</v>
      </c>
      <c r="C1738">
        <v>0</v>
      </c>
      <c r="D1738">
        <v>0</v>
      </c>
      <c r="E1738">
        <v>0</v>
      </c>
      <c r="F1738">
        <v>265.59300000000002</v>
      </c>
    </row>
    <row r="1739" spans="1:6" x14ac:dyDescent="0.25">
      <c r="A1739">
        <v>1738</v>
      </c>
      <c r="B1739">
        <v>45</v>
      </c>
      <c r="C1739">
        <v>0</v>
      </c>
      <c r="D1739">
        <v>0</v>
      </c>
      <c r="E1739">
        <v>0</v>
      </c>
      <c r="F1739">
        <v>1573.41</v>
      </c>
    </row>
    <row r="1740" spans="1:6" x14ac:dyDescent="0.25">
      <c r="A1740">
        <v>1739</v>
      </c>
      <c r="B1740">
        <v>46</v>
      </c>
      <c r="C1740">
        <v>0</v>
      </c>
      <c r="D1740">
        <v>0</v>
      </c>
      <c r="E1740">
        <v>0</v>
      </c>
      <c r="F1740">
        <v>0</v>
      </c>
    </row>
    <row r="1741" spans="1:6" x14ac:dyDescent="0.25">
      <c r="A1741">
        <v>1740</v>
      </c>
      <c r="B1741">
        <v>2</v>
      </c>
      <c r="C1741">
        <v>0</v>
      </c>
      <c r="D1741">
        <v>0</v>
      </c>
      <c r="E1741">
        <v>0</v>
      </c>
      <c r="F1741">
        <v>34.4071</v>
      </c>
    </row>
    <row r="1742" spans="1:6" x14ac:dyDescent="0.25">
      <c r="A1742">
        <v>1741</v>
      </c>
      <c r="B1742">
        <v>10</v>
      </c>
      <c r="C1742">
        <v>1</v>
      </c>
      <c r="D1742">
        <v>0</v>
      </c>
      <c r="E1742">
        <v>0</v>
      </c>
      <c r="F1742">
        <v>5691</v>
      </c>
    </row>
    <row r="1743" spans="1:6" x14ac:dyDescent="0.25">
      <c r="A1743">
        <v>1742</v>
      </c>
      <c r="B1743">
        <v>13</v>
      </c>
      <c r="C1743">
        <v>0</v>
      </c>
      <c r="D1743">
        <v>0</v>
      </c>
      <c r="E1743">
        <v>0</v>
      </c>
      <c r="F1743">
        <v>1602</v>
      </c>
    </row>
    <row r="1744" spans="1:6" x14ac:dyDescent="0.25">
      <c r="A1744">
        <v>1743</v>
      </c>
      <c r="B1744">
        <v>41</v>
      </c>
      <c r="C1744">
        <v>0</v>
      </c>
      <c r="D1744">
        <v>0</v>
      </c>
      <c r="E1744">
        <v>0</v>
      </c>
      <c r="F1744">
        <v>1</v>
      </c>
    </row>
    <row r="1745" spans="1:6" x14ac:dyDescent="0.25">
      <c r="A1745">
        <v>1744</v>
      </c>
      <c r="B1745">
        <v>42</v>
      </c>
      <c r="C1745">
        <v>0</v>
      </c>
      <c r="D1745">
        <v>0</v>
      </c>
      <c r="E1745">
        <v>0</v>
      </c>
      <c r="F1745">
        <v>0.2</v>
      </c>
    </row>
    <row r="1746" spans="1:6" x14ac:dyDescent="0.25">
      <c r="A1746">
        <v>1745</v>
      </c>
      <c r="B1746">
        <v>43</v>
      </c>
      <c r="C1746">
        <v>0</v>
      </c>
      <c r="D1746">
        <v>0</v>
      </c>
      <c r="E1746">
        <v>0</v>
      </c>
      <c r="F1746">
        <v>0</v>
      </c>
    </row>
    <row r="1747" spans="1:6" x14ac:dyDescent="0.25">
      <c r="A1747">
        <v>1746</v>
      </c>
      <c r="B1747">
        <v>44</v>
      </c>
      <c r="C1747">
        <v>0</v>
      </c>
      <c r="D1747">
        <v>0</v>
      </c>
      <c r="E1747">
        <v>0</v>
      </c>
      <c r="F1747">
        <v>265.59300000000002</v>
      </c>
    </row>
    <row r="1748" spans="1:6" x14ac:dyDescent="0.25">
      <c r="A1748">
        <v>1747</v>
      </c>
      <c r="B1748">
        <v>45</v>
      </c>
      <c r="C1748">
        <v>0</v>
      </c>
      <c r="D1748">
        <v>0</v>
      </c>
      <c r="E1748">
        <v>0</v>
      </c>
      <c r="F1748">
        <v>1573.93</v>
      </c>
    </row>
    <row r="1749" spans="1:6" x14ac:dyDescent="0.25">
      <c r="A1749">
        <v>1748</v>
      </c>
      <c r="B1749">
        <v>46</v>
      </c>
      <c r="C1749">
        <v>0</v>
      </c>
      <c r="D1749">
        <v>0</v>
      </c>
      <c r="E1749">
        <v>0</v>
      </c>
      <c r="F1749">
        <v>0</v>
      </c>
    </row>
    <row r="1750" spans="1:6" x14ac:dyDescent="0.25">
      <c r="A1750">
        <v>1749</v>
      </c>
      <c r="B1750">
        <v>2</v>
      </c>
      <c r="C1750">
        <v>0</v>
      </c>
      <c r="D1750">
        <v>0</v>
      </c>
      <c r="E1750">
        <v>0</v>
      </c>
      <c r="F1750">
        <v>34.407299999999999</v>
      </c>
    </row>
    <row r="1751" spans="1:6" x14ac:dyDescent="0.25">
      <c r="A1751">
        <v>1750</v>
      </c>
      <c r="B1751">
        <v>10</v>
      </c>
      <c r="C1751">
        <v>1</v>
      </c>
      <c r="D1751">
        <v>0</v>
      </c>
      <c r="E1751">
        <v>0</v>
      </c>
      <c r="F1751">
        <v>5691</v>
      </c>
    </row>
    <row r="1752" spans="1:6" x14ac:dyDescent="0.25">
      <c r="A1752">
        <v>1751</v>
      </c>
      <c r="B1752">
        <v>13</v>
      </c>
      <c r="C1752">
        <v>0</v>
      </c>
      <c r="D1752">
        <v>0</v>
      </c>
      <c r="E1752">
        <v>0</v>
      </c>
      <c r="F1752">
        <v>1602</v>
      </c>
    </row>
    <row r="1753" spans="1:6" x14ac:dyDescent="0.25">
      <c r="A1753">
        <v>1752</v>
      </c>
      <c r="B1753">
        <v>41</v>
      </c>
      <c r="C1753">
        <v>0</v>
      </c>
      <c r="D1753">
        <v>0</v>
      </c>
      <c r="E1753">
        <v>0</v>
      </c>
      <c r="F1753">
        <v>1</v>
      </c>
    </row>
    <row r="1754" spans="1:6" x14ac:dyDescent="0.25">
      <c r="A1754">
        <v>1753</v>
      </c>
      <c r="B1754">
        <v>42</v>
      </c>
      <c r="C1754">
        <v>0</v>
      </c>
      <c r="D1754">
        <v>0</v>
      </c>
      <c r="E1754">
        <v>0</v>
      </c>
      <c r="F1754">
        <v>0.2</v>
      </c>
    </row>
    <row r="1755" spans="1:6" x14ac:dyDescent="0.25">
      <c r="A1755">
        <v>1754</v>
      </c>
      <c r="B1755">
        <v>43</v>
      </c>
      <c r="C1755">
        <v>0</v>
      </c>
      <c r="D1755">
        <v>0</v>
      </c>
      <c r="E1755">
        <v>0</v>
      </c>
      <c r="F1755">
        <v>0</v>
      </c>
    </row>
    <row r="1756" spans="1:6" x14ac:dyDescent="0.25">
      <c r="A1756">
        <v>1755</v>
      </c>
      <c r="B1756">
        <v>44</v>
      </c>
      <c r="C1756">
        <v>0</v>
      </c>
      <c r="D1756">
        <v>0</v>
      </c>
      <c r="E1756">
        <v>0</v>
      </c>
      <c r="F1756">
        <v>265.59300000000002</v>
      </c>
    </row>
    <row r="1757" spans="1:6" x14ac:dyDescent="0.25">
      <c r="A1757">
        <v>1756</v>
      </c>
      <c r="B1757">
        <v>45</v>
      </c>
      <c r="C1757">
        <v>0</v>
      </c>
      <c r="D1757">
        <v>0</v>
      </c>
      <c r="E1757">
        <v>0</v>
      </c>
      <c r="F1757">
        <v>1573.93</v>
      </c>
    </row>
    <row r="1758" spans="1:6" x14ac:dyDescent="0.25">
      <c r="A1758">
        <v>1757</v>
      </c>
      <c r="B1758">
        <v>46</v>
      </c>
      <c r="C1758">
        <v>0</v>
      </c>
      <c r="D1758">
        <v>0</v>
      </c>
      <c r="E1758">
        <v>0</v>
      </c>
      <c r="F1758">
        <v>0</v>
      </c>
    </row>
    <row r="1759" spans="1:6" x14ac:dyDescent="0.25">
      <c r="A1759">
        <v>1758</v>
      </c>
      <c r="B1759">
        <v>2</v>
      </c>
      <c r="C1759">
        <v>0</v>
      </c>
      <c r="D1759">
        <v>0</v>
      </c>
      <c r="E1759">
        <v>0</v>
      </c>
      <c r="F1759">
        <v>34.407299999999999</v>
      </c>
    </row>
    <row r="1760" spans="1:6" x14ac:dyDescent="0.25">
      <c r="A1760">
        <v>1759</v>
      </c>
      <c r="B1760">
        <v>10</v>
      </c>
      <c r="C1760">
        <v>1</v>
      </c>
      <c r="D1760">
        <v>0</v>
      </c>
      <c r="E1760">
        <v>0</v>
      </c>
      <c r="F1760">
        <v>5691</v>
      </c>
    </row>
    <row r="1761" spans="1:6" x14ac:dyDescent="0.25">
      <c r="A1761">
        <v>1760</v>
      </c>
      <c r="B1761">
        <v>13</v>
      </c>
      <c r="C1761">
        <v>0</v>
      </c>
      <c r="D1761">
        <v>0</v>
      </c>
      <c r="E1761">
        <v>0</v>
      </c>
      <c r="F1761">
        <v>1602</v>
      </c>
    </row>
    <row r="1762" spans="1:6" x14ac:dyDescent="0.25">
      <c r="A1762">
        <v>1761</v>
      </c>
      <c r="B1762">
        <v>41</v>
      </c>
      <c r="C1762">
        <v>0</v>
      </c>
      <c r="D1762">
        <v>0</v>
      </c>
      <c r="E1762">
        <v>0</v>
      </c>
      <c r="F1762">
        <v>1</v>
      </c>
    </row>
    <row r="1763" spans="1:6" x14ac:dyDescent="0.25">
      <c r="A1763">
        <v>1762</v>
      </c>
      <c r="B1763">
        <v>42</v>
      </c>
      <c r="C1763">
        <v>0</v>
      </c>
      <c r="D1763">
        <v>0</v>
      </c>
      <c r="E1763">
        <v>0</v>
      </c>
      <c r="F1763">
        <v>0.2</v>
      </c>
    </row>
    <row r="1764" spans="1:6" x14ac:dyDescent="0.25">
      <c r="A1764">
        <v>1763</v>
      </c>
      <c r="B1764">
        <v>43</v>
      </c>
      <c r="C1764">
        <v>0</v>
      </c>
      <c r="D1764">
        <v>0</v>
      </c>
      <c r="E1764">
        <v>0</v>
      </c>
      <c r="F1764">
        <v>0</v>
      </c>
    </row>
    <row r="1765" spans="1:6" x14ac:dyDescent="0.25">
      <c r="A1765">
        <v>1764</v>
      </c>
      <c r="B1765">
        <v>44</v>
      </c>
      <c r="C1765">
        <v>0</v>
      </c>
      <c r="D1765">
        <v>0</v>
      </c>
      <c r="E1765">
        <v>0</v>
      </c>
      <c r="F1765">
        <v>265.59300000000002</v>
      </c>
    </row>
    <row r="1766" spans="1:6" x14ac:dyDescent="0.25">
      <c r="A1766">
        <v>1765</v>
      </c>
      <c r="B1766">
        <v>45</v>
      </c>
      <c r="C1766">
        <v>0</v>
      </c>
      <c r="D1766">
        <v>0</v>
      </c>
      <c r="E1766">
        <v>0</v>
      </c>
      <c r="F1766">
        <v>1574.44</v>
      </c>
    </row>
    <row r="1767" spans="1:6" x14ac:dyDescent="0.25">
      <c r="A1767">
        <v>1766</v>
      </c>
      <c r="B1767">
        <v>46</v>
      </c>
      <c r="C1767">
        <v>0</v>
      </c>
      <c r="D1767">
        <v>0</v>
      </c>
      <c r="E1767">
        <v>0</v>
      </c>
      <c r="F1767">
        <v>0</v>
      </c>
    </row>
    <row r="1768" spans="1:6" x14ac:dyDescent="0.25">
      <c r="A1768">
        <v>1767</v>
      </c>
      <c r="B1768">
        <v>2</v>
      </c>
      <c r="C1768">
        <v>0</v>
      </c>
      <c r="D1768">
        <v>0</v>
      </c>
      <c r="E1768">
        <v>0</v>
      </c>
      <c r="F1768">
        <v>34.4071</v>
      </c>
    </row>
    <row r="1769" spans="1:6" x14ac:dyDescent="0.25">
      <c r="A1769">
        <v>1768</v>
      </c>
      <c r="B1769">
        <v>10</v>
      </c>
      <c r="C1769">
        <v>1</v>
      </c>
      <c r="D1769">
        <v>0</v>
      </c>
      <c r="E1769">
        <v>0</v>
      </c>
      <c r="F1769">
        <v>5691</v>
      </c>
    </row>
    <row r="1770" spans="1:6" x14ac:dyDescent="0.25">
      <c r="A1770">
        <v>1769</v>
      </c>
      <c r="B1770">
        <v>13</v>
      </c>
      <c r="C1770">
        <v>0</v>
      </c>
      <c r="D1770">
        <v>0</v>
      </c>
      <c r="E1770">
        <v>0</v>
      </c>
      <c r="F1770">
        <v>1602</v>
      </c>
    </row>
    <row r="1771" spans="1:6" x14ac:dyDescent="0.25">
      <c r="A1771">
        <v>1770</v>
      </c>
      <c r="B1771">
        <v>41</v>
      </c>
      <c r="C1771">
        <v>0</v>
      </c>
      <c r="D1771">
        <v>0</v>
      </c>
      <c r="E1771">
        <v>0</v>
      </c>
      <c r="F1771">
        <v>1</v>
      </c>
    </row>
    <row r="1772" spans="1:6" x14ac:dyDescent="0.25">
      <c r="A1772">
        <v>1771</v>
      </c>
      <c r="B1772">
        <v>42</v>
      </c>
      <c r="C1772">
        <v>0</v>
      </c>
      <c r="D1772">
        <v>0</v>
      </c>
      <c r="E1772">
        <v>0</v>
      </c>
      <c r="F1772">
        <v>0.2</v>
      </c>
    </row>
    <row r="1773" spans="1:6" x14ac:dyDescent="0.25">
      <c r="A1773">
        <v>1772</v>
      </c>
      <c r="B1773">
        <v>43</v>
      </c>
      <c r="C1773">
        <v>0</v>
      </c>
      <c r="D1773">
        <v>0</v>
      </c>
      <c r="E1773">
        <v>0</v>
      </c>
      <c r="F1773">
        <v>0</v>
      </c>
    </row>
    <row r="1774" spans="1:6" x14ac:dyDescent="0.25">
      <c r="A1774">
        <v>1773</v>
      </c>
      <c r="B1774">
        <v>44</v>
      </c>
      <c r="C1774">
        <v>0</v>
      </c>
      <c r="D1774">
        <v>0</v>
      </c>
      <c r="E1774">
        <v>0</v>
      </c>
      <c r="F1774">
        <v>265.59300000000002</v>
      </c>
    </row>
    <row r="1775" spans="1:6" x14ac:dyDescent="0.25">
      <c r="A1775">
        <v>1774</v>
      </c>
      <c r="B1775">
        <v>45</v>
      </c>
      <c r="C1775">
        <v>0</v>
      </c>
      <c r="D1775">
        <v>0</v>
      </c>
      <c r="E1775">
        <v>0</v>
      </c>
      <c r="F1775">
        <v>1574.44</v>
      </c>
    </row>
    <row r="1776" spans="1:6" x14ac:dyDescent="0.25">
      <c r="A1776">
        <v>1775</v>
      </c>
      <c r="B1776" t="s">
        <v>0</v>
      </c>
      <c r="C1776">
        <v>96</v>
      </c>
      <c r="D1776">
        <v>3482</v>
      </c>
      <c r="E1776">
        <v>79845970</v>
      </c>
    </row>
    <row r="1777" spans="1:6" x14ac:dyDescent="0.25">
      <c r="A1777">
        <v>1776</v>
      </c>
      <c r="B1777">
        <v>2</v>
      </c>
      <c r="C1777">
        <v>0</v>
      </c>
      <c r="D1777">
        <v>0</v>
      </c>
      <c r="E1777">
        <v>0</v>
      </c>
      <c r="F1777">
        <v>34.406700000000001</v>
      </c>
    </row>
    <row r="1778" spans="1:6" x14ac:dyDescent="0.25">
      <c r="A1778">
        <v>1777</v>
      </c>
      <c r="B1778">
        <v>10</v>
      </c>
      <c r="C1778">
        <v>1</v>
      </c>
      <c r="D1778">
        <v>0</v>
      </c>
      <c r="E1778">
        <v>0</v>
      </c>
      <c r="F1778">
        <v>5691</v>
      </c>
    </row>
    <row r="1779" spans="1:6" x14ac:dyDescent="0.25">
      <c r="A1779">
        <v>1778</v>
      </c>
      <c r="B1779">
        <v>13</v>
      </c>
      <c r="C1779">
        <v>0</v>
      </c>
      <c r="D1779">
        <v>0</v>
      </c>
      <c r="E1779">
        <v>0</v>
      </c>
      <c r="F1779">
        <v>1602</v>
      </c>
    </row>
    <row r="1780" spans="1:6" x14ac:dyDescent="0.25">
      <c r="A1780">
        <v>1779</v>
      </c>
      <c r="B1780">
        <v>41</v>
      </c>
      <c r="C1780">
        <v>0</v>
      </c>
      <c r="D1780">
        <v>0</v>
      </c>
      <c r="E1780">
        <v>0</v>
      </c>
      <c r="F1780">
        <v>1</v>
      </c>
    </row>
    <row r="1781" spans="1:6" x14ac:dyDescent="0.25">
      <c r="A1781">
        <v>1780</v>
      </c>
      <c r="B1781">
        <v>42</v>
      </c>
      <c r="C1781">
        <v>0</v>
      </c>
      <c r="D1781">
        <v>0</v>
      </c>
      <c r="E1781">
        <v>0</v>
      </c>
      <c r="F1781">
        <v>0.2</v>
      </c>
    </row>
    <row r="1782" spans="1:6" x14ac:dyDescent="0.25">
      <c r="A1782">
        <v>1781</v>
      </c>
      <c r="B1782">
        <v>43</v>
      </c>
      <c r="C1782">
        <v>0</v>
      </c>
      <c r="D1782">
        <v>0</v>
      </c>
      <c r="E1782">
        <v>0</v>
      </c>
      <c r="F1782">
        <v>0</v>
      </c>
    </row>
    <row r="1783" spans="1:6" x14ac:dyDescent="0.25">
      <c r="A1783">
        <v>1782</v>
      </c>
      <c r="B1783">
        <v>44</v>
      </c>
      <c r="C1783">
        <v>0</v>
      </c>
      <c r="D1783">
        <v>0</v>
      </c>
      <c r="E1783">
        <v>0</v>
      </c>
      <c r="F1783">
        <v>265.59300000000002</v>
      </c>
    </row>
    <row r="1784" spans="1:6" x14ac:dyDescent="0.25">
      <c r="A1784">
        <v>1783</v>
      </c>
      <c r="B1784">
        <v>45</v>
      </c>
      <c r="C1784">
        <v>0</v>
      </c>
      <c r="D1784">
        <v>0</v>
      </c>
      <c r="E1784">
        <v>0</v>
      </c>
      <c r="F1784">
        <v>1574.96</v>
      </c>
    </row>
    <row r="1785" spans="1:6" x14ac:dyDescent="0.25">
      <c r="A1785">
        <v>1784</v>
      </c>
      <c r="B1785">
        <v>46</v>
      </c>
      <c r="C1785">
        <v>0</v>
      </c>
      <c r="D1785">
        <v>0</v>
      </c>
      <c r="E1785">
        <v>0</v>
      </c>
      <c r="F1785">
        <v>0</v>
      </c>
    </row>
    <row r="1786" spans="1:6" x14ac:dyDescent="0.25">
      <c r="A1786">
        <v>1785</v>
      </c>
      <c r="B1786">
        <v>2</v>
      </c>
      <c r="C1786">
        <v>0</v>
      </c>
      <c r="D1786">
        <v>0</v>
      </c>
      <c r="E1786">
        <v>0</v>
      </c>
      <c r="F1786">
        <v>34.406700000000001</v>
      </c>
    </row>
    <row r="1787" spans="1:6" x14ac:dyDescent="0.25">
      <c r="A1787">
        <v>1786</v>
      </c>
      <c r="B1787">
        <v>10</v>
      </c>
      <c r="C1787">
        <v>1</v>
      </c>
      <c r="D1787">
        <v>0</v>
      </c>
      <c r="E1787">
        <v>0</v>
      </c>
      <c r="F1787">
        <v>5691</v>
      </c>
    </row>
    <row r="1788" spans="1:6" x14ac:dyDescent="0.25">
      <c r="A1788">
        <v>1787</v>
      </c>
      <c r="B1788">
        <v>13</v>
      </c>
      <c r="C1788">
        <v>0</v>
      </c>
      <c r="D1788">
        <v>0</v>
      </c>
      <c r="E1788">
        <v>0</v>
      </c>
      <c r="F1788">
        <v>1602</v>
      </c>
    </row>
    <row r="1789" spans="1:6" x14ac:dyDescent="0.25">
      <c r="A1789">
        <v>1788</v>
      </c>
      <c r="B1789">
        <v>41</v>
      </c>
      <c r="C1789">
        <v>0</v>
      </c>
      <c r="D1789">
        <v>0</v>
      </c>
      <c r="E1789">
        <v>0</v>
      </c>
      <c r="F1789">
        <v>1</v>
      </c>
    </row>
    <row r="1790" spans="1:6" x14ac:dyDescent="0.25">
      <c r="A1790">
        <v>1789</v>
      </c>
      <c r="B1790">
        <v>42</v>
      </c>
      <c r="C1790">
        <v>0</v>
      </c>
      <c r="D1790">
        <v>0</v>
      </c>
      <c r="E1790">
        <v>0</v>
      </c>
      <c r="F1790">
        <v>0.2</v>
      </c>
    </row>
    <row r="1791" spans="1:6" x14ac:dyDescent="0.25">
      <c r="A1791">
        <v>1790</v>
      </c>
      <c r="B1791" t="s">
        <v>0</v>
      </c>
      <c r="C1791">
        <v>97</v>
      </c>
      <c r="D1791">
        <v>3482</v>
      </c>
      <c r="E1791">
        <v>79846938</v>
      </c>
    </row>
    <row r="1792" spans="1:6" x14ac:dyDescent="0.25">
      <c r="A1792">
        <v>1791</v>
      </c>
      <c r="B1792">
        <v>44</v>
      </c>
      <c r="C1792">
        <v>0</v>
      </c>
      <c r="D1792">
        <v>0</v>
      </c>
      <c r="E1792">
        <v>0</v>
      </c>
      <c r="F1792">
        <v>265.59399999999999</v>
      </c>
    </row>
    <row r="1793" spans="1:6" x14ac:dyDescent="0.25">
      <c r="A1793">
        <v>1792</v>
      </c>
      <c r="B1793">
        <v>45</v>
      </c>
      <c r="C1793">
        <v>0</v>
      </c>
      <c r="D1793">
        <v>0</v>
      </c>
      <c r="E1793">
        <v>0</v>
      </c>
      <c r="F1793">
        <v>1575.47</v>
      </c>
    </row>
    <row r="1794" spans="1:6" x14ac:dyDescent="0.25">
      <c r="A1794">
        <v>1793</v>
      </c>
      <c r="B1794">
        <v>46</v>
      </c>
      <c r="C1794">
        <v>0</v>
      </c>
      <c r="D1794">
        <v>0</v>
      </c>
      <c r="E1794">
        <v>0</v>
      </c>
      <c r="F1794">
        <v>0</v>
      </c>
    </row>
    <row r="1795" spans="1:6" x14ac:dyDescent="0.25">
      <c r="A1795">
        <v>1794</v>
      </c>
      <c r="B1795">
        <v>2</v>
      </c>
      <c r="C1795">
        <v>0</v>
      </c>
      <c r="D1795">
        <v>0</v>
      </c>
      <c r="E1795">
        <v>0</v>
      </c>
      <c r="F1795">
        <v>34.406300000000002</v>
      </c>
    </row>
    <row r="1796" spans="1:6" x14ac:dyDescent="0.25">
      <c r="A1796">
        <v>1795</v>
      </c>
      <c r="B1796">
        <v>10</v>
      </c>
      <c r="C1796">
        <v>1</v>
      </c>
      <c r="D1796">
        <v>0</v>
      </c>
      <c r="E1796">
        <v>0</v>
      </c>
      <c r="F1796">
        <v>5691</v>
      </c>
    </row>
    <row r="1797" spans="1:6" x14ac:dyDescent="0.25">
      <c r="A1797">
        <v>1796</v>
      </c>
      <c r="B1797">
        <v>13</v>
      </c>
      <c r="C1797">
        <v>0</v>
      </c>
      <c r="D1797">
        <v>0</v>
      </c>
      <c r="E1797">
        <v>0</v>
      </c>
      <c r="F1797">
        <v>1602</v>
      </c>
    </row>
    <row r="1798" spans="1:6" x14ac:dyDescent="0.25">
      <c r="A1798">
        <v>1797</v>
      </c>
      <c r="B1798">
        <v>41</v>
      </c>
      <c r="C1798">
        <v>0</v>
      </c>
      <c r="D1798">
        <v>0</v>
      </c>
      <c r="E1798">
        <v>0</v>
      </c>
      <c r="F1798">
        <v>1</v>
      </c>
    </row>
    <row r="1799" spans="1:6" x14ac:dyDescent="0.25">
      <c r="A1799">
        <v>1798</v>
      </c>
      <c r="B1799">
        <v>42</v>
      </c>
      <c r="C1799">
        <v>0</v>
      </c>
      <c r="D1799">
        <v>0</v>
      </c>
      <c r="E1799">
        <v>0</v>
      </c>
      <c r="F1799">
        <v>0.2</v>
      </c>
    </row>
    <row r="1800" spans="1:6" x14ac:dyDescent="0.25">
      <c r="A1800">
        <v>1799</v>
      </c>
      <c r="B1800">
        <v>43</v>
      </c>
      <c r="C1800">
        <v>0</v>
      </c>
      <c r="D1800">
        <v>0</v>
      </c>
      <c r="E1800">
        <v>0</v>
      </c>
      <c r="F1800">
        <v>0</v>
      </c>
    </row>
    <row r="1801" spans="1:6" x14ac:dyDescent="0.25">
      <c r="A1801">
        <v>1800</v>
      </c>
      <c r="B1801">
        <v>44</v>
      </c>
      <c r="C1801">
        <v>0</v>
      </c>
      <c r="D1801">
        <v>0</v>
      </c>
      <c r="E1801">
        <v>0</v>
      </c>
      <c r="F1801">
        <v>265.59399999999999</v>
      </c>
    </row>
    <row r="1802" spans="1:6" x14ac:dyDescent="0.25">
      <c r="A1802">
        <v>1801</v>
      </c>
      <c r="B1802">
        <v>45</v>
      </c>
      <c r="C1802">
        <v>0</v>
      </c>
      <c r="D1802">
        <v>0</v>
      </c>
      <c r="E1802">
        <v>0</v>
      </c>
      <c r="F1802">
        <v>1575.47</v>
      </c>
    </row>
    <row r="1803" spans="1:6" x14ac:dyDescent="0.25">
      <c r="A1803">
        <v>1802</v>
      </c>
      <c r="B1803">
        <v>46</v>
      </c>
      <c r="C1803">
        <v>0</v>
      </c>
      <c r="D1803">
        <v>0</v>
      </c>
      <c r="E1803">
        <v>0</v>
      </c>
      <c r="F1803">
        <v>0</v>
      </c>
    </row>
    <row r="1804" spans="1:6" x14ac:dyDescent="0.25">
      <c r="A1804">
        <v>1803</v>
      </c>
      <c r="B1804">
        <v>2</v>
      </c>
      <c r="C1804">
        <v>0</v>
      </c>
      <c r="D1804">
        <v>0</v>
      </c>
      <c r="E1804">
        <v>0</v>
      </c>
      <c r="F1804">
        <v>34.406300000000002</v>
      </c>
    </row>
    <row r="1805" spans="1:6" x14ac:dyDescent="0.25">
      <c r="A1805">
        <v>1804</v>
      </c>
      <c r="B1805">
        <v>10</v>
      </c>
      <c r="C1805">
        <v>1</v>
      </c>
      <c r="D1805">
        <v>0</v>
      </c>
      <c r="E1805">
        <v>0</v>
      </c>
      <c r="F1805">
        <v>5691</v>
      </c>
    </row>
    <row r="1806" spans="1:6" x14ac:dyDescent="0.25">
      <c r="A1806">
        <v>1805</v>
      </c>
      <c r="B1806" t="s">
        <v>0</v>
      </c>
      <c r="C1806">
        <v>98</v>
      </c>
      <c r="D1806">
        <v>3482</v>
      </c>
      <c r="E1806">
        <v>79847905</v>
      </c>
    </row>
    <row r="1807" spans="1:6" x14ac:dyDescent="0.25">
      <c r="A1807">
        <v>1806</v>
      </c>
      <c r="B1807">
        <v>13</v>
      </c>
      <c r="C1807">
        <v>0</v>
      </c>
      <c r="D1807">
        <v>0</v>
      </c>
      <c r="E1807">
        <v>0</v>
      </c>
      <c r="F1807">
        <v>1602</v>
      </c>
    </row>
    <row r="1808" spans="1:6" x14ac:dyDescent="0.25">
      <c r="A1808">
        <v>1807</v>
      </c>
      <c r="B1808">
        <v>41</v>
      </c>
      <c r="C1808">
        <v>0</v>
      </c>
      <c r="D1808">
        <v>0</v>
      </c>
      <c r="E1808">
        <v>0</v>
      </c>
      <c r="F1808">
        <v>1</v>
      </c>
    </row>
    <row r="1809" spans="1:6" x14ac:dyDescent="0.25">
      <c r="A1809">
        <v>1808</v>
      </c>
      <c r="B1809">
        <v>42</v>
      </c>
      <c r="C1809">
        <v>0</v>
      </c>
      <c r="D1809">
        <v>0</v>
      </c>
      <c r="E1809">
        <v>0</v>
      </c>
      <c r="F1809">
        <v>0.2</v>
      </c>
    </row>
    <row r="1810" spans="1:6" x14ac:dyDescent="0.25">
      <c r="A1810">
        <v>1809</v>
      </c>
      <c r="B1810">
        <v>43</v>
      </c>
      <c r="C1810">
        <v>0</v>
      </c>
      <c r="D1810">
        <v>0</v>
      </c>
      <c r="E1810">
        <v>0</v>
      </c>
      <c r="F1810">
        <v>0</v>
      </c>
    </row>
    <row r="1811" spans="1:6" x14ac:dyDescent="0.25">
      <c r="A1811">
        <v>1810</v>
      </c>
      <c r="B1811">
        <v>44</v>
      </c>
      <c r="C1811">
        <v>0</v>
      </c>
      <c r="D1811">
        <v>0</v>
      </c>
      <c r="E1811">
        <v>0</v>
      </c>
      <c r="F1811">
        <v>265.59399999999999</v>
      </c>
    </row>
    <row r="1812" spans="1:6" x14ac:dyDescent="0.25">
      <c r="A1812">
        <v>1811</v>
      </c>
      <c r="B1812">
        <v>45</v>
      </c>
      <c r="C1812">
        <v>0</v>
      </c>
      <c r="D1812">
        <v>0</v>
      </c>
      <c r="E1812">
        <v>0</v>
      </c>
      <c r="F1812">
        <v>1575.98</v>
      </c>
    </row>
    <row r="1813" spans="1:6" x14ac:dyDescent="0.25">
      <c r="A1813">
        <v>1812</v>
      </c>
      <c r="B1813">
        <v>46</v>
      </c>
      <c r="C1813">
        <v>0</v>
      </c>
      <c r="D1813">
        <v>0</v>
      </c>
      <c r="E1813">
        <v>0</v>
      </c>
      <c r="F1813">
        <v>0</v>
      </c>
    </row>
    <row r="1814" spans="1:6" x14ac:dyDescent="0.25">
      <c r="A1814">
        <v>1813</v>
      </c>
      <c r="B1814">
        <v>2</v>
      </c>
      <c r="C1814">
        <v>0</v>
      </c>
      <c r="D1814">
        <v>0</v>
      </c>
      <c r="E1814">
        <v>0</v>
      </c>
      <c r="F1814">
        <v>34.406399999999998</v>
      </c>
    </row>
    <row r="1815" spans="1:6" x14ac:dyDescent="0.25">
      <c r="A1815">
        <v>1814</v>
      </c>
      <c r="B1815">
        <v>10</v>
      </c>
      <c r="C1815">
        <v>1</v>
      </c>
      <c r="D1815">
        <v>0</v>
      </c>
      <c r="E1815">
        <v>0</v>
      </c>
      <c r="F1815">
        <v>5691</v>
      </c>
    </row>
    <row r="1816" spans="1:6" x14ac:dyDescent="0.25">
      <c r="A1816">
        <v>1815</v>
      </c>
      <c r="B1816">
        <v>13</v>
      </c>
      <c r="C1816">
        <v>0</v>
      </c>
      <c r="D1816">
        <v>0</v>
      </c>
      <c r="E1816">
        <v>0</v>
      </c>
      <c r="F1816">
        <v>1602</v>
      </c>
    </row>
    <row r="1817" spans="1:6" x14ac:dyDescent="0.25">
      <c r="A1817">
        <v>1816</v>
      </c>
      <c r="B1817">
        <v>41</v>
      </c>
      <c r="C1817">
        <v>0</v>
      </c>
      <c r="D1817">
        <v>0</v>
      </c>
      <c r="E1817">
        <v>0</v>
      </c>
      <c r="F1817">
        <v>1</v>
      </c>
    </row>
    <row r="1818" spans="1:6" x14ac:dyDescent="0.25">
      <c r="A1818">
        <v>1817</v>
      </c>
      <c r="B1818">
        <v>42</v>
      </c>
      <c r="C1818">
        <v>0</v>
      </c>
      <c r="D1818">
        <v>0</v>
      </c>
      <c r="E1818">
        <v>0</v>
      </c>
      <c r="F1818">
        <v>0.2</v>
      </c>
    </row>
    <row r="1819" spans="1:6" x14ac:dyDescent="0.25">
      <c r="A1819">
        <v>1818</v>
      </c>
      <c r="B1819">
        <v>43</v>
      </c>
      <c r="C1819">
        <v>0</v>
      </c>
      <c r="D1819">
        <v>0</v>
      </c>
      <c r="E1819">
        <v>0</v>
      </c>
      <c r="F1819">
        <v>0</v>
      </c>
    </row>
    <row r="1820" spans="1:6" x14ac:dyDescent="0.25">
      <c r="A1820">
        <v>1819</v>
      </c>
      <c r="B1820">
        <v>44</v>
      </c>
      <c r="C1820">
        <v>0</v>
      </c>
      <c r="D1820">
        <v>0</v>
      </c>
      <c r="E1820">
        <v>0</v>
      </c>
      <c r="F1820">
        <v>265.59399999999999</v>
      </c>
    </row>
    <row r="1821" spans="1:6" x14ac:dyDescent="0.25">
      <c r="A1821">
        <v>1820</v>
      </c>
      <c r="B1821">
        <v>45</v>
      </c>
      <c r="C1821">
        <v>0</v>
      </c>
      <c r="D1821">
        <v>0</v>
      </c>
      <c r="E1821">
        <v>0</v>
      </c>
      <c r="F1821">
        <v>1575.98</v>
      </c>
    </row>
    <row r="1822" spans="1:6" x14ac:dyDescent="0.25">
      <c r="A1822">
        <v>1821</v>
      </c>
      <c r="B1822">
        <v>46</v>
      </c>
      <c r="C1822">
        <v>0</v>
      </c>
      <c r="D1822">
        <v>0</v>
      </c>
      <c r="E1822">
        <v>0</v>
      </c>
      <c r="F1822">
        <v>0</v>
      </c>
    </row>
    <row r="1823" spans="1:6" x14ac:dyDescent="0.25">
      <c r="A1823">
        <v>1822</v>
      </c>
      <c r="B1823">
        <v>2</v>
      </c>
      <c r="C1823">
        <v>0</v>
      </c>
      <c r="D1823">
        <v>0</v>
      </c>
      <c r="E1823">
        <v>0</v>
      </c>
      <c r="F1823">
        <v>34.405799999999999</v>
      </c>
    </row>
    <row r="1824" spans="1:6" x14ac:dyDescent="0.25">
      <c r="A1824">
        <v>1823</v>
      </c>
      <c r="B1824">
        <v>10</v>
      </c>
      <c r="C1824">
        <v>1</v>
      </c>
      <c r="D1824">
        <v>0</v>
      </c>
      <c r="E1824">
        <v>0</v>
      </c>
      <c r="F1824">
        <v>5691</v>
      </c>
    </row>
    <row r="1825" spans="1:6" x14ac:dyDescent="0.25">
      <c r="A1825">
        <v>1824</v>
      </c>
      <c r="B1825">
        <v>13</v>
      </c>
      <c r="C1825">
        <v>0</v>
      </c>
      <c r="D1825">
        <v>0</v>
      </c>
      <c r="E1825">
        <v>0</v>
      </c>
      <c r="F1825">
        <v>1602</v>
      </c>
    </row>
    <row r="1826" spans="1:6" x14ac:dyDescent="0.25">
      <c r="A1826">
        <v>1825</v>
      </c>
      <c r="B1826">
        <v>41</v>
      </c>
      <c r="C1826">
        <v>0</v>
      </c>
      <c r="D1826">
        <v>0</v>
      </c>
      <c r="E1826">
        <v>0</v>
      </c>
      <c r="F1826">
        <v>1</v>
      </c>
    </row>
    <row r="1827" spans="1:6" x14ac:dyDescent="0.25">
      <c r="A1827">
        <v>1826</v>
      </c>
      <c r="B1827">
        <v>42</v>
      </c>
      <c r="C1827">
        <v>0</v>
      </c>
      <c r="D1827">
        <v>0</v>
      </c>
      <c r="E1827">
        <v>0</v>
      </c>
      <c r="F1827">
        <v>0.2</v>
      </c>
    </row>
    <row r="1828" spans="1:6" x14ac:dyDescent="0.25">
      <c r="A1828">
        <v>1827</v>
      </c>
      <c r="B1828">
        <v>43</v>
      </c>
      <c r="C1828">
        <v>0</v>
      </c>
      <c r="D1828">
        <v>0</v>
      </c>
      <c r="E1828">
        <v>0</v>
      </c>
      <c r="F1828">
        <v>0</v>
      </c>
    </row>
    <row r="1829" spans="1:6" x14ac:dyDescent="0.25">
      <c r="A1829">
        <v>1828</v>
      </c>
      <c r="B1829">
        <v>44</v>
      </c>
      <c r="C1829">
        <v>0</v>
      </c>
      <c r="D1829">
        <v>0</v>
      </c>
      <c r="E1829">
        <v>0</v>
      </c>
      <c r="F1829">
        <v>265.59399999999999</v>
      </c>
    </row>
    <row r="1830" spans="1:6" x14ac:dyDescent="0.25">
      <c r="A1830">
        <v>1829</v>
      </c>
      <c r="B1830">
        <v>45</v>
      </c>
      <c r="C1830">
        <v>0</v>
      </c>
      <c r="D1830">
        <v>0</v>
      </c>
      <c r="E1830">
        <v>0</v>
      </c>
      <c r="F1830">
        <v>1576.5</v>
      </c>
    </row>
    <row r="1831" spans="1:6" x14ac:dyDescent="0.25">
      <c r="A1831">
        <v>1830</v>
      </c>
      <c r="B1831">
        <v>46</v>
      </c>
      <c r="C1831">
        <v>0</v>
      </c>
      <c r="D1831">
        <v>0</v>
      </c>
      <c r="E1831">
        <v>0</v>
      </c>
      <c r="F1831">
        <v>0</v>
      </c>
    </row>
    <row r="1832" spans="1:6" x14ac:dyDescent="0.25">
      <c r="A1832">
        <v>1831</v>
      </c>
      <c r="B1832">
        <v>2</v>
      </c>
      <c r="C1832">
        <v>0</v>
      </c>
      <c r="D1832">
        <v>0</v>
      </c>
      <c r="E1832">
        <v>0</v>
      </c>
      <c r="F1832">
        <v>34.405799999999999</v>
      </c>
    </row>
    <row r="1833" spans="1:6" x14ac:dyDescent="0.25">
      <c r="A1833">
        <v>1832</v>
      </c>
      <c r="B1833">
        <v>10</v>
      </c>
      <c r="C1833">
        <v>1</v>
      </c>
      <c r="D1833">
        <v>0</v>
      </c>
      <c r="E1833">
        <v>0</v>
      </c>
      <c r="F1833">
        <v>5691</v>
      </c>
    </row>
    <row r="1834" spans="1:6" x14ac:dyDescent="0.25">
      <c r="A1834">
        <v>1833</v>
      </c>
      <c r="B1834">
        <v>13</v>
      </c>
      <c r="C1834">
        <v>0</v>
      </c>
      <c r="D1834">
        <v>0</v>
      </c>
      <c r="E1834">
        <v>0</v>
      </c>
      <c r="F1834">
        <v>1602</v>
      </c>
    </row>
    <row r="1835" spans="1:6" x14ac:dyDescent="0.25">
      <c r="A1835">
        <v>1834</v>
      </c>
      <c r="B1835">
        <v>41</v>
      </c>
      <c r="C1835">
        <v>0</v>
      </c>
      <c r="D1835">
        <v>0</v>
      </c>
      <c r="E1835">
        <v>0</v>
      </c>
      <c r="F1835">
        <v>1</v>
      </c>
    </row>
    <row r="1836" spans="1:6" x14ac:dyDescent="0.25">
      <c r="A1836">
        <v>1835</v>
      </c>
      <c r="B1836">
        <v>42</v>
      </c>
      <c r="C1836">
        <v>0</v>
      </c>
      <c r="D1836">
        <v>0</v>
      </c>
      <c r="E1836">
        <v>0</v>
      </c>
      <c r="F1836">
        <v>0.2</v>
      </c>
    </row>
    <row r="1837" spans="1:6" x14ac:dyDescent="0.25">
      <c r="A1837">
        <v>1836</v>
      </c>
      <c r="B1837">
        <v>43</v>
      </c>
      <c r="C1837">
        <v>0</v>
      </c>
      <c r="D1837">
        <v>0</v>
      </c>
      <c r="E1837">
        <v>0</v>
      </c>
      <c r="F1837">
        <v>0</v>
      </c>
    </row>
    <row r="1838" spans="1:6" x14ac:dyDescent="0.25">
      <c r="A1838">
        <v>1837</v>
      </c>
      <c r="B1838">
        <v>44</v>
      </c>
      <c r="C1838">
        <v>0</v>
      </c>
      <c r="D1838">
        <v>0</v>
      </c>
      <c r="E1838">
        <v>0</v>
      </c>
      <c r="F1838">
        <v>265.59500000000003</v>
      </c>
    </row>
    <row r="1839" spans="1:6" x14ac:dyDescent="0.25">
      <c r="A1839">
        <v>1838</v>
      </c>
      <c r="B1839">
        <v>45</v>
      </c>
      <c r="C1839">
        <v>0</v>
      </c>
      <c r="D1839">
        <v>0</v>
      </c>
      <c r="E1839">
        <v>0</v>
      </c>
      <c r="F1839">
        <v>1577.01</v>
      </c>
    </row>
    <row r="1840" spans="1:6" x14ac:dyDescent="0.25">
      <c r="A1840">
        <v>1839</v>
      </c>
      <c r="B1840">
        <v>46</v>
      </c>
      <c r="C1840">
        <v>0</v>
      </c>
      <c r="D1840">
        <v>0</v>
      </c>
      <c r="E1840">
        <v>0</v>
      </c>
      <c r="F1840">
        <v>0</v>
      </c>
    </row>
    <row r="1841" spans="1:6" x14ac:dyDescent="0.25">
      <c r="A1841">
        <v>1840</v>
      </c>
      <c r="B1841">
        <v>2</v>
      </c>
      <c r="C1841">
        <v>0</v>
      </c>
      <c r="D1841">
        <v>0</v>
      </c>
      <c r="E1841">
        <v>0</v>
      </c>
      <c r="F1841">
        <v>34.405200000000001</v>
      </c>
    </row>
    <row r="1842" spans="1:6" x14ac:dyDescent="0.25">
      <c r="A1842">
        <v>1841</v>
      </c>
      <c r="B1842">
        <v>10</v>
      </c>
      <c r="C1842">
        <v>1</v>
      </c>
      <c r="D1842">
        <v>0</v>
      </c>
      <c r="E1842">
        <v>0</v>
      </c>
      <c r="F1842">
        <v>5691</v>
      </c>
    </row>
    <row r="1843" spans="1:6" x14ac:dyDescent="0.25">
      <c r="A1843">
        <v>1842</v>
      </c>
      <c r="B1843">
        <v>13</v>
      </c>
      <c r="C1843">
        <v>0</v>
      </c>
      <c r="D1843">
        <v>0</v>
      </c>
      <c r="E1843">
        <v>0</v>
      </c>
      <c r="F1843">
        <v>1602</v>
      </c>
    </row>
    <row r="1844" spans="1:6" x14ac:dyDescent="0.25">
      <c r="A1844">
        <v>1843</v>
      </c>
      <c r="B1844">
        <v>41</v>
      </c>
      <c r="C1844">
        <v>0</v>
      </c>
      <c r="D1844">
        <v>0</v>
      </c>
      <c r="E1844">
        <v>0</v>
      </c>
      <c r="F1844">
        <v>1</v>
      </c>
    </row>
    <row r="1845" spans="1:6" x14ac:dyDescent="0.25">
      <c r="A1845">
        <v>1844</v>
      </c>
      <c r="B1845">
        <v>42</v>
      </c>
      <c r="C1845">
        <v>0</v>
      </c>
      <c r="D1845">
        <v>0</v>
      </c>
      <c r="E1845">
        <v>0</v>
      </c>
      <c r="F1845">
        <v>0.2</v>
      </c>
    </row>
    <row r="1846" spans="1:6" x14ac:dyDescent="0.25">
      <c r="A1846">
        <v>1845</v>
      </c>
      <c r="B1846">
        <v>43</v>
      </c>
      <c r="C1846">
        <v>0</v>
      </c>
      <c r="D1846">
        <v>0</v>
      </c>
      <c r="E1846">
        <v>0</v>
      </c>
      <c r="F1846">
        <v>0</v>
      </c>
    </row>
    <row r="1847" spans="1:6" x14ac:dyDescent="0.25">
      <c r="A1847">
        <v>1846</v>
      </c>
      <c r="B1847">
        <v>44</v>
      </c>
      <c r="C1847">
        <v>0</v>
      </c>
      <c r="D1847">
        <v>0</v>
      </c>
      <c r="E1847">
        <v>0</v>
      </c>
      <c r="F1847">
        <v>265.59500000000003</v>
      </c>
    </row>
    <row r="1848" spans="1:6" x14ac:dyDescent="0.25">
      <c r="A1848">
        <v>1847</v>
      </c>
      <c r="B1848">
        <v>45</v>
      </c>
      <c r="C1848">
        <v>0</v>
      </c>
      <c r="D1848">
        <v>0</v>
      </c>
      <c r="E1848">
        <v>0</v>
      </c>
      <c r="F1848">
        <v>1577.01</v>
      </c>
    </row>
    <row r="1849" spans="1:6" x14ac:dyDescent="0.25">
      <c r="A1849">
        <v>1848</v>
      </c>
      <c r="B1849">
        <v>46</v>
      </c>
      <c r="C1849">
        <v>0</v>
      </c>
      <c r="D1849">
        <v>0</v>
      </c>
      <c r="E1849">
        <v>0</v>
      </c>
      <c r="F1849">
        <v>0</v>
      </c>
    </row>
    <row r="1850" spans="1:6" x14ac:dyDescent="0.25">
      <c r="A1850">
        <v>1849</v>
      </c>
      <c r="B1850">
        <v>2</v>
      </c>
      <c r="C1850">
        <v>0</v>
      </c>
      <c r="D1850">
        <v>0</v>
      </c>
      <c r="E1850">
        <v>0</v>
      </c>
      <c r="F1850">
        <v>34.405200000000001</v>
      </c>
    </row>
    <row r="1851" spans="1:6" x14ac:dyDescent="0.25">
      <c r="A1851">
        <v>1850</v>
      </c>
      <c r="B1851" t="s">
        <v>0</v>
      </c>
      <c r="C1851">
        <v>101</v>
      </c>
      <c r="D1851">
        <v>3482</v>
      </c>
      <c r="E1851">
        <v>79850808</v>
      </c>
    </row>
    <row r="1852" spans="1:6" x14ac:dyDescent="0.25">
      <c r="A1852">
        <v>1851</v>
      </c>
      <c r="B1852">
        <v>13</v>
      </c>
      <c r="C1852">
        <v>0</v>
      </c>
      <c r="D1852">
        <v>0</v>
      </c>
      <c r="E1852">
        <v>0</v>
      </c>
      <c r="F1852">
        <v>1602</v>
      </c>
    </row>
    <row r="1853" spans="1:6" x14ac:dyDescent="0.25">
      <c r="A1853">
        <v>1852</v>
      </c>
      <c r="B1853">
        <v>41</v>
      </c>
      <c r="C1853">
        <v>0</v>
      </c>
      <c r="D1853">
        <v>0</v>
      </c>
      <c r="E1853">
        <v>0</v>
      </c>
      <c r="F1853">
        <v>1</v>
      </c>
    </row>
    <row r="1854" spans="1:6" x14ac:dyDescent="0.25">
      <c r="A1854">
        <v>1853</v>
      </c>
      <c r="B1854">
        <v>42</v>
      </c>
      <c r="C1854">
        <v>0</v>
      </c>
      <c r="D1854">
        <v>0</v>
      </c>
      <c r="E1854">
        <v>0</v>
      </c>
      <c r="F1854">
        <v>0.2</v>
      </c>
    </row>
    <row r="1855" spans="1:6" x14ac:dyDescent="0.25">
      <c r="A1855">
        <v>1854</v>
      </c>
      <c r="B1855">
        <v>43</v>
      </c>
      <c r="C1855">
        <v>0</v>
      </c>
      <c r="D1855">
        <v>0</v>
      </c>
      <c r="E1855">
        <v>0</v>
      </c>
      <c r="F1855">
        <v>0</v>
      </c>
    </row>
    <row r="1856" spans="1:6" x14ac:dyDescent="0.25">
      <c r="A1856">
        <v>1855</v>
      </c>
      <c r="B1856">
        <v>44</v>
      </c>
      <c r="C1856">
        <v>0</v>
      </c>
      <c r="D1856">
        <v>0</v>
      </c>
      <c r="E1856">
        <v>0</v>
      </c>
      <c r="F1856">
        <v>265.59399999999999</v>
      </c>
    </row>
    <row r="1857" spans="1:6" x14ac:dyDescent="0.25">
      <c r="A1857">
        <v>1856</v>
      </c>
      <c r="B1857">
        <v>45</v>
      </c>
      <c r="C1857">
        <v>0</v>
      </c>
      <c r="D1857">
        <v>0</v>
      </c>
      <c r="E1857">
        <v>0</v>
      </c>
      <c r="F1857">
        <v>1577.53</v>
      </c>
    </row>
    <row r="1858" spans="1:6" x14ac:dyDescent="0.25">
      <c r="A1858">
        <v>1857</v>
      </c>
      <c r="B1858">
        <v>46</v>
      </c>
      <c r="C1858">
        <v>0</v>
      </c>
      <c r="D1858">
        <v>0</v>
      </c>
      <c r="E1858">
        <v>0</v>
      </c>
      <c r="F1858">
        <v>0</v>
      </c>
    </row>
    <row r="1859" spans="1:6" x14ac:dyDescent="0.25">
      <c r="A1859">
        <v>1858</v>
      </c>
      <c r="B1859">
        <v>2</v>
      </c>
      <c r="C1859">
        <v>0</v>
      </c>
      <c r="D1859">
        <v>0</v>
      </c>
      <c r="E1859">
        <v>0</v>
      </c>
      <c r="F1859">
        <v>34.405500000000004</v>
      </c>
    </row>
    <row r="1860" spans="1:6" x14ac:dyDescent="0.25">
      <c r="A1860">
        <v>1859</v>
      </c>
      <c r="B1860">
        <v>10</v>
      </c>
      <c r="C1860">
        <v>1</v>
      </c>
      <c r="D1860">
        <v>0</v>
      </c>
      <c r="E1860">
        <v>0</v>
      </c>
      <c r="F1860">
        <v>5691</v>
      </c>
    </row>
    <row r="1861" spans="1:6" x14ac:dyDescent="0.25">
      <c r="A1861">
        <v>1860</v>
      </c>
      <c r="B1861">
        <v>13</v>
      </c>
      <c r="C1861">
        <v>0</v>
      </c>
      <c r="D1861">
        <v>0</v>
      </c>
      <c r="E1861">
        <v>0</v>
      </c>
      <c r="F1861">
        <v>1602</v>
      </c>
    </row>
    <row r="1862" spans="1:6" x14ac:dyDescent="0.25">
      <c r="A1862">
        <v>1861</v>
      </c>
      <c r="B1862">
        <v>41</v>
      </c>
      <c r="C1862">
        <v>0</v>
      </c>
      <c r="D1862">
        <v>0</v>
      </c>
      <c r="E1862">
        <v>0</v>
      </c>
      <c r="F1862">
        <v>1</v>
      </c>
    </row>
    <row r="1863" spans="1:6" x14ac:dyDescent="0.25">
      <c r="A1863">
        <v>1862</v>
      </c>
      <c r="B1863">
        <v>42</v>
      </c>
      <c r="C1863">
        <v>0</v>
      </c>
      <c r="D1863">
        <v>0</v>
      </c>
      <c r="E1863">
        <v>0</v>
      </c>
      <c r="F1863">
        <v>0.2</v>
      </c>
    </row>
    <row r="1864" spans="1:6" x14ac:dyDescent="0.25">
      <c r="A1864">
        <v>1863</v>
      </c>
      <c r="B1864">
        <v>43</v>
      </c>
      <c r="C1864">
        <v>0</v>
      </c>
      <c r="D1864">
        <v>0</v>
      </c>
      <c r="E1864">
        <v>0</v>
      </c>
      <c r="F1864">
        <v>0</v>
      </c>
    </row>
    <row r="1865" spans="1:6" x14ac:dyDescent="0.25">
      <c r="A1865">
        <v>1864</v>
      </c>
      <c r="B1865">
        <v>44</v>
      </c>
      <c r="C1865">
        <v>0</v>
      </c>
      <c r="D1865">
        <v>0</v>
      </c>
      <c r="E1865">
        <v>0</v>
      </c>
      <c r="F1865">
        <v>265.59399999999999</v>
      </c>
    </row>
    <row r="1866" spans="1:6" x14ac:dyDescent="0.25">
      <c r="A1866">
        <v>1865</v>
      </c>
      <c r="B1866" t="s">
        <v>0</v>
      </c>
      <c r="C1866">
        <v>102</v>
      </c>
      <c r="D1866">
        <v>3482</v>
      </c>
      <c r="E1866">
        <v>79851776</v>
      </c>
    </row>
    <row r="1867" spans="1:6" x14ac:dyDescent="0.25">
      <c r="A1867">
        <v>1866</v>
      </c>
      <c r="B1867">
        <v>46</v>
      </c>
      <c r="C1867">
        <v>0</v>
      </c>
      <c r="D1867">
        <v>0</v>
      </c>
      <c r="E1867">
        <v>0</v>
      </c>
      <c r="F1867">
        <v>0</v>
      </c>
    </row>
    <row r="1868" spans="1:6" x14ac:dyDescent="0.25">
      <c r="A1868">
        <v>1867</v>
      </c>
      <c r="B1868">
        <v>2</v>
      </c>
      <c r="C1868">
        <v>0</v>
      </c>
      <c r="D1868">
        <v>0</v>
      </c>
      <c r="E1868">
        <v>0</v>
      </c>
      <c r="F1868">
        <v>34.405999999999999</v>
      </c>
    </row>
    <row r="1869" spans="1:6" x14ac:dyDescent="0.25">
      <c r="A1869">
        <v>1868</v>
      </c>
      <c r="B1869">
        <v>10</v>
      </c>
      <c r="C1869">
        <v>1</v>
      </c>
      <c r="D1869">
        <v>0</v>
      </c>
      <c r="E1869">
        <v>0</v>
      </c>
      <c r="F1869">
        <v>5691</v>
      </c>
    </row>
    <row r="1870" spans="1:6" x14ac:dyDescent="0.25">
      <c r="A1870">
        <v>1869</v>
      </c>
      <c r="B1870">
        <v>13</v>
      </c>
      <c r="C1870">
        <v>0</v>
      </c>
      <c r="D1870">
        <v>0</v>
      </c>
      <c r="E1870">
        <v>0</v>
      </c>
      <c r="F1870">
        <v>1602</v>
      </c>
    </row>
    <row r="1871" spans="1:6" x14ac:dyDescent="0.25">
      <c r="A1871">
        <v>1870</v>
      </c>
      <c r="B1871">
        <v>41</v>
      </c>
      <c r="C1871">
        <v>0</v>
      </c>
      <c r="D1871">
        <v>0</v>
      </c>
      <c r="E1871">
        <v>0</v>
      </c>
      <c r="F1871">
        <v>1</v>
      </c>
    </row>
    <row r="1872" spans="1:6" x14ac:dyDescent="0.25">
      <c r="A1872">
        <v>1871</v>
      </c>
      <c r="B1872">
        <v>42</v>
      </c>
      <c r="C1872">
        <v>0</v>
      </c>
      <c r="D1872">
        <v>0</v>
      </c>
      <c r="E1872">
        <v>0</v>
      </c>
      <c r="F1872">
        <v>0.2</v>
      </c>
    </row>
    <row r="1873" spans="1:6" x14ac:dyDescent="0.25">
      <c r="A1873">
        <v>1872</v>
      </c>
      <c r="B1873">
        <v>43</v>
      </c>
      <c r="C1873">
        <v>0</v>
      </c>
      <c r="D1873">
        <v>0</v>
      </c>
      <c r="E1873">
        <v>0</v>
      </c>
      <c r="F1873">
        <v>0</v>
      </c>
    </row>
    <row r="1874" spans="1:6" x14ac:dyDescent="0.25">
      <c r="A1874">
        <v>1873</v>
      </c>
      <c r="B1874">
        <v>44</v>
      </c>
      <c r="C1874">
        <v>0</v>
      </c>
      <c r="D1874">
        <v>0</v>
      </c>
      <c r="E1874">
        <v>0</v>
      </c>
      <c r="F1874">
        <v>265.59399999999999</v>
      </c>
    </row>
    <row r="1875" spans="1:6" x14ac:dyDescent="0.25">
      <c r="A1875">
        <v>1874</v>
      </c>
      <c r="B1875">
        <v>45</v>
      </c>
      <c r="C1875">
        <v>0</v>
      </c>
      <c r="D1875">
        <v>0</v>
      </c>
      <c r="E1875">
        <v>0</v>
      </c>
      <c r="F1875">
        <v>1578.04</v>
      </c>
    </row>
    <row r="1876" spans="1:6" x14ac:dyDescent="0.25">
      <c r="A1876">
        <v>1875</v>
      </c>
      <c r="B1876">
        <v>46</v>
      </c>
      <c r="C1876">
        <v>0</v>
      </c>
      <c r="D1876">
        <v>0</v>
      </c>
      <c r="E1876">
        <v>0</v>
      </c>
      <c r="F1876">
        <v>0</v>
      </c>
    </row>
    <row r="1877" spans="1:6" x14ac:dyDescent="0.25">
      <c r="A1877">
        <v>1876</v>
      </c>
      <c r="B1877">
        <v>2</v>
      </c>
      <c r="C1877">
        <v>0</v>
      </c>
      <c r="D1877">
        <v>0</v>
      </c>
      <c r="E1877">
        <v>0</v>
      </c>
      <c r="F1877">
        <v>34.405999999999999</v>
      </c>
    </row>
    <row r="1878" spans="1:6" x14ac:dyDescent="0.25">
      <c r="A1878">
        <v>1877</v>
      </c>
      <c r="B1878">
        <v>10</v>
      </c>
      <c r="C1878">
        <v>1</v>
      </c>
      <c r="D1878">
        <v>0</v>
      </c>
      <c r="E1878">
        <v>0</v>
      </c>
      <c r="F1878">
        <v>5691</v>
      </c>
    </row>
    <row r="1879" spans="1:6" x14ac:dyDescent="0.25">
      <c r="A1879">
        <v>1878</v>
      </c>
      <c r="B1879">
        <v>13</v>
      </c>
      <c r="C1879">
        <v>0</v>
      </c>
      <c r="D1879">
        <v>0</v>
      </c>
      <c r="E1879">
        <v>0</v>
      </c>
      <c r="F1879">
        <v>1602</v>
      </c>
    </row>
    <row r="1880" spans="1:6" x14ac:dyDescent="0.25">
      <c r="A1880">
        <v>1879</v>
      </c>
      <c r="B1880">
        <v>41</v>
      </c>
      <c r="C1880">
        <v>0</v>
      </c>
      <c r="D1880">
        <v>0</v>
      </c>
      <c r="E1880">
        <v>0</v>
      </c>
      <c r="F1880">
        <v>1</v>
      </c>
    </row>
    <row r="1881" spans="1:6" x14ac:dyDescent="0.25">
      <c r="A1881">
        <v>1880</v>
      </c>
      <c r="B1881" t="s">
        <v>0</v>
      </c>
      <c r="C1881">
        <v>103</v>
      </c>
      <c r="D1881">
        <v>3482</v>
      </c>
      <c r="E1881">
        <v>79852744</v>
      </c>
    </row>
    <row r="1882" spans="1:6" x14ac:dyDescent="0.25">
      <c r="A1882">
        <v>1881</v>
      </c>
      <c r="B1882">
        <v>42</v>
      </c>
      <c r="C1882">
        <v>0</v>
      </c>
      <c r="D1882">
        <v>0</v>
      </c>
      <c r="E1882">
        <v>0</v>
      </c>
      <c r="F1882">
        <v>0.2</v>
      </c>
    </row>
    <row r="1883" spans="1:6" x14ac:dyDescent="0.25">
      <c r="A1883">
        <v>1882</v>
      </c>
      <c r="B1883">
        <v>43</v>
      </c>
      <c r="C1883">
        <v>0</v>
      </c>
      <c r="D1883">
        <v>0</v>
      </c>
      <c r="E1883">
        <v>0</v>
      </c>
      <c r="F1883">
        <v>0</v>
      </c>
    </row>
    <row r="1884" spans="1:6" x14ac:dyDescent="0.25">
      <c r="A1884">
        <v>1883</v>
      </c>
      <c r="B1884">
        <v>44</v>
      </c>
      <c r="C1884">
        <v>0</v>
      </c>
      <c r="D1884">
        <v>0</v>
      </c>
      <c r="E1884">
        <v>0</v>
      </c>
      <c r="F1884">
        <v>265.59500000000003</v>
      </c>
    </row>
    <row r="1885" spans="1:6" x14ac:dyDescent="0.25">
      <c r="A1885">
        <v>1884</v>
      </c>
      <c r="B1885">
        <v>45</v>
      </c>
      <c r="C1885">
        <v>0</v>
      </c>
      <c r="D1885">
        <v>0</v>
      </c>
      <c r="E1885">
        <v>0</v>
      </c>
      <c r="F1885">
        <v>1578.56</v>
      </c>
    </row>
    <row r="1886" spans="1:6" x14ac:dyDescent="0.25">
      <c r="A1886">
        <v>1885</v>
      </c>
      <c r="B1886">
        <v>46</v>
      </c>
      <c r="C1886">
        <v>0</v>
      </c>
      <c r="D1886">
        <v>0</v>
      </c>
      <c r="E1886">
        <v>0</v>
      </c>
      <c r="F1886">
        <v>0</v>
      </c>
    </row>
    <row r="1887" spans="1:6" x14ac:dyDescent="0.25">
      <c r="A1887">
        <v>1886</v>
      </c>
      <c r="B1887">
        <v>2</v>
      </c>
      <c r="C1887">
        <v>0</v>
      </c>
      <c r="D1887">
        <v>0</v>
      </c>
      <c r="E1887">
        <v>0</v>
      </c>
      <c r="F1887">
        <v>34.4054</v>
      </c>
    </row>
    <row r="1888" spans="1:6" x14ac:dyDescent="0.25">
      <c r="A1888">
        <v>1887</v>
      </c>
      <c r="B1888">
        <v>10</v>
      </c>
      <c r="C1888">
        <v>1</v>
      </c>
      <c r="D1888">
        <v>0</v>
      </c>
      <c r="E1888">
        <v>0</v>
      </c>
      <c r="F1888">
        <v>5691</v>
      </c>
    </row>
    <row r="1889" spans="1:6" x14ac:dyDescent="0.25">
      <c r="A1889">
        <v>1888</v>
      </c>
      <c r="B1889">
        <v>13</v>
      </c>
      <c r="C1889">
        <v>0</v>
      </c>
      <c r="D1889">
        <v>0</v>
      </c>
      <c r="E1889">
        <v>0</v>
      </c>
      <c r="F1889">
        <v>1602</v>
      </c>
    </row>
    <row r="1890" spans="1:6" x14ac:dyDescent="0.25">
      <c r="A1890">
        <v>1889</v>
      </c>
      <c r="B1890">
        <v>41</v>
      </c>
      <c r="C1890">
        <v>0</v>
      </c>
      <c r="D1890">
        <v>0</v>
      </c>
      <c r="E1890">
        <v>0</v>
      </c>
      <c r="F1890">
        <v>1</v>
      </c>
    </row>
    <row r="1891" spans="1:6" x14ac:dyDescent="0.25">
      <c r="A1891">
        <v>1890</v>
      </c>
      <c r="B1891">
        <v>42</v>
      </c>
      <c r="C1891">
        <v>0</v>
      </c>
      <c r="D1891">
        <v>0</v>
      </c>
      <c r="E1891">
        <v>0</v>
      </c>
      <c r="F1891">
        <v>0.2</v>
      </c>
    </row>
    <row r="1892" spans="1:6" x14ac:dyDescent="0.25">
      <c r="A1892">
        <v>1891</v>
      </c>
      <c r="B1892">
        <v>43</v>
      </c>
      <c r="C1892">
        <v>0</v>
      </c>
      <c r="D1892">
        <v>0</v>
      </c>
      <c r="E1892">
        <v>0</v>
      </c>
      <c r="F1892">
        <v>0</v>
      </c>
    </row>
    <row r="1893" spans="1:6" x14ac:dyDescent="0.25">
      <c r="A1893">
        <v>1892</v>
      </c>
      <c r="B1893">
        <v>44</v>
      </c>
      <c r="C1893">
        <v>0</v>
      </c>
      <c r="D1893">
        <v>0</v>
      </c>
      <c r="E1893">
        <v>0</v>
      </c>
      <c r="F1893">
        <v>265.59500000000003</v>
      </c>
    </row>
    <row r="1894" spans="1:6" x14ac:dyDescent="0.25">
      <c r="A1894">
        <v>1893</v>
      </c>
      <c r="B1894">
        <v>45</v>
      </c>
      <c r="C1894">
        <v>0</v>
      </c>
      <c r="D1894">
        <v>0</v>
      </c>
      <c r="E1894">
        <v>0</v>
      </c>
      <c r="F1894">
        <v>1578.56</v>
      </c>
    </row>
    <row r="1895" spans="1:6" x14ac:dyDescent="0.25">
      <c r="A1895">
        <v>1894</v>
      </c>
      <c r="B1895">
        <v>46</v>
      </c>
      <c r="C1895">
        <v>0</v>
      </c>
      <c r="D1895">
        <v>0</v>
      </c>
      <c r="E1895">
        <v>0</v>
      </c>
      <c r="F1895">
        <v>0</v>
      </c>
    </row>
    <row r="1896" spans="1:6" x14ac:dyDescent="0.25">
      <c r="A1896">
        <v>1895</v>
      </c>
      <c r="B1896">
        <v>2</v>
      </c>
      <c r="C1896">
        <v>0</v>
      </c>
      <c r="D1896">
        <v>0</v>
      </c>
      <c r="E1896">
        <v>0</v>
      </c>
      <c r="F1896">
        <v>34.4054</v>
      </c>
    </row>
    <row r="1897" spans="1:6" x14ac:dyDescent="0.25">
      <c r="A1897">
        <v>1896</v>
      </c>
      <c r="B1897" t="s">
        <v>0</v>
      </c>
      <c r="C1897">
        <v>104</v>
      </c>
      <c r="D1897">
        <v>3482</v>
      </c>
      <c r="E1897">
        <v>79853712</v>
      </c>
    </row>
    <row r="1898" spans="1:6" x14ac:dyDescent="0.25">
      <c r="A1898">
        <v>1897</v>
      </c>
      <c r="B1898">
        <v>10</v>
      </c>
      <c r="C1898">
        <v>1</v>
      </c>
      <c r="D1898">
        <v>0</v>
      </c>
      <c r="E1898">
        <v>0</v>
      </c>
      <c r="F1898">
        <v>5691</v>
      </c>
    </row>
    <row r="1899" spans="1:6" x14ac:dyDescent="0.25">
      <c r="A1899">
        <v>1898</v>
      </c>
      <c r="B1899">
        <v>13</v>
      </c>
      <c r="C1899">
        <v>0</v>
      </c>
      <c r="D1899">
        <v>0</v>
      </c>
      <c r="E1899">
        <v>0</v>
      </c>
      <c r="F1899">
        <v>1602</v>
      </c>
    </row>
    <row r="1900" spans="1:6" x14ac:dyDescent="0.25">
      <c r="A1900">
        <v>1899</v>
      </c>
      <c r="B1900">
        <v>41</v>
      </c>
      <c r="C1900">
        <v>0</v>
      </c>
      <c r="D1900">
        <v>0</v>
      </c>
      <c r="E1900">
        <v>0</v>
      </c>
      <c r="F1900">
        <v>1</v>
      </c>
    </row>
    <row r="1901" spans="1:6" x14ac:dyDescent="0.25">
      <c r="A1901">
        <v>1900</v>
      </c>
      <c r="B1901">
        <v>42</v>
      </c>
      <c r="C1901">
        <v>0</v>
      </c>
      <c r="D1901">
        <v>0</v>
      </c>
      <c r="E1901">
        <v>0</v>
      </c>
      <c r="F1901">
        <v>0.2</v>
      </c>
    </row>
    <row r="1902" spans="1:6" x14ac:dyDescent="0.25">
      <c r="A1902">
        <v>1901</v>
      </c>
      <c r="B1902">
        <v>43</v>
      </c>
      <c r="C1902">
        <v>0</v>
      </c>
      <c r="D1902">
        <v>0</v>
      </c>
      <c r="E1902">
        <v>0</v>
      </c>
      <c r="F1902">
        <v>0</v>
      </c>
    </row>
    <row r="1903" spans="1:6" x14ac:dyDescent="0.25">
      <c r="A1903">
        <v>1902</v>
      </c>
      <c r="B1903">
        <v>44</v>
      </c>
      <c r="C1903">
        <v>0</v>
      </c>
      <c r="D1903">
        <v>0</v>
      </c>
      <c r="E1903">
        <v>0</v>
      </c>
      <c r="F1903">
        <v>265.59399999999999</v>
      </c>
    </row>
    <row r="1904" spans="1:6" x14ac:dyDescent="0.25">
      <c r="A1904">
        <v>1903</v>
      </c>
      <c r="B1904">
        <v>45</v>
      </c>
      <c r="C1904">
        <v>0</v>
      </c>
      <c r="D1904">
        <v>0</v>
      </c>
      <c r="E1904">
        <v>0</v>
      </c>
      <c r="F1904">
        <v>1579.07</v>
      </c>
    </row>
    <row r="1905" spans="1:6" x14ac:dyDescent="0.25">
      <c r="A1905">
        <v>1904</v>
      </c>
      <c r="B1905">
        <v>46</v>
      </c>
      <c r="C1905">
        <v>0</v>
      </c>
      <c r="D1905">
        <v>0</v>
      </c>
      <c r="E1905">
        <v>0</v>
      </c>
      <c r="F1905">
        <v>0</v>
      </c>
    </row>
    <row r="1906" spans="1:6" x14ac:dyDescent="0.25">
      <c r="A1906">
        <v>1905</v>
      </c>
      <c r="B1906">
        <v>2</v>
      </c>
      <c r="C1906">
        <v>0</v>
      </c>
      <c r="D1906">
        <v>0</v>
      </c>
      <c r="E1906">
        <v>0</v>
      </c>
      <c r="F1906">
        <v>34.405900000000003</v>
      </c>
    </row>
    <row r="1907" spans="1:6" x14ac:dyDescent="0.25">
      <c r="A1907">
        <v>1906</v>
      </c>
      <c r="B1907">
        <v>10</v>
      </c>
      <c r="C1907">
        <v>1</v>
      </c>
      <c r="D1907">
        <v>0</v>
      </c>
      <c r="E1907">
        <v>0</v>
      </c>
      <c r="F1907">
        <v>5691</v>
      </c>
    </row>
    <row r="1908" spans="1:6" x14ac:dyDescent="0.25">
      <c r="A1908">
        <v>1907</v>
      </c>
      <c r="B1908">
        <v>13</v>
      </c>
      <c r="C1908">
        <v>0</v>
      </c>
      <c r="D1908">
        <v>0</v>
      </c>
      <c r="E1908">
        <v>0</v>
      </c>
      <c r="F1908">
        <v>1602</v>
      </c>
    </row>
    <row r="1909" spans="1:6" x14ac:dyDescent="0.25">
      <c r="A1909">
        <v>1908</v>
      </c>
      <c r="B1909">
        <v>41</v>
      </c>
      <c r="C1909">
        <v>0</v>
      </c>
      <c r="D1909">
        <v>0</v>
      </c>
      <c r="E1909">
        <v>0</v>
      </c>
      <c r="F1909">
        <v>1</v>
      </c>
    </row>
    <row r="1910" spans="1:6" x14ac:dyDescent="0.25">
      <c r="A1910">
        <v>1909</v>
      </c>
      <c r="B1910">
        <v>42</v>
      </c>
      <c r="C1910">
        <v>0</v>
      </c>
      <c r="D1910">
        <v>0</v>
      </c>
      <c r="E1910">
        <v>0</v>
      </c>
      <c r="F1910">
        <v>0.2</v>
      </c>
    </row>
    <row r="1911" spans="1:6" x14ac:dyDescent="0.25">
      <c r="A1911">
        <v>1910</v>
      </c>
      <c r="B1911">
        <v>43</v>
      </c>
      <c r="C1911">
        <v>0</v>
      </c>
      <c r="D1911">
        <v>0</v>
      </c>
      <c r="E1911">
        <v>0</v>
      </c>
      <c r="F1911">
        <v>0</v>
      </c>
    </row>
    <row r="1912" spans="1:6" x14ac:dyDescent="0.25">
      <c r="A1912">
        <v>1911</v>
      </c>
      <c r="B1912">
        <v>44</v>
      </c>
      <c r="C1912">
        <v>0</v>
      </c>
      <c r="D1912">
        <v>0</v>
      </c>
      <c r="E1912">
        <v>0</v>
      </c>
      <c r="F1912">
        <v>265.59399999999999</v>
      </c>
    </row>
    <row r="1913" spans="1:6" x14ac:dyDescent="0.25">
      <c r="A1913">
        <v>1912</v>
      </c>
      <c r="B1913">
        <v>45</v>
      </c>
      <c r="C1913">
        <v>0</v>
      </c>
      <c r="D1913">
        <v>0</v>
      </c>
      <c r="E1913">
        <v>0</v>
      </c>
      <c r="F1913">
        <v>1579.59</v>
      </c>
    </row>
    <row r="1914" spans="1:6" x14ac:dyDescent="0.25">
      <c r="A1914">
        <v>1913</v>
      </c>
      <c r="B1914">
        <v>46</v>
      </c>
      <c r="C1914">
        <v>0</v>
      </c>
      <c r="D1914">
        <v>0</v>
      </c>
      <c r="E1914">
        <v>0</v>
      </c>
      <c r="F1914">
        <v>0</v>
      </c>
    </row>
    <row r="1915" spans="1:6" x14ac:dyDescent="0.25">
      <c r="A1915">
        <v>1914</v>
      </c>
      <c r="B1915">
        <v>2</v>
      </c>
      <c r="C1915">
        <v>0</v>
      </c>
      <c r="D1915">
        <v>0</v>
      </c>
      <c r="E1915">
        <v>0</v>
      </c>
      <c r="F1915">
        <v>34.406100000000002</v>
      </c>
    </row>
    <row r="1916" spans="1:6" x14ac:dyDescent="0.25">
      <c r="A1916">
        <v>1915</v>
      </c>
      <c r="B1916">
        <v>10</v>
      </c>
      <c r="C1916">
        <v>1</v>
      </c>
      <c r="D1916">
        <v>0</v>
      </c>
      <c r="E1916">
        <v>0</v>
      </c>
      <c r="F1916">
        <v>5691</v>
      </c>
    </row>
    <row r="1917" spans="1:6" x14ac:dyDescent="0.25">
      <c r="A1917">
        <v>1916</v>
      </c>
      <c r="B1917">
        <v>13</v>
      </c>
      <c r="C1917">
        <v>0</v>
      </c>
      <c r="D1917">
        <v>0</v>
      </c>
      <c r="E1917">
        <v>0</v>
      </c>
      <c r="F1917">
        <v>1602</v>
      </c>
    </row>
    <row r="1918" spans="1:6" x14ac:dyDescent="0.25">
      <c r="A1918">
        <v>1917</v>
      </c>
      <c r="B1918">
        <v>41</v>
      </c>
      <c r="C1918">
        <v>0</v>
      </c>
      <c r="D1918">
        <v>0</v>
      </c>
      <c r="E1918">
        <v>0</v>
      </c>
      <c r="F1918">
        <v>1</v>
      </c>
    </row>
    <row r="1919" spans="1:6" x14ac:dyDescent="0.25">
      <c r="A1919">
        <v>1918</v>
      </c>
      <c r="B1919">
        <v>42</v>
      </c>
      <c r="C1919">
        <v>0</v>
      </c>
      <c r="D1919">
        <v>0</v>
      </c>
      <c r="E1919">
        <v>0</v>
      </c>
      <c r="F1919">
        <v>0.2</v>
      </c>
    </row>
    <row r="1920" spans="1:6" x14ac:dyDescent="0.25">
      <c r="A1920">
        <v>1919</v>
      </c>
      <c r="B1920">
        <v>43</v>
      </c>
      <c r="C1920">
        <v>0</v>
      </c>
      <c r="D1920">
        <v>0</v>
      </c>
      <c r="E1920">
        <v>0</v>
      </c>
      <c r="F1920">
        <v>0</v>
      </c>
    </row>
    <row r="1921" spans="1:6" x14ac:dyDescent="0.25">
      <c r="A1921">
        <v>1920</v>
      </c>
      <c r="B1921">
        <v>44</v>
      </c>
      <c r="C1921">
        <v>0</v>
      </c>
      <c r="D1921">
        <v>0</v>
      </c>
      <c r="E1921">
        <v>0</v>
      </c>
      <c r="F1921">
        <v>265.59399999999999</v>
      </c>
    </row>
    <row r="1922" spans="1:6" x14ac:dyDescent="0.25">
      <c r="A1922">
        <v>1921</v>
      </c>
      <c r="B1922">
        <v>45</v>
      </c>
      <c r="C1922">
        <v>0</v>
      </c>
      <c r="D1922">
        <v>0</v>
      </c>
      <c r="E1922">
        <v>0</v>
      </c>
      <c r="F1922">
        <v>1579.59</v>
      </c>
    </row>
    <row r="1923" spans="1:6" x14ac:dyDescent="0.25">
      <c r="A1923">
        <v>1922</v>
      </c>
      <c r="B1923">
        <v>46</v>
      </c>
      <c r="C1923">
        <v>0</v>
      </c>
      <c r="D1923">
        <v>0</v>
      </c>
      <c r="E1923">
        <v>0</v>
      </c>
      <c r="F1923">
        <v>0</v>
      </c>
    </row>
    <row r="1924" spans="1:6" x14ac:dyDescent="0.25">
      <c r="A1924">
        <v>1923</v>
      </c>
      <c r="B1924">
        <v>2</v>
      </c>
      <c r="C1924">
        <v>0</v>
      </c>
      <c r="D1924">
        <v>0</v>
      </c>
      <c r="E1924">
        <v>0</v>
      </c>
      <c r="F1924">
        <v>34.406100000000002</v>
      </c>
    </row>
    <row r="1925" spans="1:6" x14ac:dyDescent="0.25">
      <c r="A1925">
        <v>1924</v>
      </c>
      <c r="B1925">
        <v>10</v>
      </c>
      <c r="C1925">
        <v>1</v>
      </c>
      <c r="D1925">
        <v>0</v>
      </c>
      <c r="E1925">
        <v>0</v>
      </c>
      <c r="F1925">
        <v>5691</v>
      </c>
    </row>
    <row r="1926" spans="1:6" x14ac:dyDescent="0.25">
      <c r="A1926">
        <v>1925</v>
      </c>
      <c r="B1926">
        <v>13</v>
      </c>
      <c r="C1926">
        <v>0</v>
      </c>
      <c r="D1926">
        <v>0</v>
      </c>
      <c r="E1926">
        <v>0</v>
      </c>
      <c r="F1926">
        <v>1602</v>
      </c>
    </row>
    <row r="1927" spans="1:6" x14ac:dyDescent="0.25">
      <c r="A1927">
        <v>1926</v>
      </c>
      <c r="B1927" t="s">
        <v>0</v>
      </c>
      <c r="C1927">
        <v>106</v>
      </c>
      <c r="D1927">
        <v>3482</v>
      </c>
      <c r="E1927">
        <v>79855648</v>
      </c>
    </row>
    <row r="1928" spans="1:6" x14ac:dyDescent="0.25">
      <c r="A1928">
        <v>1927</v>
      </c>
      <c r="B1928">
        <v>42</v>
      </c>
      <c r="C1928">
        <v>0</v>
      </c>
      <c r="D1928">
        <v>0</v>
      </c>
      <c r="E1928">
        <v>0</v>
      </c>
      <c r="F1928">
        <v>0.2</v>
      </c>
    </row>
    <row r="1929" spans="1:6" x14ac:dyDescent="0.25">
      <c r="A1929">
        <v>1928</v>
      </c>
      <c r="B1929">
        <v>43</v>
      </c>
      <c r="C1929">
        <v>0</v>
      </c>
      <c r="D1929">
        <v>0</v>
      </c>
      <c r="E1929">
        <v>0</v>
      </c>
      <c r="F1929">
        <v>0</v>
      </c>
    </row>
    <row r="1930" spans="1:6" x14ac:dyDescent="0.25">
      <c r="A1930">
        <v>1929</v>
      </c>
      <c r="B1930">
        <v>44</v>
      </c>
      <c r="C1930">
        <v>0</v>
      </c>
      <c r="D1930">
        <v>0</v>
      </c>
      <c r="E1930">
        <v>0</v>
      </c>
      <c r="F1930">
        <v>2.4910000000000002E-2</v>
      </c>
    </row>
    <row r="1931" spans="1:6" x14ac:dyDescent="0.25">
      <c r="A1931">
        <v>1930</v>
      </c>
      <c r="B1931">
        <v>45</v>
      </c>
      <c r="C1931">
        <v>0</v>
      </c>
      <c r="D1931">
        <v>0</v>
      </c>
      <c r="E1931">
        <v>0</v>
      </c>
      <c r="F1931">
        <v>4400</v>
      </c>
    </row>
    <row r="1932" spans="1:6" x14ac:dyDescent="0.25">
      <c r="A1932">
        <v>1931</v>
      </c>
      <c r="B1932">
        <v>46</v>
      </c>
      <c r="C1932">
        <v>0</v>
      </c>
      <c r="D1932">
        <v>0</v>
      </c>
      <c r="E1932">
        <v>0</v>
      </c>
      <c r="F1932">
        <v>0</v>
      </c>
    </row>
    <row r="1933" spans="1:6" x14ac:dyDescent="0.25">
      <c r="A1933">
        <v>1932</v>
      </c>
      <c r="B1933">
        <v>2</v>
      </c>
      <c r="C1933">
        <v>0</v>
      </c>
      <c r="D1933">
        <v>0</v>
      </c>
      <c r="E1933">
        <v>0</v>
      </c>
      <c r="F1933">
        <v>34.406199999999998</v>
      </c>
    </row>
    <row r="1934" spans="1:6" x14ac:dyDescent="0.25">
      <c r="A1934">
        <v>1933</v>
      </c>
      <c r="B1934">
        <v>10</v>
      </c>
      <c r="C1934">
        <v>1</v>
      </c>
      <c r="D1934">
        <v>0</v>
      </c>
      <c r="E1934">
        <v>0</v>
      </c>
      <c r="F1934">
        <v>34715</v>
      </c>
    </row>
    <row r="1935" spans="1:6" x14ac:dyDescent="0.25">
      <c r="A1935">
        <v>1934</v>
      </c>
      <c r="B1935">
        <v>13</v>
      </c>
      <c r="C1935">
        <v>0</v>
      </c>
      <c r="D1935">
        <v>0</v>
      </c>
      <c r="E1935">
        <v>0</v>
      </c>
      <c r="F1935">
        <v>1602</v>
      </c>
    </row>
    <row r="1936" spans="1:6" x14ac:dyDescent="0.25">
      <c r="A1936">
        <v>1935</v>
      </c>
      <c r="B1936">
        <v>41</v>
      </c>
      <c r="C1936">
        <v>0</v>
      </c>
      <c r="D1936">
        <v>0</v>
      </c>
      <c r="E1936">
        <v>0</v>
      </c>
      <c r="F1936">
        <v>1</v>
      </c>
    </row>
    <row r="1937" spans="1:6" x14ac:dyDescent="0.25">
      <c r="A1937">
        <v>1936</v>
      </c>
      <c r="B1937">
        <v>42</v>
      </c>
      <c r="C1937">
        <v>0</v>
      </c>
      <c r="D1937">
        <v>0</v>
      </c>
      <c r="E1937">
        <v>0</v>
      </c>
      <c r="F1937">
        <v>0.2</v>
      </c>
    </row>
    <row r="1938" spans="1:6" x14ac:dyDescent="0.25">
      <c r="A1938">
        <v>1937</v>
      </c>
      <c r="B1938">
        <v>43</v>
      </c>
      <c r="C1938">
        <v>0</v>
      </c>
      <c r="D1938">
        <v>0</v>
      </c>
      <c r="E1938">
        <v>0</v>
      </c>
      <c r="F1938">
        <v>0</v>
      </c>
    </row>
    <row r="1939" spans="1:6" x14ac:dyDescent="0.25">
      <c r="A1939">
        <v>1938</v>
      </c>
      <c r="B1939">
        <v>44</v>
      </c>
      <c r="C1939">
        <v>0</v>
      </c>
      <c r="D1939">
        <v>0</v>
      </c>
      <c r="E1939">
        <v>0</v>
      </c>
      <c r="F1939">
        <v>2.4910000000000002E-2</v>
      </c>
    </row>
    <row r="1940" spans="1:6" x14ac:dyDescent="0.25">
      <c r="A1940">
        <v>1939</v>
      </c>
      <c r="B1940">
        <v>45</v>
      </c>
      <c r="C1940">
        <v>0</v>
      </c>
      <c r="D1940">
        <v>0</v>
      </c>
      <c r="E1940">
        <v>0</v>
      </c>
      <c r="F1940">
        <v>4400</v>
      </c>
    </row>
    <row r="1941" spans="1:6" x14ac:dyDescent="0.25">
      <c r="A1941">
        <v>1940</v>
      </c>
      <c r="B1941">
        <v>46</v>
      </c>
      <c r="C1941">
        <v>0</v>
      </c>
      <c r="D1941">
        <v>0</v>
      </c>
      <c r="E1941">
        <v>0</v>
      </c>
      <c r="F1941">
        <v>0</v>
      </c>
    </row>
    <row r="1942" spans="1:6" x14ac:dyDescent="0.25">
      <c r="A1942">
        <v>1941</v>
      </c>
      <c r="B1942" t="s">
        <v>0</v>
      </c>
      <c r="C1942">
        <v>107</v>
      </c>
      <c r="D1942">
        <v>3482</v>
      </c>
      <c r="E1942">
        <v>79856616</v>
      </c>
    </row>
    <row r="1943" spans="1:6" x14ac:dyDescent="0.25">
      <c r="A1943">
        <v>1942</v>
      </c>
      <c r="B1943">
        <v>2</v>
      </c>
      <c r="C1943">
        <v>0</v>
      </c>
      <c r="D1943">
        <v>0</v>
      </c>
      <c r="E1943">
        <v>0</v>
      </c>
      <c r="F1943">
        <v>34.406500000000001</v>
      </c>
    </row>
    <row r="1944" spans="1:6" x14ac:dyDescent="0.25">
      <c r="A1944">
        <v>1943</v>
      </c>
      <c r="B1944">
        <v>10</v>
      </c>
      <c r="C1944">
        <v>1</v>
      </c>
      <c r="D1944">
        <v>0</v>
      </c>
      <c r="E1944">
        <v>0</v>
      </c>
      <c r="F1944">
        <v>34715</v>
      </c>
    </row>
    <row r="1945" spans="1:6" x14ac:dyDescent="0.25">
      <c r="A1945">
        <v>1944</v>
      </c>
      <c r="B1945">
        <v>13</v>
      </c>
      <c r="C1945">
        <v>0</v>
      </c>
      <c r="D1945">
        <v>0</v>
      </c>
      <c r="E1945">
        <v>0</v>
      </c>
      <c r="F1945">
        <v>1602</v>
      </c>
    </row>
    <row r="1946" spans="1:6" x14ac:dyDescent="0.25">
      <c r="A1946">
        <v>1945</v>
      </c>
      <c r="B1946">
        <v>41</v>
      </c>
      <c r="C1946">
        <v>0</v>
      </c>
      <c r="D1946">
        <v>0</v>
      </c>
      <c r="E1946">
        <v>0</v>
      </c>
      <c r="F1946">
        <v>1</v>
      </c>
    </row>
    <row r="1947" spans="1:6" x14ac:dyDescent="0.25">
      <c r="A1947">
        <v>1946</v>
      </c>
      <c r="B1947">
        <v>42</v>
      </c>
      <c r="C1947">
        <v>0</v>
      </c>
      <c r="D1947">
        <v>0</v>
      </c>
      <c r="E1947">
        <v>0</v>
      </c>
      <c r="F1947">
        <v>0.2</v>
      </c>
    </row>
    <row r="1948" spans="1:6" x14ac:dyDescent="0.25">
      <c r="A1948">
        <v>1947</v>
      </c>
      <c r="B1948">
        <v>43</v>
      </c>
      <c r="C1948">
        <v>0</v>
      </c>
      <c r="D1948">
        <v>0</v>
      </c>
      <c r="E1948">
        <v>0</v>
      </c>
      <c r="F1948">
        <v>0</v>
      </c>
    </row>
    <row r="1949" spans="1:6" x14ac:dyDescent="0.25">
      <c r="A1949">
        <v>1948</v>
      </c>
      <c r="B1949">
        <v>44</v>
      </c>
      <c r="C1949">
        <v>0</v>
      </c>
      <c r="D1949">
        <v>0</v>
      </c>
      <c r="E1949">
        <v>0</v>
      </c>
      <c r="F1949">
        <v>0.27465800000000001</v>
      </c>
    </row>
    <row r="1950" spans="1:6" x14ac:dyDescent="0.25">
      <c r="A1950">
        <v>1949</v>
      </c>
      <c r="B1950">
        <v>45</v>
      </c>
      <c r="C1950">
        <v>0</v>
      </c>
      <c r="D1950">
        <v>0</v>
      </c>
      <c r="E1950">
        <v>0</v>
      </c>
      <c r="F1950">
        <v>4400</v>
      </c>
    </row>
    <row r="1951" spans="1:6" x14ac:dyDescent="0.25">
      <c r="A1951">
        <v>1950</v>
      </c>
      <c r="B1951">
        <v>46</v>
      </c>
      <c r="C1951">
        <v>0</v>
      </c>
      <c r="D1951">
        <v>0</v>
      </c>
      <c r="E1951">
        <v>0</v>
      </c>
      <c r="F1951">
        <v>0</v>
      </c>
    </row>
    <row r="1952" spans="1:6" x14ac:dyDescent="0.25">
      <c r="A1952">
        <v>1951</v>
      </c>
      <c r="B1952">
        <v>2</v>
      </c>
      <c r="C1952">
        <v>0</v>
      </c>
      <c r="D1952">
        <v>0</v>
      </c>
      <c r="E1952">
        <v>0</v>
      </c>
      <c r="F1952">
        <v>34.406500000000001</v>
      </c>
    </row>
    <row r="1953" spans="1:6" x14ac:dyDescent="0.25">
      <c r="A1953">
        <v>1952</v>
      </c>
      <c r="B1953">
        <v>10</v>
      </c>
      <c r="C1953">
        <v>1</v>
      </c>
      <c r="D1953">
        <v>0</v>
      </c>
      <c r="E1953">
        <v>0</v>
      </c>
      <c r="F1953">
        <v>34715</v>
      </c>
    </row>
    <row r="1954" spans="1:6" x14ac:dyDescent="0.25">
      <c r="A1954">
        <v>1953</v>
      </c>
      <c r="B1954">
        <v>13</v>
      </c>
      <c r="C1954">
        <v>0</v>
      </c>
      <c r="D1954">
        <v>0</v>
      </c>
      <c r="E1954">
        <v>0</v>
      </c>
      <c r="F1954">
        <v>1602</v>
      </c>
    </row>
    <row r="1955" spans="1:6" x14ac:dyDescent="0.25">
      <c r="A1955">
        <v>1954</v>
      </c>
      <c r="B1955">
        <v>41</v>
      </c>
      <c r="C1955">
        <v>0</v>
      </c>
      <c r="D1955">
        <v>0</v>
      </c>
      <c r="E1955">
        <v>0</v>
      </c>
      <c r="F1955">
        <v>1</v>
      </c>
    </row>
    <row r="1956" spans="1:6" x14ac:dyDescent="0.25">
      <c r="A1956">
        <v>1955</v>
      </c>
      <c r="B1956">
        <v>42</v>
      </c>
      <c r="C1956">
        <v>0</v>
      </c>
      <c r="D1956">
        <v>0</v>
      </c>
      <c r="E1956">
        <v>0</v>
      </c>
      <c r="F1956">
        <v>0.2</v>
      </c>
    </row>
    <row r="1957" spans="1:6" x14ac:dyDescent="0.25">
      <c r="A1957">
        <v>1956</v>
      </c>
      <c r="B1957">
        <v>43</v>
      </c>
      <c r="C1957">
        <v>0</v>
      </c>
      <c r="D1957">
        <v>0</v>
      </c>
      <c r="E1957">
        <v>0</v>
      </c>
      <c r="F1957">
        <v>0</v>
      </c>
    </row>
    <row r="1958" spans="1:6" x14ac:dyDescent="0.25">
      <c r="A1958">
        <v>1957</v>
      </c>
      <c r="B1958">
        <v>44</v>
      </c>
      <c r="C1958">
        <v>0</v>
      </c>
      <c r="D1958">
        <v>0</v>
      </c>
      <c r="E1958">
        <v>0</v>
      </c>
      <c r="F1958">
        <v>0.50083900000000003</v>
      </c>
    </row>
    <row r="1959" spans="1:6" x14ac:dyDescent="0.25">
      <c r="A1959">
        <v>1958</v>
      </c>
      <c r="B1959">
        <v>45</v>
      </c>
      <c r="C1959">
        <v>0</v>
      </c>
      <c r="D1959">
        <v>0</v>
      </c>
      <c r="E1959">
        <v>0</v>
      </c>
      <c r="F1959">
        <v>4400</v>
      </c>
    </row>
    <row r="1960" spans="1:6" x14ac:dyDescent="0.25">
      <c r="A1960">
        <v>1959</v>
      </c>
      <c r="B1960">
        <v>46</v>
      </c>
      <c r="C1960">
        <v>0</v>
      </c>
      <c r="D1960">
        <v>0</v>
      </c>
      <c r="E1960">
        <v>0</v>
      </c>
      <c r="F1960">
        <v>0</v>
      </c>
    </row>
    <row r="1961" spans="1:6" x14ac:dyDescent="0.25">
      <c r="A1961">
        <v>1960</v>
      </c>
      <c r="B1961">
        <v>2</v>
      </c>
      <c r="C1961">
        <v>0</v>
      </c>
      <c r="D1961">
        <v>0</v>
      </c>
      <c r="E1961">
        <v>0</v>
      </c>
      <c r="F1961">
        <v>34.405299999999997</v>
      </c>
    </row>
    <row r="1962" spans="1:6" x14ac:dyDescent="0.25">
      <c r="A1962">
        <v>1961</v>
      </c>
      <c r="B1962">
        <v>10</v>
      </c>
      <c r="C1962">
        <v>1</v>
      </c>
      <c r="D1962">
        <v>0</v>
      </c>
      <c r="E1962">
        <v>0</v>
      </c>
      <c r="F1962">
        <v>34716</v>
      </c>
    </row>
    <row r="1963" spans="1:6" x14ac:dyDescent="0.25">
      <c r="A1963">
        <v>1962</v>
      </c>
      <c r="B1963">
        <v>13</v>
      </c>
      <c r="C1963">
        <v>0</v>
      </c>
      <c r="D1963">
        <v>0</v>
      </c>
      <c r="E1963">
        <v>0</v>
      </c>
      <c r="F1963">
        <v>1602</v>
      </c>
    </row>
    <row r="1964" spans="1:6" x14ac:dyDescent="0.25">
      <c r="A1964">
        <v>1963</v>
      </c>
      <c r="B1964">
        <v>41</v>
      </c>
      <c r="C1964">
        <v>0</v>
      </c>
      <c r="D1964">
        <v>0</v>
      </c>
      <c r="E1964">
        <v>0</v>
      </c>
      <c r="F1964">
        <v>1</v>
      </c>
    </row>
    <row r="1965" spans="1:6" x14ac:dyDescent="0.25">
      <c r="A1965">
        <v>1964</v>
      </c>
      <c r="B1965">
        <v>42</v>
      </c>
      <c r="C1965">
        <v>0</v>
      </c>
      <c r="D1965">
        <v>0</v>
      </c>
      <c r="E1965">
        <v>0</v>
      </c>
      <c r="F1965">
        <v>0.2</v>
      </c>
    </row>
    <row r="1966" spans="1:6" x14ac:dyDescent="0.25">
      <c r="A1966">
        <v>1965</v>
      </c>
      <c r="B1966">
        <v>43</v>
      </c>
      <c r="C1966">
        <v>0</v>
      </c>
      <c r="D1966">
        <v>0</v>
      </c>
      <c r="E1966">
        <v>0</v>
      </c>
      <c r="F1966">
        <v>0</v>
      </c>
    </row>
    <row r="1967" spans="1:6" x14ac:dyDescent="0.25">
      <c r="A1967">
        <v>1966</v>
      </c>
      <c r="B1967">
        <v>44</v>
      </c>
      <c r="C1967">
        <v>0</v>
      </c>
      <c r="D1967">
        <v>0</v>
      </c>
      <c r="E1967">
        <v>0</v>
      </c>
      <c r="F1967">
        <v>0.50083900000000003</v>
      </c>
    </row>
    <row r="1968" spans="1:6" x14ac:dyDescent="0.25">
      <c r="A1968">
        <v>1967</v>
      </c>
      <c r="B1968">
        <v>45</v>
      </c>
      <c r="C1968">
        <v>0</v>
      </c>
      <c r="D1968">
        <v>0</v>
      </c>
      <c r="E1968">
        <v>0</v>
      </c>
      <c r="F1968">
        <v>4400</v>
      </c>
    </row>
    <row r="1969" spans="1:6" x14ac:dyDescent="0.25">
      <c r="A1969">
        <v>1968</v>
      </c>
      <c r="B1969">
        <v>46</v>
      </c>
      <c r="C1969">
        <v>0</v>
      </c>
      <c r="D1969">
        <v>0</v>
      </c>
      <c r="E1969">
        <v>0</v>
      </c>
      <c r="F1969">
        <v>0</v>
      </c>
    </row>
    <row r="1970" spans="1:6" x14ac:dyDescent="0.25">
      <c r="A1970">
        <v>1969</v>
      </c>
      <c r="B1970">
        <v>2</v>
      </c>
      <c r="C1970">
        <v>0</v>
      </c>
      <c r="D1970">
        <v>0</v>
      </c>
      <c r="E1970">
        <v>0</v>
      </c>
      <c r="F1970">
        <v>34.405299999999997</v>
      </c>
    </row>
    <row r="1971" spans="1:6" x14ac:dyDescent="0.25">
      <c r="A1971">
        <v>1970</v>
      </c>
      <c r="B1971">
        <v>10</v>
      </c>
      <c r="C1971">
        <v>1</v>
      </c>
      <c r="D1971">
        <v>0</v>
      </c>
      <c r="E1971">
        <v>0</v>
      </c>
      <c r="F1971">
        <v>34716</v>
      </c>
    </row>
    <row r="1972" spans="1:6" x14ac:dyDescent="0.25">
      <c r="A1972">
        <v>1971</v>
      </c>
      <c r="B1972">
        <v>13</v>
      </c>
      <c r="C1972">
        <v>0</v>
      </c>
      <c r="D1972">
        <v>0</v>
      </c>
      <c r="E1972">
        <v>0</v>
      </c>
      <c r="F1972">
        <v>1602</v>
      </c>
    </row>
    <row r="1973" spans="1:6" x14ac:dyDescent="0.25">
      <c r="A1973">
        <v>1972</v>
      </c>
      <c r="B1973">
        <v>41</v>
      </c>
      <c r="C1973">
        <v>0</v>
      </c>
      <c r="D1973">
        <v>0</v>
      </c>
      <c r="E1973">
        <v>0</v>
      </c>
      <c r="F1973">
        <v>1</v>
      </c>
    </row>
    <row r="1974" spans="1:6" x14ac:dyDescent="0.25">
      <c r="A1974">
        <v>1973</v>
      </c>
      <c r="B1974">
        <v>42</v>
      </c>
      <c r="C1974">
        <v>0</v>
      </c>
      <c r="D1974">
        <v>0</v>
      </c>
      <c r="E1974">
        <v>0</v>
      </c>
      <c r="F1974">
        <v>0.2</v>
      </c>
    </row>
    <row r="1975" spans="1:6" x14ac:dyDescent="0.25">
      <c r="A1975">
        <v>1974</v>
      </c>
      <c r="B1975">
        <v>43</v>
      </c>
      <c r="C1975">
        <v>0</v>
      </c>
      <c r="D1975">
        <v>0</v>
      </c>
      <c r="E1975">
        <v>0</v>
      </c>
      <c r="F1975">
        <v>0</v>
      </c>
    </row>
    <row r="1976" spans="1:6" x14ac:dyDescent="0.25">
      <c r="A1976">
        <v>1975</v>
      </c>
      <c r="B1976">
        <v>44</v>
      </c>
      <c r="C1976">
        <v>0</v>
      </c>
      <c r="D1976">
        <v>0</v>
      </c>
      <c r="E1976">
        <v>0</v>
      </c>
      <c r="F1976">
        <v>0.75078199999999995</v>
      </c>
    </row>
    <row r="1977" spans="1:6" x14ac:dyDescent="0.25">
      <c r="A1977">
        <v>1976</v>
      </c>
      <c r="B1977">
        <v>45</v>
      </c>
      <c r="C1977">
        <v>0</v>
      </c>
      <c r="D1977">
        <v>0</v>
      </c>
      <c r="E1977">
        <v>0</v>
      </c>
      <c r="F1977">
        <v>4400</v>
      </c>
    </row>
    <row r="1978" spans="1:6" x14ac:dyDescent="0.25">
      <c r="A1978">
        <v>1977</v>
      </c>
      <c r="B1978">
        <v>46</v>
      </c>
      <c r="C1978">
        <v>0</v>
      </c>
      <c r="D1978">
        <v>0</v>
      </c>
      <c r="E1978">
        <v>0</v>
      </c>
      <c r="F1978">
        <v>0</v>
      </c>
    </row>
    <row r="1979" spans="1:6" x14ac:dyDescent="0.25">
      <c r="A1979">
        <v>1978</v>
      </c>
      <c r="B1979">
        <v>2</v>
      </c>
      <c r="C1979">
        <v>0</v>
      </c>
      <c r="D1979">
        <v>0</v>
      </c>
      <c r="E1979">
        <v>0</v>
      </c>
      <c r="F1979">
        <v>34.4054</v>
      </c>
    </row>
    <row r="1980" spans="1:6" x14ac:dyDescent="0.25">
      <c r="A1980">
        <v>1979</v>
      </c>
      <c r="B1980">
        <v>10</v>
      </c>
      <c r="C1980">
        <v>1</v>
      </c>
      <c r="D1980">
        <v>0</v>
      </c>
      <c r="E1980">
        <v>0</v>
      </c>
      <c r="F1980">
        <v>34716</v>
      </c>
    </row>
    <row r="1981" spans="1:6" x14ac:dyDescent="0.25">
      <c r="A1981">
        <v>1980</v>
      </c>
      <c r="B1981">
        <v>13</v>
      </c>
      <c r="C1981">
        <v>0</v>
      </c>
      <c r="D1981">
        <v>0</v>
      </c>
      <c r="E1981">
        <v>0</v>
      </c>
      <c r="F1981">
        <v>1602</v>
      </c>
    </row>
    <row r="1982" spans="1:6" x14ac:dyDescent="0.25">
      <c r="A1982">
        <v>1981</v>
      </c>
      <c r="B1982">
        <v>41</v>
      </c>
      <c r="C1982">
        <v>0</v>
      </c>
      <c r="D1982">
        <v>0</v>
      </c>
      <c r="E1982">
        <v>0</v>
      </c>
      <c r="F1982">
        <v>1</v>
      </c>
    </row>
    <row r="1983" spans="1:6" x14ac:dyDescent="0.25">
      <c r="A1983">
        <v>1982</v>
      </c>
      <c r="B1983">
        <v>42</v>
      </c>
      <c r="C1983">
        <v>0</v>
      </c>
      <c r="D1983">
        <v>0</v>
      </c>
      <c r="E1983">
        <v>0</v>
      </c>
      <c r="F1983">
        <v>0.2</v>
      </c>
    </row>
    <row r="1984" spans="1:6" x14ac:dyDescent="0.25">
      <c r="A1984">
        <v>1983</v>
      </c>
      <c r="B1984">
        <v>43</v>
      </c>
      <c r="C1984">
        <v>0</v>
      </c>
      <c r="D1984">
        <v>0</v>
      </c>
      <c r="E1984">
        <v>0</v>
      </c>
      <c r="F1984">
        <v>0</v>
      </c>
    </row>
    <row r="1985" spans="1:6" x14ac:dyDescent="0.25">
      <c r="A1985">
        <v>1984</v>
      </c>
      <c r="B1985">
        <v>44</v>
      </c>
      <c r="C1985">
        <v>0</v>
      </c>
      <c r="D1985">
        <v>0</v>
      </c>
      <c r="E1985">
        <v>0</v>
      </c>
      <c r="F1985">
        <v>0.75078199999999995</v>
      </c>
    </row>
    <row r="1986" spans="1:6" x14ac:dyDescent="0.25">
      <c r="A1986">
        <v>1985</v>
      </c>
      <c r="B1986">
        <v>45</v>
      </c>
      <c r="C1986">
        <v>0</v>
      </c>
      <c r="D1986">
        <v>0</v>
      </c>
      <c r="E1986">
        <v>0</v>
      </c>
      <c r="F1986">
        <v>4400</v>
      </c>
    </row>
    <row r="1987" spans="1:6" x14ac:dyDescent="0.25">
      <c r="A1987">
        <v>1986</v>
      </c>
      <c r="B1987" t="s">
        <v>0</v>
      </c>
      <c r="C1987">
        <v>110</v>
      </c>
      <c r="D1987">
        <v>3482</v>
      </c>
      <c r="E1987">
        <v>79859521</v>
      </c>
    </row>
    <row r="1988" spans="1:6" x14ac:dyDescent="0.25">
      <c r="A1988">
        <v>1987</v>
      </c>
      <c r="B1988">
        <v>2</v>
      </c>
      <c r="C1988">
        <v>0</v>
      </c>
      <c r="D1988">
        <v>0</v>
      </c>
      <c r="E1988">
        <v>0</v>
      </c>
      <c r="F1988">
        <v>34.4056</v>
      </c>
    </row>
    <row r="1989" spans="1:6" x14ac:dyDescent="0.25">
      <c r="A1989">
        <v>1988</v>
      </c>
      <c r="B1989">
        <v>10</v>
      </c>
      <c r="C1989">
        <v>1</v>
      </c>
      <c r="D1989">
        <v>0</v>
      </c>
      <c r="E1989">
        <v>0</v>
      </c>
      <c r="F1989">
        <v>34716</v>
      </c>
    </row>
    <row r="1990" spans="1:6" x14ac:dyDescent="0.25">
      <c r="A1990">
        <v>1989</v>
      </c>
      <c r="B1990">
        <v>13</v>
      </c>
      <c r="C1990">
        <v>0</v>
      </c>
      <c r="D1990">
        <v>0</v>
      </c>
      <c r="E1990">
        <v>0</v>
      </c>
      <c r="F1990">
        <v>1602</v>
      </c>
    </row>
    <row r="1991" spans="1:6" x14ac:dyDescent="0.25">
      <c r="A1991">
        <v>1990</v>
      </c>
      <c r="B1991">
        <v>41</v>
      </c>
      <c r="C1991">
        <v>0</v>
      </c>
      <c r="D1991">
        <v>0</v>
      </c>
      <c r="E1991">
        <v>0</v>
      </c>
      <c r="F1991">
        <v>1</v>
      </c>
    </row>
    <row r="1992" spans="1:6" x14ac:dyDescent="0.25">
      <c r="A1992">
        <v>1991</v>
      </c>
      <c r="B1992">
        <v>42</v>
      </c>
      <c r="C1992">
        <v>0</v>
      </c>
      <c r="D1992">
        <v>0</v>
      </c>
      <c r="E1992">
        <v>0</v>
      </c>
      <c r="F1992">
        <v>0.2</v>
      </c>
    </row>
    <row r="1993" spans="1:6" x14ac:dyDescent="0.25">
      <c r="A1993">
        <v>1992</v>
      </c>
      <c r="B1993">
        <v>43</v>
      </c>
      <c r="C1993">
        <v>0</v>
      </c>
      <c r="D1993">
        <v>0</v>
      </c>
      <c r="E1993">
        <v>0</v>
      </c>
      <c r="F1993">
        <v>0</v>
      </c>
    </row>
    <row r="1994" spans="1:6" x14ac:dyDescent="0.25">
      <c r="A1994">
        <v>1993</v>
      </c>
      <c r="B1994">
        <v>44</v>
      </c>
      <c r="C1994">
        <v>0</v>
      </c>
      <c r="D1994">
        <v>0</v>
      </c>
      <c r="E1994">
        <v>0</v>
      </c>
      <c r="F1994">
        <v>1.00061</v>
      </c>
    </row>
    <row r="1995" spans="1:6" x14ac:dyDescent="0.25">
      <c r="A1995">
        <v>1994</v>
      </c>
      <c r="B1995">
        <v>45</v>
      </c>
      <c r="C1995">
        <v>0</v>
      </c>
      <c r="D1995">
        <v>0</v>
      </c>
      <c r="E1995">
        <v>0</v>
      </c>
      <c r="F1995">
        <v>4400</v>
      </c>
    </row>
    <row r="1996" spans="1:6" x14ac:dyDescent="0.25">
      <c r="A1996">
        <v>1995</v>
      </c>
      <c r="B1996">
        <v>46</v>
      </c>
      <c r="C1996">
        <v>0</v>
      </c>
      <c r="D1996">
        <v>0</v>
      </c>
      <c r="E1996">
        <v>0</v>
      </c>
      <c r="F1996">
        <v>0</v>
      </c>
    </row>
    <row r="1997" spans="1:6" x14ac:dyDescent="0.25">
      <c r="A1997">
        <v>1996</v>
      </c>
      <c r="B1997">
        <v>2</v>
      </c>
      <c r="C1997">
        <v>0</v>
      </c>
      <c r="D1997">
        <v>0</v>
      </c>
      <c r="E1997">
        <v>0</v>
      </c>
      <c r="F1997">
        <v>34.4056</v>
      </c>
    </row>
    <row r="1998" spans="1:6" x14ac:dyDescent="0.25">
      <c r="A1998">
        <v>1997</v>
      </c>
      <c r="B1998">
        <v>10</v>
      </c>
      <c r="C1998">
        <v>1</v>
      </c>
      <c r="D1998">
        <v>0</v>
      </c>
      <c r="E1998">
        <v>0</v>
      </c>
      <c r="F1998">
        <v>34716</v>
      </c>
    </row>
    <row r="1999" spans="1:6" x14ac:dyDescent="0.25">
      <c r="A1999">
        <v>1998</v>
      </c>
      <c r="B1999">
        <v>13</v>
      </c>
      <c r="C1999">
        <v>0</v>
      </c>
      <c r="D1999">
        <v>0</v>
      </c>
      <c r="E1999">
        <v>0</v>
      </c>
      <c r="F1999">
        <v>1602</v>
      </c>
    </row>
    <row r="2000" spans="1:6" x14ac:dyDescent="0.25">
      <c r="A2000">
        <v>1999</v>
      </c>
      <c r="B2000">
        <v>41</v>
      </c>
      <c r="C2000">
        <v>0</v>
      </c>
      <c r="D2000">
        <v>0</v>
      </c>
      <c r="E2000">
        <v>0</v>
      </c>
      <c r="F2000">
        <v>1</v>
      </c>
    </row>
    <row r="2001" spans="1:6" x14ac:dyDescent="0.25">
      <c r="A2001">
        <v>2000</v>
      </c>
      <c r="B2001">
        <v>42</v>
      </c>
      <c r="C2001">
        <v>0</v>
      </c>
      <c r="D2001">
        <v>0</v>
      </c>
      <c r="E2001">
        <v>0</v>
      </c>
      <c r="F2001">
        <v>0.2</v>
      </c>
    </row>
    <row r="2002" spans="1:6" x14ac:dyDescent="0.25">
      <c r="A2002">
        <v>2001</v>
      </c>
      <c r="B2002" t="s">
        <v>0</v>
      </c>
      <c r="C2002">
        <v>111</v>
      </c>
      <c r="D2002">
        <v>3482</v>
      </c>
      <c r="E2002">
        <v>79860488</v>
      </c>
    </row>
    <row r="2003" spans="1:6" x14ac:dyDescent="0.25">
      <c r="A2003">
        <v>2002</v>
      </c>
      <c r="B2003">
        <v>43</v>
      </c>
      <c r="C2003">
        <v>0</v>
      </c>
      <c r="D2003">
        <v>0</v>
      </c>
      <c r="E2003">
        <v>0</v>
      </c>
      <c r="F2003">
        <v>0</v>
      </c>
    </row>
    <row r="2004" spans="1:6" x14ac:dyDescent="0.25">
      <c r="A2004">
        <v>2003</v>
      </c>
      <c r="B2004">
        <v>44</v>
      </c>
      <c r="C2004">
        <v>0</v>
      </c>
      <c r="D2004">
        <v>0</v>
      </c>
      <c r="E2004">
        <v>0</v>
      </c>
      <c r="F2004">
        <v>1.22444</v>
      </c>
    </row>
    <row r="2005" spans="1:6" x14ac:dyDescent="0.25">
      <c r="A2005">
        <v>2004</v>
      </c>
      <c r="B2005">
        <v>45</v>
      </c>
      <c r="C2005">
        <v>0</v>
      </c>
      <c r="D2005">
        <v>0</v>
      </c>
      <c r="E2005">
        <v>0</v>
      </c>
      <c r="F2005">
        <v>4400</v>
      </c>
    </row>
    <row r="2006" spans="1:6" x14ac:dyDescent="0.25">
      <c r="A2006">
        <v>2005</v>
      </c>
      <c r="B2006">
        <v>46</v>
      </c>
      <c r="C2006">
        <v>0</v>
      </c>
      <c r="D2006">
        <v>0</v>
      </c>
      <c r="E2006">
        <v>0</v>
      </c>
      <c r="F2006">
        <v>0</v>
      </c>
    </row>
    <row r="2007" spans="1:6" x14ac:dyDescent="0.25">
      <c r="A2007">
        <v>2006</v>
      </c>
      <c r="B2007">
        <v>2</v>
      </c>
      <c r="C2007">
        <v>0</v>
      </c>
      <c r="D2007">
        <v>0</v>
      </c>
      <c r="E2007">
        <v>0</v>
      </c>
      <c r="F2007">
        <v>34.406799999999997</v>
      </c>
    </row>
    <row r="2008" spans="1:6" x14ac:dyDescent="0.25">
      <c r="A2008">
        <v>2007</v>
      </c>
      <c r="B2008">
        <v>10</v>
      </c>
      <c r="C2008">
        <v>1</v>
      </c>
      <c r="D2008">
        <v>0</v>
      </c>
      <c r="E2008">
        <v>0</v>
      </c>
      <c r="F2008">
        <v>34715</v>
      </c>
    </row>
    <row r="2009" spans="1:6" x14ac:dyDescent="0.25">
      <c r="A2009">
        <v>2008</v>
      </c>
      <c r="B2009">
        <v>13</v>
      </c>
      <c r="C2009">
        <v>0</v>
      </c>
      <c r="D2009">
        <v>0</v>
      </c>
      <c r="E2009">
        <v>0</v>
      </c>
      <c r="F2009">
        <v>1602</v>
      </c>
    </row>
    <row r="2010" spans="1:6" x14ac:dyDescent="0.25">
      <c r="A2010">
        <v>2009</v>
      </c>
      <c r="B2010">
        <v>41</v>
      </c>
      <c r="C2010">
        <v>0</v>
      </c>
      <c r="D2010">
        <v>0</v>
      </c>
      <c r="E2010">
        <v>0</v>
      </c>
      <c r="F2010">
        <v>1</v>
      </c>
    </row>
    <row r="2011" spans="1:6" x14ac:dyDescent="0.25">
      <c r="A2011">
        <v>2010</v>
      </c>
      <c r="B2011">
        <v>42</v>
      </c>
      <c r="C2011">
        <v>0</v>
      </c>
      <c r="D2011">
        <v>0</v>
      </c>
      <c r="E2011">
        <v>0</v>
      </c>
      <c r="F2011">
        <v>0.2</v>
      </c>
    </row>
    <row r="2012" spans="1:6" x14ac:dyDescent="0.25">
      <c r="A2012">
        <v>2011</v>
      </c>
      <c r="B2012">
        <v>43</v>
      </c>
      <c r="C2012">
        <v>0</v>
      </c>
      <c r="D2012">
        <v>0</v>
      </c>
      <c r="E2012">
        <v>0</v>
      </c>
      <c r="F2012">
        <v>0</v>
      </c>
    </row>
    <row r="2013" spans="1:6" x14ac:dyDescent="0.25">
      <c r="A2013">
        <v>2012</v>
      </c>
      <c r="B2013">
        <v>44</v>
      </c>
      <c r="C2013">
        <v>0</v>
      </c>
      <c r="D2013">
        <v>0</v>
      </c>
      <c r="E2013">
        <v>0</v>
      </c>
      <c r="F2013">
        <v>1.22444</v>
      </c>
    </row>
    <row r="2014" spans="1:6" x14ac:dyDescent="0.25">
      <c r="A2014">
        <v>2013</v>
      </c>
      <c r="B2014">
        <v>45</v>
      </c>
      <c r="C2014">
        <v>0</v>
      </c>
      <c r="D2014">
        <v>0</v>
      </c>
      <c r="E2014">
        <v>0</v>
      </c>
      <c r="F2014">
        <v>4400</v>
      </c>
    </row>
    <row r="2015" spans="1:6" x14ac:dyDescent="0.25">
      <c r="A2015">
        <v>2014</v>
      </c>
      <c r="B2015">
        <v>46</v>
      </c>
      <c r="C2015">
        <v>0</v>
      </c>
      <c r="D2015">
        <v>0</v>
      </c>
      <c r="E2015">
        <v>0</v>
      </c>
      <c r="F2015">
        <v>0</v>
      </c>
    </row>
    <row r="2016" spans="1:6" x14ac:dyDescent="0.25">
      <c r="A2016">
        <v>2015</v>
      </c>
      <c r="B2016">
        <v>2</v>
      </c>
      <c r="C2016">
        <v>0</v>
      </c>
      <c r="D2016">
        <v>0</v>
      </c>
      <c r="E2016">
        <v>0</v>
      </c>
      <c r="F2016">
        <v>34.406799999999997</v>
      </c>
    </row>
    <row r="2017" spans="1:6" x14ac:dyDescent="0.25">
      <c r="A2017">
        <v>2016</v>
      </c>
      <c r="B2017">
        <v>10</v>
      </c>
      <c r="C2017">
        <v>1</v>
      </c>
      <c r="D2017">
        <v>0</v>
      </c>
      <c r="E2017">
        <v>0</v>
      </c>
      <c r="F2017">
        <v>34715</v>
      </c>
    </row>
    <row r="2018" spans="1:6" x14ac:dyDescent="0.25">
      <c r="A2018">
        <v>2017</v>
      </c>
      <c r="B2018">
        <v>13</v>
      </c>
      <c r="C2018">
        <v>0</v>
      </c>
      <c r="D2018">
        <v>0</v>
      </c>
      <c r="E2018">
        <v>0</v>
      </c>
      <c r="F2018">
        <v>1602</v>
      </c>
    </row>
    <row r="2019" spans="1:6" x14ac:dyDescent="0.25">
      <c r="A2019">
        <v>2018</v>
      </c>
      <c r="B2019">
        <v>41</v>
      </c>
      <c r="C2019">
        <v>0</v>
      </c>
      <c r="D2019">
        <v>0</v>
      </c>
      <c r="E2019">
        <v>0</v>
      </c>
      <c r="F2019">
        <v>1</v>
      </c>
    </row>
    <row r="2020" spans="1:6" x14ac:dyDescent="0.25">
      <c r="A2020">
        <v>2019</v>
      </c>
      <c r="B2020">
        <v>42</v>
      </c>
      <c r="C2020">
        <v>0</v>
      </c>
      <c r="D2020">
        <v>0</v>
      </c>
      <c r="E2020">
        <v>0</v>
      </c>
      <c r="F2020">
        <v>0.2</v>
      </c>
    </row>
    <row r="2021" spans="1:6" x14ac:dyDescent="0.25">
      <c r="A2021">
        <v>2020</v>
      </c>
      <c r="B2021">
        <v>43</v>
      </c>
      <c r="C2021">
        <v>0</v>
      </c>
      <c r="D2021">
        <v>0</v>
      </c>
      <c r="E2021">
        <v>0</v>
      </c>
      <c r="F2021">
        <v>0</v>
      </c>
    </row>
    <row r="2022" spans="1:6" x14ac:dyDescent="0.25">
      <c r="A2022">
        <v>2021</v>
      </c>
      <c r="B2022">
        <v>44</v>
      </c>
      <c r="C2022">
        <v>0</v>
      </c>
      <c r="D2022">
        <v>0</v>
      </c>
      <c r="E2022">
        <v>0</v>
      </c>
      <c r="F2022">
        <v>1.4751099999999999</v>
      </c>
    </row>
    <row r="2023" spans="1:6" x14ac:dyDescent="0.25">
      <c r="A2023">
        <v>2022</v>
      </c>
      <c r="B2023">
        <v>45</v>
      </c>
      <c r="C2023">
        <v>0</v>
      </c>
      <c r="D2023">
        <v>0</v>
      </c>
      <c r="E2023">
        <v>0</v>
      </c>
      <c r="F2023">
        <v>4400</v>
      </c>
    </row>
    <row r="2024" spans="1:6" x14ac:dyDescent="0.25">
      <c r="A2024">
        <v>2023</v>
      </c>
      <c r="B2024">
        <v>46</v>
      </c>
      <c r="C2024">
        <v>0</v>
      </c>
      <c r="D2024">
        <v>0</v>
      </c>
      <c r="E2024">
        <v>0</v>
      </c>
      <c r="F2024">
        <v>0</v>
      </c>
    </row>
    <row r="2025" spans="1:6" x14ac:dyDescent="0.25">
      <c r="A2025">
        <v>2024</v>
      </c>
      <c r="B2025">
        <v>2</v>
      </c>
      <c r="C2025">
        <v>0</v>
      </c>
      <c r="D2025">
        <v>0</v>
      </c>
      <c r="E2025">
        <v>0</v>
      </c>
      <c r="F2025">
        <v>34.406100000000002</v>
      </c>
    </row>
    <row r="2026" spans="1:6" x14ac:dyDescent="0.25">
      <c r="A2026">
        <v>2025</v>
      </c>
      <c r="B2026">
        <v>10</v>
      </c>
      <c r="C2026">
        <v>1</v>
      </c>
      <c r="D2026">
        <v>0</v>
      </c>
      <c r="E2026">
        <v>0</v>
      </c>
      <c r="F2026">
        <v>34716</v>
      </c>
    </row>
    <row r="2027" spans="1:6" x14ac:dyDescent="0.25">
      <c r="A2027">
        <v>2026</v>
      </c>
      <c r="B2027">
        <v>13</v>
      </c>
      <c r="C2027">
        <v>0</v>
      </c>
      <c r="D2027">
        <v>0</v>
      </c>
      <c r="E2027">
        <v>0</v>
      </c>
      <c r="F2027">
        <v>1602</v>
      </c>
    </row>
    <row r="2028" spans="1:6" x14ac:dyDescent="0.25">
      <c r="A2028">
        <v>2027</v>
      </c>
      <c r="B2028">
        <v>41</v>
      </c>
      <c r="C2028">
        <v>0</v>
      </c>
      <c r="D2028">
        <v>0</v>
      </c>
      <c r="E2028">
        <v>0</v>
      </c>
      <c r="F2028">
        <v>1</v>
      </c>
    </row>
    <row r="2029" spans="1:6" x14ac:dyDescent="0.25">
      <c r="A2029">
        <v>2028</v>
      </c>
      <c r="B2029">
        <v>42</v>
      </c>
      <c r="C2029">
        <v>0</v>
      </c>
      <c r="D2029">
        <v>0</v>
      </c>
      <c r="E2029">
        <v>0</v>
      </c>
      <c r="F2029">
        <v>0.2</v>
      </c>
    </row>
    <row r="2030" spans="1:6" x14ac:dyDescent="0.25">
      <c r="A2030">
        <v>2029</v>
      </c>
      <c r="B2030">
        <v>43</v>
      </c>
      <c r="C2030">
        <v>0</v>
      </c>
      <c r="D2030">
        <v>0</v>
      </c>
      <c r="E2030">
        <v>0</v>
      </c>
      <c r="F2030">
        <v>0</v>
      </c>
    </row>
    <row r="2031" spans="1:6" x14ac:dyDescent="0.25">
      <c r="A2031">
        <v>2030</v>
      </c>
      <c r="B2031">
        <v>44</v>
      </c>
      <c r="C2031">
        <v>0</v>
      </c>
      <c r="D2031">
        <v>0</v>
      </c>
      <c r="E2031">
        <v>0</v>
      </c>
      <c r="F2031">
        <v>1.4751099999999999</v>
      </c>
    </row>
    <row r="2032" spans="1:6" x14ac:dyDescent="0.25">
      <c r="A2032">
        <v>2031</v>
      </c>
      <c r="B2032" t="s">
        <v>0</v>
      </c>
      <c r="C2032">
        <v>113</v>
      </c>
      <c r="D2032">
        <v>3482</v>
      </c>
      <c r="E2032">
        <v>79862424</v>
      </c>
    </row>
    <row r="2033" spans="1:6" x14ac:dyDescent="0.25">
      <c r="A2033">
        <v>2032</v>
      </c>
      <c r="B2033">
        <v>46</v>
      </c>
      <c r="C2033">
        <v>0</v>
      </c>
      <c r="D2033">
        <v>0</v>
      </c>
      <c r="E2033">
        <v>0</v>
      </c>
      <c r="F2033">
        <v>0</v>
      </c>
    </row>
    <row r="2034" spans="1:6" x14ac:dyDescent="0.25">
      <c r="A2034">
        <v>2033</v>
      </c>
      <c r="B2034">
        <v>2</v>
      </c>
      <c r="C2034">
        <v>0</v>
      </c>
      <c r="D2034">
        <v>0</v>
      </c>
      <c r="E2034">
        <v>0</v>
      </c>
      <c r="F2034">
        <v>34.405700000000003</v>
      </c>
    </row>
    <row r="2035" spans="1:6" x14ac:dyDescent="0.25">
      <c r="A2035">
        <v>2034</v>
      </c>
      <c r="B2035">
        <v>10</v>
      </c>
      <c r="C2035">
        <v>1</v>
      </c>
      <c r="D2035">
        <v>0</v>
      </c>
      <c r="E2035">
        <v>0</v>
      </c>
      <c r="F2035">
        <v>34716</v>
      </c>
    </row>
    <row r="2036" spans="1:6" x14ac:dyDescent="0.25">
      <c r="A2036">
        <v>2035</v>
      </c>
      <c r="B2036">
        <v>13</v>
      </c>
      <c r="C2036">
        <v>0</v>
      </c>
      <c r="D2036">
        <v>0</v>
      </c>
      <c r="E2036">
        <v>0</v>
      </c>
      <c r="F2036">
        <v>1602</v>
      </c>
    </row>
    <row r="2037" spans="1:6" x14ac:dyDescent="0.25">
      <c r="A2037">
        <v>2036</v>
      </c>
      <c r="B2037">
        <v>41</v>
      </c>
      <c r="C2037">
        <v>0</v>
      </c>
      <c r="D2037">
        <v>0</v>
      </c>
      <c r="E2037">
        <v>0</v>
      </c>
      <c r="F2037">
        <v>1</v>
      </c>
    </row>
    <row r="2038" spans="1:6" x14ac:dyDescent="0.25">
      <c r="A2038">
        <v>2037</v>
      </c>
      <c r="B2038">
        <v>42</v>
      </c>
      <c r="C2038">
        <v>0</v>
      </c>
      <c r="D2038">
        <v>0</v>
      </c>
      <c r="E2038">
        <v>0</v>
      </c>
      <c r="F2038">
        <v>0.2</v>
      </c>
    </row>
    <row r="2039" spans="1:6" x14ac:dyDescent="0.25">
      <c r="A2039">
        <v>2038</v>
      </c>
      <c r="B2039">
        <v>43</v>
      </c>
      <c r="C2039">
        <v>0</v>
      </c>
      <c r="D2039">
        <v>0</v>
      </c>
      <c r="E2039">
        <v>0</v>
      </c>
      <c r="F2039">
        <v>0</v>
      </c>
    </row>
    <row r="2040" spans="1:6" x14ac:dyDescent="0.25">
      <c r="A2040">
        <v>2039</v>
      </c>
      <c r="B2040">
        <v>44</v>
      </c>
      <c r="C2040">
        <v>0</v>
      </c>
      <c r="D2040">
        <v>0</v>
      </c>
      <c r="E2040">
        <v>0</v>
      </c>
      <c r="F2040">
        <v>1.72556</v>
      </c>
    </row>
    <row r="2041" spans="1:6" x14ac:dyDescent="0.25">
      <c r="A2041">
        <v>2040</v>
      </c>
      <c r="B2041">
        <v>45</v>
      </c>
      <c r="C2041">
        <v>0</v>
      </c>
      <c r="D2041">
        <v>0</v>
      </c>
      <c r="E2041">
        <v>0</v>
      </c>
      <c r="F2041">
        <v>4400</v>
      </c>
    </row>
    <row r="2042" spans="1:6" x14ac:dyDescent="0.25">
      <c r="A2042">
        <v>2041</v>
      </c>
      <c r="B2042">
        <v>46</v>
      </c>
      <c r="C2042">
        <v>0</v>
      </c>
      <c r="D2042">
        <v>0</v>
      </c>
      <c r="E2042">
        <v>0</v>
      </c>
      <c r="F2042">
        <v>0</v>
      </c>
    </row>
    <row r="2043" spans="1:6" x14ac:dyDescent="0.25">
      <c r="A2043">
        <v>2042</v>
      </c>
      <c r="B2043">
        <v>2</v>
      </c>
      <c r="C2043">
        <v>0</v>
      </c>
      <c r="D2043">
        <v>0</v>
      </c>
      <c r="E2043">
        <v>0</v>
      </c>
      <c r="F2043">
        <v>34.405700000000003</v>
      </c>
    </row>
    <row r="2044" spans="1:6" x14ac:dyDescent="0.25">
      <c r="A2044">
        <v>2043</v>
      </c>
      <c r="B2044">
        <v>10</v>
      </c>
      <c r="C2044">
        <v>1</v>
      </c>
      <c r="D2044">
        <v>0</v>
      </c>
      <c r="E2044">
        <v>0</v>
      </c>
      <c r="F2044">
        <v>34716</v>
      </c>
    </row>
    <row r="2045" spans="1:6" x14ac:dyDescent="0.25">
      <c r="A2045">
        <v>2044</v>
      </c>
      <c r="B2045">
        <v>13</v>
      </c>
      <c r="C2045">
        <v>0</v>
      </c>
      <c r="D2045">
        <v>0</v>
      </c>
      <c r="E2045">
        <v>0</v>
      </c>
      <c r="F2045">
        <v>1602</v>
      </c>
    </row>
    <row r="2046" spans="1:6" x14ac:dyDescent="0.25">
      <c r="A2046">
        <v>2045</v>
      </c>
      <c r="B2046">
        <v>41</v>
      </c>
      <c r="C2046">
        <v>0</v>
      </c>
      <c r="D2046">
        <v>0</v>
      </c>
      <c r="E2046">
        <v>0</v>
      </c>
      <c r="F2046">
        <v>1</v>
      </c>
    </row>
    <row r="2047" spans="1:6" x14ac:dyDescent="0.25">
      <c r="A2047">
        <v>2046</v>
      </c>
      <c r="B2047" t="s">
        <v>0</v>
      </c>
      <c r="C2047">
        <v>114</v>
      </c>
      <c r="D2047">
        <v>3482</v>
      </c>
      <c r="E2047">
        <v>79863392</v>
      </c>
    </row>
    <row r="2048" spans="1:6" x14ac:dyDescent="0.25">
      <c r="A2048">
        <v>2047</v>
      </c>
      <c r="B2048">
        <v>43</v>
      </c>
      <c r="C2048">
        <v>0</v>
      </c>
      <c r="D2048">
        <v>0</v>
      </c>
      <c r="E2048">
        <v>0</v>
      </c>
      <c r="F2048">
        <v>0</v>
      </c>
    </row>
    <row r="2049" spans="1:6" x14ac:dyDescent="0.25">
      <c r="A2049">
        <v>2048</v>
      </c>
      <c r="B2049">
        <v>44</v>
      </c>
      <c r="C2049">
        <v>0</v>
      </c>
      <c r="D2049">
        <v>0</v>
      </c>
      <c r="E2049">
        <v>0</v>
      </c>
      <c r="F2049">
        <v>1.9506399999999999</v>
      </c>
    </row>
    <row r="2050" spans="1:6" x14ac:dyDescent="0.25">
      <c r="A2050">
        <v>2049</v>
      </c>
      <c r="B2050">
        <v>45</v>
      </c>
      <c r="C2050">
        <v>0</v>
      </c>
      <c r="D2050">
        <v>0</v>
      </c>
      <c r="E2050">
        <v>0</v>
      </c>
      <c r="F2050">
        <v>4400</v>
      </c>
    </row>
    <row r="2051" spans="1:6" x14ac:dyDescent="0.25">
      <c r="A2051">
        <v>2050</v>
      </c>
      <c r="B2051">
        <v>46</v>
      </c>
      <c r="C2051">
        <v>0</v>
      </c>
      <c r="D2051">
        <v>0</v>
      </c>
      <c r="E2051">
        <v>0</v>
      </c>
      <c r="F2051">
        <v>0</v>
      </c>
    </row>
    <row r="2052" spans="1:6" x14ac:dyDescent="0.25">
      <c r="A2052">
        <v>2051</v>
      </c>
      <c r="B2052">
        <v>2</v>
      </c>
      <c r="C2052">
        <v>0</v>
      </c>
      <c r="D2052">
        <v>0</v>
      </c>
      <c r="E2052">
        <v>0</v>
      </c>
      <c r="F2052">
        <v>34.4056</v>
      </c>
    </row>
    <row r="2053" spans="1:6" x14ac:dyDescent="0.25">
      <c r="A2053">
        <v>2052</v>
      </c>
      <c r="B2053">
        <v>10</v>
      </c>
      <c r="C2053">
        <v>1</v>
      </c>
      <c r="D2053">
        <v>0</v>
      </c>
      <c r="E2053">
        <v>0</v>
      </c>
      <c r="F2053">
        <v>34716</v>
      </c>
    </row>
    <row r="2054" spans="1:6" x14ac:dyDescent="0.25">
      <c r="A2054">
        <v>2053</v>
      </c>
      <c r="B2054">
        <v>13</v>
      </c>
      <c r="C2054">
        <v>0</v>
      </c>
      <c r="D2054">
        <v>0</v>
      </c>
      <c r="E2054">
        <v>0</v>
      </c>
      <c r="F2054">
        <v>1602</v>
      </c>
    </row>
    <row r="2055" spans="1:6" x14ac:dyDescent="0.25">
      <c r="A2055">
        <v>2054</v>
      </c>
      <c r="B2055">
        <v>41</v>
      </c>
      <c r="C2055">
        <v>0</v>
      </c>
      <c r="D2055">
        <v>0</v>
      </c>
      <c r="E2055">
        <v>0</v>
      </c>
      <c r="F2055">
        <v>1</v>
      </c>
    </row>
    <row r="2056" spans="1:6" x14ac:dyDescent="0.25">
      <c r="A2056">
        <v>2055</v>
      </c>
      <c r="B2056">
        <v>42</v>
      </c>
      <c r="C2056">
        <v>0</v>
      </c>
      <c r="D2056">
        <v>0</v>
      </c>
      <c r="E2056">
        <v>0</v>
      </c>
      <c r="F2056">
        <v>0.2</v>
      </c>
    </row>
    <row r="2057" spans="1:6" x14ac:dyDescent="0.25">
      <c r="A2057">
        <v>2056</v>
      </c>
      <c r="B2057">
        <v>43</v>
      </c>
      <c r="C2057">
        <v>0</v>
      </c>
      <c r="D2057">
        <v>0</v>
      </c>
      <c r="E2057">
        <v>0</v>
      </c>
      <c r="F2057">
        <v>0</v>
      </c>
    </row>
    <row r="2058" spans="1:6" x14ac:dyDescent="0.25">
      <c r="A2058">
        <v>2057</v>
      </c>
      <c r="B2058">
        <v>44</v>
      </c>
      <c r="C2058">
        <v>0</v>
      </c>
      <c r="D2058">
        <v>0</v>
      </c>
      <c r="E2058">
        <v>0</v>
      </c>
      <c r="F2058">
        <v>1.9506399999999999</v>
      </c>
    </row>
    <row r="2059" spans="1:6" x14ac:dyDescent="0.25">
      <c r="A2059">
        <v>2058</v>
      </c>
      <c r="B2059">
        <v>45</v>
      </c>
      <c r="C2059">
        <v>0</v>
      </c>
      <c r="D2059">
        <v>0</v>
      </c>
      <c r="E2059">
        <v>0</v>
      </c>
      <c r="F2059">
        <v>4400</v>
      </c>
    </row>
    <row r="2060" spans="1:6" x14ac:dyDescent="0.25">
      <c r="A2060">
        <v>2059</v>
      </c>
      <c r="B2060">
        <v>46</v>
      </c>
      <c r="C2060">
        <v>0</v>
      </c>
      <c r="D2060">
        <v>0</v>
      </c>
      <c r="E2060">
        <v>0</v>
      </c>
      <c r="F2060">
        <v>0</v>
      </c>
    </row>
    <row r="2061" spans="1:6" x14ac:dyDescent="0.25">
      <c r="A2061">
        <v>2060</v>
      </c>
      <c r="B2061">
        <v>2</v>
      </c>
      <c r="C2061">
        <v>0</v>
      </c>
      <c r="D2061">
        <v>0</v>
      </c>
      <c r="E2061">
        <v>0</v>
      </c>
      <c r="F2061">
        <v>34.4056</v>
      </c>
    </row>
    <row r="2062" spans="1:6" x14ac:dyDescent="0.25">
      <c r="A2062">
        <v>2061</v>
      </c>
      <c r="B2062" t="s">
        <v>0</v>
      </c>
      <c r="C2062">
        <v>115</v>
      </c>
      <c r="D2062">
        <v>3482</v>
      </c>
      <c r="E2062">
        <v>79864360</v>
      </c>
    </row>
    <row r="2063" spans="1:6" x14ac:dyDescent="0.25">
      <c r="A2063">
        <v>2062</v>
      </c>
      <c r="B2063">
        <v>10</v>
      </c>
      <c r="C2063">
        <v>1</v>
      </c>
      <c r="D2063">
        <v>0</v>
      </c>
      <c r="E2063">
        <v>0</v>
      </c>
      <c r="F2063">
        <v>34716</v>
      </c>
    </row>
    <row r="2064" spans="1:6" x14ac:dyDescent="0.25">
      <c r="A2064">
        <v>2063</v>
      </c>
      <c r="B2064">
        <v>13</v>
      </c>
      <c r="C2064">
        <v>0</v>
      </c>
      <c r="D2064">
        <v>0</v>
      </c>
      <c r="E2064">
        <v>0</v>
      </c>
      <c r="F2064">
        <v>1602</v>
      </c>
    </row>
    <row r="2065" spans="1:6" x14ac:dyDescent="0.25">
      <c r="A2065">
        <v>2064</v>
      </c>
      <c r="B2065">
        <v>41</v>
      </c>
      <c r="C2065">
        <v>0</v>
      </c>
      <c r="D2065">
        <v>0</v>
      </c>
      <c r="E2065">
        <v>0</v>
      </c>
      <c r="F2065">
        <v>1</v>
      </c>
    </row>
    <row r="2066" spans="1:6" x14ac:dyDescent="0.25">
      <c r="A2066">
        <v>2065</v>
      </c>
      <c r="B2066">
        <v>42</v>
      </c>
      <c r="C2066">
        <v>0</v>
      </c>
      <c r="D2066">
        <v>0</v>
      </c>
      <c r="E2066">
        <v>0</v>
      </c>
      <c r="F2066">
        <v>0.2</v>
      </c>
    </row>
    <row r="2067" spans="1:6" x14ac:dyDescent="0.25">
      <c r="A2067">
        <v>2066</v>
      </c>
      <c r="B2067">
        <v>43</v>
      </c>
      <c r="C2067">
        <v>0</v>
      </c>
      <c r="D2067">
        <v>0</v>
      </c>
      <c r="E2067">
        <v>0</v>
      </c>
      <c r="F2067">
        <v>0</v>
      </c>
    </row>
    <row r="2068" spans="1:6" x14ac:dyDescent="0.25">
      <c r="A2068">
        <v>2067</v>
      </c>
      <c r="B2068">
        <v>44</v>
      </c>
      <c r="C2068">
        <v>0</v>
      </c>
      <c r="D2068">
        <v>0</v>
      </c>
      <c r="E2068">
        <v>0</v>
      </c>
      <c r="F2068">
        <v>2.2000500000000001</v>
      </c>
    </row>
    <row r="2069" spans="1:6" x14ac:dyDescent="0.25">
      <c r="A2069">
        <v>2068</v>
      </c>
      <c r="B2069">
        <v>45</v>
      </c>
      <c r="C2069">
        <v>0</v>
      </c>
      <c r="D2069">
        <v>0</v>
      </c>
      <c r="E2069">
        <v>0</v>
      </c>
      <c r="F2069">
        <v>4400</v>
      </c>
    </row>
    <row r="2070" spans="1:6" x14ac:dyDescent="0.25">
      <c r="A2070">
        <v>2069</v>
      </c>
      <c r="B2070">
        <v>46</v>
      </c>
      <c r="C2070">
        <v>0</v>
      </c>
      <c r="D2070">
        <v>0</v>
      </c>
      <c r="E2070">
        <v>0</v>
      </c>
      <c r="F2070">
        <v>0</v>
      </c>
    </row>
    <row r="2071" spans="1:6" x14ac:dyDescent="0.25">
      <c r="A2071">
        <v>2070</v>
      </c>
      <c r="B2071">
        <v>2</v>
      </c>
      <c r="C2071">
        <v>0</v>
      </c>
      <c r="D2071">
        <v>0</v>
      </c>
      <c r="E2071">
        <v>0</v>
      </c>
      <c r="F2071">
        <v>34.406199999999998</v>
      </c>
    </row>
    <row r="2072" spans="1:6" x14ac:dyDescent="0.25">
      <c r="A2072">
        <v>2071</v>
      </c>
      <c r="B2072">
        <v>10</v>
      </c>
      <c r="C2072">
        <v>1</v>
      </c>
      <c r="D2072">
        <v>0</v>
      </c>
      <c r="E2072">
        <v>0</v>
      </c>
      <c r="F2072">
        <v>34715</v>
      </c>
    </row>
    <row r="2073" spans="1:6" x14ac:dyDescent="0.25">
      <c r="A2073">
        <v>2072</v>
      </c>
      <c r="B2073">
        <v>13</v>
      </c>
      <c r="C2073">
        <v>0</v>
      </c>
      <c r="D2073">
        <v>0</v>
      </c>
      <c r="E2073">
        <v>0</v>
      </c>
      <c r="F2073">
        <v>1602</v>
      </c>
    </row>
    <row r="2074" spans="1:6" x14ac:dyDescent="0.25">
      <c r="A2074">
        <v>2073</v>
      </c>
      <c r="B2074">
        <v>41</v>
      </c>
      <c r="C2074">
        <v>0</v>
      </c>
      <c r="D2074">
        <v>0</v>
      </c>
      <c r="E2074">
        <v>0</v>
      </c>
      <c r="F2074">
        <v>1</v>
      </c>
    </row>
    <row r="2075" spans="1:6" x14ac:dyDescent="0.25">
      <c r="A2075">
        <v>2074</v>
      </c>
      <c r="B2075">
        <v>42</v>
      </c>
      <c r="C2075">
        <v>0</v>
      </c>
      <c r="D2075">
        <v>0</v>
      </c>
      <c r="E2075">
        <v>0</v>
      </c>
      <c r="F2075">
        <v>0.2</v>
      </c>
    </row>
    <row r="2076" spans="1:6" x14ac:dyDescent="0.25">
      <c r="A2076">
        <v>2075</v>
      </c>
      <c r="B2076">
        <v>43</v>
      </c>
      <c r="C2076">
        <v>0</v>
      </c>
      <c r="D2076">
        <v>0</v>
      </c>
      <c r="E2076">
        <v>0</v>
      </c>
      <c r="F2076">
        <v>0</v>
      </c>
    </row>
    <row r="2077" spans="1:6" x14ac:dyDescent="0.25">
      <c r="A2077">
        <v>2076</v>
      </c>
      <c r="B2077">
        <v>44</v>
      </c>
      <c r="C2077">
        <v>0</v>
      </c>
      <c r="D2077">
        <v>0</v>
      </c>
      <c r="E2077">
        <v>0</v>
      </c>
      <c r="F2077">
        <v>2.2000500000000001</v>
      </c>
    </row>
    <row r="2078" spans="1:6" x14ac:dyDescent="0.25">
      <c r="A2078">
        <v>2077</v>
      </c>
      <c r="B2078">
        <v>45</v>
      </c>
      <c r="C2078">
        <v>0</v>
      </c>
      <c r="D2078">
        <v>0</v>
      </c>
      <c r="E2078">
        <v>0</v>
      </c>
      <c r="F2078">
        <v>4400</v>
      </c>
    </row>
    <row r="2079" spans="1:6" x14ac:dyDescent="0.25">
      <c r="A2079">
        <v>2078</v>
      </c>
      <c r="B2079">
        <v>46</v>
      </c>
      <c r="C2079">
        <v>0</v>
      </c>
      <c r="D2079">
        <v>0</v>
      </c>
      <c r="E2079">
        <v>0</v>
      </c>
      <c r="F2079">
        <v>0</v>
      </c>
    </row>
    <row r="2080" spans="1:6" x14ac:dyDescent="0.25">
      <c r="A2080">
        <v>2079</v>
      </c>
      <c r="B2080">
        <v>2</v>
      </c>
      <c r="C2080">
        <v>0</v>
      </c>
      <c r="D2080">
        <v>0</v>
      </c>
      <c r="E2080">
        <v>0</v>
      </c>
      <c r="F2080">
        <v>34.4056</v>
      </c>
    </row>
    <row r="2081" spans="1:6" x14ac:dyDescent="0.25">
      <c r="A2081">
        <v>2080</v>
      </c>
      <c r="B2081">
        <v>10</v>
      </c>
      <c r="C2081">
        <v>1</v>
      </c>
      <c r="D2081">
        <v>0</v>
      </c>
      <c r="E2081">
        <v>0</v>
      </c>
      <c r="F2081">
        <v>34716</v>
      </c>
    </row>
    <row r="2082" spans="1:6" x14ac:dyDescent="0.25">
      <c r="A2082">
        <v>2081</v>
      </c>
      <c r="B2082">
        <v>13</v>
      </c>
      <c r="C2082">
        <v>0</v>
      </c>
      <c r="D2082">
        <v>0</v>
      </c>
      <c r="E2082">
        <v>0</v>
      </c>
      <c r="F2082">
        <v>1602</v>
      </c>
    </row>
    <row r="2083" spans="1:6" x14ac:dyDescent="0.25">
      <c r="A2083">
        <v>2082</v>
      </c>
      <c r="B2083">
        <v>41</v>
      </c>
      <c r="C2083">
        <v>0</v>
      </c>
      <c r="D2083">
        <v>0</v>
      </c>
      <c r="E2083">
        <v>0</v>
      </c>
      <c r="F2083">
        <v>1</v>
      </c>
    </row>
    <row r="2084" spans="1:6" x14ac:dyDescent="0.25">
      <c r="A2084">
        <v>2083</v>
      </c>
      <c r="B2084">
        <v>42</v>
      </c>
      <c r="C2084">
        <v>0</v>
      </c>
      <c r="D2084">
        <v>0</v>
      </c>
      <c r="E2084">
        <v>0</v>
      </c>
      <c r="F2084">
        <v>0.2</v>
      </c>
    </row>
    <row r="2085" spans="1:6" x14ac:dyDescent="0.25">
      <c r="A2085">
        <v>2084</v>
      </c>
      <c r="B2085">
        <v>43</v>
      </c>
      <c r="C2085">
        <v>0</v>
      </c>
      <c r="D2085">
        <v>0</v>
      </c>
      <c r="E2085">
        <v>0</v>
      </c>
      <c r="F2085">
        <v>0</v>
      </c>
    </row>
    <row r="2086" spans="1:6" x14ac:dyDescent="0.25">
      <c r="A2086">
        <v>2085</v>
      </c>
      <c r="B2086">
        <v>44</v>
      </c>
      <c r="C2086">
        <v>0</v>
      </c>
      <c r="D2086">
        <v>0</v>
      </c>
      <c r="E2086">
        <v>0</v>
      </c>
      <c r="F2086">
        <v>2.45065</v>
      </c>
    </row>
    <row r="2087" spans="1:6" x14ac:dyDescent="0.25">
      <c r="A2087">
        <v>2086</v>
      </c>
      <c r="B2087">
        <v>45</v>
      </c>
      <c r="C2087">
        <v>0</v>
      </c>
      <c r="D2087">
        <v>0</v>
      </c>
      <c r="E2087">
        <v>0</v>
      </c>
      <c r="F2087">
        <v>4400</v>
      </c>
    </row>
    <row r="2088" spans="1:6" x14ac:dyDescent="0.25">
      <c r="A2088">
        <v>2087</v>
      </c>
      <c r="B2088">
        <v>46</v>
      </c>
      <c r="C2088">
        <v>0</v>
      </c>
      <c r="D2088">
        <v>0</v>
      </c>
      <c r="E2088">
        <v>0</v>
      </c>
      <c r="F2088">
        <v>0</v>
      </c>
    </row>
    <row r="2089" spans="1:6" x14ac:dyDescent="0.25">
      <c r="A2089">
        <v>2088</v>
      </c>
      <c r="B2089">
        <v>2</v>
      </c>
      <c r="C2089">
        <v>0</v>
      </c>
      <c r="D2089">
        <v>0</v>
      </c>
      <c r="E2089">
        <v>0</v>
      </c>
      <c r="F2089">
        <v>34.4056</v>
      </c>
    </row>
    <row r="2090" spans="1:6" x14ac:dyDescent="0.25">
      <c r="A2090">
        <v>2089</v>
      </c>
      <c r="B2090">
        <v>10</v>
      </c>
      <c r="C2090">
        <v>1</v>
      </c>
      <c r="D2090">
        <v>0</v>
      </c>
      <c r="E2090">
        <v>0</v>
      </c>
      <c r="F2090">
        <v>34716</v>
      </c>
    </row>
    <row r="2091" spans="1:6" x14ac:dyDescent="0.25">
      <c r="A2091">
        <v>2090</v>
      </c>
      <c r="B2091">
        <v>13</v>
      </c>
      <c r="C2091">
        <v>0</v>
      </c>
      <c r="D2091">
        <v>0</v>
      </c>
      <c r="E2091">
        <v>0</v>
      </c>
      <c r="F2091">
        <v>1602</v>
      </c>
    </row>
    <row r="2092" spans="1:6" x14ac:dyDescent="0.25">
      <c r="A2092">
        <v>2091</v>
      </c>
      <c r="B2092" t="s">
        <v>0</v>
      </c>
      <c r="C2092">
        <v>117</v>
      </c>
      <c r="D2092">
        <v>3482</v>
      </c>
      <c r="E2092">
        <v>79866296</v>
      </c>
    </row>
    <row r="2093" spans="1:6" x14ac:dyDescent="0.25">
      <c r="A2093">
        <v>2092</v>
      </c>
      <c r="B2093">
        <v>42</v>
      </c>
      <c r="C2093">
        <v>0</v>
      </c>
      <c r="D2093">
        <v>0</v>
      </c>
      <c r="E2093">
        <v>0</v>
      </c>
      <c r="F2093">
        <v>0.2</v>
      </c>
    </row>
    <row r="2094" spans="1:6" x14ac:dyDescent="0.25">
      <c r="A2094">
        <v>2093</v>
      </c>
      <c r="B2094">
        <v>43</v>
      </c>
      <c r="C2094">
        <v>0</v>
      </c>
      <c r="D2094">
        <v>0</v>
      </c>
      <c r="E2094">
        <v>0</v>
      </c>
      <c r="F2094">
        <v>0</v>
      </c>
    </row>
    <row r="2095" spans="1:6" x14ac:dyDescent="0.25">
      <c r="A2095">
        <v>2094</v>
      </c>
      <c r="B2095">
        <v>44</v>
      </c>
      <c r="C2095">
        <v>0</v>
      </c>
      <c r="D2095">
        <v>0</v>
      </c>
      <c r="E2095">
        <v>0</v>
      </c>
      <c r="F2095">
        <v>2.6755399999999998</v>
      </c>
    </row>
    <row r="2096" spans="1:6" x14ac:dyDescent="0.25">
      <c r="A2096">
        <v>2095</v>
      </c>
      <c r="B2096">
        <v>45</v>
      </c>
      <c r="C2096">
        <v>0</v>
      </c>
      <c r="D2096">
        <v>0</v>
      </c>
      <c r="E2096">
        <v>0</v>
      </c>
      <c r="F2096">
        <v>4400</v>
      </c>
    </row>
    <row r="2097" spans="1:6" x14ac:dyDescent="0.25">
      <c r="A2097">
        <v>2096</v>
      </c>
      <c r="B2097">
        <v>46</v>
      </c>
      <c r="C2097">
        <v>0</v>
      </c>
      <c r="D2097">
        <v>0</v>
      </c>
      <c r="E2097">
        <v>0</v>
      </c>
      <c r="F2097">
        <v>0</v>
      </c>
    </row>
    <row r="2098" spans="1:6" x14ac:dyDescent="0.25">
      <c r="A2098">
        <v>2097</v>
      </c>
      <c r="B2098">
        <v>2</v>
      </c>
      <c r="C2098">
        <v>0</v>
      </c>
      <c r="D2098">
        <v>0</v>
      </c>
      <c r="E2098">
        <v>0</v>
      </c>
      <c r="F2098">
        <v>34.405799999999999</v>
      </c>
    </row>
    <row r="2099" spans="1:6" x14ac:dyDescent="0.25">
      <c r="A2099">
        <v>2098</v>
      </c>
      <c r="B2099">
        <v>10</v>
      </c>
      <c r="C2099">
        <v>1</v>
      </c>
      <c r="D2099">
        <v>0</v>
      </c>
      <c r="E2099">
        <v>0</v>
      </c>
      <c r="F2099">
        <v>34716</v>
      </c>
    </row>
    <row r="2100" spans="1:6" x14ac:dyDescent="0.25">
      <c r="A2100">
        <v>2099</v>
      </c>
      <c r="B2100">
        <v>13</v>
      </c>
      <c r="C2100">
        <v>0</v>
      </c>
      <c r="D2100">
        <v>0</v>
      </c>
      <c r="E2100">
        <v>0</v>
      </c>
      <c r="F2100">
        <v>1602</v>
      </c>
    </row>
    <row r="2101" spans="1:6" x14ac:dyDescent="0.25">
      <c r="A2101">
        <v>2100</v>
      </c>
      <c r="B2101">
        <v>41</v>
      </c>
      <c r="C2101">
        <v>0</v>
      </c>
      <c r="D2101">
        <v>0</v>
      </c>
      <c r="E2101">
        <v>0</v>
      </c>
      <c r="F2101">
        <v>1</v>
      </c>
    </row>
    <row r="2102" spans="1:6" x14ac:dyDescent="0.25">
      <c r="A2102">
        <v>2101</v>
      </c>
      <c r="B2102">
        <v>42</v>
      </c>
      <c r="C2102">
        <v>0</v>
      </c>
      <c r="D2102">
        <v>0</v>
      </c>
      <c r="E2102">
        <v>0</v>
      </c>
      <c r="F2102">
        <v>0.2</v>
      </c>
    </row>
    <row r="2103" spans="1:6" x14ac:dyDescent="0.25">
      <c r="A2103">
        <v>2102</v>
      </c>
      <c r="B2103">
        <v>43</v>
      </c>
      <c r="C2103">
        <v>0</v>
      </c>
      <c r="D2103">
        <v>0</v>
      </c>
      <c r="E2103">
        <v>0</v>
      </c>
      <c r="F2103">
        <v>0</v>
      </c>
    </row>
    <row r="2104" spans="1:6" x14ac:dyDescent="0.25">
      <c r="A2104">
        <v>2103</v>
      </c>
      <c r="B2104">
        <v>44</v>
      </c>
      <c r="C2104">
        <v>0</v>
      </c>
      <c r="D2104">
        <v>0</v>
      </c>
      <c r="E2104">
        <v>0</v>
      </c>
      <c r="F2104">
        <v>2.6755399999999998</v>
      </c>
    </row>
    <row r="2105" spans="1:6" x14ac:dyDescent="0.25">
      <c r="A2105">
        <v>2104</v>
      </c>
      <c r="B2105">
        <v>45</v>
      </c>
      <c r="C2105">
        <v>0</v>
      </c>
      <c r="D2105">
        <v>0</v>
      </c>
      <c r="E2105">
        <v>0</v>
      </c>
      <c r="F2105">
        <v>4400</v>
      </c>
    </row>
    <row r="2106" spans="1:6" x14ac:dyDescent="0.25">
      <c r="A2106">
        <v>2105</v>
      </c>
      <c r="B2106">
        <v>46</v>
      </c>
      <c r="C2106">
        <v>0</v>
      </c>
      <c r="D2106">
        <v>0</v>
      </c>
      <c r="E2106">
        <v>0</v>
      </c>
      <c r="F2106">
        <v>0</v>
      </c>
    </row>
    <row r="2107" spans="1:6" x14ac:dyDescent="0.25">
      <c r="A2107">
        <v>2106</v>
      </c>
      <c r="B2107" t="s">
        <v>0</v>
      </c>
      <c r="C2107">
        <v>118</v>
      </c>
      <c r="D2107">
        <v>3482</v>
      </c>
      <c r="E2107">
        <v>79867264</v>
      </c>
    </row>
    <row r="2108" spans="1:6" x14ac:dyDescent="0.25">
      <c r="A2108">
        <v>2107</v>
      </c>
      <c r="B2108">
        <v>2</v>
      </c>
      <c r="C2108">
        <v>0</v>
      </c>
      <c r="D2108">
        <v>0</v>
      </c>
      <c r="E2108">
        <v>0</v>
      </c>
      <c r="F2108">
        <v>34.406199999999998</v>
      </c>
    </row>
    <row r="2109" spans="1:6" x14ac:dyDescent="0.25">
      <c r="A2109">
        <v>2108</v>
      </c>
      <c r="B2109">
        <v>10</v>
      </c>
      <c r="C2109">
        <v>1</v>
      </c>
      <c r="D2109">
        <v>0</v>
      </c>
      <c r="E2109">
        <v>0</v>
      </c>
      <c r="F2109">
        <v>34715</v>
      </c>
    </row>
    <row r="2110" spans="1:6" x14ac:dyDescent="0.25">
      <c r="A2110">
        <v>2109</v>
      </c>
      <c r="B2110">
        <v>13</v>
      </c>
      <c r="C2110">
        <v>0</v>
      </c>
      <c r="D2110">
        <v>0</v>
      </c>
      <c r="E2110">
        <v>0</v>
      </c>
      <c r="F2110">
        <v>1602</v>
      </c>
    </row>
    <row r="2111" spans="1:6" x14ac:dyDescent="0.25">
      <c r="A2111">
        <v>2110</v>
      </c>
      <c r="B2111">
        <v>41</v>
      </c>
      <c r="C2111">
        <v>0</v>
      </c>
      <c r="D2111">
        <v>0</v>
      </c>
      <c r="E2111">
        <v>0</v>
      </c>
      <c r="F2111">
        <v>1</v>
      </c>
    </row>
    <row r="2112" spans="1:6" x14ac:dyDescent="0.25">
      <c r="A2112">
        <v>2111</v>
      </c>
      <c r="B2112">
        <v>42</v>
      </c>
      <c r="C2112">
        <v>0</v>
      </c>
      <c r="D2112">
        <v>0</v>
      </c>
      <c r="E2112">
        <v>0</v>
      </c>
      <c r="F2112">
        <v>0.2</v>
      </c>
    </row>
    <row r="2113" spans="1:6" x14ac:dyDescent="0.25">
      <c r="A2113">
        <v>2112</v>
      </c>
      <c r="B2113">
        <v>43</v>
      </c>
      <c r="C2113">
        <v>0</v>
      </c>
      <c r="D2113">
        <v>0</v>
      </c>
      <c r="E2113">
        <v>0</v>
      </c>
      <c r="F2113">
        <v>0</v>
      </c>
    </row>
    <row r="2114" spans="1:6" x14ac:dyDescent="0.25">
      <c r="A2114">
        <v>2113</v>
      </c>
      <c r="B2114">
        <v>44</v>
      </c>
      <c r="C2114">
        <v>0</v>
      </c>
      <c r="D2114">
        <v>0</v>
      </c>
      <c r="E2114">
        <v>0</v>
      </c>
      <c r="F2114">
        <v>2.92509</v>
      </c>
    </row>
    <row r="2115" spans="1:6" x14ac:dyDescent="0.25">
      <c r="A2115">
        <v>2114</v>
      </c>
      <c r="B2115">
        <v>45</v>
      </c>
      <c r="C2115">
        <v>0</v>
      </c>
      <c r="D2115">
        <v>0</v>
      </c>
      <c r="E2115">
        <v>0</v>
      </c>
      <c r="F2115">
        <v>4400</v>
      </c>
    </row>
    <row r="2116" spans="1:6" x14ac:dyDescent="0.25">
      <c r="A2116">
        <v>2115</v>
      </c>
      <c r="B2116">
        <v>46</v>
      </c>
      <c r="C2116">
        <v>0</v>
      </c>
      <c r="D2116">
        <v>0</v>
      </c>
      <c r="E2116">
        <v>0</v>
      </c>
      <c r="F2116">
        <v>0</v>
      </c>
    </row>
    <row r="2117" spans="1:6" x14ac:dyDescent="0.25">
      <c r="A2117">
        <v>2116</v>
      </c>
      <c r="B2117">
        <v>2</v>
      </c>
      <c r="C2117">
        <v>0</v>
      </c>
      <c r="D2117">
        <v>0</v>
      </c>
      <c r="E2117">
        <v>0</v>
      </c>
      <c r="F2117">
        <v>34.406199999999998</v>
      </c>
    </row>
    <row r="2118" spans="1:6" x14ac:dyDescent="0.25">
      <c r="A2118">
        <v>2117</v>
      </c>
      <c r="B2118">
        <v>10</v>
      </c>
      <c r="C2118">
        <v>1</v>
      </c>
      <c r="D2118">
        <v>0</v>
      </c>
      <c r="E2118">
        <v>0</v>
      </c>
      <c r="F2118">
        <v>34715</v>
      </c>
    </row>
    <row r="2119" spans="1:6" x14ac:dyDescent="0.25">
      <c r="A2119">
        <v>2118</v>
      </c>
      <c r="B2119">
        <v>13</v>
      </c>
      <c r="C2119">
        <v>0</v>
      </c>
      <c r="D2119">
        <v>0</v>
      </c>
      <c r="E2119">
        <v>0</v>
      </c>
      <c r="F2119">
        <v>1602</v>
      </c>
    </row>
    <row r="2120" spans="1:6" x14ac:dyDescent="0.25">
      <c r="A2120">
        <v>2119</v>
      </c>
      <c r="B2120">
        <v>41</v>
      </c>
      <c r="C2120">
        <v>0</v>
      </c>
      <c r="D2120">
        <v>0</v>
      </c>
      <c r="E2120">
        <v>0</v>
      </c>
      <c r="F2120">
        <v>1</v>
      </c>
    </row>
    <row r="2121" spans="1:6" x14ac:dyDescent="0.25">
      <c r="A2121">
        <v>2120</v>
      </c>
      <c r="B2121">
        <v>42</v>
      </c>
      <c r="C2121">
        <v>0</v>
      </c>
      <c r="D2121">
        <v>0</v>
      </c>
      <c r="E2121">
        <v>0</v>
      </c>
      <c r="F2121">
        <v>0.2</v>
      </c>
    </row>
    <row r="2122" spans="1:6" x14ac:dyDescent="0.25">
      <c r="A2122">
        <v>2121</v>
      </c>
      <c r="B2122">
        <v>43</v>
      </c>
      <c r="C2122">
        <v>0</v>
      </c>
      <c r="D2122">
        <v>0</v>
      </c>
      <c r="E2122">
        <v>0</v>
      </c>
      <c r="F2122">
        <v>0</v>
      </c>
    </row>
    <row r="2123" spans="1:6" x14ac:dyDescent="0.25">
      <c r="A2123">
        <v>2122</v>
      </c>
      <c r="B2123">
        <v>44</v>
      </c>
      <c r="C2123">
        <v>0</v>
      </c>
      <c r="D2123">
        <v>0</v>
      </c>
      <c r="E2123">
        <v>0</v>
      </c>
      <c r="F2123">
        <v>3.17449</v>
      </c>
    </row>
    <row r="2124" spans="1:6" x14ac:dyDescent="0.25">
      <c r="A2124">
        <v>2123</v>
      </c>
      <c r="B2124">
        <v>45</v>
      </c>
      <c r="C2124">
        <v>0</v>
      </c>
      <c r="D2124">
        <v>0</v>
      </c>
      <c r="E2124">
        <v>0</v>
      </c>
      <c r="F2124">
        <v>4400</v>
      </c>
    </row>
    <row r="2125" spans="1:6" x14ac:dyDescent="0.25">
      <c r="A2125">
        <v>2124</v>
      </c>
      <c r="B2125">
        <v>46</v>
      </c>
      <c r="C2125">
        <v>0</v>
      </c>
      <c r="D2125">
        <v>0</v>
      </c>
      <c r="E2125">
        <v>0</v>
      </c>
      <c r="F2125">
        <v>0</v>
      </c>
    </row>
    <row r="2126" spans="1:6" x14ac:dyDescent="0.25">
      <c r="A2126">
        <v>2125</v>
      </c>
      <c r="B2126">
        <v>2</v>
      </c>
      <c r="C2126">
        <v>0</v>
      </c>
      <c r="D2126">
        <v>0</v>
      </c>
      <c r="E2126">
        <v>0</v>
      </c>
      <c r="F2126">
        <v>34.406799999999997</v>
      </c>
    </row>
    <row r="2127" spans="1:6" x14ac:dyDescent="0.25">
      <c r="A2127">
        <v>2126</v>
      </c>
      <c r="B2127">
        <v>10</v>
      </c>
      <c r="C2127">
        <v>1</v>
      </c>
      <c r="D2127">
        <v>0</v>
      </c>
      <c r="E2127">
        <v>0</v>
      </c>
      <c r="F2127">
        <v>34715</v>
      </c>
    </row>
    <row r="2128" spans="1:6" x14ac:dyDescent="0.25">
      <c r="A2128">
        <v>2127</v>
      </c>
      <c r="B2128">
        <v>13</v>
      </c>
      <c r="C2128">
        <v>0</v>
      </c>
      <c r="D2128">
        <v>0</v>
      </c>
      <c r="E2128">
        <v>0</v>
      </c>
      <c r="F2128">
        <v>1602</v>
      </c>
    </row>
    <row r="2129" spans="1:6" x14ac:dyDescent="0.25">
      <c r="A2129">
        <v>2128</v>
      </c>
      <c r="B2129">
        <v>41</v>
      </c>
      <c r="C2129">
        <v>0</v>
      </c>
      <c r="D2129">
        <v>0</v>
      </c>
      <c r="E2129">
        <v>0</v>
      </c>
      <c r="F2129">
        <v>1</v>
      </c>
    </row>
    <row r="2130" spans="1:6" x14ac:dyDescent="0.25">
      <c r="A2130">
        <v>2129</v>
      </c>
      <c r="B2130">
        <v>42</v>
      </c>
      <c r="C2130">
        <v>0</v>
      </c>
      <c r="D2130">
        <v>0</v>
      </c>
      <c r="E2130">
        <v>0</v>
      </c>
      <c r="F2130">
        <v>0.2</v>
      </c>
    </row>
    <row r="2131" spans="1:6" x14ac:dyDescent="0.25">
      <c r="A2131">
        <v>2130</v>
      </c>
      <c r="B2131">
        <v>43</v>
      </c>
      <c r="C2131">
        <v>0</v>
      </c>
      <c r="D2131">
        <v>0</v>
      </c>
      <c r="E2131">
        <v>0</v>
      </c>
      <c r="F2131">
        <v>0</v>
      </c>
    </row>
    <row r="2132" spans="1:6" x14ac:dyDescent="0.25">
      <c r="A2132">
        <v>2131</v>
      </c>
      <c r="B2132">
        <v>44</v>
      </c>
      <c r="C2132">
        <v>0</v>
      </c>
      <c r="D2132">
        <v>0</v>
      </c>
      <c r="E2132">
        <v>0</v>
      </c>
      <c r="F2132">
        <v>3.17449</v>
      </c>
    </row>
    <row r="2133" spans="1:6" x14ac:dyDescent="0.25">
      <c r="A2133">
        <v>2132</v>
      </c>
      <c r="B2133">
        <v>45</v>
      </c>
      <c r="C2133">
        <v>0</v>
      </c>
      <c r="D2133">
        <v>0</v>
      </c>
      <c r="E2133">
        <v>0</v>
      </c>
      <c r="F2133">
        <v>4400</v>
      </c>
    </row>
    <row r="2134" spans="1:6" x14ac:dyDescent="0.25">
      <c r="A2134">
        <v>2133</v>
      </c>
      <c r="B2134">
        <v>46</v>
      </c>
      <c r="C2134">
        <v>0</v>
      </c>
      <c r="D2134">
        <v>0</v>
      </c>
      <c r="E2134">
        <v>0</v>
      </c>
      <c r="F2134">
        <v>0</v>
      </c>
    </row>
    <row r="2135" spans="1:6" x14ac:dyDescent="0.25">
      <c r="A2135">
        <v>2134</v>
      </c>
      <c r="B2135">
        <v>2</v>
      </c>
      <c r="C2135">
        <v>0</v>
      </c>
      <c r="D2135">
        <v>0</v>
      </c>
      <c r="E2135">
        <v>0</v>
      </c>
      <c r="F2135">
        <v>34.406799999999997</v>
      </c>
    </row>
    <row r="2136" spans="1:6" x14ac:dyDescent="0.25">
      <c r="A2136">
        <v>2135</v>
      </c>
      <c r="B2136">
        <v>10</v>
      </c>
      <c r="C2136">
        <v>1</v>
      </c>
      <c r="D2136">
        <v>0</v>
      </c>
      <c r="E2136">
        <v>0</v>
      </c>
      <c r="F2136">
        <v>34715</v>
      </c>
    </row>
    <row r="2137" spans="1:6" x14ac:dyDescent="0.25">
      <c r="A2137">
        <v>2136</v>
      </c>
      <c r="B2137" t="s">
        <v>0</v>
      </c>
      <c r="C2137">
        <v>120</v>
      </c>
      <c r="D2137">
        <v>3482</v>
      </c>
      <c r="E2137">
        <v>79869198</v>
      </c>
    </row>
    <row r="2138" spans="1:6" x14ac:dyDescent="0.25">
      <c r="A2138">
        <v>2137</v>
      </c>
      <c r="B2138">
        <v>13</v>
      </c>
      <c r="C2138">
        <v>0</v>
      </c>
      <c r="D2138">
        <v>0</v>
      </c>
      <c r="E2138">
        <v>0</v>
      </c>
      <c r="F2138">
        <v>1602</v>
      </c>
    </row>
    <row r="2139" spans="1:6" x14ac:dyDescent="0.25">
      <c r="A2139">
        <v>2138</v>
      </c>
      <c r="B2139">
        <v>41</v>
      </c>
      <c r="C2139">
        <v>0</v>
      </c>
      <c r="D2139">
        <v>0</v>
      </c>
      <c r="E2139">
        <v>0</v>
      </c>
      <c r="F2139">
        <v>1</v>
      </c>
    </row>
    <row r="2140" spans="1:6" x14ac:dyDescent="0.25">
      <c r="A2140">
        <v>2139</v>
      </c>
      <c r="B2140">
        <v>42</v>
      </c>
      <c r="C2140">
        <v>0</v>
      </c>
      <c r="D2140">
        <v>0</v>
      </c>
      <c r="E2140">
        <v>0</v>
      </c>
      <c r="F2140">
        <v>0.2</v>
      </c>
    </row>
    <row r="2141" spans="1:6" x14ac:dyDescent="0.25">
      <c r="A2141">
        <v>2140</v>
      </c>
      <c r="B2141">
        <v>43</v>
      </c>
      <c r="C2141">
        <v>0</v>
      </c>
      <c r="D2141">
        <v>0</v>
      </c>
      <c r="E2141">
        <v>0</v>
      </c>
      <c r="F2141">
        <v>0</v>
      </c>
    </row>
    <row r="2142" spans="1:6" x14ac:dyDescent="0.25">
      <c r="A2142">
        <v>2141</v>
      </c>
      <c r="B2142">
        <v>44</v>
      </c>
      <c r="C2142">
        <v>0</v>
      </c>
      <c r="D2142">
        <v>0</v>
      </c>
      <c r="E2142">
        <v>0</v>
      </c>
      <c r="F2142">
        <v>3.39927</v>
      </c>
    </row>
    <row r="2143" spans="1:6" x14ac:dyDescent="0.25">
      <c r="A2143">
        <v>2142</v>
      </c>
      <c r="B2143">
        <v>45</v>
      </c>
      <c r="C2143">
        <v>0</v>
      </c>
      <c r="D2143">
        <v>0</v>
      </c>
      <c r="E2143">
        <v>0</v>
      </c>
      <c r="F2143">
        <v>4400</v>
      </c>
    </row>
    <row r="2144" spans="1:6" x14ac:dyDescent="0.25">
      <c r="A2144">
        <v>2143</v>
      </c>
      <c r="B2144">
        <v>46</v>
      </c>
      <c r="C2144">
        <v>0</v>
      </c>
      <c r="D2144">
        <v>0</v>
      </c>
      <c r="E2144">
        <v>0</v>
      </c>
      <c r="F2144">
        <v>0</v>
      </c>
    </row>
    <row r="2145" spans="1:6" x14ac:dyDescent="0.25">
      <c r="A2145">
        <v>2144</v>
      </c>
      <c r="B2145">
        <v>2</v>
      </c>
      <c r="C2145">
        <v>0</v>
      </c>
      <c r="D2145">
        <v>0</v>
      </c>
      <c r="E2145">
        <v>0</v>
      </c>
      <c r="F2145">
        <v>34.4071</v>
      </c>
    </row>
    <row r="2146" spans="1:6" x14ac:dyDescent="0.25">
      <c r="A2146">
        <v>2145</v>
      </c>
      <c r="B2146">
        <v>10</v>
      </c>
      <c r="C2146">
        <v>1</v>
      </c>
      <c r="D2146">
        <v>0</v>
      </c>
      <c r="E2146">
        <v>0</v>
      </c>
      <c r="F2146">
        <v>34715</v>
      </c>
    </row>
    <row r="2147" spans="1:6" x14ac:dyDescent="0.25">
      <c r="A2147">
        <v>2146</v>
      </c>
      <c r="B2147">
        <v>13</v>
      </c>
      <c r="C2147">
        <v>0</v>
      </c>
      <c r="D2147">
        <v>0</v>
      </c>
      <c r="E2147">
        <v>0</v>
      </c>
      <c r="F2147">
        <v>1602</v>
      </c>
    </row>
    <row r="2148" spans="1:6" x14ac:dyDescent="0.25">
      <c r="A2148">
        <v>2147</v>
      </c>
      <c r="B2148">
        <v>41</v>
      </c>
      <c r="C2148">
        <v>0</v>
      </c>
      <c r="D2148">
        <v>0</v>
      </c>
      <c r="E2148">
        <v>0</v>
      </c>
      <c r="F2148">
        <v>1</v>
      </c>
    </row>
    <row r="2149" spans="1:6" x14ac:dyDescent="0.25">
      <c r="A2149">
        <v>2148</v>
      </c>
      <c r="B2149">
        <v>42</v>
      </c>
      <c r="C2149">
        <v>0</v>
      </c>
      <c r="D2149">
        <v>0</v>
      </c>
      <c r="E2149">
        <v>0</v>
      </c>
      <c r="F2149">
        <v>0.2</v>
      </c>
    </row>
    <row r="2150" spans="1:6" x14ac:dyDescent="0.25">
      <c r="A2150">
        <v>2149</v>
      </c>
      <c r="B2150">
        <v>43</v>
      </c>
      <c r="C2150">
        <v>0</v>
      </c>
      <c r="D2150">
        <v>0</v>
      </c>
      <c r="E2150">
        <v>0</v>
      </c>
      <c r="F2150">
        <v>0</v>
      </c>
    </row>
    <row r="2151" spans="1:6" x14ac:dyDescent="0.25">
      <c r="A2151">
        <v>2150</v>
      </c>
      <c r="B2151">
        <v>44</v>
      </c>
      <c r="C2151">
        <v>0</v>
      </c>
      <c r="D2151">
        <v>0</v>
      </c>
      <c r="E2151">
        <v>0</v>
      </c>
      <c r="F2151">
        <v>3.39927</v>
      </c>
    </row>
    <row r="2152" spans="1:6" x14ac:dyDescent="0.25">
      <c r="A2152">
        <v>2151</v>
      </c>
      <c r="B2152" t="s">
        <v>0</v>
      </c>
      <c r="C2152">
        <v>121</v>
      </c>
      <c r="D2152">
        <v>3482</v>
      </c>
      <c r="E2152">
        <v>79870166</v>
      </c>
    </row>
    <row r="2153" spans="1:6" x14ac:dyDescent="0.25">
      <c r="A2153">
        <v>2152</v>
      </c>
      <c r="B2153">
        <v>46</v>
      </c>
      <c r="C2153">
        <v>0</v>
      </c>
      <c r="D2153">
        <v>0</v>
      </c>
      <c r="E2153">
        <v>0</v>
      </c>
      <c r="F2153">
        <v>0</v>
      </c>
    </row>
    <row r="2154" spans="1:6" x14ac:dyDescent="0.25">
      <c r="A2154">
        <v>2153</v>
      </c>
      <c r="B2154">
        <v>2</v>
      </c>
      <c r="C2154">
        <v>0</v>
      </c>
      <c r="D2154">
        <v>0</v>
      </c>
      <c r="E2154">
        <v>0</v>
      </c>
      <c r="F2154">
        <v>34.4069</v>
      </c>
    </row>
    <row r="2155" spans="1:6" x14ac:dyDescent="0.25">
      <c r="A2155">
        <v>2154</v>
      </c>
      <c r="B2155">
        <v>10</v>
      </c>
      <c r="C2155">
        <v>1</v>
      </c>
      <c r="D2155">
        <v>0</v>
      </c>
      <c r="E2155">
        <v>0</v>
      </c>
      <c r="F2155">
        <v>34715</v>
      </c>
    </row>
    <row r="2156" spans="1:6" x14ac:dyDescent="0.25">
      <c r="A2156">
        <v>2155</v>
      </c>
      <c r="B2156">
        <v>13</v>
      </c>
      <c r="C2156">
        <v>0</v>
      </c>
      <c r="D2156">
        <v>0</v>
      </c>
      <c r="E2156">
        <v>0</v>
      </c>
      <c r="F2156">
        <v>1602</v>
      </c>
    </row>
    <row r="2157" spans="1:6" x14ac:dyDescent="0.25">
      <c r="A2157">
        <v>2156</v>
      </c>
      <c r="B2157">
        <v>41</v>
      </c>
      <c r="C2157">
        <v>0</v>
      </c>
      <c r="D2157">
        <v>0</v>
      </c>
      <c r="E2157">
        <v>0</v>
      </c>
      <c r="F2157">
        <v>1</v>
      </c>
    </row>
    <row r="2158" spans="1:6" x14ac:dyDescent="0.25">
      <c r="A2158">
        <v>2157</v>
      </c>
      <c r="B2158">
        <v>42</v>
      </c>
      <c r="C2158">
        <v>0</v>
      </c>
      <c r="D2158">
        <v>0</v>
      </c>
      <c r="E2158">
        <v>0</v>
      </c>
      <c r="F2158">
        <v>0.2</v>
      </c>
    </row>
    <row r="2159" spans="1:6" x14ac:dyDescent="0.25">
      <c r="A2159">
        <v>2158</v>
      </c>
      <c r="B2159">
        <v>43</v>
      </c>
      <c r="C2159">
        <v>0</v>
      </c>
      <c r="D2159">
        <v>0</v>
      </c>
      <c r="E2159">
        <v>0</v>
      </c>
      <c r="F2159">
        <v>0</v>
      </c>
    </row>
    <row r="2160" spans="1:6" x14ac:dyDescent="0.25">
      <c r="A2160">
        <v>2159</v>
      </c>
      <c r="B2160">
        <v>44</v>
      </c>
      <c r="C2160">
        <v>0</v>
      </c>
      <c r="D2160">
        <v>0</v>
      </c>
      <c r="E2160">
        <v>0</v>
      </c>
      <c r="F2160">
        <v>3.6494200000000001</v>
      </c>
    </row>
    <row r="2161" spans="1:6" x14ac:dyDescent="0.25">
      <c r="A2161">
        <v>2160</v>
      </c>
      <c r="B2161">
        <v>45</v>
      </c>
      <c r="C2161">
        <v>0</v>
      </c>
      <c r="D2161">
        <v>0</v>
      </c>
      <c r="E2161">
        <v>0</v>
      </c>
      <c r="F2161">
        <v>4400</v>
      </c>
    </row>
    <row r="2162" spans="1:6" x14ac:dyDescent="0.25">
      <c r="A2162">
        <v>2161</v>
      </c>
      <c r="B2162">
        <v>46</v>
      </c>
      <c r="C2162">
        <v>0</v>
      </c>
      <c r="D2162">
        <v>0</v>
      </c>
      <c r="E2162">
        <v>0</v>
      </c>
      <c r="F2162">
        <v>0</v>
      </c>
    </row>
    <row r="2163" spans="1:6" x14ac:dyDescent="0.25">
      <c r="A2163">
        <v>2162</v>
      </c>
      <c r="B2163">
        <v>2</v>
      </c>
      <c r="C2163">
        <v>0</v>
      </c>
      <c r="D2163">
        <v>0</v>
      </c>
      <c r="E2163">
        <v>0</v>
      </c>
      <c r="F2163">
        <v>34.4069</v>
      </c>
    </row>
    <row r="2164" spans="1:6" x14ac:dyDescent="0.25">
      <c r="A2164">
        <v>2163</v>
      </c>
      <c r="B2164">
        <v>10</v>
      </c>
      <c r="C2164">
        <v>1</v>
      </c>
      <c r="D2164">
        <v>0</v>
      </c>
      <c r="E2164">
        <v>0</v>
      </c>
      <c r="F2164">
        <v>34715</v>
      </c>
    </row>
    <row r="2165" spans="1:6" x14ac:dyDescent="0.25">
      <c r="A2165">
        <v>2164</v>
      </c>
      <c r="B2165">
        <v>13</v>
      </c>
      <c r="C2165">
        <v>0</v>
      </c>
      <c r="D2165">
        <v>0</v>
      </c>
      <c r="E2165">
        <v>0</v>
      </c>
      <c r="F2165">
        <v>1602</v>
      </c>
    </row>
    <row r="2166" spans="1:6" x14ac:dyDescent="0.25">
      <c r="A2166">
        <v>2165</v>
      </c>
      <c r="B2166">
        <v>41</v>
      </c>
      <c r="C2166">
        <v>0</v>
      </c>
      <c r="D2166">
        <v>0</v>
      </c>
      <c r="E2166">
        <v>0</v>
      </c>
      <c r="F2166">
        <v>1</v>
      </c>
    </row>
    <row r="2167" spans="1:6" x14ac:dyDescent="0.25">
      <c r="A2167">
        <v>2166</v>
      </c>
      <c r="B2167" t="s">
        <v>0</v>
      </c>
      <c r="C2167">
        <v>122</v>
      </c>
      <c r="D2167">
        <v>3482</v>
      </c>
      <c r="E2167">
        <v>79871134</v>
      </c>
    </row>
    <row r="2168" spans="1:6" x14ac:dyDescent="0.25">
      <c r="A2168">
        <v>2167</v>
      </c>
      <c r="B2168">
        <v>42</v>
      </c>
      <c r="C2168">
        <v>0</v>
      </c>
      <c r="D2168">
        <v>0</v>
      </c>
      <c r="E2168">
        <v>0</v>
      </c>
      <c r="F2168">
        <v>0.2</v>
      </c>
    </row>
    <row r="2169" spans="1:6" x14ac:dyDescent="0.25">
      <c r="A2169">
        <v>2168</v>
      </c>
      <c r="B2169">
        <v>43</v>
      </c>
      <c r="C2169">
        <v>0</v>
      </c>
      <c r="D2169">
        <v>0</v>
      </c>
      <c r="E2169">
        <v>0</v>
      </c>
      <c r="F2169">
        <v>0</v>
      </c>
    </row>
    <row r="2170" spans="1:6" x14ac:dyDescent="0.25">
      <c r="A2170">
        <v>2169</v>
      </c>
      <c r="B2170">
        <v>44</v>
      </c>
      <c r="C2170">
        <v>0</v>
      </c>
      <c r="D2170">
        <v>0</v>
      </c>
      <c r="E2170">
        <v>0</v>
      </c>
      <c r="F2170">
        <v>3.89974</v>
      </c>
    </row>
    <row r="2171" spans="1:6" x14ac:dyDescent="0.25">
      <c r="A2171">
        <v>2170</v>
      </c>
      <c r="B2171">
        <v>45</v>
      </c>
      <c r="C2171">
        <v>0</v>
      </c>
      <c r="D2171">
        <v>0</v>
      </c>
      <c r="E2171">
        <v>0</v>
      </c>
      <c r="F2171">
        <v>4400</v>
      </c>
    </row>
    <row r="2172" spans="1:6" x14ac:dyDescent="0.25">
      <c r="A2172">
        <v>2171</v>
      </c>
      <c r="B2172">
        <v>46</v>
      </c>
      <c r="C2172">
        <v>0</v>
      </c>
      <c r="D2172">
        <v>0</v>
      </c>
      <c r="E2172">
        <v>0</v>
      </c>
      <c r="F2172">
        <v>0</v>
      </c>
    </row>
    <row r="2173" spans="1:6" x14ac:dyDescent="0.25">
      <c r="A2173">
        <v>2172</v>
      </c>
      <c r="B2173">
        <v>2</v>
      </c>
      <c r="C2173">
        <v>0</v>
      </c>
      <c r="D2173">
        <v>0</v>
      </c>
      <c r="E2173">
        <v>0</v>
      </c>
      <c r="F2173">
        <v>34.406599999999997</v>
      </c>
    </row>
    <row r="2174" spans="1:6" x14ac:dyDescent="0.25">
      <c r="A2174">
        <v>2173</v>
      </c>
      <c r="B2174">
        <v>10</v>
      </c>
      <c r="C2174">
        <v>1</v>
      </c>
      <c r="D2174">
        <v>0</v>
      </c>
      <c r="E2174">
        <v>0</v>
      </c>
      <c r="F2174">
        <v>34715</v>
      </c>
    </row>
    <row r="2175" spans="1:6" x14ac:dyDescent="0.25">
      <c r="A2175">
        <v>2174</v>
      </c>
      <c r="B2175">
        <v>13</v>
      </c>
      <c r="C2175">
        <v>0</v>
      </c>
      <c r="D2175">
        <v>0</v>
      </c>
      <c r="E2175">
        <v>0</v>
      </c>
      <c r="F2175">
        <v>1602</v>
      </c>
    </row>
    <row r="2176" spans="1:6" x14ac:dyDescent="0.25">
      <c r="A2176">
        <v>2175</v>
      </c>
      <c r="B2176">
        <v>41</v>
      </c>
      <c r="C2176">
        <v>0</v>
      </c>
      <c r="D2176">
        <v>0</v>
      </c>
      <c r="E2176">
        <v>0</v>
      </c>
      <c r="F2176">
        <v>1</v>
      </c>
    </row>
    <row r="2177" spans="1:6" x14ac:dyDescent="0.25">
      <c r="A2177">
        <v>2176</v>
      </c>
      <c r="B2177">
        <v>42</v>
      </c>
      <c r="C2177">
        <v>0</v>
      </c>
      <c r="D2177">
        <v>0</v>
      </c>
      <c r="E2177">
        <v>0</v>
      </c>
      <c r="F2177">
        <v>0.2</v>
      </c>
    </row>
    <row r="2178" spans="1:6" x14ac:dyDescent="0.25">
      <c r="A2178">
        <v>2177</v>
      </c>
      <c r="B2178">
        <v>43</v>
      </c>
      <c r="C2178">
        <v>0</v>
      </c>
      <c r="D2178">
        <v>0</v>
      </c>
      <c r="E2178">
        <v>0</v>
      </c>
      <c r="F2178">
        <v>0</v>
      </c>
    </row>
    <row r="2179" spans="1:6" x14ac:dyDescent="0.25">
      <c r="A2179">
        <v>2178</v>
      </c>
      <c r="B2179">
        <v>44</v>
      </c>
      <c r="C2179">
        <v>0</v>
      </c>
      <c r="D2179">
        <v>0</v>
      </c>
      <c r="E2179">
        <v>0</v>
      </c>
      <c r="F2179">
        <v>3.89974</v>
      </c>
    </row>
    <row r="2180" spans="1:6" x14ac:dyDescent="0.25">
      <c r="A2180">
        <v>2179</v>
      </c>
      <c r="B2180">
        <v>45</v>
      </c>
      <c r="C2180">
        <v>0</v>
      </c>
      <c r="D2180">
        <v>0</v>
      </c>
      <c r="E2180">
        <v>0</v>
      </c>
      <c r="F2180">
        <v>4400</v>
      </c>
    </row>
    <row r="2181" spans="1:6" x14ac:dyDescent="0.25">
      <c r="A2181">
        <v>2180</v>
      </c>
      <c r="B2181">
        <v>46</v>
      </c>
      <c r="C2181">
        <v>0</v>
      </c>
      <c r="D2181">
        <v>0</v>
      </c>
      <c r="E2181">
        <v>0</v>
      </c>
      <c r="F2181">
        <v>0</v>
      </c>
    </row>
    <row r="2182" spans="1:6" x14ac:dyDescent="0.25">
      <c r="A2182">
        <v>2181</v>
      </c>
      <c r="B2182">
        <v>2</v>
      </c>
      <c r="C2182">
        <v>0</v>
      </c>
      <c r="D2182">
        <v>0</v>
      </c>
      <c r="E2182">
        <v>0</v>
      </c>
      <c r="F2182">
        <v>34.406599999999997</v>
      </c>
    </row>
    <row r="2183" spans="1:6" x14ac:dyDescent="0.25">
      <c r="A2183">
        <v>2182</v>
      </c>
      <c r="B2183">
        <v>10</v>
      </c>
      <c r="C2183">
        <v>1</v>
      </c>
      <c r="D2183">
        <v>0</v>
      </c>
      <c r="E2183">
        <v>0</v>
      </c>
      <c r="F2183">
        <v>34715</v>
      </c>
    </row>
    <row r="2184" spans="1:6" x14ac:dyDescent="0.25">
      <c r="A2184">
        <v>2183</v>
      </c>
      <c r="B2184">
        <v>13</v>
      </c>
      <c r="C2184">
        <v>0</v>
      </c>
      <c r="D2184">
        <v>0</v>
      </c>
      <c r="E2184">
        <v>0</v>
      </c>
      <c r="F2184">
        <v>1602</v>
      </c>
    </row>
    <row r="2185" spans="1:6" x14ac:dyDescent="0.25">
      <c r="A2185">
        <v>2184</v>
      </c>
      <c r="B2185">
        <v>41</v>
      </c>
      <c r="C2185">
        <v>0</v>
      </c>
      <c r="D2185">
        <v>0</v>
      </c>
      <c r="E2185">
        <v>0</v>
      </c>
      <c r="F2185">
        <v>1</v>
      </c>
    </row>
    <row r="2186" spans="1:6" x14ac:dyDescent="0.25">
      <c r="A2186">
        <v>2185</v>
      </c>
      <c r="B2186">
        <v>42</v>
      </c>
      <c r="C2186">
        <v>0</v>
      </c>
      <c r="D2186">
        <v>0</v>
      </c>
      <c r="E2186">
        <v>0</v>
      </c>
      <c r="F2186">
        <v>0.2</v>
      </c>
    </row>
    <row r="2187" spans="1:6" x14ac:dyDescent="0.25">
      <c r="A2187">
        <v>2186</v>
      </c>
      <c r="B2187">
        <v>43</v>
      </c>
      <c r="C2187">
        <v>0</v>
      </c>
      <c r="D2187">
        <v>0</v>
      </c>
      <c r="E2187">
        <v>0</v>
      </c>
      <c r="F2187">
        <v>0</v>
      </c>
    </row>
    <row r="2188" spans="1:6" x14ac:dyDescent="0.25">
      <c r="A2188">
        <v>2187</v>
      </c>
      <c r="B2188">
        <v>44</v>
      </c>
      <c r="C2188">
        <v>0</v>
      </c>
      <c r="D2188">
        <v>0</v>
      </c>
      <c r="E2188">
        <v>0</v>
      </c>
      <c r="F2188">
        <v>4.1496899999999997</v>
      </c>
    </row>
    <row r="2189" spans="1:6" x14ac:dyDescent="0.25">
      <c r="A2189">
        <v>2188</v>
      </c>
      <c r="B2189">
        <v>45</v>
      </c>
      <c r="C2189">
        <v>0</v>
      </c>
      <c r="D2189">
        <v>0</v>
      </c>
      <c r="E2189">
        <v>0</v>
      </c>
      <c r="F2189">
        <v>4400</v>
      </c>
    </row>
    <row r="2190" spans="1:6" x14ac:dyDescent="0.25">
      <c r="A2190">
        <v>2189</v>
      </c>
      <c r="B2190">
        <v>46</v>
      </c>
      <c r="C2190">
        <v>0</v>
      </c>
      <c r="D2190">
        <v>0</v>
      </c>
      <c r="E2190">
        <v>0</v>
      </c>
      <c r="F2190">
        <v>0</v>
      </c>
    </row>
    <row r="2191" spans="1:6" x14ac:dyDescent="0.25">
      <c r="A2191">
        <v>2190</v>
      </c>
      <c r="B2191">
        <v>2</v>
      </c>
      <c r="C2191">
        <v>0</v>
      </c>
      <c r="D2191">
        <v>0</v>
      </c>
      <c r="E2191">
        <v>0</v>
      </c>
      <c r="F2191">
        <v>34.406700000000001</v>
      </c>
    </row>
    <row r="2192" spans="1:6" x14ac:dyDescent="0.25">
      <c r="A2192">
        <v>2191</v>
      </c>
      <c r="B2192">
        <v>10</v>
      </c>
      <c r="C2192">
        <v>1</v>
      </c>
      <c r="D2192">
        <v>0</v>
      </c>
      <c r="E2192">
        <v>0</v>
      </c>
      <c r="F2192">
        <v>34715</v>
      </c>
    </row>
    <row r="2193" spans="1:6" x14ac:dyDescent="0.25">
      <c r="A2193">
        <v>2192</v>
      </c>
      <c r="B2193">
        <v>13</v>
      </c>
      <c r="C2193">
        <v>0</v>
      </c>
      <c r="D2193">
        <v>0</v>
      </c>
      <c r="E2193">
        <v>0</v>
      </c>
      <c r="F2193">
        <v>1602</v>
      </c>
    </row>
    <row r="2194" spans="1:6" x14ac:dyDescent="0.25">
      <c r="A2194">
        <v>2193</v>
      </c>
      <c r="B2194">
        <v>41</v>
      </c>
      <c r="C2194">
        <v>0</v>
      </c>
      <c r="D2194">
        <v>0</v>
      </c>
      <c r="E2194">
        <v>0</v>
      </c>
      <c r="F2194">
        <v>1</v>
      </c>
    </row>
    <row r="2195" spans="1:6" x14ac:dyDescent="0.25">
      <c r="A2195">
        <v>2194</v>
      </c>
      <c r="B2195">
        <v>42</v>
      </c>
      <c r="C2195">
        <v>0</v>
      </c>
      <c r="D2195">
        <v>0</v>
      </c>
      <c r="E2195">
        <v>0</v>
      </c>
      <c r="F2195">
        <v>0.2</v>
      </c>
    </row>
    <row r="2196" spans="1:6" x14ac:dyDescent="0.25">
      <c r="A2196">
        <v>2195</v>
      </c>
      <c r="B2196">
        <v>43</v>
      </c>
      <c r="C2196">
        <v>0</v>
      </c>
      <c r="D2196">
        <v>0</v>
      </c>
      <c r="E2196">
        <v>0</v>
      </c>
      <c r="F2196">
        <v>0</v>
      </c>
    </row>
    <row r="2197" spans="1:6" x14ac:dyDescent="0.25">
      <c r="A2197">
        <v>2196</v>
      </c>
      <c r="B2197" t="s">
        <v>0</v>
      </c>
      <c r="C2197">
        <v>124</v>
      </c>
      <c r="D2197">
        <v>3482</v>
      </c>
      <c r="E2197">
        <v>79873071</v>
      </c>
    </row>
    <row r="2198" spans="1:6" x14ac:dyDescent="0.25">
      <c r="A2198">
        <v>2197</v>
      </c>
      <c r="B2198">
        <v>45</v>
      </c>
      <c r="C2198">
        <v>0</v>
      </c>
      <c r="D2198">
        <v>0</v>
      </c>
      <c r="E2198">
        <v>0</v>
      </c>
      <c r="F2198">
        <v>4400</v>
      </c>
    </row>
    <row r="2199" spans="1:6" x14ac:dyDescent="0.25">
      <c r="A2199">
        <v>2198</v>
      </c>
      <c r="B2199">
        <v>46</v>
      </c>
      <c r="C2199">
        <v>0</v>
      </c>
      <c r="D2199">
        <v>0</v>
      </c>
      <c r="E2199">
        <v>0</v>
      </c>
      <c r="F2199">
        <v>0</v>
      </c>
    </row>
    <row r="2200" spans="1:6" x14ac:dyDescent="0.25">
      <c r="A2200">
        <v>2199</v>
      </c>
      <c r="B2200">
        <v>2</v>
      </c>
      <c r="C2200">
        <v>0</v>
      </c>
      <c r="D2200">
        <v>0</v>
      </c>
      <c r="E2200">
        <v>0</v>
      </c>
      <c r="F2200">
        <v>34.406300000000002</v>
      </c>
    </row>
    <row r="2201" spans="1:6" x14ac:dyDescent="0.25">
      <c r="A2201">
        <v>2200</v>
      </c>
      <c r="B2201">
        <v>10</v>
      </c>
      <c r="C2201">
        <v>1</v>
      </c>
      <c r="D2201">
        <v>0</v>
      </c>
      <c r="E2201">
        <v>0</v>
      </c>
      <c r="F2201">
        <v>34715</v>
      </c>
    </row>
    <row r="2202" spans="1:6" x14ac:dyDescent="0.25">
      <c r="A2202">
        <v>2201</v>
      </c>
      <c r="B2202">
        <v>13</v>
      </c>
      <c r="C2202">
        <v>0</v>
      </c>
      <c r="D2202">
        <v>0</v>
      </c>
      <c r="E2202">
        <v>0</v>
      </c>
      <c r="F2202">
        <v>1602</v>
      </c>
    </row>
    <row r="2203" spans="1:6" x14ac:dyDescent="0.25">
      <c r="A2203">
        <v>2202</v>
      </c>
      <c r="B2203">
        <v>41</v>
      </c>
      <c r="C2203">
        <v>0</v>
      </c>
      <c r="D2203">
        <v>0</v>
      </c>
      <c r="E2203">
        <v>0</v>
      </c>
      <c r="F2203">
        <v>1</v>
      </c>
    </row>
    <row r="2204" spans="1:6" x14ac:dyDescent="0.25">
      <c r="A2204">
        <v>2203</v>
      </c>
      <c r="B2204">
        <v>42</v>
      </c>
      <c r="C2204">
        <v>0</v>
      </c>
      <c r="D2204">
        <v>0</v>
      </c>
      <c r="E2204">
        <v>0</v>
      </c>
      <c r="F2204">
        <v>0.2</v>
      </c>
    </row>
    <row r="2205" spans="1:6" x14ac:dyDescent="0.25">
      <c r="A2205">
        <v>2204</v>
      </c>
      <c r="B2205">
        <v>43</v>
      </c>
      <c r="C2205">
        <v>0</v>
      </c>
      <c r="D2205">
        <v>0</v>
      </c>
      <c r="E2205">
        <v>0</v>
      </c>
      <c r="F2205">
        <v>0</v>
      </c>
    </row>
    <row r="2206" spans="1:6" x14ac:dyDescent="0.25">
      <c r="A2206">
        <v>2205</v>
      </c>
      <c r="B2206">
        <v>44</v>
      </c>
      <c r="C2206">
        <v>0</v>
      </c>
      <c r="D2206">
        <v>0</v>
      </c>
      <c r="E2206">
        <v>0</v>
      </c>
      <c r="F2206">
        <v>4.37507</v>
      </c>
    </row>
    <row r="2207" spans="1:6" x14ac:dyDescent="0.25">
      <c r="A2207">
        <v>2206</v>
      </c>
      <c r="B2207">
        <v>45</v>
      </c>
      <c r="C2207">
        <v>0</v>
      </c>
      <c r="D2207">
        <v>0</v>
      </c>
      <c r="E2207">
        <v>0</v>
      </c>
      <c r="F2207">
        <v>4400</v>
      </c>
    </row>
    <row r="2208" spans="1:6" x14ac:dyDescent="0.25">
      <c r="A2208">
        <v>2207</v>
      </c>
      <c r="B2208">
        <v>46</v>
      </c>
      <c r="C2208">
        <v>0</v>
      </c>
      <c r="D2208">
        <v>0</v>
      </c>
      <c r="E2208">
        <v>0</v>
      </c>
      <c r="F2208">
        <v>0</v>
      </c>
    </row>
    <row r="2209" spans="1:6" x14ac:dyDescent="0.25">
      <c r="A2209">
        <v>2208</v>
      </c>
      <c r="B2209">
        <v>2</v>
      </c>
      <c r="C2209">
        <v>0</v>
      </c>
      <c r="D2209">
        <v>0</v>
      </c>
      <c r="E2209">
        <v>0</v>
      </c>
      <c r="F2209">
        <v>34.406300000000002</v>
      </c>
    </row>
    <row r="2210" spans="1:6" x14ac:dyDescent="0.25">
      <c r="A2210">
        <v>2209</v>
      </c>
      <c r="B2210">
        <v>10</v>
      </c>
      <c r="C2210">
        <v>1</v>
      </c>
      <c r="D2210">
        <v>0</v>
      </c>
      <c r="E2210">
        <v>0</v>
      </c>
      <c r="F2210">
        <v>34715</v>
      </c>
    </row>
    <row r="2211" spans="1:6" x14ac:dyDescent="0.25">
      <c r="A2211">
        <v>2210</v>
      </c>
      <c r="B2211">
        <v>13</v>
      </c>
      <c r="C2211">
        <v>0</v>
      </c>
      <c r="D2211">
        <v>0</v>
      </c>
      <c r="E2211">
        <v>0</v>
      </c>
      <c r="F2211">
        <v>1602</v>
      </c>
    </row>
    <row r="2212" spans="1:6" x14ac:dyDescent="0.25">
      <c r="A2212">
        <v>2211</v>
      </c>
      <c r="B2212" t="s">
        <v>0</v>
      </c>
      <c r="C2212">
        <v>125</v>
      </c>
      <c r="D2212">
        <v>3482</v>
      </c>
      <c r="E2212">
        <v>79874039</v>
      </c>
    </row>
    <row r="2213" spans="1:6" x14ac:dyDescent="0.25">
      <c r="A2213">
        <v>2212</v>
      </c>
      <c r="B2213">
        <v>41</v>
      </c>
      <c r="C2213">
        <v>0</v>
      </c>
      <c r="D2213">
        <v>0</v>
      </c>
      <c r="E2213">
        <v>0</v>
      </c>
      <c r="F2213">
        <v>1</v>
      </c>
    </row>
    <row r="2214" spans="1:6" x14ac:dyDescent="0.25">
      <c r="A2214">
        <v>2213</v>
      </c>
      <c r="B2214">
        <v>42</v>
      </c>
      <c r="C2214">
        <v>0</v>
      </c>
      <c r="D2214">
        <v>0</v>
      </c>
      <c r="E2214">
        <v>0</v>
      </c>
      <c r="F2214">
        <v>0.2</v>
      </c>
    </row>
    <row r="2215" spans="1:6" x14ac:dyDescent="0.25">
      <c r="A2215">
        <v>2214</v>
      </c>
      <c r="B2215">
        <v>43</v>
      </c>
      <c r="C2215">
        <v>0</v>
      </c>
      <c r="D2215">
        <v>0</v>
      </c>
      <c r="E2215">
        <v>0</v>
      </c>
      <c r="F2215">
        <v>0</v>
      </c>
    </row>
    <row r="2216" spans="1:6" x14ac:dyDescent="0.25">
      <c r="A2216">
        <v>2215</v>
      </c>
      <c r="B2216">
        <v>44</v>
      </c>
      <c r="C2216">
        <v>0</v>
      </c>
      <c r="D2216">
        <v>0</v>
      </c>
      <c r="E2216">
        <v>0</v>
      </c>
      <c r="F2216">
        <v>4.62493</v>
      </c>
    </row>
    <row r="2217" spans="1:6" x14ac:dyDescent="0.25">
      <c r="A2217">
        <v>2216</v>
      </c>
      <c r="B2217">
        <v>45</v>
      </c>
      <c r="C2217">
        <v>0</v>
      </c>
      <c r="D2217">
        <v>0</v>
      </c>
      <c r="E2217">
        <v>0</v>
      </c>
      <c r="F2217">
        <v>4400</v>
      </c>
    </row>
    <row r="2218" spans="1:6" x14ac:dyDescent="0.25">
      <c r="A2218">
        <v>2217</v>
      </c>
      <c r="B2218">
        <v>46</v>
      </c>
      <c r="C2218">
        <v>0</v>
      </c>
      <c r="D2218">
        <v>0</v>
      </c>
      <c r="E2218">
        <v>0</v>
      </c>
      <c r="F2218">
        <v>0</v>
      </c>
    </row>
    <row r="2219" spans="1:6" x14ac:dyDescent="0.25">
      <c r="A2219">
        <v>2218</v>
      </c>
      <c r="B2219">
        <v>2</v>
      </c>
      <c r="C2219">
        <v>0</v>
      </c>
      <c r="D2219">
        <v>0</v>
      </c>
      <c r="E2219">
        <v>0</v>
      </c>
      <c r="F2219">
        <v>34.406500000000001</v>
      </c>
    </row>
    <row r="2220" spans="1:6" x14ac:dyDescent="0.25">
      <c r="A2220">
        <v>2219</v>
      </c>
      <c r="B2220">
        <v>10</v>
      </c>
      <c r="C2220">
        <v>1</v>
      </c>
      <c r="D2220">
        <v>0</v>
      </c>
      <c r="E2220">
        <v>0</v>
      </c>
      <c r="F2220">
        <v>34715</v>
      </c>
    </row>
    <row r="2221" spans="1:6" x14ac:dyDescent="0.25">
      <c r="A2221">
        <v>2220</v>
      </c>
      <c r="B2221">
        <v>13</v>
      </c>
      <c r="C2221">
        <v>0</v>
      </c>
      <c r="D2221">
        <v>0</v>
      </c>
      <c r="E2221">
        <v>0</v>
      </c>
      <c r="F2221">
        <v>1602</v>
      </c>
    </row>
    <row r="2222" spans="1:6" x14ac:dyDescent="0.25">
      <c r="A2222">
        <v>2221</v>
      </c>
      <c r="B2222">
        <v>41</v>
      </c>
      <c r="C2222">
        <v>0</v>
      </c>
      <c r="D2222">
        <v>0</v>
      </c>
      <c r="E2222">
        <v>0</v>
      </c>
      <c r="F2222">
        <v>1</v>
      </c>
    </row>
    <row r="2223" spans="1:6" x14ac:dyDescent="0.25">
      <c r="A2223">
        <v>2222</v>
      </c>
      <c r="B2223">
        <v>42</v>
      </c>
      <c r="C2223">
        <v>0</v>
      </c>
      <c r="D2223">
        <v>0</v>
      </c>
      <c r="E2223">
        <v>0</v>
      </c>
      <c r="F2223">
        <v>0.2</v>
      </c>
    </row>
    <row r="2224" spans="1:6" x14ac:dyDescent="0.25">
      <c r="A2224">
        <v>2223</v>
      </c>
      <c r="B2224">
        <v>43</v>
      </c>
      <c r="C2224">
        <v>0</v>
      </c>
      <c r="D2224">
        <v>0</v>
      </c>
      <c r="E2224">
        <v>0</v>
      </c>
      <c r="F2224">
        <v>0</v>
      </c>
    </row>
    <row r="2225" spans="1:6" x14ac:dyDescent="0.25">
      <c r="A2225">
        <v>2224</v>
      </c>
      <c r="B2225">
        <v>44</v>
      </c>
      <c r="C2225">
        <v>0</v>
      </c>
      <c r="D2225">
        <v>0</v>
      </c>
      <c r="E2225">
        <v>0</v>
      </c>
      <c r="F2225">
        <v>4.62493</v>
      </c>
    </row>
    <row r="2226" spans="1:6" x14ac:dyDescent="0.25">
      <c r="A2226">
        <v>2225</v>
      </c>
      <c r="B2226">
        <v>45</v>
      </c>
      <c r="C2226">
        <v>0</v>
      </c>
      <c r="D2226">
        <v>0</v>
      </c>
      <c r="E2226">
        <v>0</v>
      </c>
      <c r="F2226">
        <v>4400</v>
      </c>
    </row>
    <row r="2227" spans="1:6" x14ac:dyDescent="0.25">
      <c r="A2227">
        <v>2226</v>
      </c>
      <c r="B2227">
        <v>46</v>
      </c>
      <c r="C2227">
        <v>0</v>
      </c>
      <c r="D2227">
        <v>0</v>
      </c>
      <c r="E2227">
        <v>0</v>
      </c>
      <c r="F2227">
        <v>0</v>
      </c>
    </row>
    <row r="2228" spans="1:6" x14ac:dyDescent="0.25">
      <c r="A2228">
        <v>2227</v>
      </c>
      <c r="B2228">
        <v>2</v>
      </c>
      <c r="C2228">
        <v>0</v>
      </c>
      <c r="D2228">
        <v>0</v>
      </c>
      <c r="E2228">
        <v>0</v>
      </c>
      <c r="F2228">
        <v>34.406399999999998</v>
      </c>
    </row>
    <row r="2229" spans="1:6" x14ac:dyDescent="0.25">
      <c r="A2229">
        <v>2228</v>
      </c>
      <c r="B2229">
        <v>10</v>
      </c>
      <c r="C2229">
        <v>1</v>
      </c>
      <c r="D2229">
        <v>0</v>
      </c>
      <c r="E2229">
        <v>0</v>
      </c>
      <c r="F2229">
        <v>34715</v>
      </c>
    </row>
    <row r="2230" spans="1:6" x14ac:dyDescent="0.25">
      <c r="A2230">
        <v>2229</v>
      </c>
      <c r="B2230">
        <v>13</v>
      </c>
      <c r="C2230">
        <v>0</v>
      </c>
      <c r="D2230">
        <v>0</v>
      </c>
      <c r="E2230">
        <v>0</v>
      </c>
      <c r="F2230">
        <v>1602</v>
      </c>
    </row>
    <row r="2231" spans="1:6" x14ac:dyDescent="0.25">
      <c r="A2231">
        <v>2230</v>
      </c>
      <c r="B2231">
        <v>41</v>
      </c>
      <c r="C2231">
        <v>0</v>
      </c>
      <c r="D2231">
        <v>0</v>
      </c>
      <c r="E2231">
        <v>0</v>
      </c>
      <c r="F2231">
        <v>1</v>
      </c>
    </row>
    <row r="2232" spans="1:6" x14ac:dyDescent="0.25">
      <c r="A2232">
        <v>2231</v>
      </c>
      <c r="B2232">
        <v>42</v>
      </c>
      <c r="C2232">
        <v>0</v>
      </c>
      <c r="D2232">
        <v>0</v>
      </c>
      <c r="E2232">
        <v>0</v>
      </c>
      <c r="F2232">
        <v>0.2</v>
      </c>
    </row>
    <row r="2233" spans="1:6" x14ac:dyDescent="0.25">
      <c r="A2233">
        <v>2232</v>
      </c>
      <c r="B2233">
        <v>43</v>
      </c>
      <c r="C2233">
        <v>0</v>
      </c>
      <c r="D2233">
        <v>0</v>
      </c>
      <c r="E2233">
        <v>0</v>
      </c>
      <c r="F2233">
        <v>0</v>
      </c>
    </row>
    <row r="2234" spans="1:6" x14ac:dyDescent="0.25">
      <c r="A2234">
        <v>2233</v>
      </c>
      <c r="B2234">
        <v>44</v>
      </c>
      <c r="C2234">
        <v>0</v>
      </c>
      <c r="D2234">
        <v>0</v>
      </c>
      <c r="E2234">
        <v>0</v>
      </c>
      <c r="F2234">
        <v>4.8750499999999999</v>
      </c>
    </row>
    <row r="2235" spans="1:6" x14ac:dyDescent="0.25">
      <c r="A2235">
        <v>2234</v>
      </c>
      <c r="B2235">
        <v>45</v>
      </c>
      <c r="C2235">
        <v>0</v>
      </c>
      <c r="D2235">
        <v>0</v>
      </c>
      <c r="E2235">
        <v>0</v>
      </c>
      <c r="F2235">
        <v>4400</v>
      </c>
    </row>
    <row r="2236" spans="1:6" x14ac:dyDescent="0.25">
      <c r="A2236">
        <v>2235</v>
      </c>
      <c r="B2236">
        <v>46</v>
      </c>
      <c r="C2236">
        <v>0</v>
      </c>
      <c r="D2236">
        <v>0</v>
      </c>
      <c r="E2236">
        <v>0</v>
      </c>
      <c r="F2236">
        <v>0</v>
      </c>
    </row>
    <row r="2237" spans="1:6" x14ac:dyDescent="0.25">
      <c r="A2237">
        <v>2236</v>
      </c>
      <c r="B2237">
        <v>2</v>
      </c>
      <c r="C2237">
        <v>0</v>
      </c>
      <c r="D2237">
        <v>0</v>
      </c>
      <c r="E2237">
        <v>0</v>
      </c>
      <c r="F2237">
        <v>34.406399999999998</v>
      </c>
    </row>
    <row r="2238" spans="1:6" x14ac:dyDescent="0.25">
      <c r="A2238">
        <v>2237</v>
      </c>
      <c r="B2238">
        <v>10</v>
      </c>
      <c r="C2238">
        <v>1</v>
      </c>
      <c r="D2238">
        <v>0</v>
      </c>
      <c r="E2238">
        <v>0</v>
      </c>
      <c r="F2238">
        <v>34715</v>
      </c>
    </row>
    <row r="2239" spans="1:6" x14ac:dyDescent="0.25">
      <c r="A2239">
        <v>2238</v>
      </c>
      <c r="B2239">
        <v>13</v>
      </c>
      <c r="C2239">
        <v>0</v>
      </c>
      <c r="D2239">
        <v>0</v>
      </c>
      <c r="E2239">
        <v>0</v>
      </c>
      <c r="F2239">
        <v>1602</v>
      </c>
    </row>
    <row r="2240" spans="1:6" x14ac:dyDescent="0.25">
      <c r="A2240">
        <v>2239</v>
      </c>
      <c r="B2240">
        <v>41</v>
      </c>
      <c r="C2240">
        <v>0</v>
      </c>
      <c r="D2240">
        <v>0</v>
      </c>
      <c r="E2240">
        <v>0</v>
      </c>
      <c r="F2240">
        <v>1</v>
      </c>
    </row>
    <row r="2241" spans="1:6" x14ac:dyDescent="0.25">
      <c r="A2241">
        <v>2240</v>
      </c>
      <c r="B2241">
        <v>42</v>
      </c>
      <c r="C2241">
        <v>0</v>
      </c>
      <c r="D2241">
        <v>0</v>
      </c>
      <c r="E2241">
        <v>0</v>
      </c>
      <c r="F2241">
        <v>0.2</v>
      </c>
    </row>
    <row r="2242" spans="1:6" x14ac:dyDescent="0.25">
      <c r="A2242">
        <v>2241</v>
      </c>
      <c r="B2242">
        <v>43</v>
      </c>
      <c r="C2242">
        <v>0</v>
      </c>
      <c r="D2242">
        <v>0</v>
      </c>
      <c r="E2242">
        <v>0</v>
      </c>
      <c r="F2242">
        <v>0</v>
      </c>
    </row>
    <row r="2243" spans="1:6" x14ac:dyDescent="0.25">
      <c r="A2243">
        <v>2242</v>
      </c>
      <c r="B2243">
        <v>44</v>
      </c>
      <c r="C2243">
        <v>0</v>
      </c>
      <c r="D2243">
        <v>0</v>
      </c>
      <c r="E2243">
        <v>0</v>
      </c>
      <c r="F2243">
        <v>5.0991</v>
      </c>
    </row>
    <row r="2244" spans="1:6" x14ac:dyDescent="0.25">
      <c r="A2244">
        <v>2243</v>
      </c>
      <c r="B2244">
        <v>45</v>
      </c>
      <c r="C2244">
        <v>0</v>
      </c>
      <c r="D2244">
        <v>0</v>
      </c>
      <c r="E2244">
        <v>0</v>
      </c>
      <c r="F2244">
        <v>4400</v>
      </c>
    </row>
    <row r="2245" spans="1:6" x14ac:dyDescent="0.25">
      <c r="A2245">
        <v>2244</v>
      </c>
      <c r="B2245">
        <v>46</v>
      </c>
      <c r="C2245">
        <v>0</v>
      </c>
      <c r="D2245">
        <v>0</v>
      </c>
      <c r="E2245">
        <v>0</v>
      </c>
      <c r="F2245">
        <v>0</v>
      </c>
    </row>
    <row r="2246" spans="1:6" x14ac:dyDescent="0.25">
      <c r="A2246">
        <v>2245</v>
      </c>
      <c r="B2246">
        <v>2</v>
      </c>
      <c r="C2246">
        <v>0</v>
      </c>
      <c r="D2246">
        <v>0</v>
      </c>
      <c r="E2246">
        <v>0</v>
      </c>
      <c r="F2246">
        <v>34.407400000000003</v>
      </c>
    </row>
    <row r="2247" spans="1:6" x14ac:dyDescent="0.25">
      <c r="A2247">
        <v>2246</v>
      </c>
      <c r="B2247">
        <v>10</v>
      </c>
      <c r="C2247">
        <v>1</v>
      </c>
      <c r="D2247">
        <v>0</v>
      </c>
      <c r="E2247">
        <v>0</v>
      </c>
      <c r="F2247">
        <v>34714</v>
      </c>
    </row>
    <row r="2248" spans="1:6" x14ac:dyDescent="0.25">
      <c r="A2248">
        <v>2247</v>
      </c>
      <c r="B2248">
        <v>13</v>
      </c>
      <c r="C2248">
        <v>0</v>
      </c>
      <c r="D2248">
        <v>0</v>
      </c>
      <c r="E2248">
        <v>0</v>
      </c>
      <c r="F2248">
        <v>1602</v>
      </c>
    </row>
    <row r="2249" spans="1:6" x14ac:dyDescent="0.25">
      <c r="A2249">
        <v>2248</v>
      </c>
      <c r="B2249">
        <v>41</v>
      </c>
      <c r="C2249">
        <v>0</v>
      </c>
      <c r="D2249">
        <v>0</v>
      </c>
      <c r="E2249">
        <v>0</v>
      </c>
      <c r="F2249">
        <v>1</v>
      </c>
    </row>
    <row r="2250" spans="1:6" x14ac:dyDescent="0.25">
      <c r="A2250">
        <v>2249</v>
      </c>
      <c r="B2250">
        <v>42</v>
      </c>
      <c r="C2250">
        <v>0</v>
      </c>
      <c r="D2250">
        <v>0</v>
      </c>
      <c r="E2250">
        <v>0</v>
      </c>
      <c r="F2250">
        <v>0.2</v>
      </c>
    </row>
    <row r="2251" spans="1:6" x14ac:dyDescent="0.25">
      <c r="A2251">
        <v>2250</v>
      </c>
      <c r="B2251">
        <v>43</v>
      </c>
      <c r="C2251">
        <v>0</v>
      </c>
      <c r="D2251">
        <v>0</v>
      </c>
      <c r="E2251">
        <v>0</v>
      </c>
      <c r="F2251">
        <v>0</v>
      </c>
    </row>
    <row r="2252" spans="1:6" x14ac:dyDescent="0.25">
      <c r="A2252">
        <v>2251</v>
      </c>
      <c r="B2252">
        <v>44</v>
      </c>
      <c r="C2252">
        <v>0</v>
      </c>
      <c r="D2252">
        <v>0</v>
      </c>
      <c r="E2252">
        <v>0</v>
      </c>
      <c r="F2252">
        <v>5.0991</v>
      </c>
    </row>
    <row r="2253" spans="1:6" x14ac:dyDescent="0.25">
      <c r="A2253">
        <v>2252</v>
      </c>
      <c r="B2253">
        <v>45</v>
      </c>
      <c r="C2253">
        <v>0</v>
      </c>
      <c r="D2253">
        <v>0</v>
      </c>
      <c r="E2253">
        <v>0</v>
      </c>
      <c r="F2253">
        <v>4400</v>
      </c>
    </row>
    <row r="2254" spans="1:6" x14ac:dyDescent="0.25">
      <c r="A2254">
        <v>2253</v>
      </c>
      <c r="B2254">
        <v>46</v>
      </c>
      <c r="C2254">
        <v>0</v>
      </c>
      <c r="D2254">
        <v>0</v>
      </c>
      <c r="E2254">
        <v>0</v>
      </c>
      <c r="F2254">
        <v>0</v>
      </c>
    </row>
    <row r="2255" spans="1:6" x14ac:dyDescent="0.25">
      <c r="A2255">
        <v>2254</v>
      </c>
      <c r="B2255">
        <v>2</v>
      </c>
      <c r="C2255">
        <v>0</v>
      </c>
      <c r="D2255">
        <v>0</v>
      </c>
      <c r="E2255">
        <v>0</v>
      </c>
      <c r="F2255">
        <v>34.407400000000003</v>
      </c>
    </row>
    <row r="2256" spans="1:6" x14ac:dyDescent="0.25">
      <c r="A2256">
        <v>2255</v>
      </c>
      <c r="B2256">
        <v>10</v>
      </c>
      <c r="C2256">
        <v>1</v>
      </c>
      <c r="D2256">
        <v>0</v>
      </c>
      <c r="E2256">
        <v>0</v>
      </c>
      <c r="F2256">
        <v>34714</v>
      </c>
    </row>
    <row r="2257" spans="1:6" x14ac:dyDescent="0.25">
      <c r="A2257">
        <v>2256</v>
      </c>
      <c r="B2257" t="s">
        <v>0</v>
      </c>
      <c r="C2257">
        <v>128</v>
      </c>
      <c r="D2257">
        <v>3482</v>
      </c>
      <c r="E2257">
        <v>79876942</v>
      </c>
    </row>
    <row r="2258" spans="1:6" x14ac:dyDescent="0.25">
      <c r="A2258">
        <v>2257</v>
      </c>
      <c r="B2258">
        <v>41</v>
      </c>
      <c r="C2258">
        <v>0</v>
      </c>
      <c r="D2258">
        <v>0</v>
      </c>
      <c r="E2258">
        <v>0</v>
      </c>
      <c r="F2258">
        <v>1</v>
      </c>
    </row>
    <row r="2259" spans="1:6" x14ac:dyDescent="0.25">
      <c r="A2259">
        <v>2258</v>
      </c>
      <c r="B2259">
        <v>42</v>
      </c>
      <c r="C2259">
        <v>0</v>
      </c>
      <c r="D2259">
        <v>0</v>
      </c>
      <c r="E2259">
        <v>0</v>
      </c>
      <c r="F2259">
        <v>0.2</v>
      </c>
    </row>
    <row r="2260" spans="1:6" x14ac:dyDescent="0.25">
      <c r="A2260">
        <v>2259</v>
      </c>
      <c r="B2260">
        <v>43</v>
      </c>
      <c r="C2260">
        <v>0</v>
      </c>
      <c r="D2260">
        <v>0</v>
      </c>
      <c r="E2260">
        <v>0</v>
      </c>
      <c r="F2260">
        <v>0</v>
      </c>
    </row>
    <row r="2261" spans="1:6" x14ac:dyDescent="0.25">
      <c r="A2261">
        <v>2260</v>
      </c>
      <c r="B2261">
        <v>44</v>
      </c>
      <c r="C2261">
        <v>0</v>
      </c>
      <c r="D2261">
        <v>0</v>
      </c>
      <c r="E2261">
        <v>0</v>
      </c>
      <c r="F2261">
        <v>5.3499699999999999</v>
      </c>
    </row>
    <row r="2262" spans="1:6" x14ac:dyDescent="0.25">
      <c r="A2262">
        <v>2261</v>
      </c>
      <c r="B2262">
        <v>45</v>
      </c>
      <c r="C2262">
        <v>0</v>
      </c>
      <c r="D2262">
        <v>0</v>
      </c>
      <c r="E2262">
        <v>0</v>
      </c>
      <c r="F2262">
        <v>4400</v>
      </c>
    </row>
    <row r="2263" spans="1:6" x14ac:dyDescent="0.25">
      <c r="A2263">
        <v>2262</v>
      </c>
      <c r="B2263">
        <v>46</v>
      </c>
      <c r="C2263">
        <v>0</v>
      </c>
      <c r="D2263">
        <v>0</v>
      </c>
      <c r="E2263">
        <v>0</v>
      </c>
      <c r="F2263">
        <v>0</v>
      </c>
    </row>
    <row r="2264" spans="1:6" x14ac:dyDescent="0.25">
      <c r="A2264">
        <v>2263</v>
      </c>
      <c r="B2264">
        <v>2</v>
      </c>
      <c r="C2264">
        <v>0</v>
      </c>
      <c r="D2264">
        <v>0</v>
      </c>
      <c r="E2264">
        <v>0</v>
      </c>
      <c r="F2264">
        <v>34.406500000000001</v>
      </c>
    </row>
    <row r="2265" spans="1:6" x14ac:dyDescent="0.25">
      <c r="A2265">
        <v>2264</v>
      </c>
      <c r="B2265">
        <v>10</v>
      </c>
      <c r="C2265">
        <v>1</v>
      </c>
      <c r="D2265">
        <v>0</v>
      </c>
      <c r="E2265">
        <v>0</v>
      </c>
      <c r="F2265">
        <v>34715</v>
      </c>
    </row>
    <row r="2266" spans="1:6" x14ac:dyDescent="0.25">
      <c r="A2266">
        <v>2265</v>
      </c>
      <c r="B2266">
        <v>13</v>
      </c>
      <c r="C2266">
        <v>0</v>
      </c>
      <c r="D2266">
        <v>0</v>
      </c>
      <c r="E2266">
        <v>0</v>
      </c>
      <c r="F2266">
        <v>1602</v>
      </c>
    </row>
    <row r="2267" spans="1:6" x14ac:dyDescent="0.25">
      <c r="A2267">
        <v>2266</v>
      </c>
      <c r="B2267">
        <v>41</v>
      </c>
      <c r="C2267">
        <v>0</v>
      </c>
      <c r="D2267">
        <v>0</v>
      </c>
      <c r="E2267">
        <v>0</v>
      </c>
      <c r="F2267">
        <v>1</v>
      </c>
    </row>
    <row r="2268" spans="1:6" x14ac:dyDescent="0.25">
      <c r="A2268">
        <v>2267</v>
      </c>
      <c r="B2268">
        <v>42</v>
      </c>
      <c r="C2268">
        <v>0</v>
      </c>
      <c r="D2268">
        <v>0</v>
      </c>
      <c r="E2268">
        <v>0</v>
      </c>
      <c r="F2268">
        <v>0.2</v>
      </c>
    </row>
    <row r="2269" spans="1:6" x14ac:dyDescent="0.25">
      <c r="A2269">
        <v>2268</v>
      </c>
      <c r="B2269">
        <v>43</v>
      </c>
      <c r="C2269">
        <v>0</v>
      </c>
      <c r="D2269">
        <v>0</v>
      </c>
      <c r="E2269">
        <v>0</v>
      </c>
      <c r="F2269">
        <v>0</v>
      </c>
    </row>
    <row r="2270" spans="1:6" x14ac:dyDescent="0.25">
      <c r="A2270">
        <v>2269</v>
      </c>
      <c r="B2270">
        <v>44</v>
      </c>
      <c r="C2270">
        <v>0</v>
      </c>
      <c r="D2270">
        <v>0</v>
      </c>
      <c r="E2270">
        <v>0</v>
      </c>
      <c r="F2270">
        <v>5.3499699999999999</v>
      </c>
    </row>
    <row r="2271" spans="1:6" x14ac:dyDescent="0.25">
      <c r="A2271">
        <v>2270</v>
      </c>
      <c r="B2271">
        <v>45</v>
      </c>
      <c r="C2271">
        <v>0</v>
      </c>
      <c r="D2271">
        <v>0</v>
      </c>
      <c r="E2271">
        <v>0</v>
      </c>
      <c r="F2271">
        <v>4400</v>
      </c>
    </row>
    <row r="2272" spans="1:6" x14ac:dyDescent="0.25">
      <c r="A2272">
        <v>2271</v>
      </c>
      <c r="B2272" t="s">
        <v>0</v>
      </c>
      <c r="C2272">
        <v>129</v>
      </c>
      <c r="D2272">
        <v>3482</v>
      </c>
      <c r="E2272">
        <v>79877910</v>
      </c>
    </row>
    <row r="2273" spans="1:6" x14ac:dyDescent="0.25">
      <c r="A2273">
        <v>2272</v>
      </c>
      <c r="B2273">
        <v>46</v>
      </c>
      <c r="C2273">
        <v>0</v>
      </c>
      <c r="D2273">
        <v>0</v>
      </c>
      <c r="E2273">
        <v>0</v>
      </c>
      <c r="F2273">
        <v>0</v>
      </c>
    </row>
    <row r="2274" spans="1:6" x14ac:dyDescent="0.25">
      <c r="A2274">
        <v>2273</v>
      </c>
      <c r="B2274">
        <v>2</v>
      </c>
      <c r="C2274">
        <v>0</v>
      </c>
      <c r="D2274">
        <v>0</v>
      </c>
      <c r="E2274">
        <v>0</v>
      </c>
      <c r="F2274">
        <v>34.405900000000003</v>
      </c>
    </row>
    <row r="2275" spans="1:6" x14ac:dyDescent="0.25">
      <c r="A2275">
        <v>2274</v>
      </c>
      <c r="B2275">
        <v>10</v>
      </c>
      <c r="C2275">
        <v>1</v>
      </c>
      <c r="D2275">
        <v>0</v>
      </c>
      <c r="E2275">
        <v>0</v>
      </c>
      <c r="F2275">
        <v>34716</v>
      </c>
    </row>
    <row r="2276" spans="1:6" x14ac:dyDescent="0.25">
      <c r="A2276">
        <v>2275</v>
      </c>
      <c r="B2276">
        <v>13</v>
      </c>
      <c r="C2276">
        <v>0</v>
      </c>
      <c r="D2276">
        <v>0</v>
      </c>
      <c r="E2276">
        <v>0</v>
      </c>
      <c r="F2276">
        <v>1602</v>
      </c>
    </row>
    <row r="2277" spans="1:6" x14ac:dyDescent="0.25">
      <c r="A2277">
        <v>2276</v>
      </c>
      <c r="B2277">
        <v>41</v>
      </c>
      <c r="C2277">
        <v>0</v>
      </c>
      <c r="D2277">
        <v>0</v>
      </c>
      <c r="E2277">
        <v>0</v>
      </c>
      <c r="F2277">
        <v>1</v>
      </c>
    </row>
    <row r="2278" spans="1:6" x14ac:dyDescent="0.25">
      <c r="A2278">
        <v>2277</v>
      </c>
      <c r="B2278">
        <v>42</v>
      </c>
      <c r="C2278">
        <v>0</v>
      </c>
      <c r="D2278">
        <v>0</v>
      </c>
      <c r="E2278">
        <v>0</v>
      </c>
      <c r="F2278">
        <v>0.2</v>
      </c>
    </row>
    <row r="2279" spans="1:6" x14ac:dyDescent="0.25">
      <c r="A2279">
        <v>2278</v>
      </c>
      <c r="B2279">
        <v>43</v>
      </c>
      <c r="C2279">
        <v>0</v>
      </c>
      <c r="D2279">
        <v>0</v>
      </c>
      <c r="E2279">
        <v>0</v>
      </c>
      <c r="F2279">
        <v>0</v>
      </c>
    </row>
    <row r="2280" spans="1:6" x14ac:dyDescent="0.25">
      <c r="A2280">
        <v>2279</v>
      </c>
      <c r="B2280">
        <v>44</v>
      </c>
      <c r="C2280">
        <v>0</v>
      </c>
      <c r="D2280">
        <v>0</v>
      </c>
      <c r="E2280">
        <v>0</v>
      </c>
      <c r="F2280">
        <v>5.6006200000000002</v>
      </c>
    </row>
    <row r="2281" spans="1:6" x14ac:dyDescent="0.25">
      <c r="A2281">
        <v>2280</v>
      </c>
      <c r="B2281">
        <v>45</v>
      </c>
      <c r="C2281">
        <v>0</v>
      </c>
      <c r="D2281">
        <v>0</v>
      </c>
      <c r="E2281">
        <v>0</v>
      </c>
      <c r="F2281">
        <v>4400</v>
      </c>
    </row>
    <row r="2282" spans="1:6" x14ac:dyDescent="0.25">
      <c r="A2282">
        <v>2281</v>
      </c>
      <c r="B2282">
        <v>46</v>
      </c>
      <c r="C2282">
        <v>0</v>
      </c>
      <c r="D2282">
        <v>0</v>
      </c>
      <c r="E2282">
        <v>0</v>
      </c>
      <c r="F2282">
        <v>0</v>
      </c>
    </row>
    <row r="2283" spans="1:6" x14ac:dyDescent="0.25">
      <c r="A2283">
        <v>2282</v>
      </c>
      <c r="B2283">
        <v>2</v>
      </c>
      <c r="C2283">
        <v>0</v>
      </c>
      <c r="D2283">
        <v>0</v>
      </c>
      <c r="E2283">
        <v>0</v>
      </c>
      <c r="F2283">
        <v>34.405900000000003</v>
      </c>
    </row>
    <row r="2284" spans="1:6" x14ac:dyDescent="0.25">
      <c r="A2284">
        <v>2283</v>
      </c>
      <c r="B2284">
        <v>10</v>
      </c>
      <c r="C2284">
        <v>1</v>
      </c>
      <c r="D2284">
        <v>0</v>
      </c>
      <c r="E2284">
        <v>0</v>
      </c>
      <c r="F2284">
        <v>34716</v>
      </c>
    </row>
    <row r="2285" spans="1:6" x14ac:dyDescent="0.25">
      <c r="A2285">
        <v>2284</v>
      </c>
      <c r="B2285">
        <v>13</v>
      </c>
      <c r="C2285">
        <v>0</v>
      </c>
      <c r="D2285">
        <v>0</v>
      </c>
      <c r="E2285">
        <v>0</v>
      </c>
      <c r="F2285">
        <v>1602</v>
      </c>
    </row>
    <row r="2286" spans="1:6" x14ac:dyDescent="0.25">
      <c r="A2286">
        <v>2285</v>
      </c>
      <c r="B2286">
        <v>41</v>
      </c>
      <c r="C2286">
        <v>0</v>
      </c>
      <c r="D2286">
        <v>0</v>
      </c>
      <c r="E2286">
        <v>0</v>
      </c>
      <c r="F2286">
        <v>1</v>
      </c>
    </row>
    <row r="2287" spans="1:6" x14ac:dyDescent="0.25">
      <c r="A2287">
        <v>2286</v>
      </c>
      <c r="B2287">
        <v>42</v>
      </c>
      <c r="C2287">
        <v>0</v>
      </c>
      <c r="D2287">
        <v>0</v>
      </c>
      <c r="E2287">
        <v>0</v>
      </c>
      <c r="F2287">
        <v>0.2</v>
      </c>
    </row>
    <row r="2288" spans="1:6" x14ac:dyDescent="0.25">
      <c r="A2288">
        <v>2287</v>
      </c>
      <c r="B2288">
        <v>43</v>
      </c>
      <c r="C2288">
        <v>0</v>
      </c>
      <c r="D2288">
        <v>0</v>
      </c>
      <c r="E2288">
        <v>0</v>
      </c>
      <c r="F2288">
        <v>0</v>
      </c>
    </row>
    <row r="2289" spans="1:6" x14ac:dyDescent="0.25">
      <c r="A2289">
        <v>2288</v>
      </c>
      <c r="B2289">
        <v>44</v>
      </c>
      <c r="C2289">
        <v>0</v>
      </c>
      <c r="D2289">
        <v>0</v>
      </c>
      <c r="E2289">
        <v>0</v>
      </c>
      <c r="F2289">
        <v>5.8258900000000002</v>
      </c>
    </row>
    <row r="2290" spans="1:6" x14ac:dyDescent="0.25">
      <c r="A2290">
        <v>2289</v>
      </c>
      <c r="B2290">
        <v>45</v>
      </c>
      <c r="C2290">
        <v>0</v>
      </c>
      <c r="D2290">
        <v>0</v>
      </c>
      <c r="E2290">
        <v>0</v>
      </c>
      <c r="F2290">
        <v>4400</v>
      </c>
    </row>
    <row r="2291" spans="1:6" x14ac:dyDescent="0.25">
      <c r="A2291">
        <v>2290</v>
      </c>
      <c r="B2291">
        <v>46</v>
      </c>
      <c r="C2291">
        <v>0</v>
      </c>
      <c r="D2291">
        <v>0</v>
      </c>
      <c r="E2291">
        <v>0</v>
      </c>
      <c r="F2291">
        <v>0</v>
      </c>
    </row>
    <row r="2292" spans="1:6" x14ac:dyDescent="0.25">
      <c r="A2292">
        <v>2291</v>
      </c>
      <c r="B2292">
        <v>2</v>
      </c>
      <c r="C2292">
        <v>0</v>
      </c>
      <c r="D2292">
        <v>0</v>
      </c>
      <c r="E2292">
        <v>0</v>
      </c>
      <c r="F2292">
        <v>34.4056</v>
      </c>
    </row>
    <row r="2293" spans="1:6" x14ac:dyDescent="0.25">
      <c r="A2293">
        <v>2292</v>
      </c>
      <c r="B2293">
        <v>10</v>
      </c>
      <c r="C2293">
        <v>1</v>
      </c>
      <c r="D2293">
        <v>0</v>
      </c>
      <c r="E2293">
        <v>0</v>
      </c>
      <c r="F2293">
        <v>34716</v>
      </c>
    </row>
    <row r="2294" spans="1:6" x14ac:dyDescent="0.25">
      <c r="A2294">
        <v>2293</v>
      </c>
      <c r="B2294">
        <v>13</v>
      </c>
      <c r="C2294">
        <v>0</v>
      </c>
      <c r="D2294">
        <v>0</v>
      </c>
      <c r="E2294">
        <v>0</v>
      </c>
      <c r="F2294">
        <v>1602</v>
      </c>
    </row>
    <row r="2295" spans="1:6" x14ac:dyDescent="0.25">
      <c r="A2295">
        <v>2294</v>
      </c>
      <c r="B2295">
        <v>41</v>
      </c>
      <c r="C2295">
        <v>0</v>
      </c>
      <c r="D2295">
        <v>0</v>
      </c>
      <c r="E2295">
        <v>0</v>
      </c>
      <c r="F2295">
        <v>1</v>
      </c>
    </row>
    <row r="2296" spans="1:6" x14ac:dyDescent="0.25">
      <c r="A2296">
        <v>2295</v>
      </c>
      <c r="B2296">
        <v>42</v>
      </c>
      <c r="C2296">
        <v>0</v>
      </c>
      <c r="D2296">
        <v>0</v>
      </c>
      <c r="E2296">
        <v>0</v>
      </c>
      <c r="F2296">
        <v>0.2</v>
      </c>
    </row>
    <row r="2297" spans="1:6" x14ac:dyDescent="0.25">
      <c r="A2297">
        <v>2296</v>
      </c>
      <c r="B2297">
        <v>43</v>
      </c>
      <c r="C2297">
        <v>0</v>
      </c>
      <c r="D2297">
        <v>0</v>
      </c>
      <c r="E2297">
        <v>0</v>
      </c>
      <c r="F2297">
        <v>0</v>
      </c>
    </row>
    <row r="2298" spans="1:6" x14ac:dyDescent="0.25">
      <c r="A2298">
        <v>2297</v>
      </c>
      <c r="B2298">
        <v>44</v>
      </c>
      <c r="C2298">
        <v>0</v>
      </c>
      <c r="D2298">
        <v>0</v>
      </c>
      <c r="E2298">
        <v>0</v>
      </c>
      <c r="F2298">
        <v>5.8258900000000002</v>
      </c>
    </row>
    <row r="2299" spans="1:6" x14ac:dyDescent="0.25">
      <c r="A2299">
        <v>2298</v>
      </c>
      <c r="B2299">
        <v>45</v>
      </c>
      <c r="C2299">
        <v>0</v>
      </c>
      <c r="D2299">
        <v>0</v>
      </c>
      <c r="E2299">
        <v>0</v>
      </c>
      <c r="F2299">
        <v>4400</v>
      </c>
    </row>
    <row r="2300" spans="1:6" x14ac:dyDescent="0.25">
      <c r="A2300">
        <v>2299</v>
      </c>
      <c r="B2300">
        <v>46</v>
      </c>
      <c r="C2300">
        <v>0</v>
      </c>
      <c r="D2300">
        <v>0</v>
      </c>
      <c r="E2300">
        <v>0</v>
      </c>
      <c r="F2300">
        <v>0</v>
      </c>
    </row>
    <row r="2301" spans="1:6" x14ac:dyDescent="0.25">
      <c r="A2301">
        <v>2300</v>
      </c>
      <c r="B2301">
        <v>2</v>
      </c>
      <c r="C2301">
        <v>0</v>
      </c>
      <c r="D2301">
        <v>0</v>
      </c>
      <c r="E2301">
        <v>0</v>
      </c>
      <c r="F2301">
        <v>34.4056</v>
      </c>
    </row>
    <row r="2302" spans="1:6" x14ac:dyDescent="0.25">
      <c r="A2302">
        <v>2301</v>
      </c>
      <c r="B2302" t="s">
        <v>0</v>
      </c>
      <c r="C2302">
        <v>131</v>
      </c>
      <c r="D2302">
        <v>3482</v>
      </c>
      <c r="E2302">
        <v>79879846</v>
      </c>
    </row>
    <row r="2303" spans="1:6" x14ac:dyDescent="0.25">
      <c r="A2303">
        <v>2302</v>
      </c>
      <c r="B2303">
        <v>13</v>
      </c>
      <c r="C2303">
        <v>0</v>
      </c>
      <c r="D2303">
        <v>0</v>
      </c>
      <c r="E2303">
        <v>0</v>
      </c>
      <c r="F2303">
        <v>1602</v>
      </c>
    </row>
    <row r="2304" spans="1:6" x14ac:dyDescent="0.25">
      <c r="A2304">
        <v>2303</v>
      </c>
      <c r="B2304">
        <v>41</v>
      </c>
      <c r="C2304">
        <v>0</v>
      </c>
      <c r="D2304">
        <v>0</v>
      </c>
      <c r="E2304">
        <v>0</v>
      </c>
      <c r="F2304">
        <v>1</v>
      </c>
    </row>
    <row r="2305" spans="1:6" x14ac:dyDescent="0.25">
      <c r="A2305">
        <v>2304</v>
      </c>
      <c r="B2305">
        <v>42</v>
      </c>
      <c r="C2305">
        <v>0</v>
      </c>
      <c r="D2305">
        <v>0</v>
      </c>
      <c r="E2305">
        <v>0</v>
      </c>
      <c r="F2305">
        <v>0.2</v>
      </c>
    </row>
    <row r="2306" spans="1:6" x14ac:dyDescent="0.25">
      <c r="A2306">
        <v>2305</v>
      </c>
      <c r="B2306">
        <v>43</v>
      </c>
      <c r="C2306">
        <v>0</v>
      </c>
      <c r="D2306">
        <v>0</v>
      </c>
      <c r="E2306">
        <v>0</v>
      </c>
      <c r="F2306">
        <v>0</v>
      </c>
    </row>
    <row r="2307" spans="1:6" x14ac:dyDescent="0.25">
      <c r="A2307">
        <v>2306</v>
      </c>
      <c r="B2307">
        <v>44</v>
      </c>
      <c r="C2307">
        <v>0</v>
      </c>
      <c r="D2307">
        <v>0</v>
      </c>
      <c r="E2307">
        <v>0</v>
      </c>
      <c r="F2307">
        <v>6.0754299999999999</v>
      </c>
    </row>
    <row r="2308" spans="1:6" x14ac:dyDescent="0.25">
      <c r="A2308">
        <v>2307</v>
      </c>
      <c r="B2308">
        <v>45</v>
      </c>
      <c r="C2308">
        <v>0</v>
      </c>
      <c r="D2308">
        <v>0</v>
      </c>
      <c r="E2308">
        <v>0</v>
      </c>
      <c r="F2308">
        <v>4400</v>
      </c>
    </row>
    <row r="2309" spans="1:6" x14ac:dyDescent="0.25">
      <c r="A2309">
        <v>2308</v>
      </c>
      <c r="B2309">
        <v>46</v>
      </c>
      <c r="C2309">
        <v>0</v>
      </c>
      <c r="D2309">
        <v>0</v>
      </c>
      <c r="E2309">
        <v>0</v>
      </c>
      <c r="F2309">
        <v>0</v>
      </c>
    </row>
    <row r="2310" spans="1:6" x14ac:dyDescent="0.25">
      <c r="A2310">
        <v>2309</v>
      </c>
      <c r="B2310">
        <v>2</v>
      </c>
      <c r="C2310">
        <v>0</v>
      </c>
      <c r="D2310">
        <v>0</v>
      </c>
      <c r="E2310">
        <v>0</v>
      </c>
      <c r="F2310">
        <v>34.406100000000002</v>
      </c>
    </row>
    <row r="2311" spans="1:6" x14ac:dyDescent="0.25">
      <c r="A2311">
        <v>2310</v>
      </c>
      <c r="B2311">
        <v>10</v>
      </c>
      <c r="C2311">
        <v>1</v>
      </c>
      <c r="D2311">
        <v>0</v>
      </c>
      <c r="E2311">
        <v>0</v>
      </c>
      <c r="F2311">
        <v>34716</v>
      </c>
    </row>
    <row r="2312" spans="1:6" x14ac:dyDescent="0.25">
      <c r="A2312">
        <v>2311</v>
      </c>
      <c r="B2312">
        <v>13</v>
      </c>
      <c r="C2312">
        <v>0</v>
      </c>
      <c r="D2312">
        <v>0</v>
      </c>
      <c r="E2312">
        <v>0</v>
      </c>
      <c r="F2312">
        <v>1602</v>
      </c>
    </row>
    <row r="2313" spans="1:6" x14ac:dyDescent="0.25">
      <c r="A2313">
        <v>2312</v>
      </c>
      <c r="B2313">
        <v>41</v>
      </c>
      <c r="C2313">
        <v>0</v>
      </c>
      <c r="D2313">
        <v>0</v>
      </c>
      <c r="E2313">
        <v>0</v>
      </c>
      <c r="F2313">
        <v>1</v>
      </c>
    </row>
    <row r="2314" spans="1:6" x14ac:dyDescent="0.25">
      <c r="A2314">
        <v>2313</v>
      </c>
      <c r="B2314">
        <v>42</v>
      </c>
      <c r="C2314">
        <v>0</v>
      </c>
      <c r="D2314">
        <v>0</v>
      </c>
      <c r="E2314">
        <v>0</v>
      </c>
      <c r="F2314">
        <v>0.2</v>
      </c>
    </row>
    <row r="2315" spans="1:6" x14ac:dyDescent="0.25">
      <c r="A2315">
        <v>2314</v>
      </c>
      <c r="B2315">
        <v>43</v>
      </c>
      <c r="C2315">
        <v>0</v>
      </c>
      <c r="D2315">
        <v>0</v>
      </c>
      <c r="E2315">
        <v>0</v>
      </c>
      <c r="F2315">
        <v>0</v>
      </c>
    </row>
    <row r="2316" spans="1:6" x14ac:dyDescent="0.25">
      <c r="A2316">
        <v>2315</v>
      </c>
      <c r="B2316">
        <v>44</v>
      </c>
      <c r="C2316">
        <v>0</v>
      </c>
      <c r="D2316">
        <v>0</v>
      </c>
      <c r="E2316">
        <v>0</v>
      </c>
      <c r="F2316">
        <v>6.0754299999999999</v>
      </c>
    </row>
    <row r="2317" spans="1:6" x14ac:dyDescent="0.25">
      <c r="A2317">
        <v>2316</v>
      </c>
      <c r="B2317" t="s">
        <v>0</v>
      </c>
      <c r="C2317">
        <v>132</v>
      </c>
      <c r="D2317">
        <v>3482</v>
      </c>
      <c r="E2317">
        <v>79880814</v>
      </c>
    </row>
    <row r="2318" spans="1:6" x14ac:dyDescent="0.25">
      <c r="A2318">
        <v>2317</v>
      </c>
      <c r="B2318">
        <v>46</v>
      </c>
      <c r="C2318">
        <v>0</v>
      </c>
      <c r="D2318">
        <v>0</v>
      </c>
      <c r="E2318">
        <v>0</v>
      </c>
      <c r="F2318">
        <v>0</v>
      </c>
    </row>
    <row r="2319" spans="1:6" x14ac:dyDescent="0.25">
      <c r="A2319">
        <v>2318</v>
      </c>
      <c r="B2319">
        <v>2</v>
      </c>
      <c r="C2319">
        <v>0</v>
      </c>
      <c r="D2319">
        <v>0</v>
      </c>
      <c r="E2319">
        <v>0</v>
      </c>
      <c r="F2319">
        <v>34.406700000000001</v>
      </c>
    </row>
    <row r="2320" spans="1:6" x14ac:dyDescent="0.25">
      <c r="A2320">
        <v>2319</v>
      </c>
      <c r="B2320">
        <v>10</v>
      </c>
      <c r="C2320">
        <v>1</v>
      </c>
      <c r="D2320">
        <v>0</v>
      </c>
      <c r="E2320">
        <v>0</v>
      </c>
      <c r="F2320">
        <v>34715</v>
      </c>
    </row>
    <row r="2321" spans="1:6" x14ac:dyDescent="0.25">
      <c r="A2321">
        <v>2320</v>
      </c>
      <c r="B2321">
        <v>13</v>
      </c>
      <c r="C2321">
        <v>0</v>
      </c>
      <c r="D2321">
        <v>0</v>
      </c>
      <c r="E2321">
        <v>0</v>
      </c>
      <c r="F2321">
        <v>1602</v>
      </c>
    </row>
    <row r="2322" spans="1:6" x14ac:dyDescent="0.25">
      <c r="A2322">
        <v>2321</v>
      </c>
      <c r="B2322">
        <v>41</v>
      </c>
      <c r="C2322">
        <v>0</v>
      </c>
      <c r="D2322">
        <v>0</v>
      </c>
      <c r="E2322">
        <v>0</v>
      </c>
      <c r="F2322">
        <v>1</v>
      </c>
    </row>
    <row r="2323" spans="1:6" x14ac:dyDescent="0.25">
      <c r="A2323">
        <v>2322</v>
      </c>
      <c r="B2323">
        <v>42</v>
      </c>
      <c r="C2323">
        <v>0</v>
      </c>
      <c r="D2323">
        <v>0</v>
      </c>
      <c r="E2323">
        <v>0</v>
      </c>
      <c r="F2323">
        <v>0.2</v>
      </c>
    </row>
    <row r="2324" spans="1:6" x14ac:dyDescent="0.25">
      <c r="A2324">
        <v>2323</v>
      </c>
      <c r="B2324">
        <v>43</v>
      </c>
      <c r="C2324">
        <v>0</v>
      </c>
      <c r="D2324">
        <v>0</v>
      </c>
      <c r="E2324">
        <v>0</v>
      </c>
      <c r="F2324">
        <v>0</v>
      </c>
    </row>
    <row r="2325" spans="1:6" x14ac:dyDescent="0.25">
      <c r="A2325">
        <v>2324</v>
      </c>
      <c r="B2325">
        <v>44</v>
      </c>
      <c r="C2325">
        <v>0</v>
      </c>
      <c r="D2325">
        <v>0</v>
      </c>
      <c r="E2325">
        <v>0</v>
      </c>
      <c r="F2325">
        <v>6.3248199999999999</v>
      </c>
    </row>
    <row r="2326" spans="1:6" x14ac:dyDescent="0.25">
      <c r="A2326">
        <v>2325</v>
      </c>
      <c r="B2326">
        <v>45</v>
      </c>
      <c r="C2326">
        <v>0</v>
      </c>
      <c r="D2326">
        <v>0</v>
      </c>
      <c r="E2326">
        <v>0</v>
      </c>
      <c r="F2326">
        <v>4400</v>
      </c>
    </row>
    <row r="2327" spans="1:6" x14ac:dyDescent="0.25">
      <c r="A2327">
        <v>2326</v>
      </c>
      <c r="B2327">
        <v>46</v>
      </c>
      <c r="C2327">
        <v>0</v>
      </c>
      <c r="D2327">
        <v>0</v>
      </c>
      <c r="E2327">
        <v>0</v>
      </c>
      <c r="F2327">
        <v>0</v>
      </c>
    </row>
    <row r="2328" spans="1:6" x14ac:dyDescent="0.25">
      <c r="A2328">
        <v>2327</v>
      </c>
      <c r="B2328">
        <v>2</v>
      </c>
      <c r="C2328">
        <v>0</v>
      </c>
      <c r="D2328">
        <v>0</v>
      </c>
      <c r="E2328">
        <v>0</v>
      </c>
      <c r="F2328">
        <v>34.406700000000001</v>
      </c>
    </row>
    <row r="2329" spans="1:6" x14ac:dyDescent="0.25">
      <c r="A2329">
        <v>2328</v>
      </c>
      <c r="B2329">
        <v>10</v>
      </c>
      <c r="C2329">
        <v>1</v>
      </c>
      <c r="D2329">
        <v>0</v>
      </c>
      <c r="E2329">
        <v>0</v>
      </c>
      <c r="F2329">
        <v>34715</v>
      </c>
    </row>
    <row r="2330" spans="1:6" x14ac:dyDescent="0.25">
      <c r="A2330">
        <v>2329</v>
      </c>
      <c r="B2330">
        <v>13</v>
      </c>
      <c r="C2330">
        <v>0</v>
      </c>
      <c r="D2330">
        <v>0</v>
      </c>
      <c r="E2330">
        <v>0</v>
      </c>
      <c r="F2330">
        <v>1602</v>
      </c>
    </row>
    <row r="2331" spans="1:6" x14ac:dyDescent="0.25">
      <c r="A2331">
        <v>2330</v>
      </c>
      <c r="B2331">
        <v>41</v>
      </c>
      <c r="C2331">
        <v>0</v>
      </c>
      <c r="D2331">
        <v>0</v>
      </c>
      <c r="E2331">
        <v>0</v>
      </c>
      <c r="F2331">
        <v>1</v>
      </c>
    </row>
    <row r="2332" spans="1:6" x14ac:dyDescent="0.25">
      <c r="A2332">
        <v>2331</v>
      </c>
      <c r="B2332" t="s">
        <v>0</v>
      </c>
      <c r="C2332">
        <v>133</v>
      </c>
      <c r="D2332">
        <v>3482</v>
      </c>
      <c r="E2332">
        <v>79881782</v>
      </c>
    </row>
    <row r="2333" spans="1:6" x14ac:dyDescent="0.25">
      <c r="A2333">
        <v>2332</v>
      </c>
      <c r="B2333">
        <v>42</v>
      </c>
      <c r="C2333">
        <v>0</v>
      </c>
      <c r="D2333">
        <v>0</v>
      </c>
      <c r="E2333">
        <v>0</v>
      </c>
      <c r="F2333">
        <v>0.2</v>
      </c>
    </row>
    <row r="2334" spans="1:6" x14ac:dyDescent="0.25">
      <c r="A2334">
        <v>2333</v>
      </c>
      <c r="B2334">
        <v>43</v>
      </c>
      <c r="C2334">
        <v>0</v>
      </c>
      <c r="D2334">
        <v>0</v>
      </c>
      <c r="E2334">
        <v>0</v>
      </c>
      <c r="F2334">
        <v>0</v>
      </c>
    </row>
    <row r="2335" spans="1:6" x14ac:dyDescent="0.25">
      <c r="A2335">
        <v>2334</v>
      </c>
      <c r="B2335">
        <v>44</v>
      </c>
      <c r="C2335">
        <v>0</v>
      </c>
      <c r="D2335">
        <v>0</v>
      </c>
      <c r="E2335">
        <v>0</v>
      </c>
      <c r="F2335">
        <v>6.5501300000000002</v>
      </c>
    </row>
    <row r="2336" spans="1:6" x14ac:dyDescent="0.25">
      <c r="A2336">
        <v>2335</v>
      </c>
      <c r="B2336">
        <v>45</v>
      </c>
      <c r="C2336">
        <v>0</v>
      </c>
      <c r="D2336">
        <v>0</v>
      </c>
      <c r="E2336">
        <v>0</v>
      </c>
      <c r="F2336">
        <v>4400</v>
      </c>
    </row>
    <row r="2337" spans="1:6" x14ac:dyDescent="0.25">
      <c r="A2337">
        <v>2336</v>
      </c>
      <c r="B2337">
        <v>46</v>
      </c>
      <c r="C2337">
        <v>0</v>
      </c>
      <c r="D2337">
        <v>0</v>
      </c>
      <c r="E2337">
        <v>0</v>
      </c>
      <c r="F2337">
        <v>0</v>
      </c>
    </row>
    <row r="2338" spans="1:6" x14ac:dyDescent="0.25">
      <c r="A2338">
        <v>2337</v>
      </c>
      <c r="B2338">
        <v>2</v>
      </c>
      <c r="C2338">
        <v>0</v>
      </c>
      <c r="D2338">
        <v>0</v>
      </c>
      <c r="E2338">
        <v>0</v>
      </c>
      <c r="F2338">
        <v>34.406399999999998</v>
      </c>
    </row>
    <row r="2339" spans="1:6" x14ac:dyDescent="0.25">
      <c r="A2339">
        <v>2338</v>
      </c>
      <c r="B2339">
        <v>10</v>
      </c>
      <c r="C2339">
        <v>1</v>
      </c>
      <c r="D2339">
        <v>0</v>
      </c>
      <c r="E2339">
        <v>0</v>
      </c>
      <c r="F2339">
        <v>34715</v>
      </c>
    </row>
    <row r="2340" spans="1:6" x14ac:dyDescent="0.25">
      <c r="A2340">
        <v>2339</v>
      </c>
      <c r="B2340">
        <v>13</v>
      </c>
      <c r="C2340">
        <v>0</v>
      </c>
      <c r="D2340">
        <v>0</v>
      </c>
      <c r="E2340">
        <v>0</v>
      </c>
      <c r="F2340">
        <v>1602</v>
      </c>
    </row>
    <row r="2341" spans="1:6" x14ac:dyDescent="0.25">
      <c r="A2341">
        <v>2340</v>
      </c>
      <c r="B2341">
        <v>41</v>
      </c>
      <c r="C2341">
        <v>0</v>
      </c>
      <c r="D2341">
        <v>0</v>
      </c>
      <c r="E2341">
        <v>0</v>
      </c>
      <c r="F2341">
        <v>1</v>
      </c>
    </row>
    <row r="2342" spans="1:6" x14ac:dyDescent="0.25">
      <c r="A2342">
        <v>2341</v>
      </c>
      <c r="B2342">
        <v>42</v>
      </c>
      <c r="C2342">
        <v>0</v>
      </c>
      <c r="D2342">
        <v>0</v>
      </c>
      <c r="E2342">
        <v>0</v>
      </c>
      <c r="F2342">
        <v>0.2</v>
      </c>
    </row>
    <row r="2343" spans="1:6" x14ac:dyDescent="0.25">
      <c r="A2343">
        <v>2342</v>
      </c>
      <c r="B2343">
        <v>43</v>
      </c>
      <c r="C2343">
        <v>0</v>
      </c>
      <c r="D2343">
        <v>0</v>
      </c>
      <c r="E2343">
        <v>0</v>
      </c>
      <c r="F2343">
        <v>0</v>
      </c>
    </row>
    <row r="2344" spans="1:6" x14ac:dyDescent="0.25">
      <c r="A2344">
        <v>2343</v>
      </c>
      <c r="B2344">
        <v>44</v>
      </c>
      <c r="C2344">
        <v>0</v>
      </c>
      <c r="D2344">
        <v>0</v>
      </c>
      <c r="E2344">
        <v>0</v>
      </c>
      <c r="F2344">
        <v>6.5501300000000002</v>
      </c>
    </row>
    <row r="2345" spans="1:6" x14ac:dyDescent="0.25">
      <c r="A2345">
        <v>2344</v>
      </c>
      <c r="B2345">
        <v>45</v>
      </c>
      <c r="C2345">
        <v>0</v>
      </c>
      <c r="D2345">
        <v>0</v>
      </c>
      <c r="E2345">
        <v>0</v>
      </c>
      <c r="F2345">
        <v>4400</v>
      </c>
    </row>
    <row r="2346" spans="1:6" x14ac:dyDescent="0.25">
      <c r="A2346">
        <v>2345</v>
      </c>
      <c r="B2346">
        <v>46</v>
      </c>
      <c r="C2346">
        <v>0</v>
      </c>
      <c r="D2346">
        <v>0</v>
      </c>
      <c r="E2346">
        <v>0</v>
      </c>
      <c r="F2346">
        <v>0</v>
      </c>
    </row>
    <row r="2347" spans="1:6" x14ac:dyDescent="0.25">
      <c r="A2347">
        <v>2346</v>
      </c>
      <c r="B2347">
        <v>2</v>
      </c>
      <c r="C2347">
        <v>0</v>
      </c>
      <c r="D2347">
        <v>0</v>
      </c>
      <c r="E2347">
        <v>0</v>
      </c>
      <c r="F2347">
        <v>34.406399999999998</v>
      </c>
    </row>
    <row r="2348" spans="1:6" x14ac:dyDescent="0.25">
      <c r="A2348">
        <v>2347</v>
      </c>
      <c r="B2348">
        <v>10</v>
      </c>
      <c r="C2348">
        <v>1</v>
      </c>
      <c r="D2348">
        <v>0</v>
      </c>
      <c r="E2348">
        <v>0</v>
      </c>
      <c r="F2348">
        <v>34715</v>
      </c>
    </row>
    <row r="2349" spans="1:6" x14ac:dyDescent="0.25">
      <c r="A2349">
        <v>2348</v>
      </c>
      <c r="B2349">
        <v>13</v>
      </c>
      <c r="C2349">
        <v>0</v>
      </c>
      <c r="D2349">
        <v>0</v>
      </c>
      <c r="E2349">
        <v>0</v>
      </c>
      <c r="F2349">
        <v>1602</v>
      </c>
    </row>
    <row r="2350" spans="1:6" x14ac:dyDescent="0.25">
      <c r="A2350">
        <v>2349</v>
      </c>
      <c r="B2350">
        <v>41</v>
      </c>
      <c r="C2350">
        <v>0</v>
      </c>
      <c r="D2350">
        <v>0</v>
      </c>
      <c r="E2350">
        <v>0</v>
      </c>
      <c r="F2350">
        <v>1</v>
      </c>
    </row>
    <row r="2351" spans="1:6" x14ac:dyDescent="0.25">
      <c r="A2351">
        <v>2350</v>
      </c>
      <c r="B2351">
        <v>42</v>
      </c>
      <c r="C2351">
        <v>0</v>
      </c>
      <c r="D2351">
        <v>0</v>
      </c>
      <c r="E2351">
        <v>0</v>
      </c>
      <c r="F2351">
        <v>0.2</v>
      </c>
    </row>
    <row r="2352" spans="1:6" x14ac:dyDescent="0.25">
      <c r="A2352">
        <v>2351</v>
      </c>
      <c r="B2352">
        <v>43</v>
      </c>
      <c r="C2352">
        <v>0</v>
      </c>
      <c r="D2352">
        <v>0</v>
      </c>
      <c r="E2352">
        <v>0</v>
      </c>
      <c r="F2352">
        <v>0</v>
      </c>
    </row>
    <row r="2353" spans="1:6" x14ac:dyDescent="0.25">
      <c r="A2353">
        <v>2352</v>
      </c>
      <c r="B2353">
        <v>44</v>
      </c>
      <c r="C2353">
        <v>0</v>
      </c>
      <c r="D2353">
        <v>0</v>
      </c>
      <c r="E2353">
        <v>0</v>
      </c>
      <c r="F2353">
        <v>6.8000600000000002</v>
      </c>
    </row>
    <row r="2354" spans="1:6" x14ac:dyDescent="0.25">
      <c r="A2354">
        <v>2353</v>
      </c>
      <c r="B2354">
        <v>45</v>
      </c>
      <c r="C2354">
        <v>0</v>
      </c>
      <c r="D2354">
        <v>0</v>
      </c>
      <c r="E2354">
        <v>0</v>
      </c>
      <c r="F2354">
        <v>4400</v>
      </c>
    </row>
    <row r="2355" spans="1:6" x14ac:dyDescent="0.25">
      <c r="A2355">
        <v>2354</v>
      </c>
      <c r="B2355">
        <v>46</v>
      </c>
      <c r="C2355">
        <v>0</v>
      </c>
      <c r="D2355">
        <v>0</v>
      </c>
      <c r="E2355">
        <v>0</v>
      </c>
      <c r="F2355">
        <v>0</v>
      </c>
    </row>
    <row r="2356" spans="1:6" x14ac:dyDescent="0.25">
      <c r="A2356">
        <v>2355</v>
      </c>
      <c r="B2356">
        <v>2</v>
      </c>
      <c r="C2356">
        <v>0</v>
      </c>
      <c r="D2356">
        <v>0</v>
      </c>
      <c r="E2356">
        <v>0</v>
      </c>
      <c r="F2356">
        <v>34.406500000000001</v>
      </c>
    </row>
    <row r="2357" spans="1:6" x14ac:dyDescent="0.25">
      <c r="A2357">
        <v>2356</v>
      </c>
      <c r="B2357">
        <v>10</v>
      </c>
      <c r="C2357">
        <v>1</v>
      </c>
      <c r="D2357">
        <v>0</v>
      </c>
      <c r="E2357">
        <v>0</v>
      </c>
      <c r="F2357">
        <v>34715</v>
      </c>
    </row>
    <row r="2358" spans="1:6" x14ac:dyDescent="0.25">
      <c r="A2358">
        <v>2357</v>
      </c>
      <c r="B2358">
        <v>13</v>
      </c>
      <c r="C2358">
        <v>0</v>
      </c>
      <c r="D2358">
        <v>0</v>
      </c>
      <c r="E2358">
        <v>0</v>
      </c>
      <c r="F2358">
        <v>1602</v>
      </c>
    </row>
    <row r="2359" spans="1:6" x14ac:dyDescent="0.25">
      <c r="A2359">
        <v>2358</v>
      </c>
      <c r="B2359">
        <v>41</v>
      </c>
      <c r="C2359">
        <v>0</v>
      </c>
      <c r="D2359">
        <v>0</v>
      </c>
      <c r="E2359">
        <v>0</v>
      </c>
      <c r="F2359">
        <v>1</v>
      </c>
    </row>
    <row r="2360" spans="1:6" x14ac:dyDescent="0.25">
      <c r="A2360">
        <v>2359</v>
      </c>
      <c r="B2360">
        <v>42</v>
      </c>
      <c r="C2360">
        <v>0</v>
      </c>
      <c r="D2360">
        <v>0</v>
      </c>
      <c r="E2360">
        <v>0</v>
      </c>
      <c r="F2360">
        <v>0.2</v>
      </c>
    </row>
    <row r="2361" spans="1:6" x14ac:dyDescent="0.25">
      <c r="A2361">
        <v>2360</v>
      </c>
      <c r="B2361">
        <v>43</v>
      </c>
      <c r="C2361">
        <v>0</v>
      </c>
      <c r="D2361">
        <v>0</v>
      </c>
      <c r="E2361">
        <v>0</v>
      </c>
      <c r="F2361">
        <v>0</v>
      </c>
    </row>
    <row r="2362" spans="1:6" x14ac:dyDescent="0.25">
      <c r="A2362">
        <v>2361</v>
      </c>
      <c r="B2362" t="s">
        <v>0</v>
      </c>
      <c r="C2362">
        <v>135</v>
      </c>
      <c r="D2362">
        <v>3482</v>
      </c>
      <c r="E2362">
        <v>79883717</v>
      </c>
    </row>
    <row r="2363" spans="1:6" x14ac:dyDescent="0.25">
      <c r="A2363">
        <v>2362</v>
      </c>
      <c r="B2363">
        <v>45</v>
      </c>
      <c r="C2363">
        <v>0</v>
      </c>
      <c r="D2363">
        <v>0</v>
      </c>
      <c r="E2363">
        <v>0</v>
      </c>
      <c r="F2363">
        <v>4400</v>
      </c>
    </row>
    <row r="2364" spans="1:6" x14ac:dyDescent="0.25">
      <c r="A2364">
        <v>2363</v>
      </c>
      <c r="B2364">
        <v>46</v>
      </c>
      <c r="C2364">
        <v>0</v>
      </c>
      <c r="D2364">
        <v>0</v>
      </c>
      <c r="E2364">
        <v>0</v>
      </c>
      <c r="F2364">
        <v>0</v>
      </c>
    </row>
    <row r="2365" spans="1:6" x14ac:dyDescent="0.25">
      <c r="A2365">
        <v>2364</v>
      </c>
      <c r="B2365">
        <v>2</v>
      </c>
      <c r="C2365">
        <v>0</v>
      </c>
      <c r="D2365">
        <v>0</v>
      </c>
      <c r="E2365">
        <v>0</v>
      </c>
      <c r="F2365">
        <v>34.406700000000001</v>
      </c>
    </row>
    <row r="2366" spans="1:6" x14ac:dyDescent="0.25">
      <c r="A2366">
        <v>2365</v>
      </c>
      <c r="B2366">
        <v>10</v>
      </c>
      <c r="C2366">
        <v>1</v>
      </c>
      <c r="D2366">
        <v>0</v>
      </c>
      <c r="E2366">
        <v>0</v>
      </c>
      <c r="F2366">
        <v>34715</v>
      </c>
    </row>
    <row r="2367" spans="1:6" x14ac:dyDescent="0.25">
      <c r="A2367">
        <v>2366</v>
      </c>
      <c r="B2367">
        <v>13</v>
      </c>
      <c r="C2367">
        <v>0</v>
      </c>
      <c r="D2367">
        <v>0</v>
      </c>
      <c r="E2367">
        <v>0</v>
      </c>
      <c r="F2367">
        <v>1602</v>
      </c>
    </row>
    <row r="2368" spans="1:6" x14ac:dyDescent="0.25">
      <c r="A2368">
        <v>2367</v>
      </c>
      <c r="B2368">
        <v>41</v>
      </c>
      <c r="C2368">
        <v>0</v>
      </c>
      <c r="D2368">
        <v>0</v>
      </c>
      <c r="E2368">
        <v>0</v>
      </c>
      <c r="F2368">
        <v>1</v>
      </c>
    </row>
    <row r="2369" spans="1:6" x14ac:dyDescent="0.25">
      <c r="A2369">
        <v>2368</v>
      </c>
      <c r="B2369">
        <v>42</v>
      </c>
      <c r="C2369">
        <v>0</v>
      </c>
      <c r="D2369">
        <v>0</v>
      </c>
      <c r="E2369">
        <v>0</v>
      </c>
      <c r="F2369">
        <v>0.2</v>
      </c>
    </row>
    <row r="2370" spans="1:6" x14ac:dyDescent="0.25">
      <c r="A2370">
        <v>2369</v>
      </c>
      <c r="B2370">
        <v>43</v>
      </c>
      <c r="C2370">
        <v>0</v>
      </c>
      <c r="D2370">
        <v>0</v>
      </c>
      <c r="E2370">
        <v>0</v>
      </c>
      <c r="F2370">
        <v>0</v>
      </c>
    </row>
    <row r="2371" spans="1:6" x14ac:dyDescent="0.25">
      <c r="A2371">
        <v>2370</v>
      </c>
      <c r="B2371">
        <v>44</v>
      </c>
      <c r="C2371">
        <v>0</v>
      </c>
      <c r="D2371">
        <v>0</v>
      </c>
      <c r="E2371">
        <v>0</v>
      </c>
      <c r="F2371">
        <v>7.04983</v>
      </c>
    </row>
    <row r="2372" spans="1:6" x14ac:dyDescent="0.25">
      <c r="A2372">
        <v>2371</v>
      </c>
      <c r="B2372">
        <v>45</v>
      </c>
      <c r="C2372">
        <v>0</v>
      </c>
      <c r="D2372">
        <v>0</v>
      </c>
      <c r="E2372">
        <v>0</v>
      </c>
      <c r="F2372">
        <v>4400</v>
      </c>
    </row>
    <row r="2373" spans="1:6" x14ac:dyDescent="0.25">
      <c r="A2373">
        <v>2372</v>
      </c>
      <c r="B2373">
        <v>46</v>
      </c>
      <c r="C2373">
        <v>0</v>
      </c>
      <c r="D2373">
        <v>0</v>
      </c>
      <c r="E2373">
        <v>0</v>
      </c>
      <c r="F2373">
        <v>0</v>
      </c>
    </row>
    <row r="2374" spans="1:6" x14ac:dyDescent="0.25">
      <c r="A2374">
        <v>2373</v>
      </c>
      <c r="B2374">
        <v>2</v>
      </c>
      <c r="C2374">
        <v>0</v>
      </c>
      <c r="D2374">
        <v>0</v>
      </c>
      <c r="E2374">
        <v>0</v>
      </c>
      <c r="F2374">
        <v>34.406700000000001</v>
      </c>
    </row>
    <row r="2375" spans="1:6" x14ac:dyDescent="0.25">
      <c r="A2375">
        <v>2374</v>
      </c>
      <c r="B2375">
        <v>10</v>
      </c>
      <c r="C2375">
        <v>1</v>
      </c>
      <c r="D2375">
        <v>0</v>
      </c>
      <c r="E2375">
        <v>0</v>
      </c>
      <c r="F2375">
        <v>34715</v>
      </c>
    </row>
    <row r="2376" spans="1:6" x14ac:dyDescent="0.25">
      <c r="A2376">
        <v>2375</v>
      </c>
      <c r="B2376">
        <v>13</v>
      </c>
      <c r="C2376">
        <v>0</v>
      </c>
      <c r="D2376">
        <v>0</v>
      </c>
      <c r="E2376">
        <v>0</v>
      </c>
      <c r="F2376">
        <v>1602</v>
      </c>
    </row>
    <row r="2377" spans="1:6" x14ac:dyDescent="0.25">
      <c r="A2377">
        <v>2376</v>
      </c>
      <c r="B2377" t="s">
        <v>0</v>
      </c>
      <c r="C2377">
        <v>136</v>
      </c>
      <c r="D2377">
        <v>3482</v>
      </c>
      <c r="E2377">
        <v>79884685</v>
      </c>
    </row>
    <row r="2378" spans="1:6" x14ac:dyDescent="0.25">
      <c r="A2378">
        <v>2377</v>
      </c>
      <c r="B2378">
        <v>41</v>
      </c>
      <c r="C2378">
        <v>0</v>
      </c>
      <c r="D2378">
        <v>0</v>
      </c>
      <c r="E2378">
        <v>0</v>
      </c>
      <c r="F2378">
        <v>1</v>
      </c>
    </row>
    <row r="2379" spans="1:6" x14ac:dyDescent="0.25">
      <c r="A2379">
        <v>2378</v>
      </c>
      <c r="B2379">
        <v>42</v>
      </c>
      <c r="C2379">
        <v>0</v>
      </c>
      <c r="D2379">
        <v>0</v>
      </c>
      <c r="E2379">
        <v>0</v>
      </c>
      <c r="F2379">
        <v>0.2</v>
      </c>
    </row>
    <row r="2380" spans="1:6" x14ac:dyDescent="0.25">
      <c r="A2380">
        <v>2379</v>
      </c>
      <c r="B2380">
        <v>43</v>
      </c>
      <c r="C2380">
        <v>0</v>
      </c>
      <c r="D2380">
        <v>0</v>
      </c>
      <c r="E2380">
        <v>0</v>
      </c>
      <c r="F2380">
        <v>0</v>
      </c>
    </row>
    <row r="2381" spans="1:6" x14ac:dyDescent="0.25">
      <c r="A2381">
        <v>2380</v>
      </c>
      <c r="B2381">
        <v>44</v>
      </c>
      <c r="C2381">
        <v>0</v>
      </c>
      <c r="D2381">
        <v>0</v>
      </c>
      <c r="E2381">
        <v>0</v>
      </c>
      <c r="F2381">
        <v>7.2747799999999998</v>
      </c>
    </row>
    <row r="2382" spans="1:6" x14ac:dyDescent="0.25">
      <c r="A2382">
        <v>2381</v>
      </c>
      <c r="B2382">
        <v>45</v>
      </c>
      <c r="C2382">
        <v>0</v>
      </c>
      <c r="D2382">
        <v>0</v>
      </c>
      <c r="E2382">
        <v>0</v>
      </c>
      <c r="F2382">
        <v>4400</v>
      </c>
    </row>
    <row r="2383" spans="1:6" x14ac:dyDescent="0.25">
      <c r="A2383">
        <v>2382</v>
      </c>
      <c r="B2383">
        <v>46</v>
      </c>
      <c r="C2383">
        <v>0</v>
      </c>
      <c r="D2383">
        <v>0</v>
      </c>
      <c r="E2383">
        <v>0</v>
      </c>
      <c r="F2383">
        <v>0</v>
      </c>
    </row>
    <row r="2384" spans="1:6" x14ac:dyDescent="0.25">
      <c r="A2384">
        <v>2383</v>
      </c>
      <c r="B2384">
        <v>2</v>
      </c>
      <c r="C2384">
        <v>0</v>
      </c>
      <c r="D2384">
        <v>0</v>
      </c>
      <c r="E2384">
        <v>0</v>
      </c>
      <c r="F2384">
        <v>34.406799999999997</v>
      </c>
    </row>
    <row r="2385" spans="1:6" x14ac:dyDescent="0.25">
      <c r="A2385">
        <v>2384</v>
      </c>
      <c r="B2385">
        <v>10</v>
      </c>
      <c r="C2385">
        <v>1</v>
      </c>
      <c r="D2385">
        <v>0</v>
      </c>
      <c r="E2385">
        <v>0</v>
      </c>
      <c r="F2385">
        <v>34715</v>
      </c>
    </row>
    <row r="2386" spans="1:6" x14ac:dyDescent="0.25">
      <c r="A2386">
        <v>2385</v>
      </c>
      <c r="B2386">
        <v>13</v>
      </c>
      <c r="C2386">
        <v>0</v>
      </c>
      <c r="D2386">
        <v>0</v>
      </c>
      <c r="E2386">
        <v>0</v>
      </c>
      <c r="F2386">
        <v>1602</v>
      </c>
    </row>
    <row r="2387" spans="1:6" x14ac:dyDescent="0.25">
      <c r="A2387">
        <v>2386</v>
      </c>
      <c r="B2387">
        <v>41</v>
      </c>
      <c r="C2387">
        <v>0</v>
      </c>
      <c r="D2387">
        <v>0</v>
      </c>
      <c r="E2387">
        <v>0</v>
      </c>
      <c r="F2387">
        <v>1</v>
      </c>
    </row>
    <row r="2388" spans="1:6" x14ac:dyDescent="0.25">
      <c r="A2388">
        <v>2387</v>
      </c>
      <c r="B2388">
        <v>42</v>
      </c>
      <c r="C2388">
        <v>0</v>
      </c>
      <c r="D2388">
        <v>0</v>
      </c>
      <c r="E2388">
        <v>0</v>
      </c>
      <c r="F2388">
        <v>0.2</v>
      </c>
    </row>
    <row r="2389" spans="1:6" x14ac:dyDescent="0.25">
      <c r="A2389">
        <v>2388</v>
      </c>
      <c r="B2389">
        <v>43</v>
      </c>
      <c r="C2389">
        <v>0</v>
      </c>
      <c r="D2389">
        <v>0</v>
      </c>
      <c r="E2389">
        <v>0</v>
      </c>
      <c r="F2389">
        <v>0</v>
      </c>
    </row>
    <row r="2390" spans="1:6" x14ac:dyDescent="0.25">
      <c r="A2390">
        <v>2389</v>
      </c>
      <c r="B2390">
        <v>44</v>
      </c>
      <c r="C2390">
        <v>0</v>
      </c>
      <c r="D2390">
        <v>0</v>
      </c>
      <c r="E2390">
        <v>0</v>
      </c>
      <c r="F2390">
        <v>7.2747799999999998</v>
      </c>
    </row>
    <row r="2391" spans="1:6" x14ac:dyDescent="0.25">
      <c r="A2391">
        <v>2390</v>
      </c>
      <c r="B2391">
        <v>45</v>
      </c>
      <c r="C2391">
        <v>0</v>
      </c>
      <c r="D2391">
        <v>0</v>
      </c>
      <c r="E2391">
        <v>0</v>
      </c>
      <c r="F2391">
        <v>4400</v>
      </c>
    </row>
    <row r="2392" spans="1:6" x14ac:dyDescent="0.25">
      <c r="A2392">
        <v>2391</v>
      </c>
      <c r="B2392">
        <v>46</v>
      </c>
      <c r="C2392">
        <v>0</v>
      </c>
      <c r="D2392">
        <v>0</v>
      </c>
      <c r="E2392">
        <v>0</v>
      </c>
      <c r="F2392">
        <v>0</v>
      </c>
    </row>
    <row r="2393" spans="1:6" x14ac:dyDescent="0.25">
      <c r="A2393">
        <v>2392</v>
      </c>
      <c r="B2393">
        <v>2</v>
      </c>
      <c r="C2393">
        <v>0</v>
      </c>
      <c r="D2393">
        <v>0</v>
      </c>
      <c r="E2393">
        <v>0</v>
      </c>
      <c r="F2393">
        <v>34.407200000000003</v>
      </c>
    </row>
    <row r="2394" spans="1:6" x14ac:dyDescent="0.25">
      <c r="A2394">
        <v>2393</v>
      </c>
      <c r="B2394">
        <v>10</v>
      </c>
      <c r="C2394">
        <v>1</v>
      </c>
      <c r="D2394">
        <v>0</v>
      </c>
      <c r="E2394">
        <v>0</v>
      </c>
      <c r="F2394">
        <v>34714</v>
      </c>
    </row>
    <row r="2395" spans="1:6" x14ac:dyDescent="0.25">
      <c r="A2395">
        <v>2394</v>
      </c>
      <c r="B2395">
        <v>13</v>
      </c>
      <c r="C2395">
        <v>0</v>
      </c>
      <c r="D2395">
        <v>0</v>
      </c>
      <c r="E2395">
        <v>0</v>
      </c>
      <c r="F2395">
        <v>1602</v>
      </c>
    </row>
    <row r="2396" spans="1:6" x14ac:dyDescent="0.25">
      <c r="A2396">
        <v>2395</v>
      </c>
      <c r="B2396">
        <v>41</v>
      </c>
      <c r="C2396">
        <v>0</v>
      </c>
      <c r="D2396">
        <v>0</v>
      </c>
      <c r="E2396">
        <v>0</v>
      </c>
      <c r="F2396">
        <v>1</v>
      </c>
    </row>
    <row r="2397" spans="1:6" x14ac:dyDescent="0.25">
      <c r="A2397">
        <v>2396</v>
      </c>
      <c r="B2397">
        <v>42</v>
      </c>
      <c r="C2397">
        <v>0</v>
      </c>
      <c r="D2397">
        <v>0</v>
      </c>
      <c r="E2397">
        <v>0</v>
      </c>
      <c r="F2397">
        <v>0.2</v>
      </c>
    </row>
    <row r="2398" spans="1:6" x14ac:dyDescent="0.25">
      <c r="A2398">
        <v>2397</v>
      </c>
      <c r="B2398">
        <v>43</v>
      </c>
      <c r="C2398">
        <v>0</v>
      </c>
      <c r="D2398">
        <v>0</v>
      </c>
      <c r="E2398">
        <v>0</v>
      </c>
      <c r="F2398">
        <v>0</v>
      </c>
    </row>
    <row r="2399" spans="1:6" x14ac:dyDescent="0.25">
      <c r="A2399">
        <v>2398</v>
      </c>
      <c r="B2399">
        <v>44</v>
      </c>
      <c r="C2399">
        <v>0</v>
      </c>
      <c r="D2399">
        <v>0</v>
      </c>
      <c r="E2399">
        <v>0</v>
      </c>
      <c r="F2399">
        <v>7.5243900000000004</v>
      </c>
    </row>
    <row r="2400" spans="1:6" x14ac:dyDescent="0.25">
      <c r="A2400">
        <v>2399</v>
      </c>
      <c r="B2400">
        <v>45</v>
      </c>
      <c r="C2400">
        <v>0</v>
      </c>
      <c r="D2400">
        <v>0</v>
      </c>
      <c r="E2400">
        <v>0</v>
      </c>
      <c r="F2400">
        <v>4400</v>
      </c>
    </row>
    <row r="2401" spans="1:6" x14ac:dyDescent="0.25">
      <c r="A2401">
        <v>2400</v>
      </c>
      <c r="B2401">
        <v>46</v>
      </c>
      <c r="C2401">
        <v>0</v>
      </c>
      <c r="D2401">
        <v>0</v>
      </c>
      <c r="E2401">
        <v>0</v>
      </c>
      <c r="F2401">
        <v>0</v>
      </c>
    </row>
    <row r="2402" spans="1:6" x14ac:dyDescent="0.25">
      <c r="A2402">
        <v>2401</v>
      </c>
      <c r="B2402">
        <v>2</v>
      </c>
      <c r="C2402">
        <v>0</v>
      </c>
      <c r="D2402">
        <v>0</v>
      </c>
      <c r="E2402">
        <v>0</v>
      </c>
      <c r="F2402">
        <v>34.407200000000003</v>
      </c>
    </row>
    <row r="2403" spans="1:6" x14ac:dyDescent="0.25">
      <c r="A2403">
        <v>2402</v>
      </c>
      <c r="B2403">
        <v>10</v>
      </c>
      <c r="C2403">
        <v>1</v>
      </c>
      <c r="D2403">
        <v>0</v>
      </c>
      <c r="E2403">
        <v>0</v>
      </c>
      <c r="F2403">
        <v>34714</v>
      </c>
    </row>
    <row r="2404" spans="1:6" x14ac:dyDescent="0.25">
      <c r="A2404">
        <v>2403</v>
      </c>
      <c r="B2404">
        <v>13</v>
      </c>
      <c r="C2404">
        <v>0</v>
      </c>
      <c r="D2404">
        <v>0</v>
      </c>
      <c r="E2404">
        <v>0</v>
      </c>
      <c r="F2404">
        <v>1602</v>
      </c>
    </row>
    <row r="2405" spans="1:6" x14ac:dyDescent="0.25">
      <c r="A2405">
        <v>2404</v>
      </c>
      <c r="B2405">
        <v>41</v>
      </c>
      <c r="C2405">
        <v>0</v>
      </c>
      <c r="D2405">
        <v>0</v>
      </c>
      <c r="E2405">
        <v>0</v>
      </c>
      <c r="F2405">
        <v>1</v>
      </c>
    </row>
    <row r="2406" spans="1:6" x14ac:dyDescent="0.25">
      <c r="A2406">
        <v>2405</v>
      </c>
      <c r="B2406">
        <v>42</v>
      </c>
      <c r="C2406">
        <v>0</v>
      </c>
      <c r="D2406">
        <v>0</v>
      </c>
      <c r="E2406">
        <v>0</v>
      </c>
      <c r="F2406">
        <v>0.2</v>
      </c>
    </row>
    <row r="2407" spans="1:6" x14ac:dyDescent="0.25">
      <c r="A2407">
        <v>2406</v>
      </c>
      <c r="B2407" t="s">
        <v>0</v>
      </c>
      <c r="C2407">
        <v>138</v>
      </c>
      <c r="D2407">
        <v>3482</v>
      </c>
      <c r="E2407">
        <v>79886622</v>
      </c>
    </row>
    <row r="2408" spans="1:6" x14ac:dyDescent="0.25">
      <c r="A2408">
        <v>2407</v>
      </c>
      <c r="B2408">
        <v>43</v>
      </c>
      <c r="C2408">
        <v>0</v>
      </c>
      <c r="D2408">
        <v>0</v>
      </c>
      <c r="E2408">
        <v>0</v>
      </c>
      <c r="F2408">
        <v>0</v>
      </c>
    </row>
    <row r="2409" spans="1:6" x14ac:dyDescent="0.25">
      <c r="A2409">
        <v>2408</v>
      </c>
      <c r="B2409">
        <v>44</v>
      </c>
      <c r="C2409">
        <v>0</v>
      </c>
      <c r="D2409">
        <v>0</v>
      </c>
      <c r="E2409">
        <v>0</v>
      </c>
      <c r="F2409">
        <v>7.77475</v>
      </c>
    </row>
    <row r="2410" spans="1:6" x14ac:dyDescent="0.25">
      <c r="A2410">
        <v>2409</v>
      </c>
      <c r="B2410">
        <v>45</v>
      </c>
      <c r="C2410">
        <v>0</v>
      </c>
      <c r="D2410">
        <v>0</v>
      </c>
      <c r="E2410">
        <v>0</v>
      </c>
      <c r="F2410">
        <v>4400</v>
      </c>
    </row>
    <row r="2411" spans="1:6" x14ac:dyDescent="0.25">
      <c r="A2411">
        <v>2410</v>
      </c>
      <c r="B2411">
        <v>46</v>
      </c>
      <c r="C2411">
        <v>0</v>
      </c>
      <c r="D2411">
        <v>0</v>
      </c>
      <c r="E2411">
        <v>0</v>
      </c>
      <c r="F2411">
        <v>0</v>
      </c>
    </row>
    <row r="2412" spans="1:6" x14ac:dyDescent="0.25">
      <c r="A2412">
        <v>2411</v>
      </c>
      <c r="B2412">
        <v>2</v>
      </c>
      <c r="C2412">
        <v>0</v>
      </c>
      <c r="D2412">
        <v>0</v>
      </c>
      <c r="E2412">
        <v>0</v>
      </c>
      <c r="F2412">
        <v>34.4069</v>
      </c>
    </row>
    <row r="2413" spans="1:6" x14ac:dyDescent="0.25">
      <c r="A2413">
        <v>2412</v>
      </c>
      <c r="B2413">
        <v>10</v>
      </c>
      <c r="C2413">
        <v>1</v>
      </c>
      <c r="D2413">
        <v>0</v>
      </c>
      <c r="E2413">
        <v>0</v>
      </c>
      <c r="F2413">
        <v>34715</v>
      </c>
    </row>
    <row r="2414" spans="1:6" x14ac:dyDescent="0.25">
      <c r="A2414">
        <v>2413</v>
      </c>
      <c r="B2414">
        <v>13</v>
      </c>
      <c r="C2414">
        <v>0</v>
      </c>
      <c r="D2414">
        <v>0</v>
      </c>
      <c r="E2414">
        <v>0</v>
      </c>
      <c r="F2414">
        <v>1602</v>
      </c>
    </row>
    <row r="2415" spans="1:6" x14ac:dyDescent="0.25">
      <c r="A2415">
        <v>2414</v>
      </c>
      <c r="B2415">
        <v>41</v>
      </c>
      <c r="C2415">
        <v>0</v>
      </c>
      <c r="D2415">
        <v>0</v>
      </c>
      <c r="E2415">
        <v>0</v>
      </c>
      <c r="F2415">
        <v>1</v>
      </c>
    </row>
    <row r="2416" spans="1:6" x14ac:dyDescent="0.25">
      <c r="A2416">
        <v>2415</v>
      </c>
      <c r="B2416">
        <v>42</v>
      </c>
      <c r="C2416">
        <v>0</v>
      </c>
      <c r="D2416">
        <v>0</v>
      </c>
      <c r="E2416">
        <v>0</v>
      </c>
      <c r="F2416">
        <v>0.2</v>
      </c>
    </row>
    <row r="2417" spans="1:6" x14ac:dyDescent="0.25">
      <c r="A2417">
        <v>2416</v>
      </c>
      <c r="B2417">
        <v>43</v>
      </c>
      <c r="C2417">
        <v>0</v>
      </c>
      <c r="D2417">
        <v>0</v>
      </c>
      <c r="E2417">
        <v>0</v>
      </c>
      <c r="F2417">
        <v>0</v>
      </c>
    </row>
    <row r="2418" spans="1:6" x14ac:dyDescent="0.25">
      <c r="A2418">
        <v>2417</v>
      </c>
      <c r="B2418">
        <v>44</v>
      </c>
      <c r="C2418">
        <v>0</v>
      </c>
      <c r="D2418">
        <v>0</v>
      </c>
      <c r="E2418">
        <v>0</v>
      </c>
      <c r="F2418">
        <v>7.77475</v>
      </c>
    </row>
    <row r="2419" spans="1:6" x14ac:dyDescent="0.25">
      <c r="A2419">
        <v>2418</v>
      </c>
      <c r="B2419">
        <v>45</v>
      </c>
      <c r="C2419">
        <v>0</v>
      </c>
      <c r="D2419">
        <v>0</v>
      </c>
      <c r="E2419">
        <v>0</v>
      </c>
      <c r="F2419">
        <v>4400</v>
      </c>
    </row>
    <row r="2420" spans="1:6" x14ac:dyDescent="0.25">
      <c r="A2420">
        <v>2419</v>
      </c>
      <c r="B2420">
        <v>46</v>
      </c>
      <c r="C2420">
        <v>0</v>
      </c>
      <c r="D2420">
        <v>0</v>
      </c>
      <c r="E2420">
        <v>0</v>
      </c>
      <c r="F2420">
        <v>0</v>
      </c>
    </row>
    <row r="2421" spans="1:6" x14ac:dyDescent="0.25">
      <c r="A2421">
        <v>2420</v>
      </c>
      <c r="B2421">
        <v>2</v>
      </c>
      <c r="C2421">
        <v>0</v>
      </c>
      <c r="D2421">
        <v>0</v>
      </c>
      <c r="E2421">
        <v>0</v>
      </c>
      <c r="F2421">
        <v>34.4069</v>
      </c>
    </row>
    <row r="2422" spans="1:6" x14ac:dyDescent="0.25">
      <c r="A2422">
        <v>2421</v>
      </c>
      <c r="B2422" t="s">
        <v>0</v>
      </c>
      <c r="C2422">
        <v>139</v>
      </c>
      <c r="D2422">
        <v>3482</v>
      </c>
      <c r="E2422">
        <v>79887590</v>
      </c>
    </row>
    <row r="2423" spans="1:6" x14ac:dyDescent="0.25">
      <c r="A2423">
        <v>2422</v>
      </c>
      <c r="B2423">
        <v>13</v>
      </c>
      <c r="C2423">
        <v>0</v>
      </c>
      <c r="D2423">
        <v>0</v>
      </c>
      <c r="E2423">
        <v>0</v>
      </c>
      <c r="F2423">
        <v>1602</v>
      </c>
    </row>
    <row r="2424" spans="1:6" x14ac:dyDescent="0.25">
      <c r="A2424">
        <v>2423</v>
      </c>
      <c r="B2424">
        <v>41</v>
      </c>
      <c r="C2424">
        <v>0</v>
      </c>
      <c r="D2424">
        <v>0</v>
      </c>
      <c r="E2424">
        <v>0</v>
      </c>
      <c r="F2424">
        <v>1</v>
      </c>
    </row>
    <row r="2425" spans="1:6" x14ac:dyDescent="0.25">
      <c r="A2425">
        <v>2424</v>
      </c>
      <c r="B2425">
        <v>42</v>
      </c>
      <c r="C2425">
        <v>0</v>
      </c>
      <c r="D2425">
        <v>0</v>
      </c>
      <c r="E2425">
        <v>0</v>
      </c>
      <c r="F2425">
        <v>0.2</v>
      </c>
    </row>
    <row r="2426" spans="1:6" x14ac:dyDescent="0.25">
      <c r="A2426">
        <v>2425</v>
      </c>
      <c r="B2426">
        <v>43</v>
      </c>
      <c r="C2426">
        <v>0</v>
      </c>
      <c r="D2426">
        <v>0</v>
      </c>
      <c r="E2426">
        <v>0</v>
      </c>
      <c r="F2426">
        <v>0</v>
      </c>
    </row>
    <row r="2427" spans="1:6" x14ac:dyDescent="0.25">
      <c r="A2427">
        <v>2426</v>
      </c>
      <c r="B2427">
        <v>44</v>
      </c>
      <c r="C2427">
        <v>0</v>
      </c>
      <c r="D2427">
        <v>0</v>
      </c>
      <c r="E2427">
        <v>0</v>
      </c>
      <c r="F2427">
        <v>8.0000400000000003</v>
      </c>
    </row>
    <row r="2428" spans="1:6" x14ac:dyDescent="0.25">
      <c r="A2428">
        <v>2427</v>
      </c>
      <c r="B2428">
        <v>45</v>
      </c>
      <c r="C2428">
        <v>0</v>
      </c>
      <c r="D2428">
        <v>0</v>
      </c>
      <c r="E2428">
        <v>0</v>
      </c>
      <c r="F2428">
        <v>4400</v>
      </c>
    </row>
    <row r="2429" spans="1:6" x14ac:dyDescent="0.25">
      <c r="A2429">
        <v>2428</v>
      </c>
      <c r="B2429">
        <v>46</v>
      </c>
      <c r="C2429">
        <v>0</v>
      </c>
      <c r="D2429">
        <v>0</v>
      </c>
      <c r="E2429">
        <v>0</v>
      </c>
      <c r="F2429">
        <v>0</v>
      </c>
    </row>
    <row r="2430" spans="1:6" x14ac:dyDescent="0.25">
      <c r="A2430">
        <v>2429</v>
      </c>
      <c r="B2430">
        <v>2</v>
      </c>
      <c r="C2430">
        <v>0</v>
      </c>
      <c r="D2430">
        <v>0</v>
      </c>
      <c r="E2430">
        <v>0</v>
      </c>
      <c r="F2430">
        <v>34.406599999999997</v>
      </c>
    </row>
    <row r="2431" spans="1:6" x14ac:dyDescent="0.25">
      <c r="A2431">
        <v>2430</v>
      </c>
      <c r="B2431">
        <v>10</v>
      </c>
      <c r="C2431">
        <v>1</v>
      </c>
      <c r="D2431">
        <v>0</v>
      </c>
      <c r="E2431">
        <v>0</v>
      </c>
      <c r="F2431">
        <v>34715</v>
      </c>
    </row>
    <row r="2432" spans="1:6" x14ac:dyDescent="0.25">
      <c r="A2432">
        <v>2431</v>
      </c>
      <c r="B2432">
        <v>13</v>
      </c>
      <c r="C2432">
        <v>0</v>
      </c>
      <c r="D2432">
        <v>0</v>
      </c>
      <c r="E2432">
        <v>0</v>
      </c>
      <c r="F2432">
        <v>1602</v>
      </c>
    </row>
    <row r="2433" spans="1:6" x14ac:dyDescent="0.25">
      <c r="A2433">
        <v>2432</v>
      </c>
      <c r="B2433">
        <v>41</v>
      </c>
      <c r="C2433">
        <v>0</v>
      </c>
      <c r="D2433">
        <v>0</v>
      </c>
      <c r="E2433">
        <v>0</v>
      </c>
      <c r="F2433">
        <v>1</v>
      </c>
    </row>
    <row r="2434" spans="1:6" x14ac:dyDescent="0.25">
      <c r="A2434">
        <v>2433</v>
      </c>
      <c r="B2434">
        <v>42</v>
      </c>
      <c r="C2434">
        <v>0</v>
      </c>
      <c r="D2434">
        <v>0</v>
      </c>
      <c r="E2434">
        <v>0</v>
      </c>
      <c r="F2434">
        <v>0.2</v>
      </c>
    </row>
    <row r="2435" spans="1:6" x14ac:dyDescent="0.25">
      <c r="A2435">
        <v>2434</v>
      </c>
      <c r="B2435">
        <v>43</v>
      </c>
      <c r="C2435">
        <v>0</v>
      </c>
      <c r="D2435">
        <v>0</v>
      </c>
      <c r="E2435">
        <v>0</v>
      </c>
      <c r="F2435">
        <v>0</v>
      </c>
    </row>
    <row r="2436" spans="1:6" x14ac:dyDescent="0.25">
      <c r="A2436">
        <v>2435</v>
      </c>
      <c r="B2436">
        <v>44</v>
      </c>
      <c r="C2436">
        <v>0</v>
      </c>
      <c r="D2436">
        <v>0</v>
      </c>
      <c r="E2436">
        <v>0</v>
      </c>
      <c r="F2436">
        <v>8.0000400000000003</v>
      </c>
    </row>
    <row r="2437" spans="1:6" x14ac:dyDescent="0.25">
      <c r="A2437">
        <v>2436</v>
      </c>
      <c r="B2437" t="s">
        <v>0</v>
      </c>
      <c r="C2437">
        <v>140</v>
      </c>
      <c r="D2437">
        <v>3482</v>
      </c>
      <c r="E2437">
        <v>79888558</v>
      </c>
    </row>
    <row r="2438" spans="1:6" x14ac:dyDescent="0.25">
      <c r="A2438">
        <v>2437</v>
      </c>
      <c r="B2438">
        <v>45</v>
      </c>
      <c r="C2438">
        <v>0</v>
      </c>
      <c r="D2438">
        <v>0</v>
      </c>
      <c r="E2438">
        <v>0</v>
      </c>
      <c r="F2438">
        <v>4400</v>
      </c>
    </row>
    <row r="2439" spans="1:6" x14ac:dyDescent="0.25">
      <c r="A2439">
        <v>2438</v>
      </c>
      <c r="B2439">
        <v>46</v>
      </c>
      <c r="C2439">
        <v>0</v>
      </c>
      <c r="D2439">
        <v>0</v>
      </c>
      <c r="E2439">
        <v>0</v>
      </c>
      <c r="F2439">
        <v>0</v>
      </c>
    </row>
    <row r="2440" spans="1:6" x14ac:dyDescent="0.25">
      <c r="A2440">
        <v>2439</v>
      </c>
      <c r="B2440">
        <v>2</v>
      </c>
      <c r="C2440">
        <v>0</v>
      </c>
      <c r="D2440">
        <v>0</v>
      </c>
      <c r="E2440">
        <v>0</v>
      </c>
      <c r="F2440">
        <v>34.406100000000002</v>
      </c>
    </row>
    <row r="2441" spans="1:6" x14ac:dyDescent="0.25">
      <c r="A2441">
        <v>2440</v>
      </c>
      <c r="B2441">
        <v>10</v>
      </c>
      <c r="C2441">
        <v>1</v>
      </c>
      <c r="D2441">
        <v>0</v>
      </c>
      <c r="E2441">
        <v>0</v>
      </c>
      <c r="F2441">
        <v>34716</v>
      </c>
    </row>
    <row r="2442" spans="1:6" x14ac:dyDescent="0.25">
      <c r="A2442">
        <v>2441</v>
      </c>
      <c r="B2442">
        <v>13</v>
      </c>
      <c r="C2442">
        <v>0</v>
      </c>
      <c r="D2442">
        <v>0</v>
      </c>
      <c r="E2442">
        <v>0</v>
      </c>
      <c r="F2442">
        <v>1602</v>
      </c>
    </row>
    <row r="2443" spans="1:6" x14ac:dyDescent="0.25">
      <c r="A2443">
        <v>2442</v>
      </c>
      <c r="B2443">
        <v>41</v>
      </c>
      <c r="C2443">
        <v>0</v>
      </c>
      <c r="D2443">
        <v>0</v>
      </c>
      <c r="E2443">
        <v>0</v>
      </c>
      <c r="F2443">
        <v>1</v>
      </c>
    </row>
    <row r="2444" spans="1:6" x14ac:dyDescent="0.25">
      <c r="A2444">
        <v>2443</v>
      </c>
      <c r="B2444">
        <v>42</v>
      </c>
      <c r="C2444">
        <v>0</v>
      </c>
      <c r="D2444">
        <v>0</v>
      </c>
      <c r="E2444">
        <v>0</v>
      </c>
      <c r="F2444">
        <v>0.2</v>
      </c>
    </row>
    <row r="2445" spans="1:6" x14ac:dyDescent="0.25">
      <c r="A2445">
        <v>2444</v>
      </c>
      <c r="B2445">
        <v>43</v>
      </c>
      <c r="C2445">
        <v>0</v>
      </c>
      <c r="D2445">
        <v>0</v>
      </c>
      <c r="E2445">
        <v>0</v>
      </c>
      <c r="F2445">
        <v>0</v>
      </c>
    </row>
    <row r="2446" spans="1:6" x14ac:dyDescent="0.25">
      <c r="A2446">
        <v>2445</v>
      </c>
      <c r="B2446">
        <v>44</v>
      </c>
      <c r="C2446">
        <v>0</v>
      </c>
      <c r="D2446">
        <v>0</v>
      </c>
      <c r="E2446">
        <v>0</v>
      </c>
      <c r="F2446">
        <v>8.2505199999999999</v>
      </c>
    </row>
    <row r="2447" spans="1:6" x14ac:dyDescent="0.25">
      <c r="A2447">
        <v>2446</v>
      </c>
      <c r="B2447">
        <v>45</v>
      </c>
      <c r="C2447">
        <v>0</v>
      </c>
      <c r="D2447">
        <v>0</v>
      </c>
      <c r="E2447">
        <v>0</v>
      </c>
      <c r="F2447">
        <v>4400</v>
      </c>
    </row>
    <row r="2448" spans="1:6" x14ac:dyDescent="0.25">
      <c r="A2448">
        <v>2447</v>
      </c>
      <c r="B2448">
        <v>46</v>
      </c>
      <c r="C2448">
        <v>0</v>
      </c>
      <c r="D2448">
        <v>0</v>
      </c>
      <c r="E2448">
        <v>0</v>
      </c>
      <c r="F2448">
        <v>0</v>
      </c>
    </row>
    <row r="2449" spans="1:6" x14ac:dyDescent="0.25">
      <c r="A2449">
        <v>2448</v>
      </c>
      <c r="B2449">
        <v>2</v>
      </c>
      <c r="C2449">
        <v>0</v>
      </c>
      <c r="D2449">
        <v>0</v>
      </c>
      <c r="E2449">
        <v>0</v>
      </c>
      <c r="F2449">
        <v>34.406100000000002</v>
      </c>
    </row>
    <row r="2450" spans="1:6" x14ac:dyDescent="0.25">
      <c r="A2450">
        <v>2449</v>
      </c>
      <c r="B2450">
        <v>10</v>
      </c>
      <c r="C2450">
        <v>1</v>
      </c>
      <c r="D2450">
        <v>0</v>
      </c>
      <c r="E2450">
        <v>0</v>
      </c>
      <c r="F2450">
        <v>34716</v>
      </c>
    </row>
    <row r="2451" spans="1:6" x14ac:dyDescent="0.25">
      <c r="A2451">
        <v>2450</v>
      </c>
      <c r="B2451">
        <v>13</v>
      </c>
      <c r="C2451">
        <v>0</v>
      </c>
      <c r="D2451">
        <v>0</v>
      </c>
      <c r="E2451">
        <v>0</v>
      </c>
      <c r="F2451">
        <v>1602</v>
      </c>
    </row>
    <row r="2452" spans="1:6" x14ac:dyDescent="0.25">
      <c r="A2452">
        <v>2451</v>
      </c>
      <c r="B2452">
        <v>41</v>
      </c>
      <c r="C2452">
        <v>0</v>
      </c>
      <c r="D2452">
        <v>0</v>
      </c>
      <c r="E2452">
        <v>0</v>
      </c>
      <c r="F2452">
        <v>1</v>
      </c>
    </row>
    <row r="2453" spans="1:6" x14ac:dyDescent="0.25">
      <c r="A2453">
        <v>2452</v>
      </c>
      <c r="B2453">
        <v>42</v>
      </c>
      <c r="C2453">
        <v>0</v>
      </c>
      <c r="D2453">
        <v>0</v>
      </c>
      <c r="E2453">
        <v>0</v>
      </c>
      <c r="F2453">
        <v>0.2</v>
      </c>
    </row>
    <row r="2454" spans="1:6" x14ac:dyDescent="0.25">
      <c r="A2454">
        <v>2453</v>
      </c>
      <c r="B2454">
        <v>43</v>
      </c>
      <c r="C2454">
        <v>0</v>
      </c>
      <c r="D2454">
        <v>0</v>
      </c>
      <c r="E2454">
        <v>0</v>
      </c>
      <c r="F2454">
        <v>0</v>
      </c>
    </row>
    <row r="2455" spans="1:6" x14ac:dyDescent="0.25">
      <c r="A2455">
        <v>2454</v>
      </c>
      <c r="B2455">
        <v>44</v>
      </c>
      <c r="C2455">
        <v>0</v>
      </c>
      <c r="D2455">
        <v>0</v>
      </c>
      <c r="E2455">
        <v>0</v>
      </c>
      <c r="F2455">
        <v>8.5007900000000003</v>
      </c>
    </row>
    <row r="2456" spans="1:6" x14ac:dyDescent="0.25">
      <c r="A2456">
        <v>2455</v>
      </c>
      <c r="B2456">
        <v>45</v>
      </c>
      <c r="C2456">
        <v>0</v>
      </c>
      <c r="D2456">
        <v>0</v>
      </c>
      <c r="E2456">
        <v>0</v>
      </c>
      <c r="F2456">
        <v>4400</v>
      </c>
    </row>
    <row r="2457" spans="1:6" x14ac:dyDescent="0.25">
      <c r="A2457">
        <v>2456</v>
      </c>
      <c r="B2457">
        <v>46</v>
      </c>
      <c r="C2457">
        <v>0</v>
      </c>
      <c r="D2457">
        <v>0</v>
      </c>
      <c r="E2457">
        <v>0</v>
      </c>
      <c r="F2457">
        <v>0</v>
      </c>
    </row>
    <row r="2458" spans="1:6" x14ac:dyDescent="0.25">
      <c r="A2458">
        <v>2457</v>
      </c>
      <c r="B2458">
        <v>2</v>
      </c>
      <c r="C2458">
        <v>0</v>
      </c>
      <c r="D2458">
        <v>0</v>
      </c>
      <c r="E2458">
        <v>0</v>
      </c>
      <c r="F2458">
        <v>34.405900000000003</v>
      </c>
    </row>
    <row r="2459" spans="1:6" x14ac:dyDescent="0.25">
      <c r="A2459">
        <v>2458</v>
      </c>
      <c r="B2459">
        <v>10</v>
      </c>
      <c r="C2459">
        <v>1</v>
      </c>
      <c r="D2459">
        <v>0</v>
      </c>
      <c r="E2459">
        <v>0</v>
      </c>
      <c r="F2459">
        <v>34716</v>
      </c>
    </row>
    <row r="2460" spans="1:6" x14ac:dyDescent="0.25">
      <c r="A2460">
        <v>2459</v>
      </c>
      <c r="B2460">
        <v>13</v>
      </c>
      <c r="C2460">
        <v>0</v>
      </c>
      <c r="D2460">
        <v>0</v>
      </c>
      <c r="E2460">
        <v>0</v>
      </c>
      <c r="F2460">
        <v>1602</v>
      </c>
    </row>
    <row r="2461" spans="1:6" x14ac:dyDescent="0.25">
      <c r="A2461">
        <v>2460</v>
      </c>
      <c r="B2461">
        <v>41</v>
      </c>
      <c r="C2461">
        <v>0</v>
      </c>
      <c r="D2461">
        <v>0</v>
      </c>
      <c r="E2461">
        <v>0</v>
      </c>
      <c r="F2461">
        <v>1</v>
      </c>
    </row>
    <row r="2462" spans="1:6" x14ac:dyDescent="0.25">
      <c r="A2462">
        <v>2461</v>
      </c>
      <c r="B2462">
        <v>42</v>
      </c>
      <c r="C2462">
        <v>0</v>
      </c>
      <c r="D2462">
        <v>0</v>
      </c>
      <c r="E2462">
        <v>0</v>
      </c>
      <c r="F2462">
        <v>0.2</v>
      </c>
    </row>
    <row r="2463" spans="1:6" x14ac:dyDescent="0.25">
      <c r="A2463">
        <v>2462</v>
      </c>
      <c r="B2463">
        <v>43</v>
      </c>
      <c r="C2463">
        <v>0</v>
      </c>
      <c r="D2463">
        <v>0</v>
      </c>
      <c r="E2463">
        <v>0</v>
      </c>
      <c r="F2463">
        <v>0</v>
      </c>
    </row>
    <row r="2464" spans="1:6" x14ac:dyDescent="0.25">
      <c r="A2464">
        <v>2463</v>
      </c>
      <c r="B2464">
        <v>44</v>
      </c>
      <c r="C2464">
        <v>0</v>
      </c>
      <c r="D2464">
        <v>0</v>
      </c>
      <c r="E2464">
        <v>0</v>
      </c>
      <c r="F2464">
        <v>8.5007900000000003</v>
      </c>
    </row>
    <row r="2465" spans="1:6" x14ac:dyDescent="0.25">
      <c r="A2465">
        <v>2464</v>
      </c>
      <c r="B2465">
        <v>45</v>
      </c>
      <c r="C2465">
        <v>0</v>
      </c>
      <c r="D2465">
        <v>0</v>
      </c>
      <c r="E2465">
        <v>0</v>
      </c>
      <c r="F2465">
        <v>4400</v>
      </c>
    </row>
    <row r="2466" spans="1:6" x14ac:dyDescent="0.25">
      <c r="A2466">
        <v>2465</v>
      </c>
      <c r="B2466">
        <v>46</v>
      </c>
      <c r="C2466">
        <v>0</v>
      </c>
      <c r="D2466">
        <v>0</v>
      </c>
      <c r="E2466">
        <v>0</v>
      </c>
      <c r="F2466">
        <v>0</v>
      </c>
    </row>
    <row r="2467" spans="1:6" x14ac:dyDescent="0.25">
      <c r="A2467">
        <v>2466</v>
      </c>
      <c r="B2467" t="s">
        <v>0</v>
      </c>
      <c r="C2467">
        <v>142</v>
      </c>
      <c r="D2467">
        <v>3482</v>
      </c>
      <c r="E2467">
        <v>79890494</v>
      </c>
    </row>
    <row r="2468" spans="1:6" x14ac:dyDescent="0.25">
      <c r="A2468">
        <v>2467</v>
      </c>
      <c r="B2468">
        <v>10</v>
      </c>
      <c r="C2468">
        <v>1</v>
      </c>
      <c r="D2468">
        <v>0</v>
      </c>
      <c r="E2468">
        <v>0</v>
      </c>
      <c r="F2468">
        <v>34716</v>
      </c>
    </row>
    <row r="2469" spans="1:6" x14ac:dyDescent="0.25">
      <c r="A2469">
        <v>2468</v>
      </c>
      <c r="B2469">
        <v>13</v>
      </c>
      <c r="C2469">
        <v>0</v>
      </c>
      <c r="D2469">
        <v>0</v>
      </c>
      <c r="E2469">
        <v>0</v>
      </c>
      <c r="F2469">
        <v>1602</v>
      </c>
    </row>
    <row r="2470" spans="1:6" x14ac:dyDescent="0.25">
      <c r="A2470">
        <v>2469</v>
      </c>
      <c r="B2470">
        <v>41</v>
      </c>
      <c r="C2470">
        <v>0</v>
      </c>
      <c r="D2470">
        <v>0</v>
      </c>
      <c r="E2470">
        <v>0</v>
      </c>
      <c r="F2470">
        <v>1</v>
      </c>
    </row>
    <row r="2471" spans="1:6" x14ac:dyDescent="0.25">
      <c r="A2471">
        <v>2470</v>
      </c>
      <c r="B2471">
        <v>42</v>
      </c>
      <c r="C2471">
        <v>0</v>
      </c>
      <c r="D2471">
        <v>0</v>
      </c>
      <c r="E2471">
        <v>0</v>
      </c>
      <c r="F2471">
        <v>0.2</v>
      </c>
    </row>
    <row r="2472" spans="1:6" x14ac:dyDescent="0.25">
      <c r="A2472">
        <v>2471</v>
      </c>
      <c r="B2472">
        <v>43</v>
      </c>
      <c r="C2472">
        <v>0</v>
      </c>
      <c r="D2472">
        <v>0</v>
      </c>
      <c r="E2472">
        <v>0</v>
      </c>
      <c r="F2472">
        <v>0</v>
      </c>
    </row>
    <row r="2473" spans="1:6" x14ac:dyDescent="0.25">
      <c r="A2473">
        <v>2472</v>
      </c>
      <c r="B2473">
        <v>44</v>
      </c>
      <c r="C2473">
        <v>0</v>
      </c>
      <c r="D2473">
        <v>0</v>
      </c>
      <c r="E2473">
        <v>0</v>
      </c>
      <c r="F2473">
        <v>8.7264199999999992</v>
      </c>
    </row>
    <row r="2474" spans="1:6" x14ac:dyDescent="0.25">
      <c r="A2474">
        <v>2473</v>
      </c>
      <c r="B2474">
        <v>45</v>
      </c>
      <c r="C2474">
        <v>0</v>
      </c>
      <c r="D2474">
        <v>0</v>
      </c>
      <c r="E2474">
        <v>0</v>
      </c>
      <c r="F2474">
        <v>4400</v>
      </c>
    </row>
    <row r="2475" spans="1:6" x14ac:dyDescent="0.25">
      <c r="A2475">
        <v>2474</v>
      </c>
      <c r="B2475">
        <v>46</v>
      </c>
      <c r="C2475">
        <v>0</v>
      </c>
      <c r="D2475">
        <v>0</v>
      </c>
      <c r="E2475">
        <v>0</v>
      </c>
      <c r="F2475">
        <v>0</v>
      </c>
    </row>
    <row r="2476" spans="1:6" x14ac:dyDescent="0.25">
      <c r="A2476">
        <v>2475</v>
      </c>
      <c r="B2476">
        <v>2</v>
      </c>
      <c r="C2476">
        <v>0</v>
      </c>
      <c r="D2476">
        <v>0</v>
      </c>
      <c r="E2476">
        <v>0</v>
      </c>
      <c r="F2476">
        <v>34.405299999999997</v>
      </c>
    </row>
    <row r="2477" spans="1:6" x14ac:dyDescent="0.25">
      <c r="A2477">
        <v>2476</v>
      </c>
      <c r="B2477">
        <v>10</v>
      </c>
      <c r="C2477">
        <v>1</v>
      </c>
      <c r="D2477">
        <v>0</v>
      </c>
      <c r="E2477">
        <v>0</v>
      </c>
      <c r="F2477">
        <v>34716</v>
      </c>
    </row>
    <row r="2478" spans="1:6" x14ac:dyDescent="0.25">
      <c r="A2478">
        <v>2477</v>
      </c>
      <c r="B2478">
        <v>13</v>
      </c>
      <c r="C2478">
        <v>0</v>
      </c>
      <c r="D2478">
        <v>0</v>
      </c>
      <c r="E2478">
        <v>0</v>
      </c>
      <c r="F2478">
        <v>1602</v>
      </c>
    </row>
    <row r="2479" spans="1:6" x14ac:dyDescent="0.25">
      <c r="A2479">
        <v>2478</v>
      </c>
      <c r="B2479">
        <v>41</v>
      </c>
      <c r="C2479">
        <v>0</v>
      </c>
      <c r="D2479">
        <v>0</v>
      </c>
      <c r="E2479">
        <v>0</v>
      </c>
      <c r="F2479">
        <v>1</v>
      </c>
    </row>
    <row r="2480" spans="1:6" x14ac:dyDescent="0.25">
      <c r="A2480">
        <v>2479</v>
      </c>
      <c r="B2480">
        <v>42</v>
      </c>
      <c r="C2480">
        <v>0</v>
      </c>
      <c r="D2480">
        <v>0</v>
      </c>
      <c r="E2480">
        <v>0</v>
      </c>
      <c r="F2480">
        <v>0.2</v>
      </c>
    </row>
    <row r="2481" spans="1:6" x14ac:dyDescent="0.25">
      <c r="A2481">
        <v>2480</v>
      </c>
      <c r="B2481">
        <v>43</v>
      </c>
      <c r="C2481">
        <v>0</v>
      </c>
      <c r="D2481">
        <v>0</v>
      </c>
      <c r="E2481">
        <v>0</v>
      </c>
      <c r="F2481">
        <v>0</v>
      </c>
    </row>
    <row r="2482" spans="1:6" x14ac:dyDescent="0.25">
      <c r="A2482">
        <v>2481</v>
      </c>
      <c r="B2482" t="s">
        <v>0</v>
      </c>
      <c r="C2482">
        <v>143</v>
      </c>
      <c r="D2482">
        <v>3482</v>
      </c>
      <c r="E2482">
        <v>79891461</v>
      </c>
    </row>
    <row r="2483" spans="1:6" x14ac:dyDescent="0.25">
      <c r="A2483">
        <v>2482</v>
      </c>
      <c r="B2483">
        <v>44</v>
      </c>
      <c r="C2483">
        <v>0</v>
      </c>
      <c r="D2483">
        <v>0</v>
      </c>
      <c r="E2483">
        <v>0</v>
      </c>
      <c r="F2483">
        <v>8.9755900000000004</v>
      </c>
    </row>
    <row r="2484" spans="1:6" x14ac:dyDescent="0.25">
      <c r="A2484">
        <v>2483</v>
      </c>
      <c r="B2484">
        <v>45</v>
      </c>
      <c r="C2484">
        <v>0</v>
      </c>
      <c r="D2484">
        <v>0</v>
      </c>
      <c r="E2484">
        <v>0</v>
      </c>
      <c r="F2484">
        <v>4400</v>
      </c>
    </row>
    <row r="2485" spans="1:6" x14ac:dyDescent="0.25">
      <c r="A2485">
        <v>2484</v>
      </c>
      <c r="B2485">
        <v>46</v>
      </c>
      <c r="C2485">
        <v>0</v>
      </c>
      <c r="D2485">
        <v>0</v>
      </c>
      <c r="E2485">
        <v>0</v>
      </c>
      <c r="F2485">
        <v>0</v>
      </c>
    </row>
    <row r="2486" spans="1:6" x14ac:dyDescent="0.25">
      <c r="A2486">
        <v>2485</v>
      </c>
      <c r="B2486">
        <v>2</v>
      </c>
      <c r="C2486">
        <v>0</v>
      </c>
      <c r="D2486">
        <v>0</v>
      </c>
      <c r="E2486">
        <v>0</v>
      </c>
      <c r="F2486">
        <v>34.406100000000002</v>
      </c>
    </row>
    <row r="2487" spans="1:6" x14ac:dyDescent="0.25">
      <c r="A2487">
        <v>2486</v>
      </c>
      <c r="B2487">
        <v>10</v>
      </c>
      <c r="C2487">
        <v>1</v>
      </c>
      <c r="D2487">
        <v>0</v>
      </c>
      <c r="E2487">
        <v>0</v>
      </c>
      <c r="F2487">
        <v>34716</v>
      </c>
    </row>
    <row r="2488" spans="1:6" x14ac:dyDescent="0.25">
      <c r="A2488">
        <v>2487</v>
      </c>
      <c r="B2488">
        <v>13</v>
      </c>
      <c r="C2488">
        <v>0</v>
      </c>
      <c r="D2488">
        <v>0</v>
      </c>
      <c r="E2488">
        <v>0</v>
      </c>
      <c r="F2488">
        <v>1602</v>
      </c>
    </row>
    <row r="2489" spans="1:6" x14ac:dyDescent="0.25">
      <c r="A2489">
        <v>2488</v>
      </c>
      <c r="B2489">
        <v>41</v>
      </c>
      <c r="C2489">
        <v>0</v>
      </c>
      <c r="D2489">
        <v>0</v>
      </c>
      <c r="E2489">
        <v>0</v>
      </c>
      <c r="F2489">
        <v>1</v>
      </c>
    </row>
    <row r="2490" spans="1:6" x14ac:dyDescent="0.25">
      <c r="A2490">
        <v>2489</v>
      </c>
      <c r="B2490">
        <v>42</v>
      </c>
      <c r="C2490">
        <v>0</v>
      </c>
      <c r="D2490">
        <v>0</v>
      </c>
      <c r="E2490">
        <v>0</v>
      </c>
      <c r="F2490">
        <v>0.2</v>
      </c>
    </row>
    <row r="2491" spans="1:6" x14ac:dyDescent="0.25">
      <c r="A2491">
        <v>2490</v>
      </c>
      <c r="B2491">
        <v>43</v>
      </c>
      <c r="C2491">
        <v>0</v>
      </c>
      <c r="D2491">
        <v>0</v>
      </c>
      <c r="E2491">
        <v>0</v>
      </c>
      <c r="F2491">
        <v>0</v>
      </c>
    </row>
    <row r="2492" spans="1:6" x14ac:dyDescent="0.25">
      <c r="A2492">
        <v>2491</v>
      </c>
      <c r="B2492">
        <v>44</v>
      </c>
      <c r="C2492">
        <v>0</v>
      </c>
      <c r="D2492">
        <v>0</v>
      </c>
      <c r="E2492">
        <v>0</v>
      </c>
      <c r="F2492">
        <v>8.9755900000000004</v>
      </c>
    </row>
    <row r="2493" spans="1:6" x14ac:dyDescent="0.25">
      <c r="A2493">
        <v>2492</v>
      </c>
      <c r="B2493">
        <v>45</v>
      </c>
      <c r="C2493">
        <v>0</v>
      </c>
      <c r="D2493">
        <v>0</v>
      </c>
      <c r="E2493">
        <v>0</v>
      </c>
      <c r="F2493">
        <v>4400</v>
      </c>
    </row>
    <row r="2494" spans="1:6" x14ac:dyDescent="0.25">
      <c r="A2494">
        <v>2493</v>
      </c>
      <c r="B2494">
        <v>46</v>
      </c>
      <c r="C2494">
        <v>0</v>
      </c>
      <c r="D2494">
        <v>0</v>
      </c>
      <c r="E2494">
        <v>0</v>
      </c>
      <c r="F2494">
        <v>0</v>
      </c>
    </row>
    <row r="2495" spans="1:6" x14ac:dyDescent="0.25">
      <c r="A2495">
        <v>2494</v>
      </c>
      <c r="B2495">
        <v>2</v>
      </c>
      <c r="C2495">
        <v>0</v>
      </c>
      <c r="D2495">
        <v>0</v>
      </c>
      <c r="E2495">
        <v>0</v>
      </c>
      <c r="F2495">
        <v>34.406100000000002</v>
      </c>
    </row>
    <row r="2496" spans="1:6" x14ac:dyDescent="0.25">
      <c r="A2496">
        <v>2495</v>
      </c>
      <c r="B2496">
        <v>10</v>
      </c>
      <c r="C2496">
        <v>1</v>
      </c>
      <c r="D2496">
        <v>0</v>
      </c>
      <c r="E2496">
        <v>0</v>
      </c>
      <c r="F2496">
        <v>34716</v>
      </c>
    </row>
    <row r="2497" spans="1:6" x14ac:dyDescent="0.25">
      <c r="A2497">
        <v>2496</v>
      </c>
      <c r="B2497">
        <v>13</v>
      </c>
      <c r="C2497">
        <v>0</v>
      </c>
      <c r="D2497">
        <v>0</v>
      </c>
      <c r="E2497">
        <v>0</v>
      </c>
      <c r="F2497">
        <v>1602</v>
      </c>
    </row>
    <row r="2498" spans="1:6" x14ac:dyDescent="0.25">
      <c r="A2498">
        <v>2497</v>
      </c>
      <c r="B2498">
        <v>41</v>
      </c>
      <c r="C2498">
        <v>0</v>
      </c>
      <c r="D2498">
        <v>0</v>
      </c>
      <c r="E2498">
        <v>0</v>
      </c>
      <c r="F2498">
        <v>1</v>
      </c>
    </row>
    <row r="2499" spans="1:6" x14ac:dyDescent="0.25">
      <c r="A2499">
        <v>2498</v>
      </c>
      <c r="B2499">
        <v>42</v>
      </c>
      <c r="C2499">
        <v>0</v>
      </c>
      <c r="D2499">
        <v>0</v>
      </c>
      <c r="E2499">
        <v>0</v>
      </c>
      <c r="F2499">
        <v>0.2</v>
      </c>
    </row>
    <row r="2500" spans="1:6" x14ac:dyDescent="0.25">
      <c r="A2500">
        <v>2499</v>
      </c>
      <c r="B2500">
        <v>43</v>
      </c>
      <c r="C2500">
        <v>0</v>
      </c>
      <c r="D2500">
        <v>0</v>
      </c>
      <c r="E2500">
        <v>0</v>
      </c>
      <c r="F2500">
        <v>0</v>
      </c>
    </row>
    <row r="2501" spans="1:6" x14ac:dyDescent="0.25">
      <c r="A2501">
        <v>2500</v>
      </c>
      <c r="B2501">
        <v>44</v>
      </c>
      <c r="C2501">
        <v>0</v>
      </c>
      <c r="D2501">
        <v>0</v>
      </c>
      <c r="E2501">
        <v>0</v>
      </c>
      <c r="F2501">
        <v>9.2251499999999993</v>
      </c>
    </row>
    <row r="2502" spans="1:6" x14ac:dyDescent="0.25">
      <c r="A2502">
        <v>2501</v>
      </c>
      <c r="B2502">
        <v>45</v>
      </c>
      <c r="C2502">
        <v>0</v>
      </c>
      <c r="D2502">
        <v>0</v>
      </c>
      <c r="E2502">
        <v>0</v>
      </c>
      <c r="F2502">
        <v>4400</v>
      </c>
    </row>
    <row r="2503" spans="1:6" x14ac:dyDescent="0.25">
      <c r="A2503">
        <v>2502</v>
      </c>
      <c r="B2503">
        <v>46</v>
      </c>
      <c r="C2503">
        <v>0</v>
      </c>
      <c r="D2503">
        <v>0</v>
      </c>
      <c r="E2503">
        <v>0</v>
      </c>
      <c r="F2503">
        <v>0</v>
      </c>
    </row>
    <row r="2504" spans="1:6" x14ac:dyDescent="0.25">
      <c r="A2504">
        <v>2503</v>
      </c>
      <c r="B2504">
        <v>2</v>
      </c>
      <c r="C2504">
        <v>0</v>
      </c>
      <c r="D2504">
        <v>0</v>
      </c>
      <c r="E2504">
        <v>0</v>
      </c>
      <c r="F2504">
        <v>34.406599999999997</v>
      </c>
    </row>
    <row r="2505" spans="1:6" x14ac:dyDescent="0.25">
      <c r="A2505">
        <v>2504</v>
      </c>
      <c r="B2505">
        <v>10</v>
      </c>
      <c r="C2505">
        <v>1</v>
      </c>
      <c r="D2505">
        <v>0</v>
      </c>
      <c r="E2505">
        <v>0</v>
      </c>
      <c r="F2505">
        <v>34715</v>
      </c>
    </row>
    <row r="2506" spans="1:6" x14ac:dyDescent="0.25">
      <c r="A2506">
        <v>2505</v>
      </c>
      <c r="B2506">
        <v>13</v>
      </c>
      <c r="C2506">
        <v>0</v>
      </c>
      <c r="D2506">
        <v>0</v>
      </c>
      <c r="E2506">
        <v>0</v>
      </c>
      <c r="F2506">
        <v>1602</v>
      </c>
    </row>
    <row r="2507" spans="1:6" x14ac:dyDescent="0.25">
      <c r="A2507">
        <v>2506</v>
      </c>
      <c r="B2507">
        <v>41</v>
      </c>
      <c r="C2507">
        <v>0</v>
      </c>
      <c r="D2507">
        <v>0</v>
      </c>
      <c r="E2507">
        <v>0</v>
      </c>
      <c r="F2507">
        <v>1</v>
      </c>
    </row>
    <row r="2508" spans="1:6" x14ac:dyDescent="0.25">
      <c r="A2508">
        <v>2507</v>
      </c>
      <c r="B2508">
        <v>42</v>
      </c>
      <c r="C2508">
        <v>0</v>
      </c>
      <c r="D2508">
        <v>0</v>
      </c>
      <c r="E2508">
        <v>0</v>
      </c>
      <c r="F2508">
        <v>0.2</v>
      </c>
    </row>
    <row r="2509" spans="1:6" x14ac:dyDescent="0.25">
      <c r="A2509">
        <v>2508</v>
      </c>
      <c r="B2509">
        <v>43</v>
      </c>
      <c r="C2509">
        <v>0</v>
      </c>
      <c r="D2509">
        <v>0</v>
      </c>
      <c r="E2509">
        <v>0</v>
      </c>
      <c r="F2509">
        <v>0</v>
      </c>
    </row>
    <row r="2510" spans="1:6" x14ac:dyDescent="0.25">
      <c r="A2510">
        <v>2509</v>
      </c>
      <c r="B2510">
        <v>44</v>
      </c>
      <c r="C2510">
        <v>0</v>
      </c>
      <c r="D2510">
        <v>0</v>
      </c>
      <c r="E2510">
        <v>0</v>
      </c>
      <c r="F2510">
        <v>9.2251499999999993</v>
      </c>
    </row>
    <row r="2511" spans="1:6" x14ac:dyDescent="0.25">
      <c r="A2511">
        <v>2510</v>
      </c>
      <c r="B2511">
        <v>45</v>
      </c>
      <c r="C2511">
        <v>0</v>
      </c>
      <c r="D2511">
        <v>0</v>
      </c>
      <c r="E2511">
        <v>0</v>
      </c>
      <c r="F2511">
        <v>4400</v>
      </c>
    </row>
    <row r="2512" spans="1:6" x14ac:dyDescent="0.25">
      <c r="A2512">
        <v>2511</v>
      </c>
      <c r="B2512">
        <v>46</v>
      </c>
      <c r="C2512">
        <v>0</v>
      </c>
      <c r="D2512">
        <v>0</v>
      </c>
      <c r="E2512">
        <v>0</v>
      </c>
      <c r="F2512">
        <v>0</v>
      </c>
    </row>
    <row r="2513" spans="1:6" x14ac:dyDescent="0.25">
      <c r="A2513">
        <v>2512</v>
      </c>
      <c r="B2513">
        <v>2</v>
      </c>
      <c r="C2513">
        <v>0</v>
      </c>
      <c r="D2513">
        <v>0</v>
      </c>
      <c r="E2513">
        <v>0</v>
      </c>
      <c r="F2513">
        <v>34.406300000000002</v>
      </c>
    </row>
    <row r="2514" spans="1:6" x14ac:dyDescent="0.25">
      <c r="A2514">
        <v>2513</v>
      </c>
      <c r="B2514">
        <v>10</v>
      </c>
      <c r="C2514">
        <v>1</v>
      </c>
      <c r="D2514">
        <v>0</v>
      </c>
      <c r="E2514">
        <v>0</v>
      </c>
      <c r="F2514">
        <v>34715</v>
      </c>
    </row>
    <row r="2515" spans="1:6" x14ac:dyDescent="0.25">
      <c r="A2515">
        <v>2514</v>
      </c>
      <c r="B2515">
        <v>13</v>
      </c>
      <c r="C2515">
        <v>0</v>
      </c>
      <c r="D2515">
        <v>0</v>
      </c>
      <c r="E2515">
        <v>0</v>
      </c>
      <c r="F2515">
        <v>1602</v>
      </c>
    </row>
    <row r="2516" spans="1:6" x14ac:dyDescent="0.25">
      <c r="A2516">
        <v>2515</v>
      </c>
      <c r="B2516">
        <v>41</v>
      </c>
      <c r="C2516">
        <v>0</v>
      </c>
      <c r="D2516">
        <v>0</v>
      </c>
      <c r="E2516">
        <v>0</v>
      </c>
      <c r="F2516">
        <v>1</v>
      </c>
    </row>
    <row r="2517" spans="1:6" x14ac:dyDescent="0.25">
      <c r="A2517">
        <v>2516</v>
      </c>
      <c r="B2517">
        <v>42</v>
      </c>
      <c r="C2517">
        <v>0</v>
      </c>
      <c r="D2517">
        <v>0</v>
      </c>
      <c r="E2517">
        <v>0</v>
      </c>
      <c r="F2517">
        <v>0.2</v>
      </c>
    </row>
    <row r="2518" spans="1:6" x14ac:dyDescent="0.25">
      <c r="A2518">
        <v>2517</v>
      </c>
      <c r="B2518">
        <v>43</v>
      </c>
      <c r="C2518">
        <v>0</v>
      </c>
      <c r="D2518">
        <v>0</v>
      </c>
      <c r="E2518">
        <v>0</v>
      </c>
      <c r="F2518">
        <v>0</v>
      </c>
    </row>
    <row r="2519" spans="1:6" x14ac:dyDescent="0.25">
      <c r="A2519">
        <v>2518</v>
      </c>
      <c r="B2519">
        <v>44</v>
      </c>
      <c r="C2519">
        <v>0</v>
      </c>
      <c r="D2519">
        <v>0</v>
      </c>
      <c r="E2519">
        <v>0</v>
      </c>
      <c r="F2519">
        <v>9.45045</v>
      </c>
    </row>
    <row r="2520" spans="1:6" x14ac:dyDescent="0.25">
      <c r="A2520">
        <v>2519</v>
      </c>
      <c r="B2520">
        <v>45</v>
      </c>
      <c r="C2520">
        <v>0</v>
      </c>
      <c r="D2520">
        <v>0</v>
      </c>
      <c r="E2520">
        <v>0</v>
      </c>
      <c r="F2520">
        <v>4400</v>
      </c>
    </row>
    <row r="2521" spans="1:6" x14ac:dyDescent="0.25">
      <c r="A2521">
        <v>2520</v>
      </c>
      <c r="B2521">
        <v>46</v>
      </c>
      <c r="C2521">
        <v>0</v>
      </c>
      <c r="D2521">
        <v>0</v>
      </c>
      <c r="E2521">
        <v>0</v>
      </c>
      <c r="F2521">
        <v>0</v>
      </c>
    </row>
    <row r="2522" spans="1:6" x14ac:dyDescent="0.25">
      <c r="A2522">
        <v>2521</v>
      </c>
      <c r="B2522">
        <v>2</v>
      </c>
      <c r="C2522">
        <v>0</v>
      </c>
      <c r="D2522">
        <v>0</v>
      </c>
      <c r="E2522">
        <v>0</v>
      </c>
      <c r="F2522">
        <v>34.406300000000002</v>
      </c>
    </row>
    <row r="2523" spans="1:6" x14ac:dyDescent="0.25">
      <c r="A2523">
        <v>2522</v>
      </c>
      <c r="B2523">
        <v>10</v>
      </c>
      <c r="C2523">
        <v>1</v>
      </c>
      <c r="D2523">
        <v>0</v>
      </c>
      <c r="E2523">
        <v>0</v>
      </c>
      <c r="F2523">
        <v>34715</v>
      </c>
    </row>
    <row r="2524" spans="1:6" x14ac:dyDescent="0.25">
      <c r="A2524">
        <v>2523</v>
      </c>
      <c r="B2524">
        <v>13</v>
      </c>
      <c r="C2524">
        <v>0</v>
      </c>
      <c r="D2524">
        <v>0</v>
      </c>
      <c r="E2524">
        <v>0</v>
      </c>
      <c r="F2524">
        <v>1602</v>
      </c>
    </row>
    <row r="2525" spans="1:6" x14ac:dyDescent="0.25">
      <c r="A2525">
        <v>2524</v>
      </c>
      <c r="B2525">
        <v>41</v>
      </c>
      <c r="C2525">
        <v>0</v>
      </c>
      <c r="D2525">
        <v>0</v>
      </c>
      <c r="E2525">
        <v>0</v>
      </c>
      <c r="F2525">
        <v>1</v>
      </c>
    </row>
    <row r="2526" spans="1:6" x14ac:dyDescent="0.25">
      <c r="A2526">
        <v>2525</v>
      </c>
      <c r="B2526">
        <v>42</v>
      </c>
      <c r="C2526">
        <v>0</v>
      </c>
      <c r="D2526">
        <v>0</v>
      </c>
      <c r="E2526">
        <v>0</v>
      </c>
      <c r="F2526">
        <v>0.2</v>
      </c>
    </row>
    <row r="2527" spans="1:6" x14ac:dyDescent="0.25">
      <c r="A2527">
        <v>2526</v>
      </c>
      <c r="B2527" t="s">
        <v>0</v>
      </c>
      <c r="C2527">
        <v>146</v>
      </c>
      <c r="D2527">
        <v>3482</v>
      </c>
      <c r="E2527">
        <v>79894364</v>
      </c>
    </row>
    <row r="2528" spans="1:6" x14ac:dyDescent="0.25">
      <c r="A2528">
        <v>2527</v>
      </c>
      <c r="B2528">
        <v>44</v>
      </c>
      <c r="C2528">
        <v>0</v>
      </c>
      <c r="D2528">
        <v>0</v>
      </c>
      <c r="E2528">
        <v>0</v>
      </c>
      <c r="F2528">
        <v>9.7011000000000003</v>
      </c>
    </row>
    <row r="2529" spans="1:6" x14ac:dyDescent="0.25">
      <c r="A2529">
        <v>2528</v>
      </c>
      <c r="B2529">
        <v>45</v>
      </c>
      <c r="C2529">
        <v>0</v>
      </c>
      <c r="D2529">
        <v>0</v>
      </c>
      <c r="E2529">
        <v>0</v>
      </c>
      <c r="F2529">
        <v>4400</v>
      </c>
    </row>
    <row r="2530" spans="1:6" x14ac:dyDescent="0.25">
      <c r="A2530">
        <v>2529</v>
      </c>
      <c r="B2530">
        <v>46</v>
      </c>
      <c r="C2530">
        <v>0</v>
      </c>
      <c r="D2530">
        <v>0</v>
      </c>
      <c r="E2530">
        <v>0</v>
      </c>
      <c r="F2530">
        <v>0</v>
      </c>
    </row>
    <row r="2531" spans="1:6" x14ac:dyDescent="0.25">
      <c r="A2531">
        <v>2530</v>
      </c>
      <c r="B2531">
        <v>2</v>
      </c>
      <c r="C2531">
        <v>0</v>
      </c>
      <c r="D2531">
        <v>0</v>
      </c>
      <c r="E2531">
        <v>0</v>
      </c>
      <c r="F2531">
        <v>34.4056</v>
      </c>
    </row>
    <row r="2532" spans="1:6" x14ac:dyDescent="0.25">
      <c r="A2532">
        <v>2531</v>
      </c>
      <c r="B2532">
        <v>10</v>
      </c>
      <c r="C2532">
        <v>1</v>
      </c>
      <c r="D2532">
        <v>0</v>
      </c>
      <c r="E2532">
        <v>0</v>
      </c>
      <c r="F2532">
        <v>34716</v>
      </c>
    </row>
    <row r="2533" spans="1:6" x14ac:dyDescent="0.25">
      <c r="A2533">
        <v>2532</v>
      </c>
      <c r="B2533">
        <v>13</v>
      </c>
      <c r="C2533">
        <v>0</v>
      </c>
      <c r="D2533">
        <v>0</v>
      </c>
      <c r="E2533">
        <v>0</v>
      </c>
      <c r="F2533">
        <v>1602</v>
      </c>
    </row>
    <row r="2534" spans="1:6" x14ac:dyDescent="0.25">
      <c r="A2534">
        <v>2533</v>
      </c>
      <c r="B2534">
        <v>41</v>
      </c>
      <c r="C2534">
        <v>0</v>
      </c>
      <c r="D2534">
        <v>0</v>
      </c>
      <c r="E2534">
        <v>0</v>
      </c>
      <c r="F2534">
        <v>1</v>
      </c>
    </row>
    <row r="2535" spans="1:6" x14ac:dyDescent="0.25">
      <c r="A2535">
        <v>2534</v>
      </c>
      <c r="B2535">
        <v>42</v>
      </c>
      <c r="C2535">
        <v>0</v>
      </c>
      <c r="D2535">
        <v>0</v>
      </c>
      <c r="E2535">
        <v>0</v>
      </c>
      <c r="F2535">
        <v>0.2</v>
      </c>
    </row>
    <row r="2536" spans="1:6" x14ac:dyDescent="0.25">
      <c r="A2536">
        <v>2535</v>
      </c>
      <c r="B2536">
        <v>43</v>
      </c>
      <c r="C2536">
        <v>0</v>
      </c>
      <c r="D2536">
        <v>0</v>
      </c>
      <c r="E2536">
        <v>0</v>
      </c>
      <c r="F2536">
        <v>0</v>
      </c>
    </row>
    <row r="2537" spans="1:6" x14ac:dyDescent="0.25">
      <c r="A2537">
        <v>2536</v>
      </c>
      <c r="B2537">
        <v>44</v>
      </c>
      <c r="C2537">
        <v>0</v>
      </c>
      <c r="D2537">
        <v>0</v>
      </c>
      <c r="E2537">
        <v>0</v>
      </c>
      <c r="F2537">
        <v>9.7011000000000003</v>
      </c>
    </row>
    <row r="2538" spans="1:6" x14ac:dyDescent="0.25">
      <c r="A2538">
        <v>2537</v>
      </c>
      <c r="B2538">
        <v>45</v>
      </c>
      <c r="C2538">
        <v>0</v>
      </c>
      <c r="D2538">
        <v>0</v>
      </c>
      <c r="E2538">
        <v>0</v>
      </c>
      <c r="F2538">
        <v>4400</v>
      </c>
    </row>
    <row r="2539" spans="1:6" x14ac:dyDescent="0.25">
      <c r="A2539">
        <v>2538</v>
      </c>
      <c r="B2539">
        <v>46</v>
      </c>
      <c r="C2539">
        <v>0</v>
      </c>
      <c r="D2539">
        <v>0</v>
      </c>
      <c r="E2539">
        <v>0</v>
      </c>
      <c r="F2539">
        <v>0</v>
      </c>
    </row>
    <row r="2540" spans="1:6" x14ac:dyDescent="0.25">
      <c r="A2540">
        <v>2539</v>
      </c>
      <c r="B2540">
        <v>2</v>
      </c>
      <c r="C2540">
        <v>0</v>
      </c>
      <c r="D2540">
        <v>0</v>
      </c>
      <c r="E2540">
        <v>0</v>
      </c>
      <c r="F2540">
        <v>34.4056</v>
      </c>
    </row>
    <row r="2541" spans="1:6" x14ac:dyDescent="0.25">
      <c r="A2541">
        <v>2540</v>
      </c>
      <c r="B2541">
        <v>10</v>
      </c>
      <c r="C2541">
        <v>1</v>
      </c>
      <c r="D2541">
        <v>0</v>
      </c>
      <c r="E2541">
        <v>0</v>
      </c>
      <c r="F2541">
        <v>34716</v>
      </c>
    </row>
    <row r="2542" spans="1:6" x14ac:dyDescent="0.25">
      <c r="A2542">
        <v>2541</v>
      </c>
      <c r="B2542" t="s">
        <v>0</v>
      </c>
      <c r="C2542">
        <v>147</v>
      </c>
      <c r="D2542">
        <v>3482</v>
      </c>
      <c r="E2542">
        <v>79895331</v>
      </c>
    </row>
    <row r="2543" spans="1:6" x14ac:dyDescent="0.25">
      <c r="A2543">
        <v>2542</v>
      </c>
      <c r="B2543">
        <v>13</v>
      </c>
      <c r="C2543">
        <v>0</v>
      </c>
      <c r="D2543">
        <v>0</v>
      </c>
      <c r="E2543">
        <v>0</v>
      </c>
      <c r="F2543">
        <v>1602</v>
      </c>
    </row>
    <row r="2544" spans="1:6" x14ac:dyDescent="0.25">
      <c r="A2544">
        <v>2543</v>
      </c>
      <c r="B2544">
        <v>41</v>
      </c>
      <c r="C2544">
        <v>0</v>
      </c>
      <c r="D2544">
        <v>0</v>
      </c>
      <c r="E2544">
        <v>0</v>
      </c>
      <c r="F2544">
        <v>1</v>
      </c>
    </row>
    <row r="2545" spans="1:6" x14ac:dyDescent="0.25">
      <c r="A2545">
        <v>2544</v>
      </c>
      <c r="B2545">
        <v>42</v>
      </c>
      <c r="C2545">
        <v>0</v>
      </c>
      <c r="D2545">
        <v>0</v>
      </c>
      <c r="E2545">
        <v>0</v>
      </c>
      <c r="F2545">
        <v>0.2</v>
      </c>
    </row>
    <row r="2546" spans="1:6" x14ac:dyDescent="0.25">
      <c r="A2546">
        <v>2545</v>
      </c>
      <c r="B2546">
        <v>43</v>
      </c>
      <c r="C2546">
        <v>0</v>
      </c>
      <c r="D2546">
        <v>0</v>
      </c>
      <c r="E2546">
        <v>0</v>
      </c>
      <c r="F2546">
        <v>0</v>
      </c>
    </row>
    <row r="2547" spans="1:6" x14ac:dyDescent="0.25">
      <c r="A2547">
        <v>2546</v>
      </c>
      <c r="B2547">
        <v>44</v>
      </c>
      <c r="C2547">
        <v>0</v>
      </c>
      <c r="D2547">
        <v>0</v>
      </c>
      <c r="E2547">
        <v>0</v>
      </c>
      <c r="F2547">
        <v>9.9509899999999991</v>
      </c>
    </row>
    <row r="2548" spans="1:6" x14ac:dyDescent="0.25">
      <c r="A2548">
        <v>2547</v>
      </c>
      <c r="B2548">
        <v>45</v>
      </c>
      <c r="C2548">
        <v>0</v>
      </c>
      <c r="D2548">
        <v>0</v>
      </c>
      <c r="E2548">
        <v>0</v>
      </c>
      <c r="F2548">
        <v>4400</v>
      </c>
    </row>
    <row r="2549" spans="1:6" x14ac:dyDescent="0.25">
      <c r="A2549">
        <v>2548</v>
      </c>
      <c r="B2549">
        <v>46</v>
      </c>
      <c r="C2549">
        <v>0</v>
      </c>
      <c r="D2549">
        <v>0</v>
      </c>
      <c r="E2549">
        <v>0</v>
      </c>
      <c r="F2549">
        <v>0</v>
      </c>
    </row>
    <row r="2550" spans="1:6" x14ac:dyDescent="0.25">
      <c r="A2550">
        <v>2549</v>
      </c>
      <c r="B2550">
        <v>2</v>
      </c>
      <c r="C2550">
        <v>0</v>
      </c>
      <c r="D2550">
        <v>0</v>
      </c>
      <c r="E2550">
        <v>0</v>
      </c>
      <c r="F2550">
        <v>34.405799999999999</v>
      </c>
    </row>
    <row r="2551" spans="1:6" x14ac:dyDescent="0.25">
      <c r="A2551">
        <v>2550</v>
      </c>
      <c r="B2551">
        <v>10</v>
      </c>
      <c r="C2551">
        <v>1</v>
      </c>
      <c r="D2551">
        <v>0</v>
      </c>
      <c r="E2551">
        <v>0</v>
      </c>
      <c r="F2551">
        <v>34716</v>
      </c>
    </row>
    <row r="2552" spans="1:6" x14ac:dyDescent="0.25">
      <c r="A2552">
        <v>2551</v>
      </c>
      <c r="B2552">
        <v>13</v>
      </c>
      <c r="C2552">
        <v>0</v>
      </c>
      <c r="D2552">
        <v>0</v>
      </c>
      <c r="E2552">
        <v>0</v>
      </c>
      <c r="F2552">
        <v>1602</v>
      </c>
    </row>
    <row r="2553" spans="1:6" x14ac:dyDescent="0.25">
      <c r="A2553">
        <v>2552</v>
      </c>
      <c r="B2553">
        <v>41</v>
      </c>
      <c r="C2553">
        <v>0</v>
      </c>
      <c r="D2553">
        <v>0</v>
      </c>
      <c r="E2553">
        <v>0</v>
      </c>
      <c r="F2553">
        <v>1</v>
      </c>
    </row>
    <row r="2554" spans="1:6" x14ac:dyDescent="0.25">
      <c r="A2554">
        <v>2553</v>
      </c>
      <c r="B2554">
        <v>42</v>
      </c>
      <c r="C2554">
        <v>0</v>
      </c>
      <c r="D2554">
        <v>0</v>
      </c>
      <c r="E2554">
        <v>0</v>
      </c>
      <c r="F2554">
        <v>0.2</v>
      </c>
    </row>
    <row r="2555" spans="1:6" x14ac:dyDescent="0.25">
      <c r="A2555">
        <v>2554</v>
      </c>
      <c r="B2555">
        <v>43</v>
      </c>
      <c r="C2555">
        <v>0</v>
      </c>
      <c r="D2555">
        <v>0</v>
      </c>
      <c r="E2555">
        <v>0</v>
      </c>
      <c r="F2555">
        <v>0</v>
      </c>
    </row>
    <row r="2556" spans="1:6" x14ac:dyDescent="0.25">
      <c r="A2556">
        <v>2555</v>
      </c>
      <c r="B2556">
        <v>44</v>
      </c>
      <c r="C2556">
        <v>0</v>
      </c>
      <c r="D2556">
        <v>0</v>
      </c>
      <c r="E2556">
        <v>0</v>
      </c>
      <c r="F2556">
        <v>9.9509899999999991</v>
      </c>
    </row>
    <row r="2557" spans="1:6" x14ac:dyDescent="0.25">
      <c r="A2557">
        <v>2556</v>
      </c>
      <c r="B2557">
        <v>45</v>
      </c>
      <c r="C2557">
        <v>0</v>
      </c>
      <c r="D2557">
        <v>0</v>
      </c>
      <c r="E2557">
        <v>0</v>
      </c>
      <c r="F2557">
        <v>4400</v>
      </c>
    </row>
    <row r="2558" spans="1:6" x14ac:dyDescent="0.25">
      <c r="A2558">
        <v>2557</v>
      </c>
      <c r="B2558">
        <v>46</v>
      </c>
      <c r="C2558">
        <v>0</v>
      </c>
      <c r="D2558">
        <v>0</v>
      </c>
      <c r="E2558">
        <v>0</v>
      </c>
      <c r="F2558">
        <v>0</v>
      </c>
    </row>
    <row r="2559" spans="1:6" x14ac:dyDescent="0.25">
      <c r="A2559">
        <v>2558</v>
      </c>
      <c r="B2559">
        <v>2</v>
      </c>
      <c r="C2559">
        <v>0</v>
      </c>
      <c r="D2559">
        <v>0</v>
      </c>
      <c r="E2559">
        <v>0</v>
      </c>
      <c r="F2559">
        <v>34.406199999999998</v>
      </c>
    </row>
    <row r="2560" spans="1:6" x14ac:dyDescent="0.25">
      <c r="A2560">
        <v>2559</v>
      </c>
      <c r="B2560">
        <v>10</v>
      </c>
      <c r="C2560">
        <v>1</v>
      </c>
      <c r="D2560">
        <v>0</v>
      </c>
      <c r="E2560">
        <v>0</v>
      </c>
      <c r="F2560">
        <v>34715</v>
      </c>
    </row>
    <row r="2561" spans="1:6" x14ac:dyDescent="0.25">
      <c r="A2561">
        <v>2560</v>
      </c>
      <c r="B2561">
        <v>13</v>
      </c>
      <c r="C2561">
        <v>0</v>
      </c>
      <c r="D2561">
        <v>0</v>
      </c>
      <c r="E2561">
        <v>0</v>
      </c>
      <c r="F2561">
        <v>1602</v>
      </c>
    </row>
    <row r="2562" spans="1:6" x14ac:dyDescent="0.25">
      <c r="A2562">
        <v>2561</v>
      </c>
      <c r="B2562">
        <v>41</v>
      </c>
      <c r="C2562">
        <v>0</v>
      </c>
      <c r="D2562">
        <v>0</v>
      </c>
      <c r="E2562">
        <v>0</v>
      </c>
      <c r="F2562">
        <v>1</v>
      </c>
    </row>
    <row r="2563" spans="1:6" x14ac:dyDescent="0.25">
      <c r="A2563">
        <v>2562</v>
      </c>
      <c r="B2563">
        <v>42</v>
      </c>
      <c r="C2563">
        <v>0</v>
      </c>
      <c r="D2563">
        <v>0</v>
      </c>
      <c r="E2563">
        <v>0</v>
      </c>
      <c r="F2563">
        <v>0.2</v>
      </c>
    </row>
    <row r="2564" spans="1:6" x14ac:dyDescent="0.25">
      <c r="A2564">
        <v>2563</v>
      </c>
      <c r="B2564">
        <v>43</v>
      </c>
      <c r="C2564">
        <v>0</v>
      </c>
      <c r="D2564">
        <v>0</v>
      </c>
      <c r="E2564">
        <v>0</v>
      </c>
      <c r="F2564">
        <v>0</v>
      </c>
    </row>
    <row r="2565" spans="1:6" x14ac:dyDescent="0.25">
      <c r="A2565">
        <v>2564</v>
      </c>
      <c r="B2565">
        <v>44</v>
      </c>
      <c r="C2565">
        <v>0</v>
      </c>
      <c r="D2565">
        <v>0</v>
      </c>
      <c r="E2565">
        <v>0</v>
      </c>
      <c r="F2565">
        <v>10.175599999999999</v>
      </c>
    </row>
    <row r="2566" spans="1:6" x14ac:dyDescent="0.25">
      <c r="A2566">
        <v>2565</v>
      </c>
      <c r="B2566">
        <v>45</v>
      </c>
      <c r="C2566">
        <v>0</v>
      </c>
      <c r="D2566">
        <v>0</v>
      </c>
      <c r="E2566">
        <v>0</v>
      </c>
      <c r="F2566">
        <v>4400</v>
      </c>
    </row>
    <row r="2567" spans="1:6" x14ac:dyDescent="0.25">
      <c r="A2567">
        <v>2566</v>
      </c>
      <c r="B2567">
        <v>46</v>
      </c>
      <c r="C2567">
        <v>0</v>
      </c>
      <c r="D2567">
        <v>0</v>
      </c>
      <c r="E2567">
        <v>0</v>
      </c>
      <c r="F2567">
        <v>0</v>
      </c>
    </row>
    <row r="2568" spans="1:6" x14ac:dyDescent="0.25">
      <c r="A2568">
        <v>2567</v>
      </c>
      <c r="B2568">
        <v>2</v>
      </c>
      <c r="C2568">
        <v>0</v>
      </c>
      <c r="D2568">
        <v>0</v>
      </c>
      <c r="E2568">
        <v>0</v>
      </c>
      <c r="F2568">
        <v>34.406199999999998</v>
      </c>
    </row>
    <row r="2569" spans="1:6" x14ac:dyDescent="0.25">
      <c r="A2569">
        <v>2568</v>
      </c>
      <c r="B2569">
        <v>10</v>
      </c>
      <c r="C2569">
        <v>1</v>
      </c>
      <c r="D2569">
        <v>0</v>
      </c>
      <c r="E2569">
        <v>0</v>
      </c>
      <c r="F2569">
        <v>34715</v>
      </c>
    </row>
    <row r="2570" spans="1:6" x14ac:dyDescent="0.25">
      <c r="A2570">
        <v>2569</v>
      </c>
      <c r="B2570">
        <v>13</v>
      </c>
      <c r="C2570">
        <v>0</v>
      </c>
      <c r="D2570">
        <v>0</v>
      </c>
      <c r="E2570">
        <v>0</v>
      </c>
      <c r="F2570">
        <v>1602</v>
      </c>
    </row>
    <row r="2571" spans="1:6" x14ac:dyDescent="0.25">
      <c r="A2571">
        <v>2570</v>
      </c>
      <c r="B2571">
        <v>41</v>
      </c>
      <c r="C2571">
        <v>0</v>
      </c>
      <c r="D2571">
        <v>0</v>
      </c>
      <c r="E2571">
        <v>0</v>
      </c>
      <c r="F2571">
        <v>1</v>
      </c>
    </row>
    <row r="2572" spans="1:6" x14ac:dyDescent="0.25">
      <c r="A2572">
        <v>2571</v>
      </c>
      <c r="B2572" t="s">
        <v>0</v>
      </c>
      <c r="C2572">
        <v>149</v>
      </c>
      <c r="D2572">
        <v>3482</v>
      </c>
      <c r="E2572">
        <v>79897267</v>
      </c>
    </row>
    <row r="2573" spans="1:6" x14ac:dyDescent="0.25">
      <c r="A2573">
        <v>2572</v>
      </c>
      <c r="B2573">
        <v>43</v>
      </c>
      <c r="C2573">
        <v>0</v>
      </c>
      <c r="D2573">
        <v>0</v>
      </c>
      <c r="E2573">
        <v>0</v>
      </c>
      <c r="F2573">
        <v>0</v>
      </c>
    </row>
    <row r="2574" spans="1:6" x14ac:dyDescent="0.25">
      <c r="A2574">
        <v>2573</v>
      </c>
      <c r="B2574">
        <v>44</v>
      </c>
      <c r="C2574">
        <v>0</v>
      </c>
      <c r="D2574">
        <v>0</v>
      </c>
      <c r="E2574">
        <v>0</v>
      </c>
      <c r="F2574">
        <v>10.4253</v>
      </c>
    </row>
    <row r="2575" spans="1:6" x14ac:dyDescent="0.25">
      <c r="A2575">
        <v>2574</v>
      </c>
      <c r="B2575">
        <v>45</v>
      </c>
      <c r="C2575">
        <v>0</v>
      </c>
      <c r="D2575">
        <v>0</v>
      </c>
      <c r="E2575">
        <v>0</v>
      </c>
      <c r="F2575">
        <v>4400</v>
      </c>
    </row>
    <row r="2576" spans="1:6" x14ac:dyDescent="0.25">
      <c r="A2576">
        <v>2575</v>
      </c>
      <c r="B2576">
        <v>46</v>
      </c>
      <c r="C2576">
        <v>0</v>
      </c>
      <c r="D2576">
        <v>0</v>
      </c>
      <c r="E2576">
        <v>0</v>
      </c>
      <c r="F2576">
        <v>0</v>
      </c>
    </row>
    <row r="2577" spans="1:6" x14ac:dyDescent="0.25">
      <c r="A2577">
        <v>2576</v>
      </c>
      <c r="B2577">
        <v>2</v>
      </c>
      <c r="C2577">
        <v>0</v>
      </c>
      <c r="D2577">
        <v>0</v>
      </c>
      <c r="E2577">
        <v>0</v>
      </c>
      <c r="F2577">
        <v>34.406500000000001</v>
      </c>
    </row>
    <row r="2578" spans="1:6" x14ac:dyDescent="0.25">
      <c r="A2578">
        <v>2577</v>
      </c>
      <c r="B2578">
        <v>10</v>
      </c>
      <c r="C2578">
        <v>1</v>
      </c>
      <c r="D2578">
        <v>0</v>
      </c>
      <c r="E2578">
        <v>0</v>
      </c>
      <c r="F2578">
        <v>34715</v>
      </c>
    </row>
    <row r="2579" spans="1:6" x14ac:dyDescent="0.25">
      <c r="A2579">
        <v>2578</v>
      </c>
      <c r="B2579">
        <v>13</v>
      </c>
      <c r="C2579">
        <v>0</v>
      </c>
      <c r="D2579">
        <v>0</v>
      </c>
      <c r="E2579">
        <v>0</v>
      </c>
      <c r="F2579">
        <v>1602</v>
      </c>
    </row>
    <row r="2580" spans="1:6" x14ac:dyDescent="0.25">
      <c r="A2580">
        <v>2579</v>
      </c>
      <c r="B2580">
        <v>41</v>
      </c>
      <c r="C2580">
        <v>0</v>
      </c>
      <c r="D2580">
        <v>0</v>
      </c>
      <c r="E2580">
        <v>0</v>
      </c>
      <c r="F2580">
        <v>1</v>
      </c>
    </row>
    <row r="2581" spans="1:6" x14ac:dyDescent="0.25">
      <c r="A2581">
        <v>2580</v>
      </c>
      <c r="B2581">
        <v>42</v>
      </c>
      <c r="C2581">
        <v>0</v>
      </c>
      <c r="D2581">
        <v>0</v>
      </c>
      <c r="E2581">
        <v>0</v>
      </c>
      <c r="F2581">
        <v>0.2</v>
      </c>
    </row>
    <row r="2582" spans="1:6" x14ac:dyDescent="0.25">
      <c r="A2582">
        <v>2581</v>
      </c>
      <c r="B2582">
        <v>43</v>
      </c>
      <c r="C2582">
        <v>0</v>
      </c>
      <c r="D2582">
        <v>0</v>
      </c>
      <c r="E2582">
        <v>0</v>
      </c>
      <c r="F2582">
        <v>0</v>
      </c>
    </row>
    <row r="2583" spans="1:6" x14ac:dyDescent="0.25">
      <c r="A2583">
        <v>2582</v>
      </c>
      <c r="B2583">
        <v>44</v>
      </c>
      <c r="C2583">
        <v>0</v>
      </c>
      <c r="D2583">
        <v>0</v>
      </c>
      <c r="E2583">
        <v>0</v>
      </c>
      <c r="F2583">
        <v>10.4253</v>
      </c>
    </row>
    <row r="2584" spans="1:6" x14ac:dyDescent="0.25">
      <c r="A2584">
        <v>2583</v>
      </c>
      <c r="B2584">
        <v>45</v>
      </c>
      <c r="C2584">
        <v>0</v>
      </c>
      <c r="D2584">
        <v>0</v>
      </c>
      <c r="E2584">
        <v>0</v>
      </c>
      <c r="F2584">
        <v>4400</v>
      </c>
    </row>
    <row r="2585" spans="1:6" x14ac:dyDescent="0.25">
      <c r="A2585">
        <v>2584</v>
      </c>
      <c r="B2585">
        <v>46</v>
      </c>
      <c r="C2585">
        <v>0</v>
      </c>
      <c r="D2585">
        <v>0</v>
      </c>
      <c r="E2585">
        <v>0</v>
      </c>
      <c r="F2585">
        <v>0</v>
      </c>
    </row>
    <row r="2586" spans="1:6" x14ac:dyDescent="0.25">
      <c r="A2586">
        <v>2585</v>
      </c>
      <c r="B2586">
        <v>2</v>
      </c>
      <c r="C2586">
        <v>0</v>
      </c>
      <c r="D2586">
        <v>0</v>
      </c>
      <c r="E2586">
        <v>0</v>
      </c>
      <c r="F2586">
        <v>34.406500000000001</v>
      </c>
    </row>
    <row r="2587" spans="1:6" x14ac:dyDescent="0.25">
      <c r="A2587">
        <v>2586</v>
      </c>
      <c r="B2587" t="s">
        <v>0</v>
      </c>
      <c r="C2587">
        <v>150</v>
      </c>
      <c r="D2587">
        <v>3482</v>
      </c>
      <c r="E2587">
        <v>79898235</v>
      </c>
    </row>
    <row r="2588" spans="1:6" x14ac:dyDescent="0.25">
      <c r="A2588">
        <v>2587</v>
      </c>
      <c r="B2588">
        <v>13</v>
      </c>
      <c r="C2588">
        <v>0</v>
      </c>
      <c r="D2588">
        <v>0</v>
      </c>
      <c r="E2588">
        <v>0</v>
      </c>
      <c r="F2588">
        <v>1602</v>
      </c>
    </row>
    <row r="2589" spans="1:6" x14ac:dyDescent="0.25">
      <c r="A2589">
        <v>2588</v>
      </c>
      <c r="B2589">
        <v>41</v>
      </c>
      <c r="C2589">
        <v>0</v>
      </c>
      <c r="D2589">
        <v>0</v>
      </c>
      <c r="E2589">
        <v>0</v>
      </c>
      <c r="F2589">
        <v>1</v>
      </c>
    </row>
    <row r="2590" spans="1:6" x14ac:dyDescent="0.25">
      <c r="A2590">
        <v>2589</v>
      </c>
      <c r="B2590">
        <v>42</v>
      </c>
      <c r="C2590">
        <v>0</v>
      </c>
      <c r="D2590">
        <v>0</v>
      </c>
      <c r="E2590">
        <v>0</v>
      </c>
      <c r="F2590">
        <v>0.2</v>
      </c>
    </row>
    <row r="2591" spans="1:6" x14ac:dyDescent="0.25">
      <c r="A2591">
        <v>2590</v>
      </c>
      <c r="B2591">
        <v>43</v>
      </c>
      <c r="C2591">
        <v>0</v>
      </c>
      <c r="D2591">
        <v>0</v>
      </c>
      <c r="E2591">
        <v>0</v>
      </c>
      <c r="F2591">
        <v>0</v>
      </c>
    </row>
    <row r="2592" spans="1:6" x14ac:dyDescent="0.25">
      <c r="A2592">
        <v>2591</v>
      </c>
      <c r="B2592">
        <v>44</v>
      </c>
      <c r="C2592">
        <v>0</v>
      </c>
      <c r="D2592">
        <v>0</v>
      </c>
      <c r="E2592">
        <v>0</v>
      </c>
      <c r="F2592">
        <v>10.6754</v>
      </c>
    </row>
    <row r="2593" spans="1:6" x14ac:dyDescent="0.25">
      <c r="A2593">
        <v>2592</v>
      </c>
      <c r="B2593">
        <v>45</v>
      </c>
      <c r="C2593">
        <v>0</v>
      </c>
      <c r="D2593">
        <v>0</v>
      </c>
      <c r="E2593">
        <v>0</v>
      </c>
      <c r="F2593">
        <v>4400</v>
      </c>
    </row>
    <row r="2594" spans="1:6" x14ac:dyDescent="0.25">
      <c r="A2594">
        <v>2593</v>
      </c>
      <c r="B2594">
        <v>46</v>
      </c>
      <c r="C2594">
        <v>0</v>
      </c>
      <c r="D2594">
        <v>0</v>
      </c>
      <c r="E2594">
        <v>0</v>
      </c>
      <c r="F2594">
        <v>0</v>
      </c>
    </row>
    <row r="2595" spans="1:6" x14ac:dyDescent="0.25">
      <c r="A2595">
        <v>2594</v>
      </c>
      <c r="B2595">
        <v>2</v>
      </c>
      <c r="C2595">
        <v>0</v>
      </c>
      <c r="D2595">
        <v>0</v>
      </c>
      <c r="E2595">
        <v>0</v>
      </c>
      <c r="F2595">
        <v>34.406399999999998</v>
      </c>
    </row>
    <row r="2596" spans="1:6" x14ac:dyDescent="0.25">
      <c r="A2596">
        <v>2595</v>
      </c>
      <c r="B2596">
        <v>10</v>
      </c>
      <c r="C2596">
        <v>1</v>
      </c>
      <c r="D2596">
        <v>0</v>
      </c>
      <c r="E2596">
        <v>0</v>
      </c>
      <c r="F2596">
        <v>34715</v>
      </c>
    </row>
    <row r="2597" spans="1:6" x14ac:dyDescent="0.25">
      <c r="A2597">
        <v>2596</v>
      </c>
      <c r="B2597">
        <v>13</v>
      </c>
      <c r="C2597">
        <v>0</v>
      </c>
      <c r="D2597">
        <v>0</v>
      </c>
      <c r="E2597">
        <v>0</v>
      </c>
      <c r="F2597">
        <v>1602</v>
      </c>
    </row>
    <row r="2598" spans="1:6" x14ac:dyDescent="0.25">
      <c r="A2598">
        <v>2597</v>
      </c>
      <c r="B2598">
        <v>41</v>
      </c>
      <c r="C2598">
        <v>0</v>
      </c>
      <c r="D2598">
        <v>0</v>
      </c>
      <c r="E2598">
        <v>0</v>
      </c>
      <c r="F2598">
        <v>1</v>
      </c>
    </row>
    <row r="2599" spans="1:6" x14ac:dyDescent="0.25">
      <c r="A2599">
        <v>2598</v>
      </c>
      <c r="B2599">
        <v>42</v>
      </c>
      <c r="C2599">
        <v>0</v>
      </c>
      <c r="D2599">
        <v>0</v>
      </c>
      <c r="E2599">
        <v>0</v>
      </c>
      <c r="F2599">
        <v>0.2</v>
      </c>
    </row>
    <row r="2600" spans="1:6" x14ac:dyDescent="0.25">
      <c r="A2600">
        <v>2599</v>
      </c>
      <c r="B2600">
        <v>43</v>
      </c>
      <c r="C2600">
        <v>0</v>
      </c>
      <c r="D2600">
        <v>0</v>
      </c>
      <c r="E2600">
        <v>0</v>
      </c>
      <c r="F2600">
        <v>0</v>
      </c>
    </row>
    <row r="2601" spans="1:6" x14ac:dyDescent="0.25">
      <c r="A2601">
        <v>2600</v>
      </c>
      <c r="B2601">
        <v>44</v>
      </c>
      <c r="C2601">
        <v>0</v>
      </c>
      <c r="D2601">
        <v>0</v>
      </c>
      <c r="E2601">
        <v>0</v>
      </c>
      <c r="F2601">
        <v>10.6754</v>
      </c>
    </row>
    <row r="2602" spans="1:6" x14ac:dyDescent="0.25">
      <c r="A2602">
        <v>2601</v>
      </c>
      <c r="B2602" t="s">
        <v>0</v>
      </c>
      <c r="C2602">
        <v>151</v>
      </c>
      <c r="D2602">
        <v>3482</v>
      </c>
      <c r="E2602">
        <v>79899203</v>
      </c>
    </row>
    <row r="2603" spans="1:6" x14ac:dyDescent="0.25">
      <c r="A2603">
        <v>2602</v>
      </c>
      <c r="B2603">
        <v>45</v>
      </c>
      <c r="C2603">
        <v>0</v>
      </c>
      <c r="D2603">
        <v>0</v>
      </c>
      <c r="E2603">
        <v>0</v>
      </c>
      <c r="F2603">
        <v>4400</v>
      </c>
    </row>
    <row r="2604" spans="1:6" x14ac:dyDescent="0.25">
      <c r="A2604">
        <v>2603</v>
      </c>
      <c r="B2604">
        <v>46</v>
      </c>
      <c r="C2604">
        <v>0</v>
      </c>
      <c r="D2604">
        <v>0</v>
      </c>
      <c r="E2604">
        <v>0</v>
      </c>
      <c r="F2604">
        <v>0</v>
      </c>
    </row>
    <row r="2605" spans="1:6" x14ac:dyDescent="0.25">
      <c r="A2605">
        <v>2604</v>
      </c>
      <c r="B2605">
        <v>2</v>
      </c>
      <c r="C2605">
        <v>0</v>
      </c>
      <c r="D2605">
        <v>0</v>
      </c>
      <c r="E2605">
        <v>0</v>
      </c>
      <c r="F2605">
        <v>34.406599999999997</v>
      </c>
    </row>
    <row r="2606" spans="1:6" x14ac:dyDescent="0.25">
      <c r="A2606">
        <v>2605</v>
      </c>
      <c r="B2606">
        <v>10</v>
      </c>
      <c r="C2606">
        <v>1</v>
      </c>
      <c r="D2606">
        <v>0</v>
      </c>
      <c r="E2606">
        <v>0</v>
      </c>
      <c r="F2606">
        <v>34715</v>
      </c>
    </row>
    <row r="2607" spans="1:6" x14ac:dyDescent="0.25">
      <c r="A2607">
        <v>2606</v>
      </c>
      <c r="B2607">
        <v>13</v>
      </c>
      <c r="C2607">
        <v>0</v>
      </c>
      <c r="D2607">
        <v>0</v>
      </c>
      <c r="E2607">
        <v>0</v>
      </c>
      <c r="F2607">
        <v>1602</v>
      </c>
    </row>
    <row r="2608" spans="1:6" x14ac:dyDescent="0.25">
      <c r="A2608">
        <v>2607</v>
      </c>
      <c r="B2608">
        <v>41</v>
      </c>
      <c r="C2608">
        <v>0</v>
      </c>
      <c r="D2608">
        <v>0</v>
      </c>
      <c r="E2608">
        <v>0</v>
      </c>
      <c r="F2608">
        <v>1</v>
      </c>
    </row>
    <row r="2609" spans="1:6" x14ac:dyDescent="0.25">
      <c r="A2609">
        <v>2608</v>
      </c>
      <c r="B2609">
        <v>42</v>
      </c>
      <c r="C2609">
        <v>0</v>
      </c>
      <c r="D2609">
        <v>0</v>
      </c>
      <c r="E2609">
        <v>0</v>
      </c>
      <c r="F2609">
        <v>0.2</v>
      </c>
    </row>
    <row r="2610" spans="1:6" x14ac:dyDescent="0.25">
      <c r="A2610">
        <v>2609</v>
      </c>
      <c r="B2610">
        <v>43</v>
      </c>
      <c r="C2610">
        <v>0</v>
      </c>
      <c r="D2610">
        <v>0</v>
      </c>
      <c r="E2610">
        <v>0</v>
      </c>
      <c r="F2610">
        <v>0</v>
      </c>
    </row>
    <row r="2611" spans="1:6" x14ac:dyDescent="0.25">
      <c r="A2611">
        <v>2610</v>
      </c>
      <c r="B2611">
        <v>44</v>
      </c>
      <c r="C2611">
        <v>0</v>
      </c>
      <c r="D2611">
        <v>0</v>
      </c>
      <c r="E2611">
        <v>0</v>
      </c>
      <c r="F2611">
        <v>10.9252</v>
      </c>
    </row>
    <row r="2612" spans="1:6" x14ac:dyDescent="0.25">
      <c r="A2612">
        <v>2611</v>
      </c>
      <c r="B2612">
        <v>45</v>
      </c>
      <c r="C2612">
        <v>0</v>
      </c>
      <c r="D2612">
        <v>0</v>
      </c>
      <c r="E2612">
        <v>0</v>
      </c>
      <c r="F2612">
        <v>4400</v>
      </c>
    </row>
    <row r="2613" spans="1:6" x14ac:dyDescent="0.25">
      <c r="A2613">
        <v>2612</v>
      </c>
      <c r="B2613">
        <v>46</v>
      </c>
      <c r="C2613">
        <v>0</v>
      </c>
      <c r="D2613">
        <v>0</v>
      </c>
      <c r="E2613">
        <v>0</v>
      </c>
      <c r="F2613">
        <v>0</v>
      </c>
    </row>
    <row r="2614" spans="1:6" x14ac:dyDescent="0.25">
      <c r="A2614">
        <v>2613</v>
      </c>
      <c r="B2614">
        <v>2</v>
      </c>
      <c r="C2614">
        <v>0</v>
      </c>
      <c r="D2614">
        <v>0</v>
      </c>
      <c r="E2614">
        <v>0</v>
      </c>
      <c r="F2614">
        <v>34.406599999999997</v>
      </c>
    </row>
    <row r="2615" spans="1:6" x14ac:dyDescent="0.25">
      <c r="A2615">
        <v>2614</v>
      </c>
      <c r="B2615">
        <v>10</v>
      </c>
      <c r="C2615">
        <v>1</v>
      </c>
      <c r="D2615">
        <v>0</v>
      </c>
      <c r="E2615">
        <v>0</v>
      </c>
      <c r="F2615">
        <v>34715</v>
      </c>
    </row>
    <row r="2616" spans="1:6" x14ac:dyDescent="0.25">
      <c r="A2616">
        <v>2615</v>
      </c>
      <c r="B2616">
        <v>13</v>
      </c>
      <c r="C2616">
        <v>0</v>
      </c>
      <c r="D2616">
        <v>0</v>
      </c>
      <c r="E2616">
        <v>0</v>
      </c>
      <c r="F2616">
        <v>1602</v>
      </c>
    </row>
    <row r="2617" spans="1:6" x14ac:dyDescent="0.25">
      <c r="A2617">
        <v>2616</v>
      </c>
      <c r="B2617">
        <v>41</v>
      </c>
      <c r="C2617">
        <v>0</v>
      </c>
      <c r="D2617">
        <v>0</v>
      </c>
      <c r="E2617">
        <v>0</v>
      </c>
      <c r="F2617">
        <v>1</v>
      </c>
    </row>
    <row r="2618" spans="1:6" x14ac:dyDescent="0.25">
      <c r="A2618">
        <v>2617</v>
      </c>
      <c r="B2618">
        <v>42</v>
      </c>
      <c r="C2618">
        <v>0</v>
      </c>
      <c r="D2618">
        <v>0</v>
      </c>
      <c r="E2618">
        <v>0</v>
      </c>
      <c r="F2618">
        <v>0.2</v>
      </c>
    </row>
    <row r="2619" spans="1:6" x14ac:dyDescent="0.25">
      <c r="A2619">
        <v>2618</v>
      </c>
      <c r="B2619">
        <v>43</v>
      </c>
      <c r="C2619">
        <v>0</v>
      </c>
      <c r="D2619">
        <v>0</v>
      </c>
      <c r="E2619">
        <v>0</v>
      </c>
      <c r="F2619">
        <v>0</v>
      </c>
    </row>
    <row r="2620" spans="1:6" x14ac:dyDescent="0.25">
      <c r="A2620">
        <v>2619</v>
      </c>
      <c r="B2620">
        <v>44</v>
      </c>
      <c r="C2620">
        <v>0</v>
      </c>
      <c r="D2620">
        <v>0</v>
      </c>
      <c r="E2620">
        <v>0</v>
      </c>
      <c r="F2620">
        <v>11.150499999999999</v>
      </c>
    </row>
    <row r="2621" spans="1:6" x14ac:dyDescent="0.25">
      <c r="A2621">
        <v>2620</v>
      </c>
      <c r="B2621">
        <v>45</v>
      </c>
      <c r="C2621">
        <v>0</v>
      </c>
      <c r="D2621">
        <v>0</v>
      </c>
      <c r="E2621">
        <v>0</v>
      </c>
      <c r="F2621">
        <v>4400</v>
      </c>
    </row>
    <row r="2622" spans="1:6" x14ac:dyDescent="0.25">
      <c r="A2622">
        <v>2621</v>
      </c>
      <c r="B2622">
        <v>46</v>
      </c>
      <c r="C2622">
        <v>0</v>
      </c>
      <c r="D2622">
        <v>0</v>
      </c>
      <c r="E2622">
        <v>0</v>
      </c>
      <c r="F2622">
        <v>0</v>
      </c>
    </row>
    <row r="2623" spans="1:6" x14ac:dyDescent="0.25">
      <c r="A2623">
        <v>2622</v>
      </c>
      <c r="B2623">
        <v>2</v>
      </c>
      <c r="C2623">
        <v>0</v>
      </c>
      <c r="D2623">
        <v>0</v>
      </c>
      <c r="E2623">
        <v>0</v>
      </c>
      <c r="F2623">
        <v>34.406300000000002</v>
      </c>
    </row>
    <row r="2624" spans="1:6" x14ac:dyDescent="0.25">
      <c r="A2624">
        <v>2623</v>
      </c>
      <c r="B2624">
        <v>10</v>
      </c>
      <c r="C2624">
        <v>1</v>
      </c>
      <c r="D2624">
        <v>0</v>
      </c>
      <c r="E2624">
        <v>0</v>
      </c>
      <c r="F2624">
        <v>34715</v>
      </c>
    </row>
    <row r="2625" spans="1:6" x14ac:dyDescent="0.25">
      <c r="A2625">
        <v>2624</v>
      </c>
      <c r="B2625">
        <v>13</v>
      </c>
      <c r="C2625">
        <v>0</v>
      </c>
      <c r="D2625">
        <v>0</v>
      </c>
      <c r="E2625">
        <v>0</v>
      </c>
      <c r="F2625">
        <v>1602</v>
      </c>
    </row>
    <row r="2626" spans="1:6" x14ac:dyDescent="0.25">
      <c r="A2626">
        <v>2625</v>
      </c>
      <c r="B2626">
        <v>41</v>
      </c>
      <c r="C2626">
        <v>0</v>
      </c>
      <c r="D2626">
        <v>0</v>
      </c>
      <c r="E2626">
        <v>0</v>
      </c>
      <c r="F2626">
        <v>1</v>
      </c>
    </row>
    <row r="2627" spans="1:6" x14ac:dyDescent="0.25">
      <c r="A2627">
        <v>2626</v>
      </c>
      <c r="B2627">
        <v>42</v>
      </c>
      <c r="C2627">
        <v>0</v>
      </c>
      <c r="D2627">
        <v>0</v>
      </c>
      <c r="E2627">
        <v>0</v>
      </c>
      <c r="F2627">
        <v>0.2</v>
      </c>
    </row>
    <row r="2628" spans="1:6" x14ac:dyDescent="0.25">
      <c r="A2628">
        <v>2627</v>
      </c>
      <c r="B2628">
        <v>43</v>
      </c>
      <c r="C2628">
        <v>0</v>
      </c>
      <c r="D2628">
        <v>0</v>
      </c>
      <c r="E2628">
        <v>0</v>
      </c>
      <c r="F2628">
        <v>0</v>
      </c>
    </row>
    <row r="2629" spans="1:6" x14ac:dyDescent="0.25">
      <c r="A2629">
        <v>2628</v>
      </c>
      <c r="B2629">
        <v>44</v>
      </c>
      <c r="C2629">
        <v>0</v>
      </c>
      <c r="D2629">
        <v>0</v>
      </c>
      <c r="E2629">
        <v>0</v>
      </c>
      <c r="F2629">
        <v>11.150499999999999</v>
      </c>
    </row>
    <row r="2630" spans="1:6" x14ac:dyDescent="0.25">
      <c r="A2630">
        <v>2629</v>
      </c>
      <c r="B2630">
        <v>45</v>
      </c>
      <c r="C2630">
        <v>0</v>
      </c>
      <c r="D2630">
        <v>0</v>
      </c>
      <c r="E2630">
        <v>0</v>
      </c>
      <c r="F2630">
        <v>4400</v>
      </c>
    </row>
    <row r="2631" spans="1:6" x14ac:dyDescent="0.25">
      <c r="A2631">
        <v>2630</v>
      </c>
      <c r="B2631">
        <v>46</v>
      </c>
      <c r="C2631">
        <v>0</v>
      </c>
      <c r="D2631">
        <v>0</v>
      </c>
      <c r="E2631">
        <v>0</v>
      </c>
      <c r="F2631">
        <v>0</v>
      </c>
    </row>
    <row r="2632" spans="1:6" x14ac:dyDescent="0.25">
      <c r="A2632">
        <v>2631</v>
      </c>
      <c r="B2632" t="s">
        <v>0</v>
      </c>
      <c r="C2632">
        <v>153</v>
      </c>
      <c r="D2632">
        <v>3482</v>
      </c>
      <c r="E2632">
        <v>79901139</v>
      </c>
    </row>
    <row r="2633" spans="1:6" x14ac:dyDescent="0.25">
      <c r="A2633">
        <v>2632</v>
      </c>
      <c r="B2633">
        <v>10</v>
      </c>
      <c r="C2633">
        <v>1</v>
      </c>
      <c r="D2633">
        <v>0</v>
      </c>
      <c r="E2633">
        <v>0</v>
      </c>
      <c r="F2633">
        <v>34715</v>
      </c>
    </row>
    <row r="2634" spans="1:6" x14ac:dyDescent="0.25">
      <c r="A2634">
        <v>2633</v>
      </c>
      <c r="B2634">
        <v>13</v>
      </c>
      <c r="C2634">
        <v>0</v>
      </c>
      <c r="D2634">
        <v>0</v>
      </c>
      <c r="E2634">
        <v>0</v>
      </c>
      <c r="F2634">
        <v>1602</v>
      </c>
    </row>
    <row r="2635" spans="1:6" x14ac:dyDescent="0.25">
      <c r="A2635">
        <v>2634</v>
      </c>
      <c r="B2635">
        <v>41</v>
      </c>
      <c r="C2635">
        <v>0</v>
      </c>
      <c r="D2635">
        <v>0</v>
      </c>
      <c r="E2635">
        <v>0</v>
      </c>
      <c r="F2635">
        <v>1</v>
      </c>
    </row>
    <row r="2636" spans="1:6" x14ac:dyDescent="0.25">
      <c r="A2636">
        <v>2635</v>
      </c>
      <c r="B2636">
        <v>42</v>
      </c>
      <c r="C2636">
        <v>0</v>
      </c>
      <c r="D2636">
        <v>0</v>
      </c>
      <c r="E2636">
        <v>0</v>
      </c>
      <c r="F2636">
        <v>0.2</v>
      </c>
    </row>
    <row r="2637" spans="1:6" x14ac:dyDescent="0.25">
      <c r="A2637">
        <v>2636</v>
      </c>
      <c r="B2637">
        <v>43</v>
      </c>
      <c r="C2637">
        <v>0</v>
      </c>
      <c r="D2637">
        <v>0</v>
      </c>
      <c r="E2637">
        <v>0</v>
      </c>
      <c r="F2637">
        <v>0</v>
      </c>
    </row>
    <row r="2638" spans="1:6" x14ac:dyDescent="0.25">
      <c r="A2638">
        <v>2637</v>
      </c>
      <c r="B2638">
        <v>44</v>
      </c>
      <c r="C2638">
        <v>0</v>
      </c>
      <c r="D2638">
        <v>0</v>
      </c>
      <c r="E2638">
        <v>0</v>
      </c>
      <c r="F2638">
        <v>11.400399999999999</v>
      </c>
    </row>
    <row r="2639" spans="1:6" x14ac:dyDescent="0.25">
      <c r="A2639">
        <v>2638</v>
      </c>
      <c r="B2639">
        <v>45</v>
      </c>
      <c r="C2639">
        <v>0</v>
      </c>
      <c r="D2639">
        <v>0</v>
      </c>
      <c r="E2639">
        <v>0</v>
      </c>
      <c r="F2639">
        <v>4400</v>
      </c>
    </row>
    <row r="2640" spans="1:6" x14ac:dyDescent="0.25">
      <c r="A2640">
        <v>2639</v>
      </c>
      <c r="B2640">
        <v>46</v>
      </c>
      <c r="C2640">
        <v>0</v>
      </c>
      <c r="D2640">
        <v>0</v>
      </c>
      <c r="E2640">
        <v>0</v>
      </c>
      <c r="F2640">
        <v>0</v>
      </c>
    </row>
    <row r="2641" spans="1:6" x14ac:dyDescent="0.25">
      <c r="A2641">
        <v>2640</v>
      </c>
      <c r="B2641">
        <v>2</v>
      </c>
      <c r="C2641">
        <v>0</v>
      </c>
      <c r="D2641">
        <v>0</v>
      </c>
      <c r="E2641">
        <v>0</v>
      </c>
      <c r="F2641">
        <v>34.406399999999998</v>
      </c>
    </row>
    <row r="2642" spans="1:6" x14ac:dyDescent="0.25">
      <c r="A2642">
        <v>2641</v>
      </c>
      <c r="B2642">
        <v>10</v>
      </c>
      <c r="C2642">
        <v>1</v>
      </c>
      <c r="D2642">
        <v>0</v>
      </c>
      <c r="E2642">
        <v>0</v>
      </c>
      <c r="F2642">
        <v>34715</v>
      </c>
    </row>
    <row r="2643" spans="1:6" x14ac:dyDescent="0.25">
      <c r="A2643">
        <v>2642</v>
      </c>
      <c r="B2643">
        <v>13</v>
      </c>
      <c r="C2643">
        <v>0</v>
      </c>
      <c r="D2643">
        <v>0</v>
      </c>
      <c r="E2643">
        <v>0</v>
      </c>
      <c r="F2643">
        <v>1602</v>
      </c>
    </row>
    <row r="2644" spans="1:6" x14ac:dyDescent="0.25">
      <c r="A2644">
        <v>2643</v>
      </c>
      <c r="B2644">
        <v>41</v>
      </c>
      <c r="C2644">
        <v>0</v>
      </c>
      <c r="D2644">
        <v>0</v>
      </c>
      <c r="E2644">
        <v>0</v>
      </c>
      <c r="F2644">
        <v>1</v>
      </c>
    </row>
    <row r="2645" spans="1:6" x14ac:dyDescent="0.25">
      <c r="A2645">
        <v>2644</v>
      </c>
      <c r="B2645">
        <v>42</v>
      </c>
      <c r="C2645">
        <v>0</v>
      </c>
      <c r="D2645">
        <v>0</v>
      </c>
      <c r="E2645">
        <v>0</v>
      </c>
      <c r="F2645">
        <v>0.2</v>
      </c>
    </row>
    <row r="2646" spans="1:6" x14ac:dyDescent="0.25">
      <c r="A2646">
        <v>2645</v>
      </c>
      <c r="B2646">
        <v>43</v>
      </c>
      <c r="C2646">
        <v>0</v>
      </c>
      <c r="D2646">
        <v>0</v>
      </c>
      <c r="E2646">
        <v>0</v>
      </c>
      <c r="F2646">
        <v>0</v>
      </c>
    </row>
    <row r="2647" spans="1:6" x14ac:dyDescent="0.25">
      <c r="A2647">
        <v>2646</v>
      </c>
      <c r="B2647" t="s">
        <v>0</v>
      </c>
      <c r="C2647">
        <v>154</v>
      </c>
      <c r="D2647">
        <v>3482</v>
      </c>
      <c r="E2647">
        <v>79902107</v>
      </c>
    </row>
    <row r="2648" spans="1:6" x14ac:dyDescent="0.25">
      <c r="A2648">
        <v>2647</v>
      </c>
      <c r="B2648">
        <v>44</v>
      </c>
      <c r="C2648">
        <v>0</v>
      </c>
      <c r="D2648">
        <v>0</v>
      </c>
      <c r="E2648">
        <v>0</v>
      </c>
      <c r="F2648">
        <v>11.6496</v>
      </c>
    </row>
    <row r="2649" spans="1:6" x14ac:dyDescent="0.25">
      <c r="A2649">
        <v>2648</v>
      </c>
      <c r="B2649">
        <v>45</v>
      </c>
      <c r="C2649">
        <v>0</v>
      </c>
      <c r="D2649">
        <v>0</v>
      </c>
      <c r="E2649">
        <v>0</v>
      </c>
      <c r="F2649">
        <v>4400</v>
      </c>
    </row>
    <row r="2650" spans="1:6" x14ac:dyDescent="0.25">
      <c r="A2650">
        <v>2649</v>
      </c>
      <c r="B2650">
        <v>46</v>
      </c>
      <c r="C2650">
        <v>0</v>
      </c>
      <c r="D2650">
        <v>0</v>
      </c>
      <c r="E2650">
        <v>0</v>
      </c>
      <c r="F2650">
        <v>0</v>
      </c>
    </row>
    <row r="2651" spans="1:6" x14ac:dyDescent="0.25">
      <c r="A2651">
        <v>2650</v>
      </c>
      <c r="B2651">
        <v>2</v>
      </c>
      <c r="C2651">
        <v>0</v>
      </c>
      <c r="D2651">
        <v>0</v>
      </c>
      <c r="E2651">
        <v>0</v>
      </c>
      <c r="F2651">
        <v>34.407200000000003</v>
      </c>
    </row>
    <row r="2652" spans="1:6" x14ac:dyDescent="0.25">
      <c r="A2652">
        <v>2651</v>
      </c>
      <c r="B2652">
        <v>10</v>
      </c>
      <c r="C2652">
        <v>1</v>
      </c>
      <c r="D2652">
        <v>0</v>
      </c>
      <c r="E2652">
        <v>0</v>
      </c>
      <c r="F2652">
        <v>34714</v>
      </c>
    </row>
    <row r="2653" spans="1:6" x14ac:dyDescent="0.25">
      <c r="A2653">
        <v>2652</v>
      </c>
      <c r="B2653">
        <v>13</v>
      </c>
      <c r="C2653">
        <v>0</v>
      </c>
      <c r="D2653">
        <v>0</v>
      </c>
      <c r="E2653">
        <v>0</v>
      </c>
      <c r="F2653">
        <v>1602</v>
      </c>
    </row>
    <row r="2654" spans="1:6" x14ac:dyDescent="0.25">
      <c r="A2654">
        <v>2653</v>
      </c>
      <c r="B2654">
        <v>41</v>
      </c>
      <c r="C2654">
        <v>0</v>
      </c>
      <c r="D2654">
        <v>0</v>
      </c>
      <c r="E2654">
        <v>0</v>
      </c>
      <c r="F2654">
        <v>1</v>
      </c>
    </row>
    <row r="2655" spans="1:6" x14ac:dyDescent="0.25">
      <c r="A2655">
        <v>2654</v>
      </c>
      <c r="B2655">
        <v>42</v>
      </c>
      <c r="C2655">
        <v>0</v>
      </c>
      <c r="D2655">
        <v>0</v>
      </c>
      <c r="E2655">
        <v>0</v>
      </c>
      <c r="F2655">
        <v>0.2</v>
      </c>
    </row>
    <row r="2656" spans="1:6" x14ac:dyDescent="0.25">
      <c r="A2656">
        <v>2655</v>
      </c>
      <c r="B2656">
        <v>43</v>
      </c>
      <c r="C2656">
        <v>0</v>
      </c>
      <c r="D2656">
        <v>0</v>
      </c>
      <c r="E2656">
        <v>0</v>
      </c>
      <c r="F2656">
        <v>0</v>
      </c>
    </row>
    <row r="2657" spans="1:6" x14ac:dyDescent="0.25">
      <c r="A2657">
        <v>2656</v>
      </c>
      <c r="B2657">
        <v>44</v>
      </c>
      <c r="C2657">
        <v>0</v>
      </c>
      <c r="D2657">
        <v>0</v>
      </c>
      <c r="E2657">
        <v>0</v>
      </c>
      <c r="F2657">
        <v>11.6496</v>
      </c>
    </row>
    <row r="2658" spans="1:6" x14ac:dyDescent="0.25">
      <c r="A2658">
        <v>2657</v>
      </c>
      <c r="B2658">
        <v>45</v>
      </c>
      <c r="C2658">
        <v>0</v>
      </c>
      <c r="D2658">
        <v>0</v>
      </c>
      <c r="E2658">
        <v>0</v>
      </c>
      <c r="F2658">
        <v>4400</v>
      </c>
    </row>
    <row r="2659" spans="1:6" x14ac:dyDescent="0.25">
      <c r="A2659">
        <v>2658</v>
      </c>
      <c r="B2659">
        <v>46</v>
      </c>
      <c r="C2659">
        <v>0</v>
      </c>
      <c r="D2659">
        <v>0</v>
      </c>
      <c r="E2659">
        <v>0</v>
      </c>
      <c r="F2659">
        <v>0</v>
      </c>
    </row>
    <row r="2660" spans="1:6" x14ac:dyDescent="0.25">
      <c r="A2660">
        <v>2659</v>
      </c>
      <c r="B2660">
        <v>2</v>
      </c>
      <c r="C2660">
        <v>0</v>
      </c>
      <c r="D2660">
        <v>0</v>
      </c>
      <c r="E2660">
        <v>0</v>
      </c>
      <c r="F2660">
        <v>34.407200000000003</v>
      </c>
    </row>
    <row r="2661" spans="1:6" x14ac:dyDescent="0.25">
      <c r="A2661">
        <v>2660</v>
      </c>
      <c r="B2661">
        <v>10</v>
      </c>
      <c r="C2661">
        <v>1</v>
      </c>
      <c r="D2661">
        <v>0</v>
      </c>
      <c r="E2661">
        <v>0</v>
      </c>
      <c r="F2661">
        <v>34714</v>
      </c>
    </row>
    <row r="2662" spans="1:6" x14ac:dyDescent="0.25">
      <c r="A2662">
        <v>2661</v>
      </c>
      <c r="B2662">
        <v>13</v>
      </c>
      <c r="C2662">
        <v>0</v>
      </c>
      <c r="D2662">
        <v>0</v>
      </c>
      <c r="E2662">
        <v>0</v>
      </c>
      <c r="F2662">
        <v>1602</v>
      </c>
    </row>
    <row r="2663" spans="1:6" x14ac:dyDescent="0.25">
      <c r="A2663">
        <v>2662</v>
      </c>
      <c r="B2663">
        <v>41</v>
      </c>
      <c r="C2663">
        <v>0</v>
      </c>
      <c r="D2663">
        <v>0</v>
      </c>
      <c r="E2663">
        <v>0</v>
      </c>
      <c r="F2663">
        <v>1</v>
      </c>
    </row>
    <row r="2664" spans="1:6" x14ac:dyDescent="0.25">
      <c r="A2664">
        <v>2663</v>
      </c>
      <c r="B2664">
        <v>42</v>
      </c>
      <c r="C2664">
        <v>0</v>
      </c>
      <c r="D2664">
        <v>0</v>
      </c>
      <c r="E2664">
        <v>0</v>
      </c>
      <c r="F2664">
        <v>0.2</v>
      </c>
    </row>
    <row r="2665" spans="1:6" x14ac:dyDescent="0.25">
      <c r="A2665">
        <v>2664</v>
      </c>
      <c r="B2665">
        <v>43</v>
      </c>
      <c r="C2665">
        <v>0</v>
      </c>
      <c r="D2665">
        <v>0</v>
      </c>
      <c r="E2665">
        <v>0</v>
      </c>
      <c r="F2665">
        <v>0</v>
      </c>
    </row>
    <row r="2666" spans="1:6" x14ac:dyDescent="0.25">
      <c r="A2666">
        <v>2665</v>
      </c>
      <c r="B2666">
        <v>44</v>
      </c>
      <c r="C2666">
        <v>0</v>
      </c>
      <c r="D2666">
        <v>0</v>
      </c>
      <c r="E2666">
        <v>0</v>
      </c>
      <c r="F2666">
        <v>11.8751</v>
      </c>
    </row>
    <row r="2667" spans="1:6" x14ac:dyDescent="0.25">
      <c r="A2667">
        <v>2666</v>
      </c>
      <c r="B2667">
        <v>45</v>
      </c>
      <c r="C2667">
        <v>0</v>
      </c>
      <c r="D2667">
        <v>0</v>
      </c>
      <c r="E2667">
        <v>0</v>
      </c>
      <c r="F2667">
        <v>4400</v>
      </c>
    </row>
    <row r="2668" spans="1:6" x14ac:dyDescent="0.25">
      <c r="A2668">
        <v>2667</v>
      </c>
      <c r="B2668">
        <v>46</v>
      </c>
      <c r="C2668">
        <v>0</v>
      </c>
      <c r="D2668">
        <v>0</v>
      </c>
      <c r="E2668">
        <v>0</v>
      </c>
      <c r="F2668">
        <v>0</v>
      </c>
    </row>
    <row r="2669" spans="1:6" x14ac:dyDescent="0.25">
      <c r="A2669">
        <v>2668</v>
      </c>
      <c r="B2669">
        <v>2</v>
      </c>
      <c r="C2669">
        <v>0</v>
      </c>
      <c r="D2669">
        <v>0</v>
      </c>
      <c r="E2669">
        <v>0</v>
      </c>
      <c r="F2669">
        <v>34.406700000000001</v>
      </c>
    </row>
    <row r="2670" spans="1:6" x14ac:dyDescent="0.25">
      <c r="A2670">
        <v>2669</v>
      </c>
      <c r="B2670">
        <v>10</v>
      </c>
      <c r="C2670">
        <v>1</v>
      </c>
      <c r="D2670">
        <v>0</v>
      </c>
      <c r="E2670">
        <v>0</v>
      </c>
      <c r="F2670">
        <v>34715</v>
      </c>
    </row>
    <row r="2671" spans="1:6" x14ac:dyDescent="0.25">
      <c r="A2671">
        <v>2670</v>
      </c>
      <c r="B2671">
        <v>13</v>
      </c>
      <c r="C2671">
        <v>0</v>
      </c>
      <c r="D2671">
        <v>0</v>
      </c>
      <c r="E2671">
        <v>0</v>
      </c>
      <c r="F2671">
        <v>1602</v>
      </c>
    </row>
    <row r="2672" spans="1:6" x14ac:dyDescent="0.25">
      <c r="A2672">
        <v>2671</v>
      </c>
      <c r="B2672">
        <v>41</v>
      </c>
      <c r="C2672">
        <v>0</v>
      </c>
      <c r="D2672">
        <v>0</v>
      </c>
      <c r="E2672">
        <v>0</v>
      </c>
      <c r="F2672">
        <v>1</v>
      </c>
    </row>
    <row r="2673" spans="1:6" x14ac:dyDescent="0.25">
      <c r="A2673">
        <v>2672</v>
      </c>
      <c r="B2673">
        <v>42</v>
      </c>
      <c r="C2673">
        <v>0</v>
      </c>
      <c r="D2673">
        <v>0</v>
      </c>
      <c r="E2673">
        <v>0</v>
      </c>
      <c r="F2673">
        <v>0.2</v>
      </c>
    </row>
    <row r="2674" spans="1:6" x14ac:dyDescent="0.25">
      <c r="A2674">
        <v>2673</v>
      </c>
      <c r="B2674">
        <v>43</v>
      </c>
      <c r="C2674">
        <v>0</v>
      </c>
      <c r="D2674">
        <v>0</v>
      </c>
      <c r="E2674">
        <v>0</v>
      </c>
      <c r="F2674">
        <v>0</v>
      </c>
    </row>
    <row r="2675" spans="1:6" x14ac:dyDescent="0.25">
      <c r="A2675">
        <v>2674</v>
      </c>
      <c r="B2675">
        <v>44</v>
      </c>
      <c r="C2675">
        <v>0</v>
      </c>
      <c r="D2675">
        <v>0</v>
      </c>
      <c r="E2675">
        <v>0</v>
      </c>
      <c r="F2675">
        <v>11.8751</v>
      </c>
    </row>
    <row r="2676" spans="1:6" x14ac:dyDescent="0.25">
      <c r="A2676">
        <v>2675</v>
      </c>
      <c r="B2676">
        <v>45</v>
      </c>
      <c r="C2676">
        <v>0</v>
      </c>
      <c r="D2676">
        <v>0</v>
      </c>
      <c r="E2676">
        <v>0</v>
      </c>
      <c r="F2676">
        <v>4400</v>
      </c>
    </row>
    <row r="2677" spans="1:6" x14ac:dyDescent="0.25">
      <c r="A2677">
        <v>2676</v>
      </c>
      <c r="B2677" t="s">
        <v>0</v>
      </c>
      <c r="C2677">
        <v>156</v>
      </c>
      <c r="D2677">
        <v>3482</v>
      </c>
      <c r="E2677">
        <v>79904043</v>
      </c>
    </row>
    <row r="2678" spans="1:6" x14ac:dyDescent="0.25">
      <c r="A2678">
        <v>2677</v>
      </c>
      <c r="B2678">
        <v>2</v>
      </c>
      <c r="C2678">
        <v>0</v>
      </c>
      <c r="D2678">
        <v>0</v>
      </c>
      <c r="E2678">
        <v>0</v>
      </c>
      <c r="F2678">
        <v>34.406100000000002</v>
      </c>
    </row>
    <row r="2679" spans="1:6" x14ac:dyDescent="0.25">
      <c r="A2679">
        <v>2678</v>
      </c>
      <c r="B2679">
        <v>10</v>
      </c>
      <c r="C2679">
        <v>1</v>
      </c>
      <c r="D2679">
        <v>0</v>
      </c>
      <c r="E2679">
        <v>0</v>
      </c>
      <c r="F2679">
        <v>34716</v>
      </c>
    </row>
    <row r="2680" spans="1:6" x14ac:dyDescent="0.25">
      <c r="A2680">
        <v>2679</v>
      </c>
      <c r="B2680">
        <v>13</v>
      </c>
      <c r="C2680">
        <v>0</v>
      </c>
      <c r="D2680">
        <v>0</v>
      </c>
      <c r="E2680">
        <v>0</v>
      </c>
      <c r="F2680">
        <v>1602</v>
      </c>
    </row>
    <row r="2681" spans="1:6" x14ac:dyDescent="0.25">
      <c r="A2681">
        <v>2680</v>
      </c>
      <c r="B2681">
        <v>41</v>
      </c>
      <c r="C2681">
        <v>0</v>
      </c>
      <c r="D2681">
        <v>0</v>
      </c>
      <c r="E2681">
        <v>0</v>
      </c>
      <c r="F2681">
        <v>1</v>
      </c>
    </row>
    <row r="2682" spans="1:6" x14ac:dyDescent="0.25">
      <c r="A2682">
        <v>2681</v>
      </c>
      <c r="B2682">
        <v>42</v>
      </c>
      <c r="C2682">
        <v>0</v>
      </c>
      <c r="D2682">
        <v>0</v>
      </c>
      <c r="E2682">
        <v>0</v>
      </c>
      <c r="F2682">
        <v>0.2</v>
      </c>
    </row>
    <row r="2683" spans="1:6" x14ac:dyDescent="0.25">
      <c r="A2683">
        <v>2682</v>
      </c>
      <c r="B2683">
        <v>43</v>
      </c>
      <c r="C2683">
        <v>0</v>
      </c>
      <c r="D2683">
        <v>0</v>
      </c>
      <c r="E2683">
        <v>0</v>
      </c>
      <c r="F2683">
        <v>0</v>
      </c>
    </row>
    <row r="2684" spans="1:6" x14ac:dyDescent="0.25">
      <c r="A2684">
        <v>2683</v>
      </c>
      <c r="B2684">
        <v>44</v>
      </c>
      <c r="C2684">
        <v>0</v>
      </c>
      <c r="D2684">
        <v>0</v>
      </c>
      <c r="E2684">
        <v>0</v>
      </c>
      <c r="F2684">
        <v>12.1258</v>
      </c>
    </row>
    <row r="2685" spans="1:6" x14ac:dyDescent="0.25">
      <c r="A2685">
        <v>2684</v>
      </c>
      <c r="B2685">
        <v>45</v>
      </c>
      <c r="C2685">
        <v>0</v>
      </c>
      <c r="D2685">
        <v>0</v>
      </c>
      <c r="E2685">
        <v>0</v>
      </c>
      <c r="F2685">
        <v>4400</v>
      </c>
    </row>
    <row r="2686" spans="1:6" x14ac:dyDescent="0.25">
      <c r="A2686">
        <v>2685</v>
      </c>
      <c r="B2686">
        <v>46</v>
      </c>
      <c r="C2686">
        <v>0</v>
      </c>
      <c r="D2686">
        <v>0</v>
      </c>
      <c r="E2686">
        <v>0</v>
      </c>
      <c r="F2686">
        <v>0</v>
      </c>
    </row>
    <row r="2687" spans="1:6" x14ac:dyDescent="0.25">
      <c r="A2687">
        <v>2686</v>
      </c>
      <c r="B2687">
        <v>2</v>
      </c>
      <c r="C2687">
        <v>0</v>
      </c>
      <c r="D2687">
        <v>0</v>
      </c>
      <c r="E2687">
        <v>0</v>
      </c>
      <c r="F2687">
        <v>34.406100000000002</v>
      </c>
    </row>
    <row r="2688" spans="1:6" x14ac:dyDescent="0.25">
      <c r="A2688">
        <v>2687</v>
      </c>
      <c r="B2688">
        <v>10</v>
      </c>
      <c r="C2688">
        <v>1</v>
      </c>
      <c r="D2688">
        <v>0</v>
      </c>
      <c r="E2688">
        <v>0</v>
      </c>
      <c r="F2688">
        <v>34716</v>
      </c>
    </row>
    <row r="2689" spans="1:6" x14ac:dyDescent="0.25">
      <c r="A2689">
        <v>2688</v>
      </c>
      <c r="B2689">
        <v>13</v>
      </c>
      <c r="C2689">
        <v>0</v>
      </c>
      <c r="D2689">
        <v>0</v>
      </c>
      <c r="E2689">
        <v>0</v>
      </c>
      <c r="F2689">
        <v>1602</v>
      </c>
    </row>
    <row r="2690" spans="1:6" x14ac:dyDescent="0.25">
      <c r="A2690">
        <v>2689</v>
      </c>
      <c r="B2690">
        <v>41</v>
      </c>
      <c r="C2690">
        <v>0</v>
      </c>
      <c r="D2690">
        <v>0</v>
      </c>
      <c r="E2690">
        <v>0</v>
      </c>
      <c r="F2690">
        <v>1</v>
      </c>
    </row>
    <row r="2691" spans="1:6" x14ac:dyDescent="0.25">
      <c r="A2691">
        <v>2690</v>
      </c>
      <c r="B2691">
        <v>42</v>
      </c>
      <c r="C2691">
        <v>0</v>
      </c>
      <c r="D2691">
        <v>0</v>
      </c>
      <c r="E2691">
        <v>0</v>
      </c>
      <c r="F2691">
        <v>0.2</v>
      </c>
    </row>
    <row r="2692" spans="1:6" x14ac:dyDescent="0.25">
      <c r="A2692">
        <v>2691</v>
      </c>
      <c r="B2692" t="s">
        <v>0</v>
      </c>
      <c r="C2692">
        <v>157</v>
      </c>
      <c r="D2692">
        <v>3482</v>
      </c>
      <c r="E2692">
        <v>79905010</v>
      </c>
    </row>
    <row r="2693" spans="1:6" x14ac:dyDescent="0.25">
      <c r="A2693">
        <v>2692</v>
      </c>
      <c r="B2693">
        <v>44</v>
      </c>
      <c r="C2693">
        <v>0</v>
      </c>
      <c r="D2693">
        <v>0</v>
      </c>
      <c r="E2693">
        <v>0</v>
      </c>
      <c r="F2693">
        <v>12.374700000000001</v>
      </c>
    </row>
    <row r="2694" spans="1:6" x14ac:dyDescent="0.25">
      <c r="A2694">
        <v>2693</v>
      </c>
      <c r="B2694">
        <v>45</v>
      </c>
      <c r="C2694">
        <v>0</v>
      </c>
      <c r="D2694">
        <v>0</v>
      </c>
      <c r="E2694">
        <v>0</v>
      </c>
      <c r="F2694">
        <v>4400</v>
      </c>
    </row>
    <row r="2695" spans="1:6" x14ac:dyDescent="0.25">
      <c r="A2695">
        <v>2694</v>
      </c>
      <c r="B2695">
        <v>46</v>
      </c>
      <c r="C2695">
        <v>0</v>
      </c>
      <c r="D2695">
        <v>0</v>
      </c>
      <c r="E2695">
        <v>0</v>
      </c>
      <c r="F2695">
        <v>0</v>
      </c>
    </row>
    <row r="2696" spans="1:6" x14ac:dyDescent="0.25">
      <c r="A2696">
        <v>2695</v>
      </c>
      <c r="B2696">
        <v>2</v>
      </c>
      <c r="C2696">
        <v>0</v>
      </c>
      <c r="D2696">
        <v>0</v>
      </c>
      <c r="E2696">
        <v>0</v>
      </c>
      <c r="F2696">
        <v>34.407200000000003</v>
      </c>
    </row>
    <row r="2697" spans="1:6" x14ac:dyDescent="0.25">
      <c r="A2697">
        <v>2696</v>
      </c>
      <c r="B2697">
        <v>10</v>
      </c>
      <c r="C2697">
        <v>1</v>
      </c>
      <c r="D2697">
        <v>0</v>
      </c>
      <c r="E2697">
        <v>0</v>
      </c>
      <c r="F2697">
        <v>34714</v>
      </c>
    </row>
    <row r="2698" spans="1:6" x14ac:dyDescent="0.25">
      <c r="A2698">
        <v>2697</v>
      </c>
      <c r="B2698">
        <v>13</v>
      </c>
      <c r="C2698">
        <v>0</v>
      </c>
      <c r="D2698">
        <v>0</v>
      </c>
      <c r="E2698">
        <v>0</v>
      </c>
      <c r="F2698">
        <v>1602</v>
      </c>
    </row>
    <row r="2699" spans="1:6" x14ac:dyDescent="0.25">
      <c r="A2699">
        <v>2698</v>
      </c>
      <c r="B2699">
        <v>41</v>
      </c>
      <c r="C2699">
        <v>0</v>
      </c>
      <c r="D2699">
        <v>0</v>
      </c>
      <c r="E2699">
        <v>0</v>
      </c>
      <c r="F2699">
        <v>1</v>
      </c>
    </row>
    <row r="2700" spans="1:6" x14ac:dyDescent="0.25">
      <c r="A2700">
        <v>2699</v>
      </c>
      <c r="B2700">
        <v>42</v>
      </c>
      <c r="C2700">
        <v>0</v>
      </c>
      <c r="D2700">
        <v>0</v>
      </c>
      <c r="E2700">
        <v>0</v>
      </c>
      <c r="F2700">
        <v>0.2</v>
      </c>
    </row>
    <row r="2701" spans="1:6" x14ac:dyDescent="0.25">
      <c r="A2701">
        <v>2700</v>
      </c>
      <c r="B2701">
        <v>43</v>
      </c>
      <c r="C2701">
        <v>0</v>
      </c>
      <c r="D2701">
        <v>0</v>
      </c>
      <c r="E2701">
        <v>0</v>
      </c>
      <c r="F2701">
        <v>0</v>
      </c>
    </row>
    <row r="2702" spans="1:6" x14ac:dyDescent="0.25">
      <c r="A2702">
        <v>2701</v>
      </c>
      <c r="B2702">
        <v>44</v>
      </c>
      <c r="C2702">
        <v>0</v>
      </c>
      <c r="D2702">
        <v>0</v>
      </c>
      <c r="E2702">
        <v>0</v>
      </c>
      <c r="F2702">
        <v>12.374700000000001</v>
      </c>
    </row>
    <row r="2703" spans="1:6" x14ac:dyDescent="0.25">
      <c r="A2703">
        <v>2702</v>
      </c>
      <c r="B2703">
        <v>45</v>
      </c>
      <c r="C2703">
        <v>0</v>
      </c>
      <c r="D2703">
        <v>0</v>
      </c>
      <c r="E2703">
        <v>0</v>
      </c>
      <c r="F2703">
        <v>4400</v>
      </c>
    </row>
    <row r="2704" spans="1:6" x14ac:dyDescent="0.25">
      <c r="A2704">
        <v>2703</v>
      </c>
      <c r="B2704">
        <v>46</v>
      </c>
      <c r="C2704">
        <v>0</v>
      </c>
      <c r="D2704">
        <v>0</v>
      </c>
      <c r="E2704">
        <v>0</v>
      </c>
      <c r="F2704">
        <v>0</v>
      </c>
    </row>
    <row r="2705" spans="1:6" x14ac:dyDescent="0.25">
      <c r="A2705">
        <v>2704</v>
      </c>
      <c r="B2705">
        <v>2</v>
      </c>
      <c r="C2705">
        <v>0</v>
      </c>
      <c r="D2705">
        <v>0</v>
      </c>
      <c r="E2705">
        <v>0</v>
      </c>
      <c r="F2705">
        <v>34.407200000000003</v>
      </c>
    </row>
    <row r="2706" spans="1:6" x14ac:dyDescent="0.25">
      <c r="A2706">
        <v>2705</v>
      </c>
      <c r="B2706">
        <v>10</v>
      </c>
      <c r="C2706">
        <v>1</v>
      </c>
      <c r="D2706">
        <v>0</v>
      </c>
      <c r="E2706">
        <v>0</v>
      </c>
      <c r="F2706">
        <v>34714</v>
      </c>
    </row>
    <row r="2707" spans="1:6" x14ac:dyDescent="0.25">
      <c r="A2707">
        <v>2706</v>
      </c>
      <c r="B2707" t="s">
        <v>0</v>
      </c>
      <c r="C2707">
        <v>158</v>
      </c>
      <c r="D2707">
        <v>3482</v>
      </c>
      <c r="E2707">
        <v>79905978</v>
      </c>
    </row>
    <row r="2708" spans="1:6" x14ac:dyDescent="0.25">
      <c r="A2708">
        <v>2707</v>
      </c>
      <c r="B2708">
        <v>13</v>
      </c>
      <c r="C2708">
        <v>0</v>
      </c>
      <c r="D2708">
        <v>0</v>
      </c>
      <c r="E2708">
        <v>0</v>
      </c>
      <c r="F2708">
        <v>1602</v>
      </c>
    </row>
    <row r="2709" spans="1:6" x14ac:dyDescent="0.25">
      <c r="A2709">
        <v>2708</v>
      </c>
      <c r="B2709">
        <v>41</v>
      </c>
      <c r="C2709">
        <v>0</v>
      </c>
      <c r="D2709">
        <v>0</v>
      </c>
      <c r="E2709">
        <v>0</v>
      </c>
      <c r="F2709">
        <v>1</v>
      </c>
    </row>
    <row r="2710" spans="1:6" x14ac:dyDescent="0.25">
      <c r="A2710">
        <v>2709</v>
      </c>
      <c r="B2710">
        <v>42</v>
      </c>
      <c r="C2710">
        <v>0</v>
      </c>
      <c r="D2710">
        <v>0</v>
      </c>
      <c r="E2710">
        <v>0</v>
      </c>
      <c r="F2710">
        <v>0.2</v>
      </c>
    </row>
    <row r="2711" spans="1:6" x14ac:dyDescent="0.25">
      <c r="A2711">
        <v>2710</v>
      </c>
      <c r="B2711">
        <v>43</v>
      </c>
      <c r="C2711">
        <v>0</v>
      </c>
      <c r="D2711">
        <v>0</v>
      </c>
      <c r="E2711">
        <v>0</v>
      </c>
      <c r="F2711">
        <v>0</v>
      </c>
    </row>
    <row r="2712" spans="1:6" x14ac:dyDescent="0.25">
      <c r="A2712">
        <v>2711</v>
      </c>
      <c r="B2712">
        <v>44</v>
      </c>
      <c r="C2712">
        <v>0</v>
      </c>
      <c r="D2712">
        <v>0</v>
      </c>
      <c r="E2712">
        <v>0</v>
      </c>
      <c r="F2712">
        <v>12.6004</v>
      </c>
    </row>
    <row r="2713" spans="1:6" x14ac:dyDescent="0.25">
      <c r="A2713">
        <v>2712</v>
      </c>
      <c r="B2713">
        <v>45</v>
      </c>
      <c r="C2713">
        <v>0</v>
      </c>
      <c r="D2713">
        <v>0</v>
      </c>
      <c r="E2713">
        <v>0</v>
      </c>
      <c r="F2713">
        <v>4400</v>
      </c>
    </row>
    <row r="2714" spans="1:6" x14ac:dyDescent="0.25">
      <c r="A2714">
        <v>2713</v>
      </c>
      <c r="B2714">
        <v>46</v>
      </c>
      <c r="C2714">
        <v>0</v>
      </c>
      <c r="D2714">
        <v>0</v>
      </c>
      <c r="E2714">
        <v>0</v>
      </c>
      <c r="F2714">
        <v>0</v>
      </c>
    </row>
    <row r="2715" spans="1:6" x14ac:dyDescent="0.25">
      <c r="A2715">
        <v>2714</v>
      </c>
      <c r="B2715">
        <v>2</v>
      </c>
      <c r="C2715">
        <v>0</v>
      </c>
      <c r="D2715">
        <v>0</v>
      </c>
      <c r="E2715">
        <v>0</v>
      </c>
      <c r="F2715">
        <v>34.406599999999997</v>
      </c>
    </row>
    <row r="2716" spans="1:6" x14ac:dyDescent="0.25">
      <c r="A2716">
        <v>2715</v>
      </c>
      <c r="B2716">
        <v>10</v>
      </c>
      <c r="C2716">
        <v>1</v>
      </c>
      <c r="D2716">
        <v>0</v>
      </c>
      <c r="E2716">
        <v>0</v>
      </c>
      <c r="F2716">
        <v>34715</v>
      </c>
    </row>
    <row r="2717" spans="1:6" x14ac:dyDescent="0.25">
      <c r="A2717">
        <v>2716</v>
      </c>
      <c r="B2717">
        <v>13</v>
      </c>
      <c r="C2717">
        <v>0</v>
      </c>
      <c r="D2717">
        <v>0</v>
      </c>
      <c r="E2717">
        <v>0</v>
      </c>
      <c r="F2717">
        <v>1602</v>
      </c>
    </row>
    <row r="2718" spans="1:6" x14ac:dyDescent="0.25">
      <c r="A2718">
        <v>2717</v>
      </c>
      <c r="B2718">
        <v>41</v>
      </c>
      <c r="C2718">
        <v>0</v>
      </c>
      <c r="D2718">
        <v>0</v>
      </c>
      <c r="E2718">
        <v>0</v>
      </c>
      <c r="F2718">
        <v>1</v>
      </c>
    </row>
    <row r="2719" spans="1:6" x14ac:dyDescent="0.25">
      <c r="A2719">
        <v>2718</v>
      </c>
      <c r="B2719">
        <v>42</v>
      </c>
      <c r="C2719">
        <v>0</v>
      </c>
      <c r="D2719">
        <v>0</v>
      </c>
      <c r="E2719">
        <v>0</v>
      </c>
      <c r="F2719">
        <v>0.2</v>
      </c>
    </row>
    <row r="2720" spans="1:6" x14ac:dyDescent="0.25">
      <c r="A2720">
        <v>2719</v>
      </c>
      <c r="B2720">
        <v>43</v>
      </c>
      <c r="C2720">
        <v>0</v>
      </c>
      <c r="D2720">
        <v>0</v>
      </c>
      <c r="E2720">
        <v>0</v>
      </c>
      <c r="F2720">
        <v>0</v>
      </c>
    </row>
    <row r="2721" spans="1:6" x14ac:dyDescent="0.25">
      <c r="A2721">
        <v>2720</v>
      </c>
      <c r="B2721">
        <v>44</v>
      </c>
      <c r="C2721">
        <v>0</v>
      </c>
      <c r="D2721">
        <v>0</v>
      </c>
      <c r="E2721">
        <v>0</v>
      </c>
      <c r="F2721">
        <v>12.6004</v>
      </c>
    </row>
    <row r="2722" spans="1:6" x14ac:dyDescent="0.25">
      <c r="A2722">
        <v>2721</v>
      </c>
      <c r="B2722">
        <v>45</v>
      </c>
      <c r="C2722">
        <v>0</v>
      </c>
      <c r="D2722">
        <v>0</v>
      </c>
      <c r="E2722">
        <v>0</v>
      </c>
      <c r="F2722">
        <v>4400</v>
      </c>
    </row>
    <row r="2723" spans="1:6" x14ac:dyDescent="0.25">
      <c r="A2723">
        <v>2722</v>
      </c>
      <c r="B2723">
        <v>46</v>
      </c>
      <c r="C2723">
        <v>0</v>
      </c>
      <c r="D2723">
        <v>0</v>
      </c>
      <c r="E2723">
        <v>0</v>
      </c>
      <c r="F2723">
        <v>0</v>
      </c>
    </row>
    <row r="2724" spans="1:6" x14ac:dyDescent="0.25">
      <c r="A2724">
        <v>2723</v>
      </c>
      <c r="B2724">
        <v>2</v>
      </c>
      <c r="C2724">
        <v>0</v>
      </c>
      <c r="D2724">
        <v>0</v>
      </c>
      <c r="E2724">
        <v>0</v>
      </c>
      <c r="F2724">
        <v>34.406999999999996</v>
      </c>
    </row>
    <row r="2725" spans="1:6" x14ac:dyDescent="0.25">
      <c r="A2725">
        <v>2724</v>
      </c>
      <c r="B2725">
        <v>10</v>
      </c>
      <c r="C2725">
        <v>1</v>
      </c>
      <c r="D2725">
        <v>0</v>
      </c>
      <c r="E2725">
        <v>0</v>
      </c>
      <c r="F2725">
        <v>34715</v>
      </c>
    </row>
    <row r="2726" spans="1:6" x14ac:dyDescent="0.25">
      <c r="A2726">
        <v>2725</v>
      </c>
      <c r="B2726">
        <v>13</v>
      </c>
      <c r="C2726">
        <v>0</v>
      </c>
      <c r="D2726">
        <v>0</v>
      </c>
      <c r="E2726">
        <v>0</v>
      </c>
      <c r="F2726">
        <v>1602</v>
      </c>
    </row>
    <row r="2727" spans="1:6" x14ac:dyDescent="0.25">
      <c r="A2727">
        <v>2726</v>
      </c>
      <c r="B2727">
        <v>41</v>
      </c>
      <c r="C2727">
        <v>0</v>
      </c>
      <c r="D2727">
        <v>0</v>
      </c>
      <c r="E2727">
        <v>0</v>
      </c>
      <c r="F2727">
        <v>1</v>
      </c>
    </row>
    <row r="2728" spans="1:6" x14ac:dyDescent="0.25">
      <c r="A2728">
        <v>2727</v>
      </c>
      <c r="B2728">
        <v>42</v>
      </c>
      <c r="C2728">
        <v>0</v>
      </c>
      <c r="D2728">
        <v>0</v>
      </c>
      <c r="E2728">
        <v>0</v>
      </c>
      <c r="F2728">
        <v>0.2</v>
      </c>
    </row>
    <row r="2729" spans="1:6" x14ac:dyDescent="0.25">
      <c r="A2729">
        <v>2728</v>
      </c>
      <c r="B2729">
        <v>43</v>
      </c>
      <c r="C2729">
        <v>0</v>
      </c>
      <c r="D2729">
        <v>0</v>
      </c>
      <c r="E2729">
        <v>0</v>
      </c>
      <c r="F2729">
        <v>0</v>
      </c>
    </row>
    <row r="2730" spans="1:6" x14ac:dyDescent="0.25">
      <c r="A2730">
        <v>2729</v>
      </c>
      <c r="B2730">
        <v>44</v>
      </c>
      <c r="C2730">
        <v>0</v>
      </c>
      <c r="D2730">
        <v>0</v>
      </c>
      <c r="E2730">
        <v>0</v>
      </c>
      <c r="F2730">
        <v>12.8499</v>
      </c>
    </row>
    <row r="2731" spans="1:6" x14ac:dyDescent="0.25">
      <c r="A2731">
        <v>2730</v>
      </c>
      <c r="B2731">
        <v>45</v>
      </c>
      <c r="C2731">
        <v>0</v>
      </c>
      <c r="D2731">
        <v>0</v>
      </c>
      <c r="E2731">
        <v>0</v>
      </c>
      <c r="F2731">
        <v>4400</v>
      </c>
    </row>
    <row r="2732" spans="1:6" x14ac:dyDescent="0.25">
      <c r="A2732">
        <v>2731</v>
      </c>
      <c r="B2732">
        <v>46</v>
      </c>
      <c r="C2732">
        <v>0</v>
      </c>
      <c r="D2732">
        <v>0</v>
      </c>
      <c r="E2732">
        <v>0</v>
      </c>
      <c r="F2732">
        <v>0</v>
      </c>
    </row>
    <row r="2733" spans="1:6" x14ac:dyDescent="0.25">
      <c r="A2733">
        <v>2732</v>
      </c>
      <c r="B2733">
        <v>2</v>
      </c>
      <c r="C2733">
        <v>0</v>
      </c>
      <c r="D2733">
        <v>0</v>
      </c>
      <c r="E2733">
        <v>0</v>
      </c>
      <c r="F2733">
        <v>34.406999999999996</v>
      </c>
    </row>
    <row r="2734" spans="1:6" x14ac:dyDescent="0.25">
      <c r="A2734">
        <v>2733</v>
      </c>
      <c r="B2734">
        <v>10</v>
      </c>
      <c r="C2734">
        <v>1</v>
      </c>
      <c r="D2734">
        <v>0</v>
      </c>
      <c r="E2734">
        <v>0</v>
      </c>
      <c r="F2734">
        <v>34715</v>
      </c>
    </row>
    <row r="2735" spans="1:6" x14ac:dyDescent="0.25">
      <c r="A2735">
        <v>2734</v>
      </c>
      <c r="B2735">
        <v>13</v>
      </c>
      <c r="C2735">
        <v>0</v>
      </c>
      <c r="D2735">
        <v>0</v>
      </c>
      <c r="E2735">
        <v>0</v>
      </c>
      <c r="F2735">
        <v>1602</v>
      </c>
    </row>
    <row r="2736" spans="1:6" x14ac:dyDescent="0.25">
      <c r="A2736">
        <v>2735</v>
      </c>
      <c r="B2736">
        <v>41</v>
      </c>
      <c r="C2736">
        <v>0</v>
      </c>
      <c r="D2736">
        <v>0</v>
      </c>
      <c r="E2736">
        <v>0</v>
      </c>
      <c r="F2736">
        <v>1</v>
      </c>
    </row>
    <row r="2737" spans="1:6" x14ac:dyDescent="0.25">
      <c r="A2737">
        <v>2736</v>
      </c>
      <c r="B2737" t="s">
        <v>0</v>
      </c>
      <c r="C2737">
        <v>160</v>
      </c>
      <c r="D2737">
        <v>3482</v>
      </c>
      <c r="E2737">
        <v>79907913</v>
      </c>
    </row>
    <row r="2738" spans="1:6" x14ac:dyDescent="0.25">
      <c r="A2738">
        <v>2737</v>
      </c>
      <c r="B2738">
        <v>43</v>
      </c>
      <c r="C2738">
        <v>0</v>
      </c>
      <c r="D2738">
        <v>0</v>
      </c>
      <c r="E2738">
        <v>0</v>
      </c>
      <c r="F2738">
        <v>0</v>
      </c>
    </row>
    <row r="2739" spans="1:6" x14ac:dyDescent="0.25">
      <c r="A2739">
        <v>2738</v>
      </c>
      <c r="B2739">
        <v>44</v>
      </c>
      <c r="C2739">
        <v>0</v>
      </c>
      <c r="D2739">
        <v>0</v>
      </c>
      <c r="E2739">
        <v>0</v>
      </c>
      <c r="F2739">
        <v>13.0997</v>
      </c>
    </row>
    <row r="2740" spans="1:6" x14ac:dyDescent="0.25">
      <c r="A2740">
        <v>2739</v>
      </c>
      <c r="B2740">
        <v>45</v>
      </c>
      <c r="C2740">
        <v>0</v>
      </c>
      <c r="D2740">
        <v>0</v>
      </c>
      <c r="E2740">
        <v>0</v>
      </c>
      <c r="F2740">
        <v>4400</v>
      </c>
    </row>
    <row r="2741" spans="1:6" x14ac:dyDescent="0.25">
      <c r="A2741">
        <v>2740</v>
      </c>
      <c r="B2741">
        <v>46</v>
      </c>
      <c r="C2741">
        <v>0</v>
      </c>
      <c r="D2741">
        <v>0</v>
      </c>
      <c r="E2741">
        <v>0</v>
      </c>
      <c r="F2741">
        <v>0</v>
      </c>
    </row>
    <row r="2742" spans="1:6" x14ac:dyDescent="0.25">
      <c r="A2742">
        <v>2741</v>
      </c>
      <c r="B2742">
        <v>2</v>
      </c>
      <c r="C2742">
        <v>0</v>
      </c>
      <c r="D2742">
        <v>0</v>
      </c>
      <c r="E2742">
        <v>0</v>
      </c>
      <c r="F2742">
        <v>34.407200000000003</v>
      </c>
    </row>
    <row r="2743" spans="1:6" x14ac:dyDescent="0.25">
      <c r="A2743">
        <v>2742</v>
      </c>
      <c r="B2743">
        <v>10</v>
      </c>
      <c r="C2743">
        <v>1</v>
      </c>
      <c r="D2743">
        <v>0</v>
      </c>
      <c r="E2743">
        <v>0</v>
      </c>
      <c r="F2743">
        <v>34714</v>
      </c>
    </row>
    <row r="2744" spans="1:6" x14ac:dyDescent="0.25">
      <c r="A2744">
        <v>2743</v>
      </c>
      <c r="B2744">
        <v>13</v>
      </c>
      <c r="C2744">
        <v>0</v>
      </c>
      <c r="D2744">
        <v>0</v>
      </c>
      <c r="E2744">
        <v>0</v>
      </c>
      <c r="F2744">
        <v>1602</v>
      </c>
    </row>
    <row r="2745" spans="1:6" x14ac:dyDescent="0.25">
      <c r="A2745">
        <v>2744</v>
      </c>
      <c r="B2745">
        <v>41</v>
      </c>
      <c r="C2745">
        <v>0</v>
      </c>
      <c r="D2745">
        <v>0</v>
      </c>
      <c r="E2745">
        <v>0</v>
      </c>
      <c r="F2745">
        <v>1</v>
      </c>
    </row>
    <row r="2746" spans="1:6" x14ac:dyDescent="0.25">
      <c r="A2746">
        <v>2745</v>
      </c>
      <c r="B2746">
        <v>42</v>
      </c>
      <c r="C2746">
        <v>0</v>
      </c>
      <c r="D2746">
        <v>0</v>
      </c>
      <c r="E2746">
        <v>0</v>
      </c>
      <c r="F2746">
        <v>0.2</v>
      </c>
    </row>
    <row r="2747" spans="1:6" x14ac:dyDescent="0.25">
      <c r="A2747">
        <v>2746</v>
      </c>
      <c r="B2747">
        <v>43</v>
      </c>
      <c r="C2747">
        <v>0</v>
      </c>
      <c r="D2747">
        <v>0</v>
      </c>
      <c r="E2747">
        <v>0</v>
      </c>
      <c r="F2747">
        <v>0</v>
      </c>
    </row>
    <row r="2748" spans="1:6" x14ac:dyDescent="0.25">
      <c r="A2748">
        <v>2747</v>
      </c>
      <c r="B2748">
        <v>44</v>
      </c>
      <c r="C2748">
        <v>0</v>
      </c>
      <c r="D2748">
        <v>0</v>
      </c>
      <c r="E2748">
        <v>0</v>
      </c>
      <c r="F2748">
        <v>13.0997</v>
      </c>
    </row>
    <row r="2749" spans="1:6" x14ac:dyDescent="0.25">
      <c r="A2749">
        <v>2748</v>
      </c>
      <c r="B2749">
        <v>45</v>
      </c>
      <c r="C2749">
        <v>0</v>
      </c>
      <c r="D2749">
        <v>0</v>
      </c>
      <c r="E2749">
        <v>0</v>
      </c>
      <c r="F2749">
        <v>4400</v>
      </c>
    </row>
    <row r="2750" spans="1:6" x14ac:dyDescent="0.25">
      <c r="A2750">
        <v>2749</v>
      </c>
      <c r="B2750">
        <v>46</v>
      </c>
      <c r="C2750">
        <v>0</v>
      </c>
      <c r="D2750">
        <v>0</v>
      </c>
      <c r="E2750">
        <v>0</v>
      </c>
      <c r="F2750">
        <v>0</v>
      </c>
    </row>
    <row r="2751" spans="1:6" x14ac:dyDescent="0.25">
      <c r="A2751">
        <v>2750</v>
      </c>
      <c r="B2751">
        <v>2</v>
      </c>
      <c r="C2751">
        <v>0</v>
      </c>
      <c r="D2751">
        <v>0</v>
      </c>
      <c r="E2751">
        <v>0</v>
      </c>
      <c r="F2751">
        <v>34.407200000000003</v>
      </c>
    </row>
    <row r="2752" spans="1:6" x14ac:dyDescent="0.25">
      <c r="A2752">
        <v>2751</v>
      </c>
      <c r="B2752" t="s">
        <v>0</v>
      </c>
      <c r="C2752">
        <v>161</v>
      </c>
      <c r="D2752">
        <v>3482</v>
      </c>
      <c r="E2752">
        <v>79908881</v>
      </c>
    </row>
    <row r="2753" spans="1:6" x14ac:dyDescent="0.25">
      <c r="A2753">
        <v>2752</v>
      </c>
      <c r="B2753">
        <v>10</v>
      </c>
      <c r="C2753">
        <v>1</v>
      </c>
      <c r="D2753">
        <v>0</v>
      </c>
      <c r="E2753">
        <v>0</v>
      </c>
      <c r="F2753">
        <v>34714</v>
      </c>
    </row>
    <row r="2754" spans="1:6" x14ac:dyDescent="0.25">
      <c r="A2754">
        <v>2753</v>
      </c>
      <c r="B2754">
        <v>13</v>
      </c>
      <c r="C2754">
        <v>0</v>
      </c>
      <c r="D2754">
        <v>0</v>
      </c>
      <c r="E2754">
        <v>0</v>
      </c>
      <c r="F2754">
        <v>1602</v>
      </c>
    </row>
    <row r="2755" spans="1:6" x14ac:dyDescent="0.25">
      <c r="A2755">
        <v>2754</v>
      </c>
      <c r="B2755">
        <v>41</v>
      </c>
      <c r="C2755">
        <v>0</v>
      </c>
      <c r="D2755">
        <v>0</v>
      </c>
      <c r="E2755">
        <v>0</v>
      </c>
      <c r="F2755">
        <v>1</v>
      </c>
    </row>
    <row r="2756" spans="1:6" x14ac:dyDescent="0.25">
      <c r="A2756">
        <v>2755</v>
      </c>
      <c r="B2756">
        <v>42</v>
      </c>
      <c r="C2756">
        <v>0</v>
      </c>
      <c r="D2756">
        <v>0</v>
      </c>
      <c r="E2756">
        <v>0</v>
      </c>
      <c r="F2756">
        <v>0.2</v>
      </c>
    </row>
    <row r="2757" spans="1:6" x14ac:dyDescent="0.25">
      <c r="A2757">
        <v>2756</v>
      </c>
      <c r="B2757">
        <v>43</v>
      </c>
      <c r="C2757">
        <v>0</v>
      </c>
      <c r="D2757">
        <v>0</v>
      </c>
      <c r="E2757">
        <v>0</v>
      </c>
      <c r="F2757">
        <v>0</v>
      </c>
    </row>
    <row r="2758" spans="1:6" x14ac:dyDescent="0.25">
      <c r="A2758">
        <v>2757</v>
      </c>
      <c r="B2758">
        <v>44</v>
      </c>
      <c r="C2758">
        <v>0</v>
      </c>
      <c r="D2758">
        <v>0</v>
      </c>
      <c r="E2758">
        <v>0</v>
      </c>
      <c r="F2758">
        <v>13.325200000000001</v>
      </c>
    </row>
    <row r="2759" spans="1:6" x14ac:dyDescent="0.25">
      <c r="A2759">
        <v>2758</v>
      </c>
      <c r="B2759">
        <v>45</v>
      </c>
      <c r="C2759">
        <v>0</v>
      </c>
      <c r="D2759">
        <v>0</v>
      </c>
      <c r="E2759">
        <v>0</v>
      </c>
      <c r="F2759">
        <v>4400</v>
      </c>
    </row>
    <row r="2760" spans="1:6" x14ac:dyDescent="0.25">
      <c r="A2760">
        <v>2759</v>
      </c>
      <c r="B2760">
        <v>46</v>
      </c>
      <c r="C2760">
        <v>0</v>
      </c>
      <c r="D2760">
        <v>0</v>
      </c>
      <c r="E2760">
        <v>0</v>
      </c>
      <c r="F2760">
        <v>0</v>
      </c>
    </row>
    <row r="2761" spans="1:6" x14ac:dyDescent="0.25">
      <c r="A2761">
        <v>2760</v>
      </c>
      <c r="B2761">
        <v>2</v>
      </c>
      <c r="C2761">
        <v>0</v>
      </c>
      <c r="D2761">
        <v>0</v>
      </c>
      <c r="E2761">
        <v>0</v>
      </c>
      <c r="F2761">
        <v>34.406700000000001</v>
      </c>
    </row>
    <row r="2762" spans="1:6" x14ac:dyDescent="0.25">
      <c r="A2762">
        <v>2761</v>
      </c>
      <c r="B2762">
        <v>10</v>
      </c>
      <c r="C2762">
        <v>1</v>
      </c>
      <c r="D2762">
        <v>0</v>
      </c>
      <c r="E2762">
        <v>0</v>
      </c>
      <c r="F2762">
        <v>34715</v>
      </c>
    </row>
    <row r="2763" spans="1:6" x14ac:dyDescent="0.25">
      <c r="A2763">
        <v>2762</v>
      </c>
      <c r="B2763">
        <v>13</v>
      </c>
      <c r="C2763">
        <v>0</v>
      </c>
      <c r="D2763">
        <v>0</v>
      </c>
      <c r="E2763">
        <v>0</v>
      </c>
      <c r="F2763">
        <v>1602</v>
      </c>
    </row>
    <row r="2764" spans="1:6" x14ac:dyDescent="0.25">
      <c r="A2764">
        <v>2763</v>
      </c>
      <c r="B2764">
        <v>41</v>
      </c>
      <c r="C2764">
        <v>0</v>
      </c>
      <c r="D2764">
        <v>0</v>
      </c>
      <c r="E2764">
        <v>0</v>
      </c>
      <c r="F2764">
        <v>1</v>
      </c>
    </row>
    <row r="2765" spans="1:6" x14ac:dyDescent="0.25">
      <c r="A2765">
        <v>2764</v>
      </c>
      <c r="B2765">
        <v>42</v>
      </c>
      <c r="C2765">
        <v>0</v>
      </c>
      <c r="D2765">
        <v>0</v>
      </c>
      <c r="E2765">
        <v>0</v>
      </c>
      <c r="F2765">
        <v>0.2</v>
      </c>
    </row>
    <row r="2766" spans="1:6" x14ac:dyDescent="0.25">
      <c r="A2766">
        <v>2765</v>
      </c>
      <c r="B2766">
        <v>43</v>
      </c>
      <c r="C2766">
        <v>0</v>
      </c>
      <c r="D2766">
        <v>0</v>
      </c>
      <c r="E2766">
        <v>0</v>
      </c>
      <c r="F2766">
        <v>0</v>
      </c>
    </row>
    <row r="2767" spans="1:6" x14ac:dyDescent="0.25">
      <c r="A2767">
        <v>2766</v>
      </c>
      <c r="B2767">
        <v>44</v>
      </c>
      <c r="C2767">
        <v>0</v>
      </c>
      <c r="D2767">
        <v>0</v>
      </c>
      <c r="E2767">
        <v>0</v>
      </c>
      <c r="F2767">
        <v>13.325200000000001</v>
      </c>
    </row>
    <row r="2768" spans="1:6" x14ac:dyDescent="0.25">
      <c r="A2768">
        <v>2767</v>
      </c>
      <c r="B2768">
        <v>45</v>
      </c>
      <c r="C2768">
        <v>0</v>
      </c>
      <c r="D2768">
        <v>0</v>
      </c>
      <c r="E2768">
        <v>0</v>
      </c>
      <c r="F2768">
        <v>4400</v>
      </c>
    </row>
    <row r="2769" spans="1:6" x14ac:dyDescent="0.25">
      <c r="A2769">
        <v>2768</v>
      </c>
      <c r="B2769">
        <v>46</v>
      </c>
      <c r="C2769">
        <v>0</v>
      </c>
      <c r="D2769">
        <v>0</v>
      </c>
      <c r="E2769">
        <v>0</v>
      </c>
      <c r="F2769">
        <v>0</v>
      </c>
    </row>
    <row r="2770" spans="1:6" x14ac:dyDescent="0.25">
      <c r="A2770">
        <v>2769</v>
      </c>
      <c r="B2770">
        <v>2</v>
      </c>
      <c r="C2770">
        <v>0</v>
      </c>
      <c r="D2770">
        <v>0</v>
      </c>
      <c r="E2770">
        <v>0</v>
      </c>
      <c r="F2770">
        <v>34.407400000000003</v>
      </c>
    </row>
    <row r="2771" spans="1:6" x14ac:dyDescent="0.25">
      <c r="A2771">
        <v>2770</v>
      </c>
      <c r="B2771">
        <v>10</v>
      </c>
      <c r="C2771">
        <v>1</v>
      </c>
      <c r="D2771">
        <v>0</v>
      </c>
      <c r="E2771">
        <v>0</v>
      </c>
      <c r="F2771">
        <v>34714</v>
      </c>
    </row>
    <row r="2772" spans="1:6" x14ac:dyDescent="0.25">
      <c r="A2772">
        <v>2771</v>
      </c>
      <c r="B2772">
        <v>13</v>
      </c>
      <c r="C2772">
        <v>0</v>
      </c>
      <c r="D2772">
        <v>0</v>
      </c>
      <c r="E2772">
        <v>0</v>
      </c>
      <c r="F2772">
        <v>1602</v>
      </c>
    </row>
    <row r="2773" spans="1:6" x14ac:dyDescent="0.25">
      <c r="A2773">
        <v>2772</v>
      </c>
      <c r="B2773">
        <v>41</v>
      </c>
      <c r="C2773">
        <v>0</v>
      </c>
      <c r="D2773">
        <v>0</v>
      </c>
      <c r="E2773">
        <v>0</v>
      </c>
      <c r="F2773">
        <v>1</v>
      </c>
    </row>
    <row r="2774" spans="1:6" x14ac:dyDescent="0.25">
      <c r="A2774">
        <v>2773</v>
      </c>
      <c r="B2774">
        <v>42</v>
      </c>
      <c r="C2774">
        <v>0</v>
      </c>
      <c r="D2774">
        <v>0</v>
      </c>
      <c r="E2774">
        <v>0</v>
      </c>
      <c r="F2774">
        <v>0.2</v>
      </c>
    </row>
    <row r="2775" spans="1:6" x14ac:dyDescent="0.25">
      <c r="A2775">
        <v>2774</v>
      </c>
      <c r="B2775">
        <v>43</v>
      </c>
      <c r="C2775">
        <v>0</v>
      </c>
      <c r="D2775">
        <v>0</v>
      </c>
      <c r="E2775">
        <v>0</v>
      </c>
      <c r="F2775">
        <v>0</v>
      </c>
    </row>
    <row r="2776" spans="1:6" x14ac:dyDescent="0.25">
      <c r="A2776">
        <v>2775</v>
      </c>
      <c r="B2776">
        <v>44</v>
      </c>
      <c r="C2776">
        <v>0</v>
      </c>
      <c r="D2776">
        <v>0</v>
      </c>
      <c r="E2776">
        <v>0</v>
      </c>
      <c r="F2776">
        <v>13.5746</v>
      </c>
    </row>
    <row r="2777" spans="1:6" x14ac:dyDescent="0.25">
      <c r="A2777">
        <v>2776</v>
      </c>
      <c r="B2777">
        <v>45</v>
      </c>
      <c r="C2777">
        <v>0</v>
      </c>
      <c r="D2777">
        <v>0</v>
      </c>
      <c r="E2777">
        <v>0</v>
      </c>
      <c r="F2777">
        <v>4400</v>
      </c>
    </row>
    <row r="2778" spans="1:6" x14ac:dyDescent="0.25">
      <c r="A2778">
        <v>2777</v>
      </c>
      <c r="B2778">
        <v>46</v>
      </c>
      <c r="C2778">
        <v>0</v>
      </c>
      <c r="D2778">
        <v>0</v>
      </c>
      <c r="E2778">
        <v>0</v>
      </c>
      <c r="F2778">
        <v>0</v>
      </c>
    </row>
    <row r="2779" spans="1:6" x14ac:dyDescent="0.25">
      <c r="A2779">
        <v>2778</v>
      </c>
      <c r="B2779">
        <v>2</v>
      </c>
      <c r="C2779">
        <v>0</v>
      </c>
      <c r="D2779">
        <v>0</v>
      </c>
      <c r="E2779">
        <v>0</v>
      </c>
      <c r="F2779">
        <v>34.407400000000003</v>
      </c>
    </row>
    <row r="2780" spans="1:6" x14ac:dyDescent="0.25">
      <c r="A2780">
        <v>2779</v>
      </c>
      <c r="B2780">
        <v>10</v>
      </c>
      <c r="C2780">
        <v>1</v>
      </c>
      <c r="D2780">
        <v>0</v>
      </c>
      <c r="E2780">
        <v>0</v>
      </c>
      <c r="F2780">
        <v>34714</v>
      </c>
    </row>
    <row r="2781" spans="1:6" x14ac:dyDescent="0.25">
      <c r="A2781">
        <v>2780</v>
      </c>
      <c r="B2781">
        <v>13</v>
      </c>
      <c r="C2781">
        <v>0</v>
      </c>
      <c r="D2781">
        <v>0</v>
      </c>
      <c r="E2781">
        <v>0</v>
      </c>
      <c r="F2781">
        <v>1602</v>
      </c>
    </row>
    <row r="2782" spans="1:6" x14ac:dyDescent="0.25">
      <c r="A2782">
        <v>2781</v>
      </c>
      <c r="B2782">
        <v>41</v>
      </c>
      <c r="C2782">
        <v>0</v>
      </c>
      <c r="D2782">
        <v>0</v>
      </c>
      <c r="E2782">
        <v>0</v>
      </c>
      <c r="F2782">
        <v>1</v>
      </c>
    </row>
    <row r="2783" spans="1:6" x14ac:dyDescent="0.25">
      <c r="A2783">
        <v>2782</v>
      </c>
      <c r="B2783">
        <v>42</v>
      </c>
      <c r="C2783">
        <v>0</v>
      </c>
      <c r="D2783">
        <v>0</v>
      </c>
      <c r="E2783">
        <v>0</v>
      </c>
      <c r="F2783">
        <v>0.2</v>
      </c>
    </row>
    <row r="2784" spans="1:6" x14ac:dyDescent="0.25">
      <c r="A2784">
        <v>2783</v>
      </c>
      <c r="B2784">
        <v>43</v>
      </c>
      <c r="C2784">
        <v>0</v>
      </c>
      <c r="D2784">
        <v>0</v>
      </c>
      <c r="E2784">
        <v>0</v>
      </c>
      <c r="F2784">
        <v>0</v>
      </c>
    </row>
    <row r="2785" spans="1:6" x14ac:dyDescent="0.25">
      <c r="A2785">
        <v>2784</v>
      </c>
      <c r="B2785">
        <v>44</v>
      </c>
      <c r="C2785">
        <v>0</v>
      </c>
      <c r="D2785">
        <v>0</v>
      </c>
      <c r="E2785">
        <v>0</v>
      </c>
      <c r="F2785">
        <v>13.8245</v>
      </c>
    </row>
    <row r="2786" spans="1:6" x14ac:dyDescent="0.25">
      <c r="A2786">
        <v>2785</v>
      </c>
      <c r="B2786">
        <v>45</v>
      </c>
      <c r="C2786">
        <v>0</v>
      </c>
      <c r="D2786">
        <v>0</v>
      </c>
      <c r="E2786">
        <v>0</v>
      </c>
      <c r="F2786">
        <v>4400</v>
      </c>
    </row>
    <row r="2787" spans="1:6" x14ac:dyDescent="0.25">
      <c r="A2787">
        <v>2786</v>
      </c>
      <c r="B2787">
        <v>46</v>
      </c>
      <c r="C2787">
        <v>0</v>
      </c>
      <c r="D2787">
        <v>0</v>
      </c>
      <c r="E2787">
        <v>0</v>
      </c>
      <c r="F2787">
        <v>0</v>
      </c>
    </row>
    <row r="2788" spans="1:6" x14ac:dyDescent="0.25">
      <c r="A2788">
        <v>2787</v>
      </c>
      <c r="B2788">
        <v>2</v>
      </c>
      <c r="C2788">
        <v>0</v>
      </c>
      <c r="D2788">
        <v>0</v>
      </c>
      <c r="E2788">
        <v>0</v>
      </c>
      <c r="F2788">
        <v>34.407499999999999</v>
      </c>
    </row>
    <row r="2789" spans="1:6" x14ac:dyDescent="0.25">
      <c r="A2789">
        <v>2788</v>
      </c>
      <c r="B2789">
        <v>10</v>
      </c>
      <c r="C2789">
        <v>1</v>
      </c>
      <c r="D2789">
        <v>0</v>
      </c>
      <c r="E2789">
        <v>0</v>
      </c>
      <c r="F2789">
        <v>34714</v>
      </c>
    </row>
    <row r="2790" spans="1:6" x14ac:dyDescent="0.25">
      <c r="A2790">
        <v>2789</v>
      </c>
      <c r="B2790">
        <v>13</v>
      </c>
      <c r="C2790">
        <v>0</v>
      </c>
      <c r="D2790">
        <v>0</v>
      </c>
      <c r="E2790">
        <v>0</v>
      </c>
      <c r="F2790">
        <v>1602</v>
      </c>
    </row>
    <row r="2791" spans="1:6" x14ac:dyDescent="0.25">
      <c r="A2791">
        <v>2790</v>
      </c>
      <c r="B2791">
        <v>41</v>
      </c>
      <c r="C2791">
        <v>0</v>
      </c>
      <c r="D2791">
        <v>0</v>
      </c>
      <c r="E2791">
        <v>0</v>
      </c>
      <c r="F2791">
        <v>1</v>
      </c>
    </row>
    <row r="2792" spans="1:6" x14ac:dyDescent="0.25">
      <c r="A2792">
        <v>2791</v>
      </c>
      <c r="B2792">
        <v>42</v>
      </c>
      <c r="C2792">
        <v>0</v>
      </c>
      <c r="D2792">
        <v>0</v>
      </c>
      <c r="E2792">
        <v>0</v>
      </c>
      <c r="F2792">
        <v>0.2</v>
      </c>
    </row>
    <row r="2793" spans="1:6" x14ac:dyDescent="0.25">
      <c r="A2793">
        <v>2792</v>
      </c>
      <c r="B2793">
        <v>43</v>
      </c>
      <c r="C2793">
        <v>0</v>
      </c>
      <c r="D2793">
        <v>0</v>
      </c>
      <c r="E2793">
        <v>0</v>
      </c>
      <c r="F2793">
        <v>0</v>
      </c>
    </row>
    <row r="2794" spans="1:6" x14ac:dyDescent="0.25">
      <c r="A2794">
        <v>2793</v>
      </c>
      <c r="B2794">
        <v>44</v>
      </c>
      <c r="C2794">
        <v>0</v>
      </c>
      <c r="D2794">
        <v>0</v>
      </c>
      <c r="E2794">
        <v>0</v>
      </c>
      <c r="F2794">
        <v>13.8245</v>
      </c>
    </row>
    <row r="2795" spans="1:6" x14ac:dyDescent="0.25">
      <c r="A2795">
        <v>2794</v>
      </c>
      <c r="B2795">
        <v>45</v>
      </c>
      <c r="C2795">
        <v>0</v>
      </c>
      <c r="D2795">
        <v>0</v>
      </c>
      <c r="E2795">
        <v>0</v>
      </c>
      <c r="F2795">
        <v>4400</v>
      </c>
    </row>
    <row r="2796" spans="1:6" x14ac:dyDescent="0.25">
      <c r="A2796">
        <v>2795</v>
      </c>
      <c r="B2796">
        <v>46</v>
      </c>
      <c r="C2796">
        <v>0</v>
      </c>
      <c r="D2796">
        <v>0</v>
      </c>
      <c r="E2796">
        <v>0</v>
      </c>
      <c r="F2796">
        <v>0</v>
      </c>
    </row>
    <row r="2797" spans="1:6" x14ac:dyDescent="0.25">
      <c r="A2797">
        <v>2796</v>
      </c>
      <c r="B2797" t="s">
        <v>0</v>
      </c>
      <c r="C2797">
        <v>164</v>
      </c>
      <c r="D2797">
        <v>3482</v>
      </c>
      <c r="E2797">
        <v>79911783</v>
      </c>
    </row>
    <row r="2798" spans="1:6" x14ac:dyDescent="0.25">
      <c r="A2798">
        <v>2797</v>
      </c>
      <c r="B2798">
        <v>10</v>
      </c>
      <c r="C2798">
        <v>1</v>
      </c>
      <c r="D2798">
        <v>0</v>
      </c>
      <c r="E2798">
        <v>0</v>
      </c>
      <c r="F2798">
        <v>34714</v>
      </c>
    </row>
    <row r="2799" spans="1:6" x14ac:dyDescent="0.25">
      <c r="A2799">
        <v>2798</v>
      </c>
      <c r="B2799">
        <v>13</v>
      </c>
      <c r="C2799">
        <v>0</v>
      </c>
      <c r="D2799">
        <v>0</v>
      </c>
      <c r="E2799">
        <v>0</v>
      </c>
      <c r="F2799">
        <v>1602</v>
      </c>
    </row>
    <row r="2800" spans="1:6" x14ac:dyDescent="0.25">
      <c r="A2800">
        <v>2799</v>
      </c>
      <c r="B2800">
        <v>41</v>
      </c>
      <c r="C2800">
        <v>0</v>
      </c>
      <c r="D2800">
        <v>0</v>
      </c>
      <c r="E2800">
        <v>0</v>
      </c>
      <c r="F2800">
        <v>1</v>
      </c>
    </row>
    <row r="2801" spans="1:6" x14ac:dyDescent="0.25">
      <c r="A2801">
        <v>2800</v>
      </c>
      <c r="B2801">
        <v>42</v>
      </c>
      <c r="C2801">
        <v>0</v>
      </c>
      <c r="D2801">
        <v>0</v>
      </c>
      <c r="E2801">
        <v>0</v>
      </c>
      <c r="F2801">
        <v>0.2</v>
      </c>
    </row>
    <row r="2802" spans="1:6" x14ac:dyDescent="0.25">
      <c r="A2802">
        <v>2801</v>
      </c>
      <c r="B2802">
        <v>43</v>
      </c>
      <c r="C2802">
        <v>0</v>
      </c>
      <c r="D2802">
        <v>0</v>
      </c>
      <c r="E2802">
        <v>0</v>
      </c>
      <c r="F2802">
        <v>0</v>
      </c>
    </row>
    <row r="2803" spans="1:6" x14ac:dyDescent="0.25">
      <c r="A2803">
        <v>2802</v>
      </c>
      <c r="B2803">
        <v>44</v>
      </c>
      <c r="C2803">
        <v>0</v>
      </c>
      <c r="D2803">
        <v>0</v>
      </c>
      <c r="E2803">
        <v>0</v>
      </c>
      <c r="F2803">
        <v>14.0495</v>
      </c>
    </row>
    <row r="2804" spans="1:6" x14ac:dyDescent="0.25">
      <c r="A2804">
        <v>2803</v>
      </c>
      <c r="B2804">
        <v>45</v>
      </c>
      <c r="C2804">
        <v>0</v>
      </c>
      <c r="D2804">
        <v>0</v>
      </c>
      <c r="E2804">
        <v>0</v>
      </c>
      <c r="F2804">
        <v>4400</v>
      </c>
    </row>
    <row r="2805" spans="1:6" x14ac:dyDescent="0.25">
      <c r="A2805">
        <v>2804</v>
      </c>
      <c r="B2805">
        <v>46</v>
      </c>
      <c r="C2805">
        <v>0</v>
      </c>
      <c r="D2805">
        <v>0</v>
      </c>
      <c r="E2805">
        <v>0</v>
      </c>
      <c r="F2805">
        <v>0</v>
      </c>
    </row>
    <row r="2806" spans="1:6" x14ac:dyDescent="0.25">
      <c r="A2806">
        <v>2805</v>
      </c>
      <c r="B2806">
        <v>2</v>
      </c>
      <c r="C2806">
        <v>0</v>
      </c>
      <c r="D2806">
        <v>0</v>
      </c>
      <c r="E2806">
        <v>0</v>
      </c>
      <c r="F2806">
        <v>34.407499999999999</v>
      </c>
    </row>
    <row r="2807" spans="1:6" x14ac:dyDescent="0.25">
      <c r="A2807">
        <v>2806</v>
      </c>
      <c r="B2807">
        <v>10</v>
      </c>
      <c r="C2807">
        <v>1</v>
      </c>
      <c r="D2807">
        <v>0</v>
      </c>
      <c r="E2807">
        <v>0</v>
      </c>
      <c r="F2807">
        <v>34714</v>
      </c>
    </row>
    <row r="2808" spans="1:6" x14ac:dyDescent="0.25">
      <c r="A2808">
        <v>2807</v>
      </c>
      <c r="B2808">
        <v>13</v>
      </c>
      <c r="C2808">
        <v>0</v>
      </c>
      <c r="D2808">
        <v>0</v>
      </c>
      <c r="E2808">
        <v>0</v>
      </c>
      <c r="F2808">
        <v>1602</v>
      </c>
    </row>
    <row r="2809" spans="1:6" x14ac:dyDescent="0.25">
      <c r="A2809">
        <v>2808</v>
      </c>
      <c r="B2809">
        <v>41</v>
      </c>
      <c r="C2809">
        <v>0</v>
      </c>
      <c r="D2809">
        <v>0</v>
      </c>
      <c r="E2809">
        <v>0</v>
      </c>
      <c r="F2809">
        <v>1</v>
      </c>
    </row>
    <row r="2810" spans="1:6" x14ac:dyDescent="0.25">
      <c r="A2810">
        <v>2809</v>
      </c>
      <c r="B2810">
        <v>42</v>
      </c>
      <c r="C2810">
        <v>0</v>
      </c>
      <c r="D2810">
        <v>0</v>
      </c>
      <c r="E2810">
        <v>0</v>
      </c>
      <c r="F2810">
        <v>0.2</v>
      </c>
    </row>
    <row r="2811" spans="1:6" x14ac:dyDescent="0.25">
      <c r="A2811">
        <v>2810</v>
      </c>
      <c r="B2811">
        <v>43</v>
      </c>
      <c r="C2811">
        <v>0</v>
      </c>
      <c r="D2811">
        <v>0</v>
      </c>
      <c r="E2811">
        <v>0</v>
      </c>
      <c r="F2811">
        <v>0</v>
      </c>
    </row>
    <row r="2812" spans="1:6" x14ac:dyDescent="0.25">
      <c r="A2812">
        <v>2811</v>
      </c>
      <c r="B2812" t="s">
        <v>0</v>
      </c>
      <c r="C2812">
        <v>165</v>
      </c>
      <c r="D2812">
        <v>3482</v>
      </c>
      <c r="E2812">
        <v>79912751</v>
      </c>
    </row>
    <row r="2813" spans="1:6" x14ac:dyDescent="0.25">
      <c r="A2813">
        <v>2812</v>
      </c>
      <c r="B2813">
        <v>44</v>
      </c>
      <c r="C2813">
        <v>0</v>
      </c>
      <c r="D2813">
        <v>0</v>
      </c>
      <c r="E2813">
        <v>0</v>
      </c>
      <c r="F2813">
        <v>14.2996</v>
      </c>
    </row>
    <row r="2814" spans="1:6" x14ac:dyDescent="0.25">
      <c r="A2814">
        <v>2813</v>
      </c>
      <c r="B2814">
        <v>45</v>
      </c>
      <c r="C2814">
        <v>0</v>
      </c>
      <c r="D2814">
        <v>0</v>
      </c>
      <c r="E2814">
        <v>0</v>
      </c>
      <c r="F2814">
        <v>4400</v>
      </c>
    </row>
    <row r="2815" spans="1:6" x14ac:dyDescent="0.25">
      <c r="A2815">
        <v>2814</v>
      </c>
      <c r="B2815">
        <v>46</v>
      </c>
      <c r="C2815">
        <v>0</v>
      </c>
      <c r="D2815">
        <v>0</v>
      </c>
      <c r="E2815">
        <v>0</v>
      </c>
      <c r="F2815">
        <v>0</v>
      </c>
    </row>
    <row r="2816" spans="1:6" x14ac:dyDescent="0.25">
      <c r="A2816">
        <v>2815</v>
      </c>
      <c r="B2816">
        <v>2</v>
      </c>
      <c r="C2816">
        <v>0</v>
      </c>
      <c r="D2816">
        <v>0</v>
      </c>
      <c r="E2816">
        <v>0</v>
      </c>
      <c r="F2816">
        <v>34.407400000000003</v>
      </c>
    </row>
    <row r="2817" spans="1:6" x14ac:dyDescent="0.25">
      <c r="A2817">
        <v>2816</v>
      </c>
      <c r="B2817">
        <v>10</v>
      </c>
      <c r="C2817">
        <v>1</v>
      </c>
      <c r="D2817">
        <v>0</v>
      </c>
      <c r="E2817">
        <v>0</v>
      </c>
      <c r="F2817">
        <v>34714</v>
      </c>
    </row>
    <row r="2818" spans="1:6" x14ac:dyDescent="0.25">
      <c r="A2818">
        <v>2817</v>
      </c>
      <c r="B2818">
        <v>13</v>
      </c>
      <c r="C2818">
        <v>0</v>
      </c>
      <c r="D2818">
        <v>0</v>
      </c>
      <c r="E2818">
        <v>0</v>
      </c>
      <c r="F2818">
        <v>1602</v>
      </c>
    </row>
    <row r="2819" spans="1:6" x14ac:dyDescent="0.25">
      <c r="A2819">
        <v>2818</v>
      </c>
      <c r="B2819">
        <v>41</v>
      </c>
      <c r="C2819">
        <v>0</v>
      </c>
      <c r="D2819">
        <v>0</v>
      </c>
      <c r="E2819">
        <v>0</v>
      </c>
      <c r="F2819">
        <v>1</v>
      </c>
    </row>
    <row r="2820" spans="1:6" x14ac:dyDescent="0.25">
      <c r="A2820">
        <v>2819</v>
      </c>
      <c r="B2820">
        <v>42</v>
      </c>
      <c r="C2820">
        <v>0</v>
      </c>
      <c r="D2820">
        <v>0</v>
      </c>
      <c r="E2820">
        <v>0</v>
      </c>
      <c r="F2820">
        <v>0.2</v>
      </c>
    </row>
    <row r="2821" spans="1:6" x14ac:dyDescent="0.25">
      <c r="A2821">
        <v>2820</v>
      </c>
      <c r="B2821">
        <v>43</v>
      </c>
      <c r="C2821">
        <v>0</v>
      </c>
      <c r="D2821">
        <v>0</v>
      </c>
      <c r="E2821">
        <v>0</v>
      </c>
      <c r="F2821">
        <v>0</v>
      </c>
    </row>
    <row r="2822" spans="1:6" x14ac:dyDescent="0.25">
      <c r="A2822">
        <v>2821</v>
      </c>
      <c r="B2822">
        <v>44</v>
      </c>
      <c r="C2822">
        <v>0</v>
      </c>
      <c r="D2822">
        <v>0</v>
      </c>
      <c r="E2822">
        <v>0</v>
      </c>
      <c r="F2822">
        <v>14.2996</v>
      </c>
    </row>
    <row r="2823" spans="1:6" x14ac:dyDescent="0.25">
      <c r="A2823">
        <v>2822</v>
      </c>
      <c r="B2823">
        <v>45</v>
      </c>
      <c r="C2823">
        <v>0</v>
      </c>
      <c r="D2823">
        <v>0</v>
      </c>
      <c r="E2823">
        <v>0</v>
      </c>
      <c r="F2823">
        <v>4400</v>
      </c>
    </row>
    <row r="2824" spans="1:6" x14ac:dyDescent="0.25">
      <c r="A2824">
        <v>2823</v>
      </c>
      <c r="B2824">
        <v>46</v>
      </c>
      <c r="C2824">
        <v>0</v>
      </c>
      <c r="D2824">
        <v>0</v>
      </c>
      <c r="E2824">
        <v>0</v>
      </c>
      <c r="F2824">
        <v>0</v>
      </c>
    </row>
    <row r="2825" spans="1:6" x14ac:dyDescent="0.25">
      <c r="A2825">
        <v>2824</v>
      </c>
      <c r="B2825">
        <v>2</v>
      </c>
      <c r="C2825">
        <v>0</v>
      </c>
      <c r="D2825">
        <v>0</v>
      </c>
      <c r="E2825">
        <v>0</v>
      </c>
      <c r="F2825">
        <v>34.407400000000003</v>
      </c>
    </row>
    <row r="2826" spans="1:6" x14ac:dyDescent="0.25">
      <c r="A2826">
        <v>2825</v>
      </c>
      <c r="B2826">
        <v>10</v>
      </c>
      <c r="C2826">
        <v>1</v>
      </c>
      <c r="D2826">
        <v>0</v>
      </c>
      <c r="E2826">
        <v>0</v>
      </c>
      <c r="F2826">
        <v>34714</v>
      </c>
    </row>
    <row r="2827" spans="1:6" x14ac:dyDescent="0.25">
      <c r="A2827">
        <v>2826</v>
      </c>
      <c r="B2827">
        <v>13</v>
      </c>
      <c r="C2827">
        <v>0</v>
      </c>
      <c r="D2827">
        <v>0</v>
      </c>
      <c r="E2827">
        <v>0</v>
      </c>
      <c r="F2827">
        <v>1602</v>
      </c>
    </row>
    <row r="2828" spans="1:6" x14ac:dyDescent="0.25">
      <c r="A2828">
        <v>2827</v>
      </c>
      <c r="B2828">
        <v>41</v>
      </c>
      <c r="C2828">
        <v>0</v>
      </c>
      <c r="D2828">
        <v>0</v>
      </c>
      <c r="E2828">
        <v>0</v>
      </c>
      <c r="F2828">
        <v>1</v>
      </c>
    </row>
    <row r="2829" spans="1:6" x14ac:dyDescent="0.25">
      <c r="A2829">
        <v>2828</v>
      </c>
      <c r="B2829">
        <v>42</v>
      </c>
      <c r="C2829">
        <v>0</v>
      </c>
      <c r="D2829">
        <v>0</v>
      </c>
      <c r="E2829">
        <v>0</v>
      </c>
      <c r="F2829">
        <v>0.2</v>
      </c>
    </row>
    <row r="2830" spans="1:6" x14ac:dyDescent="0.25">
      <c r="A2830">
        <v>2829</v>
      </c>
      <c r="B2830">
        <v>43</v>
      </c>
      <c r="C2830">
        <v>0</v>
      </c>
      <c r="D2830">
        <v>0</v>
      </c>
      <c r="E2830">
        <v>0</v>
      </c>
      <c r="F2830">
        <v>0</v>
      </c>
    </row>
    <row r="2831" spans="1:6" x14ac:dyDescent="0.25">
      <c r="A2831">
        <v>2830</v>
      </c>
      <c r="B2831">
        <v>44</v>
      </c>
      <c r="C2831">
        <v>0</v>
      </c>
      <c r="D2831">
        <v>0</v>
      </c>
      <c r="E2831">
        <v>0</v>
      </c>
      <c r="F2831">
        <v>14.5496</v>
      </c>
    </row>
    <row r="2832" spans="1:6" x14ac:dyDescent="0.25">
      <c r="A2832">
        <v>2831</v>
      </c>
      <c r="B2832">
        <v>45</v>
      </c>
      <c r="C2832">
        <v>0</v>
      </c>
      <c r="D2832">
        <v>0</v>
      </c>
      <c r="E2832">
        <v>0</v>
      </c>
      <c r="F2832">
        <v>4400</v>
      </c>
    </row>
    <row r="2833" spans="1:6" x14ac:dyDescent="0.25">
      <c r="A2833">
        <v>2832</v>
      </c>
      <c r="B2833">
        <v>46</v>
      </c>
      <c r="C2833">
        <v>0</v>
      </c>
      <c r="D2833">
        <v>0</v>
      </c>
      <c r="E2833">
        <v>0</v>
      </c>
      <c r="F2833">
        <v>0</v>
      </c>
    </row>
    <row r="2834" spans="1:6" x14ac:dyDescent="0.25">
      <c r="A2834">
        <v>2833</v>
      </c>
      <c r="B2834">
        <v>2</v>
      </c>
      <c r="C2834">
        <v>0</v>
      </c>
      <c r="D2834">
        <v>0</v>
      </c>
      <c r="E2834">
        <v>0</v>
      </c>
      <c r="F2834">
        <v>34.407400000000003</v>
      </c>
    </row>
    <row r="2835" spans="1:6" x14ac:dyDescent="0.25">
      <c r="A2835">
        <v>2834</v>
      </c>
      <c r="B2835">
        <v>10</v>
      </c>
      <c r="C2835">
        <v>1</v>
      </c>
      <c r="D2835">
        <v>0</v>
      </c>
      <c r="E2835">
        <v>0</v>
      </c>
      <c r="F2835">
        <v>34714</v>
      </c>
    </row>
    <row r="2836" spans="1:6" x14ac:dyDescent="0.25">
      <c r="A2836">
        <v>2835</v>
      </c>
      <c r="B2836">
        <v>13</v>
      </c>
      <c r="C2836">
        <v>0</v>
      </c>
      <c r="D2836">
        <v>0</v>
      </c>
      <c r="E2836">
        <v>0</v>
      </c>
      <c r="F2836">
        <v>1602</v>
      </c>
    </row>
    <row r="2837" spans="1:6" x14ac:dyDescent="0.25">
      <c r="A2837">
        <v>2836</v>
      </c>
      <c r="B2837">
        <v>41</v>
      </c>
      <c r="C2837">
        <v>0</v>
      </c>
      <c r="D2837">
        <v>0</v>
      </c>
      <c r="E2837">
        <v>0</v>
      </c>
      <c r="F2837">
        <v>1</v>
      </c>
    </row>
    <row r="2838" spans="1:6" x14ac:dyDescent="0.25">
      <c r="A2838">
        <v>2837</v>
      </c>
      <c r="B2838">
        <v>42</v>
      </c>
      <c r="C2838">
        <v>0</v>
      </c>
      <c r="D2838">
        <v>0</v>
      </c>
      <c r="E2838">
        <v>0</v>
      </c>
      <c r="F2838">
        <v>0.2</v>
      </c>
    </row>
    <row r="2839" spans="1:6" x14ac:dyDescent="0.25">
      <c r="A2839">
        <v>2838</v>
      </c>
      <c r="B2839">
        <v>43</v>
      </c>
      <c r="C2839">
        <v>0</v>
      </c>
      <c r="D2839">
        <v>0</v>
      </c>
      <c r="E2839">
        <v>0</v>
      </c>
      <c r="F2839">
        <v>0</v>
      </c>
    </row>
    <row r="2840" spans="1:6" x14ac:dyDescent="0.25">
      <c r="A2840">
        <v>2839</v>
      </c>
      <c r="B2840">
        <v>44</v>
      </c>
      <c r="C2840">
        <v>0</v>
      </c>
      <c r="D2840">
        <v>0</v>
      </c>
      <c r="E2840">
        <v>0</v>
      </c>
      <c r="F2840">
        <v>14.5496</v>
      </c>
    </row>
    <row r="2841" spans="1:6" x14ac:dyDescent="0.25">
      <c r="A2841">
        <v>2840</v>
      </c>
      <c r="B2841">
        <v>45</v>
      </c>
      <c r="C2841">
        <v>0</v>
      </c>
      <c r="D2841">
        <v>0</v>
      </c>
      <c r="E2841">
        <v>0</v>
      </c>
      <c r="F2841">
        <v>4400</v>
      </c>
    </row>
    <row r="2842" spans="1:6" x14ac:dyDescent="0.25">
      <c r="A2842">
        <v>2841</v>
      </c>
      <c r="B2842" t="s">
        <v>0</v>
      </c>
      <c r="C2842">
        <v>167</v>
      </c>
      <c r="D2842">
        <v>3482</v>
      </c>
      <c r="E2842">
        <v>79914687</v>
      </c>
    </row>
    <row r="2843" spans="1:6" x14ac:dyDescent="0.25">
      <c r="A2843">
        <v>2842</v>
      </c>
      <c r="B2843">
        <v>2</v>
      </c>
      <c r="C2843">
        <v>0</v>
      </c>
      <c r="D2843">
        <v>0</v>
      </c>
      <c r="E2843">
        <v>0</v>
      </c>
      <c r="F2843">
        <v>34.407800000000002</v>
      </c>
    </row>
    <row r="2844" spans="1:6" x14ac:dyDescent="0.25">
      <c r="A2844">
        <v>2843</v>
      </c>
      <c r="B2844">
        <v>10</v>
      </c>
      <c r="C2844">
        <v>1</v>
      </c>
      <c r="D2844">
        <v>0</v>
      </c>
      <c r="E2844">
        <v>0</v>
      </c>
      <c r="F2844">
        <v>34714</v>
      </c>
    </row>
    <row r="2845" spans="1:6" x14ac:dyDescent="0.25">
      <c r="A2845">
        <v>2844</v>
      </c>
      <c r="B2845">
        <v>13</v>
      </c>
      <c r="C2845">
        <v>0</v>
      </c>
      <c r="D2845">
        <v>0</v>
      </c>
      <c r="E2845">
        <v>0</v>
      </c>
      <c r="F2845">
        <v>1602</v>
      </c>
    </row>
    <row r="2846" spans="1:6" x14ac:dyDescent="0.25">
      <c r="A2846">
        <v>2845</v>
      </c>
      <c r="B2846">
        <v>41</v>
      </c>
      <c r="C2846">
        <v>0</v>
      </c>
      <c r="D2846">
        <v>0</v>
      </c>
      <c r="E2846">
        <v>0</v>
      </c>
      <c r="F2846">
        <v>1</v>
      </c>
    </row>
    <row r="2847" spans="1:6" x14ac:dyDescent="0.25">
      <c r="A2847">
        <v>2846</v>
      </c>
      <c r="B2847">
        <v>42</v>
      </c>
      <c r="C2847">
        <v>0</v>
      </c>
      <c r="D2847">
        <v>0</v>
      </c>
      <c r="E2847">
        <v>0</v>
      </c>
      <c r="F2847">
        <v>0.2</v>
      </c>
    </row>
    <row r="2848" spans="1:6" x14ac:dyDescent="0.25">
      <c r="A2848">
        <v>2847</v>
      </c>
      <c r="B2848">
        <v>43</v>
      </c>
      <c r="C2848">
        <v>0</v>
      </c>
      <c r="D2848">
        <v>0</v>
      </c>
      <c r="E2848">
        <v>0</v>
      </c>
      <c r="F2848">
        <v>0</v>
      </c>
    </row>
    <row r="2849" spans="1:6" x14ac:dyDescent="0.25">
      <c r="A2849">
        <v>2848</v>
      </c>
      <c r="B2849">
        <v>44</v>
      </c>
      <c r="C2849">
        <v>0</v>
      </c>
      <c r="D2849">
        <v>0</v>
      </c>
      <c r="E2849">
        <v>0</v>
      </c>
      <c r="F2849">
        <v>14.7743</v>
      </c>
    </row>
    <row r="2850" spans="1:6" x14ac:dyDescent="0.25">
      <c r="A2850">
        <v>2849</v>
      </c>
      <c r="B2850">
        <v>45</v>
      </c>
      <c r="C2850">
        <v>0</v>
      </c>
      <c r="D2850">
        <v>0</v>
      </c>
      <c r="E2850">
        <v>0</v>
      </c>
      <c r="F2850">
        <v>4400</v>
      </c>
    </row>
    <row r="2851" spans="1:6" x14ac:dyDescent="0.25">
      <c r="A2851">
        <v>2850</v>
      </c>
      <c r="B2851">
        <v>46</v>
      </c>
      <c r="C2851">
        <v>0</v>
      </c>
      <c r="D2851">
        <v>0</v>
      </c>
      <c r="E2851">
        <v>0</v>
      </c>
      <c r="F2851">
        <v>0</v>
      </c>
    </row>
    <row r="2852" spans="1:6" x14ac:dyDescent="0.25">
      <c r="A2852">
        <v>2851</v>
      </c>
      <c r="B2852">
        <v>2</v>
      </c>
      <c r="C2852">
        <v>0</v>
      </c>
      <c r="D2852">
        <v>0</v>
      </c>
      <c r="E2852">
        <v>0</v>
      </c>
      <c r="F2852">
        <v>34.407800000000002</v>
      </c>
    </row>
    <row r="2853" spans="1:6" x14ac:dyDescent="0.25">
      <c r="A2853">
        <v>2852</v>
      </c>
      <c r="B2853">
        <v>10</v>
      </c>
      <c r="C2853">
        <v>1</v>
      </c>
      <c r="D2853">
        <v>0</v>
      </c>
      <c r="E2853">
        <v>0</v>
      </c>
      <c r="F2853">
        <v>34714</v>
      </c>
    </row>
    <row r="2854" spans="1:6" x14ac:dyDescent="0.25">
      <c r="A2854">
        <v>2853</v>
      </c>
      <c r="B2854">
        <v>13</v>
      </c>
      <c r="C2854">
        <v>0</v>
      </c>
      <c r="D2854">
        <v>0</v>
      </c>
      <c r="E2854">
        <v>0</v>
      </c>
      <c r="F2854">
        <v>1602</v>
      </c>
    </row>
    <row r="2855" spans="1:6" x14ac:dyDescent="0.25">
      <c r="A2855">
        <v>2854</v>
      </c>
      <c r="B2855">
        <v>41</v>
      </c>
      <c r="C2855">
        <v>0</v>
      </c>
      <c r="D2855">
        <v>0</v>
      </c>
      <c r="E2855">
        <v>0</v>
      </c>
      <c r="F2855">
        <v>1</v>
      </c>
    </row>
    <row r="2856" spans="1:6" x14ac:dyDescent="0.25">
      <c r="A2856">
        <v>2855</v>
      </c>
      <c r="B2856">
        <v>42</v>
      </c>
      <c r="C2856">
        <v>0</v>
      </c>
      <c r="D2856">
        <v>0</v>
      </c>
      <c r="E2856">
        <v>0</v>
      </c>
      <c r="F2856">
        <v>0.2</v>
      </c>
    </row>
    <row r="2857" spans="1:6" x14ac:dyDescent="0.25">
      <c r="A2857">
        <v>2856</v>
      </c>
      <c r="B2857" t="s">
        <v>0</v>
      </c>
      <c r="C2857">
        <v>168</v>
      </c>
      <c r="D2857">
        <v>3482</v>
      </c>
      <c r="E2857">
        <v>79915655</v>
      </c>
    </row>
    <row r="2858" spans="1:6" x14ac:dyDescent="0.25">
      <c r="A2858">
        <v>2857</v>
      </c>
      <c r="B2858">
        <v>44</v>
      </c>
      <c r="C2858">
        <v>0</v>
      </c>
      <c r="D2858">
        <v>0</v>
      </c>
      <c r="E2858">
        <v>0</v>
      </c>
      <c r="F2858">
        <v>15.0246</v>
      </c>
    </row>
    <row r="2859" spans="1:6" x14ac:dyDescent="0.25">
      <c r="A2859">
        <v>2858</v>
      </c>
      <c r="B2859">
        <v>45</v>
      </c>
      <c r="C2859">
        <v>0</v>
      </c>
      <c r="D2859">
        <v>0</v>
      </c>
      <c r="E2859">
        <v>0</v>
      </c>
      <c r="F2859">
        <v>4400</v>
      </c>
    </row>
    <row r="2860" spans="1:6" x14ac:dyDescent="0.25">
      <c r="A2860">
        <v>2859</v>
      </c>
      <c r="B2860">
        <v>46</v>
      </c>
      <c r="C2860">
        <v>0</v>
      </c>
      <c r="D2860">
        <v>0</v>
      </c>
      <c r="E2860">
        <v>0</v>
      </c>
      <c r="F2860">
        <v>0</v>
      </c>
    </row>
    <row r="2861" spans="1:6" x14ac:dyDescent="0.25">
      <c r="A2861">
        <v>2860</v>
      </c>
      <c r="B2861">
        <v>2</v>
      </c>
      <c r="C2861">
        <v>0</v>
      </c>
      <c r="D2861">
        <v>0</v>
      </c>
      <c r="E2861">
        <v>0</v>
      </c>
      <c r="F2861">
        <v>34.407400000000003</v>
      </c>
    </row>
    <row r="2862" spans="1:6" x14ac:dyDescent="0.25">
      <c r="A2862">
        <v>2861</v>
      </c>
      <c r="B2862">
        <v>10</v>
      </c>
      <c r="C2862">
        <v>1</v>
      </c>
      <c r="D2862">
        <v>0</v>
      </c>
      <c r="E2862">
        <v>0</v>
      </c>
      <c r="F2862">
        <v>34714</v>
      </c>
    </row>
    <row r="2863" spans="1:6" x14ac:dyDescent="0.25">
      <c r="A2863">
        <v>2862</v>
      </c>
      <c r="B2863">
        <v>13</v>
      </c>
      <c r="C2863">
        <v>0</v>
      </c>
      <c r="D2863">
        <v>0</v>
      </c>
      <c r="E2863">
        <v>0</v>
      </c>
      <c r="F2863">
        <v>1602</v>
      </c>
    </row>
    <row r="2864" spans="1:6" x14ac:dyDescent="0.25">
      <c r="A2864">
        <v>2863</v>
      </c>
      <c r="B2864">
        <v>41</v>
      </c>
      <c r="C2864">
        <v>0</v>
      </c>
      <c r="D2864">
        <v>0</v>
      </c>
      <c r="E2864">
        <v>0</v>
      </c>
      <c r="F2864">
        <v>1</v>
      </c>
    </row>
    <row r="2865" spans="1:6" x14ac:dyDescent="0.25">
      <c r="A2865">
        <v>2864</v>
      </c>
      <c r="B2865">
        <v>42</v>
      </c>
      <c r="C2865">
        <v>0</v>
      </c>
      <c r="D2865">
        <v>0</v>
      </c>
      <c r="E2865">
        <v>0</v>
      </c>
      <c r="F2865">
        <v>0.2</v>
      </c>
    </row>
    <row r="2866" spans="1:6" x14ac:dyDescent="0.25">
      <c r="A2866">
        <v>2865</v>
      </c>
      <c r="B2866">
        <v>43</v>
      </c>
      <c r="C2866">
        <v>0</v>
      </c>
      <c r="D2866">
        <v>0</v>
      </c>
      <c r="E2866">
        <v>0</v>
      </c>
      <c r="F2866">
        <v>0</v>
      </c>
    </row>
    <row r="2867" spans="1:6" x14ac:dyDescent="0.25">
      <c r="A2867">
        <v>2866</v>
      </c>
      <c r="B2867">
        <v>44</v>
      </c>
      <c r="C2867">
        <v>0</v>
      </c>
      <c r="D2867">
        <v>0</v>
      </c>
      <c r="E2867">
        <v>0</v>
      </c>
      <c r="F2867">
        <v>15.0246</v>
      </c>
    </row>
    <row r="2868" spans="1:6" x14ac:dyDescent="0.25">
      <c r="A2868">
        <v>2867</v>
      </c>
      <c r="B2868">
        <v>45</v>
      </c>
      <c r="C2868">
        <v>0</v>
      </c>
      <c r="D2868">
        <v>0</v>
      </c>
      <c r="E2868">
        <v>0</v>
      </c>
      <c r="F2868">
        <v>4400</v>
      </c>
    </row>
    <row r="2869" spans="1:6" x14ac:dyDescent="0.25">
      <c r="A2869">
        <v>2868</v>
      </c>
      <c r="B2869">
        <v>46</v>
      </c>
      <c r="C2869">
        <v>0</v>
      </c>
      <c r="D2869">
        <v>0</v>
      </c>
      <c r="E2869">
        <v>0</v>
      </c>
      <c r="F2869">
        <v>0</v>
      </c>
    </row>
    <row r="2870" spans="1:6" x14ac:dyDescent="0.25">
      <c r="A2870">
        <v>2869</v>
      </c>
      <c r="B2870">
        <v>2</v>
      </c>
      <c r="C2870">
        <v>0</v>
      </c>
      <c r="D2870">
        <v>0</v>
      </c>
      <c r="E2870">
        <v>0</v>
      </c>
      <c r="F2870">
        <v>34.407400000000003</v>
      </c>
    </row>
    <row r="2871" spans="1:6" x14ac:dyDescent="0.25">
      <c r="A2871">
        <v>2870</v>
      </c>
      <c r="B2871">
        <v>10</v>
      </c>
      <c r="C2871">
        <v>1</v>
      </c>
      <c r="D2871">
        <v>0</v>
      </c>
      <c r="E2871">
        <v>0</v>
      </c>
      <c r="F2871">
        <v>34714</v>
      </c>
    </row>
    <row r="2872" spans="1:6" x14ac:dyDescent="0.25">
      <c r="A2872">
        <v>2871</v>
      </c>
      <c r="B2872" t="s">
        <v>0</v>
      </c>
      <c r="C2872">
        <v>169</v>
      </c>
      <c r="D2872">
        <v>3482</v>
      </c>
      <c r="E2872">
        <v>79916623</v>
      </c>
    </row>
    <row r="2873" spans="1:6" x14ac:dyDescent="0.25">
      <c r="A2873">
        <v>2872</v>
      </c>
      <c r="B2873">
        <v>13</v>
      </c>
      <c r="C2873">
        <v>0</v>
      </c>
      <c r="D2873">
        <v>0</v>
      </c>
      <c r="E2873">
        <v>0</v>
      </c>
      <c r="F2873">
        <v>1602</v>
      </c>
    </row>
    <row r="2874" spans="1:6" x14ac:dyDescent="0.25">
      <c r="A2874">
        <v>2873</v>
      </c>
      <c r="B2874">
        <v>41</v>
      </c>
      <c r="C2874">
        <v>0</v>
      </c>
      <c r="D2874">
        <v>0</v>
      </c>
      <c r="E2874">
        <v>0</v>
      </c>
      <c r="F2874">
        <v>1</v>
      </c>
    </row>
    <row r="2875" spans="1:6" x14ac:dyDescent="0.25">
      <c r="A2875">
        <v>2874</v>
      </c>
      <c r="B2875">
        <v>42</v>
      </c>
      <c r="C2875">
        <v>0</v>
      </c>
      <c r="D2875">
        <v>0</v>
      </c>
      <c r="E2875">
        <v>0</v>
      </c>
      <c r="F2875">
        <v>0.2</v>
      </c>
    </row>
    <row r="2876" spans="1:6" x14ac:dyDescent="0.25">
      <c r="A2876">
        <v>2875</v>
      </c>
      <c r="B2876">
        <v>43</v>
      </c>
      <c r="C2876">
        <v>0</v>
      </c>
      <c r="D2876">
        <v>0</v>
      </c>
      <c r="E2876">
        <v>0</v>
      </c>
      <c r="F2876">
        <v>0</v>
      </c>
    </row>
    <row r="2877" spans="1:6" x14ac:dyDescent="0.25">
      <c r="A2877">
        <v>2876</v>
      </c>
      <c r="B2877">
        <v>44</v>
      </c>
      <c r="C2877">
        <v>0</v>
      </c>
      <c r="D2877">
        <v>0</v>
      </c>
      <c r="E2877">
        <v>0</v>
      </c>
      <c r="F2877">
        <v>15.2746</v>
      </c>
    </row>
    <row r="2878" spans="1:6" x14ac:dyDescent="0.25">
      <c r="A2878">
        <v>2877</v>
      </c>
      <c r="B2878">
        <v>45</v>
      </c>
      <c r="C2878">
        <v>0</v>
      </c>
      <c r="D2878">
        <v>0</v>
      </c>
      <c r="E2878">
        <v>0</v>
      </c>
      <c r="F2878">
        <v>4400</v>
      </c>
    </row>
    <row r="2879" spans="1:6" x14ac:dyDescent="0.25">
      <c r="A2879">
        <v>2878</v>
      </c>
      <c r="B2879">
        <v>46</v>
      </c>
      <c r="C2879">
        <v>0</v>
      </c>
      <c r="D2879">
        <v>0</v>
      </c>
      <c r="E2879">
        <v>0</v>
      </c>
      <c r="F2879">
        <v>0</v>
      </c>
    </row>
    <row r="2880" spans="1:6" x14ac:dyDescent="0.25">
      <c r="A2880">
        <v>2879</v>
      </c>
      <c r="B2880">
        <v>2</v>
      </c>
      <c r="C2880">
        <v>0</v>
      </c>
      <c r="D2880">
        <v>0</v>
      </c>
      <c r="E2880">
        <v>0</v>
      </c>
      <c r="F2880">
        <v>34.407499999999999</v>
      </c>
    </row>
    <row r="2881" spans="1:6" x14ac:dyDescent="0.25">
      <c r="A2881">
        <v>2880</v>
      </c>
      <c r="B2881">
        <v>10</v>
      </c>
      <c r="C2881">
        <v>1</v>
      </c>
      <c r="D2881">
        <v>0</v>
      </c>
      <c r="E2881">
        <v>0</v>
      </c>
      <c r="F2881">
        <v>34714</v>
      </c>
    </row>
    <row r="2882" spans="1:6" x14ac:dyDescent="0.25">
      <c r="A2882">
        <v>2881</v>
      </c>
      <c r="B2882">
        <v>13</v>
      </c>
      <c r="C2882">
        <v>0</v>
      </c>
      <c r="D2882">
        <v>0</v>
      </c>
      <c r="E2882">
        <v>0</v>
      </c>
      <c r="F2882">
        <v>1602</v>
      </c>
    </row>
    <row r="2883" spans="1:6" x14ac:dyDescent="0.25">
      <c r="A2883">
        <v>2882</v>
      </c>
      <c r="B2883">
        <v>41</v>
      </c>
      <c r="C2883">
        <v>0</v>
      </c>
      <c r="D2883">
        <v>0</v>
      </c>
      <c r="E2883">
        <v>0</v>
      </c>
      <c r="F2883">
        <v>1</v>
      </c>
    </row>
    <row r="2884" spans="1:6" x14ac:dyDescent="0.25">
      <c r="A2884">
        <v>2883</v>
      </c>
      <c r="B2884">
        <v>42</v>
      </c>
      <c r="C2884">
        <v>0</v>
      </c>
      <c r="D2884">
        <v>0</v>
      </c>
      <c r="E2884">
        <v>0</v>
      </c>
      <c r="F2884">
        <v>0.2</v>
      </c>
    </row>
    <row r="2885" spans="1:6" x14ac:dyDescent="0.25">
      <c r="A2885">
        <v>2884</v>
      </c>
      <c r="B2885">
        <v>43</v>
      </c>
      <c r="C2885">
        <v>0</v>
      </c>
      <c r="D2885">
        <v>0</v>
      </c>
      <c r="E2885">
        <v>0</v>
      </c>
      <c r="F2885">
        <v>0</v>
      </c>
    </row>
    <row r="2886" spans="1:6" x14ac:dyDescent="0.25">
      <c r="A2886">
        <v>2885</v>
      </c>
      <c r="B2886">
        <v>44</v>
      </c>
      <c r="C2886">
        <v>0</v>
      </c>
      <c r="D2886">
        <v>0</v>
      </c>
      <c r="E2886">
        <v>0</v>
      </c>
      <c r="F2886">
        <v>15.2746</v>
      </c>
    </row>
    <row r="2887" spans="1:6" x14ac:dyDescent="0.25">
      <c r="A2887">
        <v>2886</v>
      </c>
      <c r="B2887">
        <v>45</v>
      </c>
      <c r="C2887">
        <v>0</v>
      </c>
      <c r="D2887">
        <v>0</v>
      </c>
      <c r="E2887">
        <v>0</v>
      </c>
      <c r="F2887">
        <v>4400</v>
      </c>
    </row>
    <row r="2888" spans="1:6" x14ac:dyDescent="0.25">
      <c r="A2888">
        <v>2887</v>
      </c>
      <c r="B2888">
        <v>46</v>
      </c>
      <c r="C2888">
        <v>0</v>
      </c>
      <c r="D2888">
        <v>0</v>
      </c>
      <c r="E2888">
        <v>0</v>
      </c>
      <c r="F2888">
        <v>0</v>
      </c>
    </row>
    <row r="2889" spans="1:6" x14ac:dyDescent="0.25">
      <c r="A2889">
        <v>2888</v>
      </c>
      <c r="B2889">
        <v>2</v>
      </c>
      <c r="C2889">
        <v>0</v>
      </c>
      <c r="D2889">
        <v>0</v>
      </c>
      <c r="E2889">
        <v>0</v>
      </c>
      <c r="F2889">
        <v>34.408200000000001</v>
      </c>
    </row>
    <row r="2890" spans="1:6" x14ac:dyDescent="0.25">
      <c r="A2890">
        <v>2889</v>
      </c>
      <c r="B2890">
        <v>10</v>
      </c>
      <c r="C2890">
        <v>1</v>
      </c>
      <c r="D2890">
        <v>0</v>
      </c>
      <c r="E2890">
        <v>0</v>
      </c>
      <c r="F2890">
        <v>34713</v>
      </c>
    </row>
    <row r="2891" spans="1:6" x14ac:dyDescent="0.25">
      <c r="A2891">
        <v>2890</v>
      </c>
      <c r="B2891">
        <v>13</v>
      </c>
      <c r="C2891">
        <v>0</v>
      </c>
      <c r="D2891">
        <v>0</v>
      </c>
      <c r="E2891">
        <v>0</v>
      </c>
      <c r="F2891">
        <v>1602</v>
      </c>
    </row>
    <row r="2892" spans="1:6" x14ac:dyDescent="0.25">
      <c r="A2892">
        <v>2891</v>
      </c>
      <c r="B2892">
        <v>41</v>
      </c>
      <c r="C2892">
        <v>0</v>
      </c>
      <c r="D2892">
        <v>0</v>
      </c>
      <c r="E2892">
        <v>0</v>
      </c>
      <c r="F2892">
        <v>1</v>
      </c>
    </row>
    <row r="2893" spans="1:6" x14ac:dyDescent="0.25">
      <c r="A2893">
        <v>2892</v>
      </c>
      <c r="B2893">
        <v>42</v>
      </c>
      <c r="C2893">
        <v>0</v>
      </c>
      <c r="D2893">
        <v>0</v>
      </c>
      <c r="E2893">
        <v>0</v>
      </c>
      <c r="F2893">
        <v>0.2</v>
      </c>
    </row>
    <row r="2894" spans="1:6" x14ac:dyDescent="0.25">
      <c r="A2894">
        <v>2893</v>
      </c>
      <c r="B2894">
        <v>43</v>
      </c>
      <c r="C2894">
        <v>0</v>
      </c>
      <c r="D2894">
        <v>0</v>
      </c>
      <c r="E2894">
        <v>0</v>
      </c>
      <c r="F2894">
        <v>0</v>
      </c>
    </row>
    <row r="2895" spans="1:6" x14ac:dyDescent="0.25">
      <c r="A2895">
        <v>2894</v>
      </c>
      <c r="B2895">
        <v>44</v>
      </c>
      <c r="C2895">
        <v>0</v>
      </c>
      <c r="D2895">
        <v>0</v>
      </c>
      <c r="E2895">
        <v>0</v>
      </c>
      <c r="F2895">
        <v>15.498900000000001</v>
      </c>
    </row>
    <row r="2896" spans="1:6" x14ac:dyDescent="0.25">
      <c r="A2896">
        <v>2895</v>
      </c>
      <c r="B2896">
        <v>45</v>
      </c>
      <c r="C2896">
        <v>0</v>
      </c>
      <c r="D2896">
        <v>0</v>
      </c>
      <c r="E2896">
        <v>0</v>
      </c>
      <c r="F2896">
        <v>4400</v>
      </c>
    </row>
    <row r="2897" spans="1:6" x14ac:dyDescent="0.25">
      <c r="A2897">
        <v>2896</v>
      </c>
      <c r="B2897">
        <v>46</v>
      </c>
      <c r="C2897">
        <v>0</v>
      </c>
      <c r="D2897">
        <v>0</v>
      </c>
      <c r="E2897">
        <v>0</v>
      </c>
      <c r="F2897">
        <v>0</v>
      </c>
    </row>
    <row r="2898" spans="1:6" x14ac:dyDescent="0.25">
      <c r="A2898">
        <v>2897</v>
      </c>
      <c r="B2898">
        <v>2</v>
      </c>
      <c r="C2898">
        <v>0</v>
      </c>
      <c r="D2898">
        <v>0</v>
      </c>
      <c r="E2898">
        <v>0</v>
      </c>
      <c r="F2898">
        <v>34.408200000000001</v>
      </c>
    </row>
    <row r="2899" spans="1:6" x14ac:dyDescent="0.25">
      <c r="A2899">
        <v>2898</v>
      </c>
      <c r="B2899">
        <v>10</v>
      </c>
      <c r="C2899">
        <v>1</v>
      </c>
      <c r="D2899">
        <v>0</v>
      </c>
      <c r="E2899">
        <v>0</v>
      </c>
      <c r="F2899">
        <v>34713</v>
      </c>
    </row>
    <row r="2900" spans="1:6" x14ac:dyDescent="0.25">
      <c r="A2900">
        <v>2899</v>
      </c>
      <c r="B2900">
        <v>13</v>
      </c>
      <c r="C2900">
        <v>0</v>
      </c>
      <c r="D2900">
        <v>0</v>
      </c>
      <c r="E2900">
        <v>0</v>
      </c>
      <c r="F2900">
        <v>1602</v>
      </c>
    </row>
    <row r="2901" spans="1:6" x14ac:dyDescent="0.25">
      <c r="A2901">
        <v>2900</v>
      </c>
      <c r="B2901">
        <v>41</v>
      </c>
      <c r="C2901">
        <v>0</v>
      </c>
      <c r="D2901">
        <v>0</v>
      </c>
      <c r="E2901">
        <v>0</v>
      </c>
      <c r="F2901">
        <v>1</v>
      </c>
    </row>
    <row r="2902" spans="1:6" x14ac:dyDescent="0.25">
      <c r="A2902">
        <v>2901</v>
      </c>
      <c r="B2902" t="s">
        <v>0</v>
      </c>
      <c r="C2902">
        <v>171</v>
      </c>
      <c r="D2902">
        <v>3482</v>
      </c>
      <c r="E2902">
        <v>79918558</v>
      </c>
    </row>
    <row r="2903" spans="1:6" x14ac:dyDescent="0.25">
      <c r="A2903">
        <v>2902</v>
      </c>
      <c r="B2903">
        <v>43</v>
      </c>
      <c r="C2903">
        <v>0</v>
      </c>
      <c r="D2903">
        <v>0</v>
      </c>
      <c r="E2903">
        <v>0</v>
      </c>
      <c r="F2903">
        <v>0</v>
      </c>
    </row>
    <row r="2904" spans="1:6" x14ac:dyDescent="0.25">
      <c r="A2904">
        <v>2903</v>
      </c>
      <c r="B2904">
        <v>44</v>
      </c>
      <c r="C2904">
        <v>0</v>
      </c>
      <c r="D2904">
        <v>0</v>
      </c>
      <c r="E2904">
        <v>0</v>
      </c>
      <c r="F2904">
        <v>15.749599999999999</v>
      </c>
    </row>
    <row r="2905" spans="1:6" x14ac:dyDescent="0.25">
      <c r="A2905">
        <v>2904</v>
      </c>
      <c r="B2905">
        <v>45</v>
      </c>
      <c r="C2905">
        <v>0</v>
      </c>
      <c r="D2905">
        <v>0</v>
      </c>
      <c r="E2905">
        <v>0</v>
      </c>
      <c r="F2905">
        <v>4400</v>
      </c>
    </row>
    <row r="2906" spans="1:6" x14ac:dyDescent="0.25">
      <c r="A2906">
        <v>2905</v>
      </c>
      <c r="B2906">
        <v>46</v>
      </c>
      <c r="C2906">
        <v>0</v>
      </c>
      <c r="D2906">
        <v>0</v>
      </c>
      <c r="E2906">
        <v>0</v>
      </c>
      <c r="F2906">
        <v>0</v>
      </c>
    </row>
    <row r="2907" spans="1:6" x14ac:dyDescent="0.25">
      <c r="A2907">
        <v>2906</v>
      </c>
      <c r="B2907">
        <v>2</v>
      </c>
      <c r="C2907">
        <v>0</v>
      </c>
      <c r="D2907">
        <v>0</v>
      </c>
      <c r="E2907">
        <v>0</v>
      </c>
      <c r="F2907">
        <v>34.407499999999999</v>
      </c>
    </row>
    <row r="2908" spans="1:6" x14ac:dyDescent="0.25">
      <c r="A2908">
        <v>2907</v>
      </c>
      <c r="B2908">
        <v>10</v>
      </c>
      <c r="C2908">
        <v>1</v>
      </c>
      <c r="D2908">
        <v>0</v>
      </c>
      <c r="E2908">
        <v>0</v>
      </c>
      <c r="F2908">
        <v>34714</v>
      </c>
    </row>
    <row r="2909" spans="1:6" x14ac:dyDescent="0.25">
      <c r="A2909">
        <v>2908</v>
      </c>
      <c r="B2909">
        <v>13</v>
      </c>
      <c r="C2909">
        <v>0</v>
      </c>
      <c r="D2909">
        <v>0</v>
      </c>
      <c r="E2909">
        <v>0</v>
      </c>
      <c r="F2909">
        <v>1602</v>
      </c>
    </row>
    <row r="2910" spans="1:6" x14ac:dyDescent="0.25">
      <c r="A2910">
        <v>2909</v>
      </c>
      <c r="B2910">
        <v>41</v>
      </c>
      <c r="C2910">
        <v>0</v>
      </c>
      <c r="D2910">
        <v>0</v>
      </c>
      <c r="E2910">
        <v>0</v>
      </c>
      <c r="F2910">
        <v>1</v>
      </c>
    </row>
    <row r="2911" spans="1:6" x14ac:dyDescent="0.25">
      <c r="A2911">
        <v>2910</v>
      </c>
      <c r="B2911">
        <v>42</v>
      </c>
      <c r="C2911">
        <v>0</v>
      </c>
      <c r="D2911">
        <v>0</v>
      </c>
      <c r="E2911">
        <v>0</v>
      </c>
      <c r="F2911">
        <v>0.2</v>
      </c>
    </row>
    <row r="2912" spans="1:6" x14ac:dyDescent="0.25">
      <c r="A2912">
        <v>2911</v>
      </c>
      <c r="B2912">
        <v>43</v>
      </c>
      <c r="C2912">
        <v>0</v>
      </c>
      <c r="D2912">
        <v>0</v>
      </c>
      <c r="E2912">
        <v>0</v>
      </c>
      <c r="F2912">
        <v>0</v>
      </c>
    </row>
    <row r="2913" spans="1:6" x14ac:dyDescent="0.25">
      <c r="A2913">
        <v>2912</v>
      </c>
      <c r="B2913">
        <v>44</v>
      </c>
      <c r="C2913">
        <v>0</v>
      </c>
      <c r="D2913">
        <v>0</v>
      </c>
      <c r="E2913">
        <v>0</v>
      </c>
      <c r="F2913">
        <v>15.749599999999999</v>
      </c>
    </row>
    <row r="2914" spans="1:6" x14ac:dyDescent="0.25">
      <c r="A2914">
        <v>2913</v>
      </c>
      <c r="B2914">
        <v>45</v>
      </c>
      <c r="C2914">
        <v>0</v>
      </c>
      <c r="D2914">
        <v>0</v>
      </c>
      <c r="E2914">
        <v>0</v>
      </c>
      <c r="F2914">
        <v>4400</v>
      </c>
    </row>
    <row r="2915" spans="1:6" x14ac:dyDescent="0.25">
      <c r="A2915">
        <v>2914</v>
      </c>
      <c r="B2915">
        <v>46</v>
      </c>
      <c r="C2915">
        <v>0</v>
      </c>
      <c r="D2915">
        <v>0</v>
      </c>
      <c r="E2915">
        <v>0</v>
      </c>
      <c r="F2915">
        <v>0</v>
      </c>
    </row>
    <row r="2916" spans="1:6" x14ac:dyDescent="0.25">
      <c r="A2916">
        <v>2915</v>
      </c>
      <c r="B2916">
        <v>2</v>
      </c>
      <c r="C2916">
        <v>0</v>
      </c>
      <c r="D2916">
        <v>0</v>
      </c>
      <c r="E2916">
        <v>0</v>
      </c>
      <c r="F2916">
        <v>34.407499999999999</v>
      </c>
    </row>
    <row r="2917" spans="1:6" x14ac:dyDescent="0.25">
      <c r="A2917">
        <v>2916</v>
      </c>
      <c r="B2917" t="s">
        <v>0</v>
      </c>
      <c r="C2917">
        <v>172</v>
      </c>
      <c r="D2917">
        <v>3482</v>
      </c>
      <c r="E2917">
        <v>79919526</v>
      </c>
    </row>
    <row r="2918" spans="1:6" x14ac:dyDescent="0.25">
      <c r="A2918">
        <v>2917</v>
      </c>
      <c r="B2918">
        <v>10</v>
      </c>
      <c r="C2918">
        <v>1</v>
      </c>
      <c r="D2918">
        <v>0</v>
      </c>
      <c r="E2918">
        <v>0</v>
      </c>
      <c r="F2918">
        <v>34714</v>
      </c>
    </row>
    <row r="2919" spans="1:6" x14ac:dyDescent="0.25">
      <c r="A2919">
        <v>2918</v>
      </c>
      <c r="B2919">
        <v>13</v>
      </c>
      <c r="C2919">
        <v>0</v>
      </c>
      <c r="D2919">
        <v>0</v>
      </c>
      <c r="E2919">
        <v>0</v>
      </c>
      <c r="F2919">
        <v>1602</v>
      </c>
    </row>
    <row r="2920" spans="1:6" x14ac:dyDescent="0.25">
      <c r="A2920">
        <v>2919</v>
      </c>
      <c r="B2920">
        <v>41</v>
      </c>
      <c r="C2920">
        <v>0</v>
      </c>
      <c r="D2920">
        <v>0</v>
      </c>
      <c r="E2920">
        <v>0</v>
      </c>
      <c r="F2920">
        <v>1</v>
      </c>
    </row>
    <row r="2921" spans="1:6" x14ac:dyDescent="0.25">
      <c r="A2921">
        <v>2920</v>
      </c>
      <c r="B2921">
        <v>42</v>
      </c>
      <c r="C2921">
        <v>0</v>
      </c>
      <c r="D2921">
        <v>0</v>
      </c>
      <c r="E2921">
        <v>0</v>
      </c>
      <c r="F2921">
        <v>0.2</v>
      </c>
    </row>
    <row r="2922" spans="1:6" x14ac:dyDescent="0.25">
      <c r="A2922">
        <v>2921</v>
      </c>
      <c r="B2922">
        <v>43</v>
      </c>
      <c r="C2922">
        <v>0</v>
      </c>
      <c r="D2922">
        <v>0</v>
      </c>
      <c r="E2922">
        <v>0</v>
      </c>
      <c r="F2922">
        <v>0</v>
      </c>
    </row>
    <row r="2923" spans="1:6" x14ac:dyDescent="0.25">
      <c r="A2923">
        <v>2922</v>
      </c>
      <c r="B2923">
        <v>44</v>
      </c>
      <c r="C2923">
        <v>0</v>
      </c>
      <c r="D2923">
        <v>0</v>
      </c>
      <c r="E2923">
        <v>0</v>
      </c>
      <c r="F2923">
        <v>16.000699999999998</v>
      </c>
    </row>
    <row r="2924" spans="1:6" x14ac:dyDescent="0.25">
      <c r="A2924">
        <v>2923</v>
      </c>
      <c r="B2924">
        <v>45</v>
      </c>
      <c r="C2924">
        <v>0</v>
      </c>
      <c r="D2924">
        <v>0</v>
      </c>
      <c r="E2924">
        <v>0</v>
      </c>
      <c r="F2924">
        <v>4400</v>
      </c>
    </row>
    <row r="2925" spans="1:6" x14ac:dyDescent="0.25">
      <c r="A2925">
        <v>2924</v>
      </c>
      <c r="B2925">
        <v>46</v>
      </c>
      <c r="C2925">
        <v>0</v>
      </c>
      <c r="D2925">
        <v>0</v>
      </c>
      <c r="E2925">
        <v>0</v>
      </c>
      <c r="F2925">
        <v>0</v>
      </c>
    </row>
    <row r="2926" spans="1:6" x14ac:dyDescent="0.25">
      <c r="A2926">
        <v>2925</v>
      </c>
      <c r="B2926">
        <v>2</v>
      </c>
      <c r="C2926">
        <v>0</v>
      </c>
      <c r="D2926">
        <v>0</v>
      </c>
      <c r="E2926">
        <v>0</v>
      </c>
      <c r="F2926">
        <v>34.406399999999998</v>
      </c>
    </row>
    <row r="2927" spans="1:6" x14ac:dyDescent="0.25">
      <c r="A2927">
        <v>2926</v>
      </c>
      <c r="B2927">
        <v>10</v>
      </c>
      <c r="C2927">
        <v>1</v>
      </c>
      <c r="D2927">
        <v>0</v>
      </c>
      <c r="E2927">
        <v>0</v>
      </c>
      <c r="F2927">
        <v>34715</v>
      </c>
    </row>
    <row r="2928" spans="1:6" x14ac:dyDescent="0.25">
      <c r="A2928">
        <v>2927</v>
      </c>
      <c r="B2928">
        <v>13</v>
      </c>
      <c r="C2928">
        <v>0</v>
      </c>
      <c r="D2928">
        <v>0</v>
      </c>
      <c r="E2928">
        <v>0</v>
      </c>
      <c r="F2928">
        <v>1602</v>
      </c>
    </row>
    <row r="2929" spans="1:6" x14ac:dyDescent="0.25">
      <c r="A2929">
        <v>2928</v>
      </c>
      <c r="B2929">
        <v>41</v>
      </c>
      <c r="C2929">
        <v>0</v>
      </c>
      <c r="D2929">
        <v>0</v>
      </c>
      <c r="E2929">
        <v>0</v>
      </c>
      <c r="F2929">
        <v>1</v>
      </c>
    </row>
    <row r="2930" spans="1:6" x14ac:dyDescent="0.25">
      <c r="A2930">
        <v>2929</v>
      </c>
      <c r="B2930">
        <v>42</v>
      </c>
      <c r="C2930">
        <v>0</v>
      </c>
      <c r="D2930">
        <v>0</v>
      </c>
      <c r="E2930">
        <v>0</v>
      </c>
      <c r="F2930">
        <v>0.2</v>
      </c>
    </row>
    <row r="2931" spans="1:6" x14ac:dyDescent="0.25">
      <c r="A2931">
        <v>2930</v>
      </c>
      <c r="B2931">
        <v>43</v>
      </c>
      <c r="C2931">
        <v>0</v>
      </c>
      <c r="D2931">
        <v>0</v>
      </c>
      <c r="E2931">
        <v>0</v>
      </c>
      <c r="F2931">
        <v>0</v>
      </c>
    </row>
    <row r="2932" spans="1:6" x14ac:dyDescent="0.25">
      <c r="A2932">
        <v>2931</v>
      </c>
      <c r="B2932">
        <v>44</v>
      </c>
      <c r="C2932">
        <v>0</v>
      </c>
      <c r="D2932">
        <v>0</v>
      </c>
      <c r="E2932">
        <v>0</v>
      </c>
      <c r="F2932">
        <v>16.000699999999998</v>
      </c>
    </row>
    <row r="2933" spans="1:6" x14ac:dyDescent="0.25">
      <c r="A2933">
        <v>2932</v>
      </c>
      <c r="B2933">
        <v>45</v>
      </c>
      <c r="C2933">
        <v>0</v>
      </c>
      <c r="D2933">
        <v>0</v>
      </c>
      <c r="E2933">
        <v>0</v>
      </c>
      <c r="F2933">
        <v>4400</v>
      </c>
    </row>
    <row r="2934" spans="1:6" x14ac:dyDescent="0.25">
      <c r="A2934">
        <v>2933</v>
      </c>
      <c r="B2934">
        <v>46</v>
      </c>
      <c r="C2934">
        <v>0</v>
      </c>
      <c r="D2934">
        <v>0</v>
      </c>
      <c r="E2934">
        <v>0</v>
      </c>
      <c r="F2934">
        <v>0</v>
      </c>
    </row>
    <row r="2935" spans="1:6" x14ac:dyDescent="0.25">
      <c r="A2935">
        <v>2934</v>
      </c>
      <c r="B2935">
        <v>2</v>
      </c>
      <c r="C2935">
        <v>0</v>
      </c>
      <c r="D2935">
        <v>0</v>
      </c>
      <c r="E2935">
        <v>0</v>
      </c>
      <c r="F2935">
        <v>34.407400000000003</v>
      </c>
    </row>
    <row r="2936" spans="1:6" x14ac:dyDescent="0.25">
      <c r="A2936">
        <v>2935</v>
      </c>
      <c r="B2936">
        <v>10</v>
      </c>
      <c r="C2936">
        <v>1</v>
      </c>
      <c r="D2936">
        <v>0</v>
      </c>
      <c r="E2936">
        <v>0</v>
      </c>
      <c r="F2936">
        <v>34714</v>
      </c>
    </row>
    <row r="2937" spans="1:6" x14ac:dyDescent="0.25">
      <c r="A2937">
        <v>2936</v>
      </c>
      <c r="B2937">
        <v>13</v>
      </c>
      <c r="C2937">
        <v>0</v>
      </c>
      <c r="D2937">
        <v>0</v>
      </c>
      <c r="E2937">
        <v>0</v>
      </c>
      <c r="F2937">
        <v>1602</v>
      </c>
    </row>
    <row r="2938" spans="1:6" x14ac:dyDescent="0.25">
      <c r="A2938">
        <v>2937</v>
      </c>
      <c r="B2938">
        <v>41</v>
      </c>
      <c r="C2938">
        <v>0</v>
      </c>
      <c r="D2938">
        <v>0</v>
      </c>
      <c r="E2938">
        <v>0</v>
      </c>
      <c r="F2938">
        <v>1</v>
      </c>
    </row>
    <row r="2939" spans="1:6" x14ac:dyDescent="0.25">
      <c r="A2939">
        <v>2938</v>
      </c>
      <c r="B2939">
        <v>42</v>
      </c>
      <c r="C2939">
        <v>0</v>
      </c>
      <c r="D2939">
        <v>0</v>
      </c>
      <c r="E2939">
        <v>0</v>
      </c>
      <c r="F2939">
        <v>0.2</v>
      </c>
    </row>
    <row r="2940" spans="1:6" x14ac:dyDescent="0.25">
      <c r="A2940">
        <v>2939</v>
      </c>
      <c r="B2940">
        <v>43</v>
      </c>
      <c r="C2940">
        <v>0</v>
      </c>
      <c r="D2940">
        <v>0</v>
      </c>
      <c r="E2940">
        <v>0</v>
      </c>
      <c r="F2940">
        <v>0</v>
      </c>
    </row>
    <row r="2941" spans="1:6" x14ac:dyDescent="0.25">
      <c r="A2941">
        <v>2940</v>
      </c>
      <c r="B2941">
        <v>44</v>
      </c>
      <c r="C2941">
        <v>0</v>
      </c>
      <c r="D2941">
        <v>0</v>
      </c>
      <c r="E2941">
        <v>0</v>
      </c>
      <c r="F2941">
        <v>16.224699999999999</v>
      </c>
    </row>
    <row r="2942" spans="1:6" x14ac:dyDescent="0.25">
      <c r="A2942">
        <v>2941</v>
      </c>
      <c r="B2942">
        <v>45</v>
      </c>
      <c r="C2942">
        <v>0</v>
      </c>
      <c r="D2942">
        <v>0</v>
      </c>
      <c r="E2942">
        <v>0</v>
      </c>
      <c r="F2942">
        <v>4400</v>
      </c>
    </row>
    <row r="2943" spans="1:6" x14ac:dyDescent="0.25">
      <c r="A2943">
        <v>2942</v>
      </c>
      <c r="B2943">
        <v>46</v>
      </c>
      <c r="C2943">
        <v>0</v>
      </c>
      <c r="D2943">
        <v>0</v>
      </c>
      <c r="E2943">
        <v>0</v>
      </c>
      <c r="F2943">
        <v>0</v>
      </c>
    </row>
    <row r="2944" spans="1:6" x14ac:dyDescent="0.25">
      <c r="A2944">
        <v>2943</v>
      </c>
      <c r="B2944">
        <v>2</v>
      </c>
      <c r="C2944">
        <v>0</v>
      </c>
      <c r="D2944">
        <v>0</v>
      </c>
      <c r="E2944">
        <v>0</v>
      </c>
      <c r="F2944">
        <v>34.407400000000003</v>
      </c>
    </row>
    <row r="2945" spans="1:6" x14ac:dyDescent="0.25">
      <c r="A2945">
        <v>2944</v>
      </c>
      <c r="B2945">
        <v>10</v>
      </c>
      <c r="C2945">
        <v>1</v>
      </c>
      <c r="D2945">
        <v>0</v>
      </c>
      <c r="E2945">
        <v>0</v>
      </c>
      <c r="F2945">
        <v>34714</v>
      </c>
    </row>
    <row r="2946" spans="1:6" x14ac:dyDescent="0.25">
      <c r="A2946">
        <v>2945</v>
      </c>
      <c r="B2946">
        <v>13</v>
      </c>
      <c r="C2946">
        <v>0</v>
      </c>
      <c r="D2946">
        <v>0</v>
      </c>
      <c r="E2946">
        <v>0</v>
      </c>
      <c r="F2946">
        <v>1602</v>
      </c>
    </row>
    <row r="2947" spans="1:6" x14ac:dyDescent="0.25">
      <c r="A2947">
        <v>2946</v>
      </c>
      <c r="B2947" t="s">
        <v>0</v>
      </c>
      <c r="C2947">
        <v>174</v>
      </c>
      <c r="D2947">
        <v>3482</v>
      </c>
      <c r="E2947">
        <v>79921461</v>
      </c>
    </row>
    <row r="2948" spans="1:6" x14ac:dyDescent="0.25">
      <c r="A2948">
        <v>2947</v>
      </c>
      <c r="B2948">
        <v>42</v>
      </c>
      <c r="C2948">
        <v>0</v>
      </c>
      <c r="D2948">
        <v>0</v>
      </c>
      <c r="E2948">
        <v>0</v>
      </c>
      <c r="F2948">
        <v>0.2</v>
      </c>
    </row>
    <row r="2949" spans="1:6" x14ac:dyDescent="0.25">
      <c r="A2949">
        <v>2948</v>
      </c>
      <c r="B2949">
        <v>43</v>
      </c>
      <c r="C2949">
        <v>0</v>
      </c>
      <c r="D2949">
        <v>0</v>
      </c>
      <c r="E2949">
        <v>0</v>
      </c>
      <c r="F2949">
        <v>0</v>
      </c>
    </row>
    <row r="2950" spans="1:6" x14ac:dyDescent="0.25">
      <c r="A2950">
        <v>2949</v>
      </c>
      <c r="B2950">
        <v>44</v>
      </c>
      <c r="C2950">
        <v>0</v>
      </c>
      <c r="D2950">
        <v>0</v>
      </c>
      <c r="E2950">
        <v>0</v>
      </c>
      <c r="F2950">
        <v>16.4742</v>
      </c>
    </row>
    <row r="2951" spans="1:6" x14ac:dyDescent="0.25">
      <c r="A2951">
        <v>2950</v>
      </c>
      <c r="B2951">
        <v>45</v>
      </c>
      <c r="C2951">
        <v>0</v>
      </c>
      <c r="D2951">
        <v>0</v>
      </c>
      <c r="E2951">
        <v>0</v>
      </c>
      <c r="F2951">
        <v>4400</v>
      </c>
    </row>
    <row r="2952" spans="1:6" x14ac:dyDescent="0.25">
      <c r="A2952">
        <v>2951</v>
      </c>
      <c r="B2952">
        <v>46</v>
      </c>
      <c r="C2952">
        <v>0</v>
      </c>
      <c r="D2952">
        <v>0</v>
      </c>
      <c r="E2952">
        <v>0</v>
      </c>
      <c r="F2952">
        <v>0</v>
      </c>
    </row>
    <row r="2953" spans="1:6" x14ac:dyDescent="0.25">
      <c r="A2953">
        <v>2952</v>
      </c>
      <c r="B2953">
        <v>2</v>
      </c>
      <c r="C2953">
        <v>0</v>
      </c>
      <c r="D2953">
        <v>0</v>
      </c>
      <c r="E2953">
        <v>0</v>
      </c>
      <c r="F2953">
        <v>34.408000000000001</v>
      </c>
    </row>
    <row r="2954" spans="1:6" x14ac:dyDescent="0.25">
      <c r="A2954">
        <v>2953</v>
      </c>
      <c r="B2954">
        <v>10</v>
      </c>
      <c r="C2954">
        <v>1</v>
      </c>
      <c r="D2954">
        <v>0</v>
      </c>
      <c r="E2954">
        <v>0</v>
      </c>
      <c r="F2954">
        <v>34714</v>
      </c>
    </row>
    <row r="2955" spans="1:6" x14ac:dyDescent="0.25">
      <c r="A2955">
        <v>2954</v>
      </c>
      <c r="B2955">
        <v>13</v>
      </c>
      <c r="C2955">
        <v>0</v>
      </c>
      <c r="D2955">
        <v>0</v>
      </c>
      <c r="E2955">
        <v>0</v>
      </c>
      <c r="F2955">
        <v>1602</v>
      </c>
    </row>
    <row r="2956" spans="1:6" x14ac:dyDescent="0.25">
      <c r="A2956">
        <v>2955</v>
      </c>
      <c r="B2956">
        <v>41</v>
      </c>
      <c r="C2956">
        <v>0</v>
      </c>
      <c r="D2956">
        <v>0</v>
      </c>
      <c r="E2956">
        <v>0</v>
      </c>
      <c r="F2956">
        <v>1</v>
      </c>
    </row>
    <row r="2957" spans="1:6" x14ac:dyDescent="0.25">
      <c r="A2957">
        <v>2956</v>
      </c>
      <c r="B2957">
        <v>42</v>
      </c>
      <c r="C2957">
        <v>0</v>
      </c>
      <c r="D2957">
        <v>0</v>
      </c>
      <c r="E2957">
        <v>0</v>
      </c>
      <c r="F2957">
        <v>0.2</v>
      </c>
    </row>
    <row r="2958" spans="1:6" x14ac:dyDescent="0.25">
      <c r="A2958">
        <v>2957</v>
      </c>
      <c r="B2958">
        <v>43</v>
      </c>
      <c r="C2958">
        <v>0</v>
      </c>
      <c r="D2958">
        <v>0</v>
      </c>
      <c r="E2958">
        <v>0</v>
      </c>
      <c r="F2958">
        <v>0</v>
      </c>
    </row>
    <row r="2959" spans="1:6" x14ac:dyDescent="0.25">
      <c r="A2959">
        <v>2958</v>
      </c>
      <c r="B2959">
        <v>44</v>
      </c>
      <c r="C2959">
        <v>0</v>
      </c>
      <c r="D2959">
        <v>0</v>
      </c>
      <c r="E2959">
        <v>0</v>
      </c>
      <c r="F2959">
        <v>16.4742</v>
      </c>
    </row>
    <row r="2960" spans="1:6" x14ac:dyDescent="0.25">
      <c r="A2960">
        <v>2959</v>
      </c>
      <c r="B2960">
        <v>45</v>
      </c>
      <c r="C2960">
        <v>0</v>
      </c>
      <c r="D2960">
        <v>0</v>
      </c>
      <c r="E2960">
        <v>0</v>
      </c>
      <c r="F2960">
        <v>4400</v>
      </c>
    </row>
    <row r="2961" spans="1:6" x14ac:dyDescent="0.25">
      <c r="A2961">
        <v>2960</v>
      </c>
      <c r="B2961">
        <v>46</v>
      </c>
      <c r="C2961">
        <v>0</v>
      </c>
      <c r="D2961">
        <v>0</v>
      </c>
      <c r="E2961">
        <v>0</v>
      </c>
      <c r="F2961">
        <v>0</v>
      </c>
    </row>
    <row r="2962" spans="1:6" x14ac:dyDescent="0.25">
      <c r="A2962">
        <v>2961</v>
      </c>
      <c r="B2962" t="s">
        <v>0</v>
      </c>
      <c r="C2962">
        <v>175</v>
      </c>
      <c r="D2962">
        <v>3482</v>
      </c>
      <c r="E2962">
        <v>79922429</v>
      </c>
    </row>
    <row r="2963" spans="1:6" x14ac:dyDescent="0.25">
      <c r="A2963">
        <v>2962</v>
      </c>
      <c r="B2963">
        <v>10</v>
      </c>
      <c r="C2963">
        <v>1</v>
      </c>
      <c r="D2963">
        <v>0</v>
      </c>
      <c r="E2963">
        <v>0</v>
      </c>
      <c r="F2963">
        <v>34714</v>
      </c>
    </row>
    <row r="2964" spans="1:6" x14ac:dyDescent="0.25">
      <c r="A2964">
        <v>2963</v>
      </c>
      <c r="B2964">
        <v>13</v>
      </c>
      <c r="C2964">
        <v>0</v>
      </c>
      <c r="D2964">
        <v>0</v>
      </c>
      <c r="E2964">
        <v>0</v>
      </c>
      <c r="F2964">
        <v>1602</v>
      </c>
    </row>
    <row r="2965" spans="1:6" x14ac:dyDescent="0.25">
      <c r="A2965">
        <v>2964</v>
      </c>
      <c r="B2965">
        <v>41</v>
      </c>
      <c r="C2965">
        <v>0</v>
      </c>
      <c r="D2965">
        <v>0</v>
      </c>
      <c r="E2965">
        <v>0</v>
      </c>
      <c r="F2965">
        <v>1</v>
      </c>
    </row>
    <row r="2966" spans="1:6" x14ac:dyDescent="0.25">
      <c r="A2966">
        <v>2965</v>
      </c>
      <c r="B2966">
        <v>42</v>
      </c>
      <c r="C2966">
        <v>0</v>
      </c>
      <c r="D2966">
        <v>0</v>
      </c>
      <c r="E2966">
        <v>0</v>
      </c>
      <c r="F2966">
        <v>0.2</v>
      </c>
    </row>
    <row r="2967" spans="1:6" x14ac:dyDescent="0.25">
      <c r="A2967">
        <v>2966</v>
      </c>
      <c r="B2967">
        <v>43</v>
      </c>
      <c r="C2967">
        <v>0</v>
      </c>
      <c r="D2967">
        <v>0</v>
      </c>
      <c r="E2967">
        <v>0</v>
      </c>
      <c r="F2967">
        <v>0</v>
      </c>
    </row>
    <row r="2968" spans="1:6" x14ac:dyDescent="0.25">
      <c r="A2968">
        <v>2967</v>
      </c>
      <c r="B2968">
        <v>44</v>
      </c>
      <c r="C2968">
        <v>0</v>
      </c>
      <c r="D2968">
        <v>0</v>
      </c>
      <c r="E2968">
        <v>0</v>
      </c>
      <c r="F2968">
        <v>16.724</v>
      </c>
    </row>
    <row r="2969" spans="1:6" x14ac:dyDescent="0.25">
      <c r="A2969">
        <v>2968</v>
      </c>
      <c r="B2969">
        <v>45</v>
      </c>
      <c r="C2969">
        <v>0</v>
      </c>
      <c r="D2969">
        <v>0</v>
      </c>
      <c r="E2969">
        <v>0</v>
      </c>
      <c r="F2969">
        <v>4400</v>
      </c>
    </row>
    <row r="2970" spans="1:6" x14ac:dyDescent="0.25">
      <c r="A2970">
        <v>2969</v>
      </c>
      <c r="B2970">
        <v>46</v>
      </c>
      <c r="C2970">
        <v>0</v>
      </c>
      <c r="D2970">
        <v>0</v>
      </c>
      <c r="E2970">
        <v>0</v>
      </c>
      <c r="F2970">
        <v>0</v>
      </c>
    </row>
    <row r="2971" spans="1:6" x14ac:dyDescent="0.25">
      <c r="A2971">
        <v>2970</v>
      </c>
      <c r="B2971">
        <v>2</v>
      </c>
      <c r="C2971">
        <v>0</v>
      </c>
      <c r="D2971">
        <v>0</v>
      </c>
      <c r="E2971">
        <v>0</v>
      </c>
      <c r="F2971">
        <v>34.408099999999997</v>
      </c>
    </row>
    <row r="2972" spans="1:6" x14ac:dyDescent="0.25">
      <c r="A2972">
        <v>2971</v>
      </c>
      <c r="B2972">
        <v>10</v>
      </c>
      <c r="C2972">
        <v>1</v>
      </c>
      <c r="D2972">
        <v>0</v>
      </c>
      <c r="E2972">
        <v>0</v>
      </c>
      <c r="F2972">
        <v>34714</v>
      </c>
    </row>
    <row r="2973" spans="1:6" x14ac:dyDescent="0.25">
      <c r="A2973">
        <v>2972</v>
      </c>
      <c r="B2973">
        <v>13</v>
      </c>
      <c r="C2973">
        <v>0</v>
      </c>
      <c r="D2973">
        <v>0</v>
      </c>
      <c r="E2973">
        <v>0</v>
      </c>
      <c r="F2973">
        <v>1602</v>
      </c>
    </row>
    <row r="2974" spans="1:6" x14ac:dyDescent="0.25">
      <c r="A2974">
        <v>2973</v>
      </c>
      <c r="B2974">
        <v>41</v>
      </c>
      <c r="C2974">
        <v>0</v>
      </c>
      <c r="D2974">
        <v>0</v>
      </c>
      <c r="E2974">
        <v>0</v>
      </c>
      <c r="F2974">
        <v>1</v>
      </c>
    </row>
    <row r="2975" spans="1:6" x14ac:dyDescent="0.25">
      <c r="A2975">
        <v>2974</v>
      </c>
      <c r="B2975">
        <v>42</v>
      </c>
      <c r="C2975">
        <v>0</v>
      </c>
      <c r="D2975">
        <v>0</v>
      </c>
      <c r="E2975">
        <v>0</v>
      </c>
      <c r="F2975">
        <v>0.2</v>
      </c>
    </row>
    <row r="2976" spans="1:6" x14ac:dyDescent="0.25">
      <c r="A2976">
        <v>2975</v>
      </c>
      <c r="B2976">
        <v>43</v>
      </c>
      <c r="C2976">
        <v>0</v>
      </c>
      <c r="D2976">
        <v>0</v>
      </c>
      <c r="E2976">
        <v>0</v>
      </c>
      <c r="F2976">
        <v>0</v>
      </c>
    </row>
    <row r="2977" spans="1:6" x14ac:dyDescent="0.25">
      <c r="A2977">
        <v>2976</v>
      </c>
      <c r="B2977" t="s">
        <v>0</v>
      </c>
      <c r="C2977">
        <v>176</v>
      </c>
      <c r="D2977">
        <v>3482</v>
      </c>
      <c r="E2977">
        <v>79923397</v>
      </c>
    </row>
    <row r="2978" spans="1:6" x14ac:dyDescent="0.25">
      <c r="A2978">
        <v>2977</v>
      </c>
      <c r="B2978">
        <v>44</v>
      </c>
      <c r="C2978">
        <v>0</v>
      </c>
      <c r="D2978">
        <v>0</v>
      </c>
      <c r="E2978">
        <v>0</v>
      </c>
      <c r="F2978">
        <v>16.949200000000001</v>
      </c>
    </row>
    <row r="2979" spans="1:6" x14ac:dyDescent="0.25">
      <c r="A2979">
        <v>2978</v>
      </c>
      <c r="B2979">
        <v>45</v>
      </c>
      <c r="C2979">
        <v>0</v>
      </c>
      <c r="D2979">
        <v>0</v>
      </c>
      <c r="E2979">
        <v>0</v>
      </c>
      <c r="F2979">
        <v>4400</v>
      </c>
    </row>
    <row r="2980" spans="1:6" x14ac:dyDescent="0.25">
      <c r="A2980">
        <v>2979</v>
      </c>
      <c r="B2980">
        <v>46</v>
      </c>
      <c r="C2980">
        <v>0</v>
      </c>
      <c r="D2980">
        <v>0</v>
      </c>
      <c r="E2980">
        <v>0</v>
      </c>
      <c r="F2980">
        <v>0</v>
      </c>
    </row>
    <row r="2981" spans="1:6" x14ac:dyDescent="0.25">
      <c r="A2981">
        <v>2980</v>
      </c>
      <c r="B2981">
        <v>2</v>
      </c>
      <c r="C2981">
        <v>0</v>
      </c>
      <c r="D2981">
        <v>0</v>
      </c>
      <c r="E2981">
        <v>0</v>
      </c>
      <c r="F2981">
        <v>34.408000000000001</v>
      </c>
    </row>
    <row r="2982" spans="1:6" x14ac:dyDescent="0.25">
      <c r="A2982">
        <v>2981</v>
      </c>
      <c r="B2982">
        <v>10</v>
      </c>
      <c r="C2982">
        <v>1</v>
      </c>
      <c r="D2982">
        <v>0</v>
      </c>
      <c r="E2982">
        <v>0</v>
      </c>
      <c r="F2982">
        <v>34714</v>
      </c>
    </row>
    <row r="2983" spans="1:6" x14ac:dyDescent="0.25">
      <c r="A2983">
        <v>2982</v>
      </c>
      <c r="B2983">
        <v>13</v>
      </c>
      <c r="C2983">
        <v>0</v>
      </c>
      <c r="D2983">
        <v>0</v>
      </c>
      <c r="E2983">
        <v>0</v>
      </c>
      <c r="F2983">
        <v>1602</v>
      </c>
    </row>
    <row r="2984" spans="1:6" x14ac:dyDescent="0.25">
      <c r="A2984">
        <v>2983</v>
      </c>
      <c r="B2984">
        <v>41</v>
      </c>
      <c r="C2984">
        <v>0</v>
      </c>
      <c r="D2984">
        <v>0</v>
      </c>
      <c r="E2984">
        <v>0</v>
      </c>
      <c r="F2984">
        <v>1</v>
      </c>
    </row>
    <row r="2985" spans="1:6" x14ac:dyDescent="0.25">
      <c r="A2985">
        <v>2984</v>
      </c>
      <c r="B2985">
        <v>42</v>
      </c>
      <c r="C2985">
        <v>0</v>
      </c>
      <c r="D2985">
        <v>0</v>
      </c>
      <c r="E2985">
        <v>0</v>
      </c>
      <c r="F2985">
        <v>0.2</v>
      </c>
    </row>
    <row r="2986" spans="1:6" x14ac:dyDescent="0.25">
      <c r="A2986">
        <v>2985</v>
      </c>
      <c r="B2986">
        <v>43</v>
      </c>
      <c r="C2986">
        <v>0</v>
      </c>
      <c r="D2986">
        <v>0</v>
      </c>
      <c r="E2986">
        <v>0</v>
      </c>
      <c r="F2986">
        <v>0</v>
      </c>
    </row>
    <row r="2987" spans="1:6" x14ac:dyDescent="0.25">
      <c r="A2987">
        <v>2986</v>
      </c>
      <c r="B2987">
        <v>44</v>
      </c>
      <c r="C2987">
        <v>0</v>
      </c>
      <c r="D2987">
        <v>0</v>
      </c>
      <c r="E2987">
        <v>0</v>
      </c>
      <c r="F2987">
        <v>16.949200000000001</v>
      </c>
    </row>
    <row r="2988" spans="1:6" x14ac:dyDescent="0.25">
      <c r="A2988">
        <v>2987</v>
      </c>
      <c r="B2988">
        <v>45</v>
      </c>
      <c r="C2988">
        <v>0</v>
      </c>
      <c r="D2988">
        <v>0</v>
      </c>
      <c r="E2988">
        <v>0</v>
      </c>
      <c r="F2988">
        <v>4400</v>
      </c>
    </row>
    <row r="2989" spans="1:6" x14ac:dyDescent="0.25">
      <c r="A2989">
        <v>2988</v>
      </c>
      <c r="B2989">
        <v>46</v>
      </c>
      <c r="C2989">
        <v>0</v>
      </c>
      <c r="D2989">
        <v>0</v>
      </c>
      <c r="E2989">
        <v>0</v>
      </c>
      <c r="F2989">
        <v>0</v>
      </c>
    </row>
    <row r="2990" spans="1:6" x14ac:dyDescent="0.25">
      <c r="A2990">
        <v>2989</v>
      </c>
      <c r="B2990">
        <v>2</v>
      </c>
      <c r="C2990">
        <v>0</v>
      </c>
      <c r="D2990">
        <v>0</v>
      </c>
      <c r="E2990">
        <v>0</v>
      </c>
      <c r="F2990">
        <v>34.408000000000001</v>
      </c>
    </row>
    <row r="2991" spans="1:6" x14ac:dyDescent="0.25">
      <c r="A2991">
        <v>2990</v>
      </c>
      <c r="B2991">
        <v>10</v>
      </c>
      <c r="C2991">
        <v>1</v>
      </c>
      <c r="D2991">
        <v>0</v>
      </c>
      <c r="E2991">
        <v>0</v>
      </c>
      <c r="F2991">
        <v>34714</v>
      </c>
    </row>
    <row r="2992" spans="1:6" x14ac:dyDescent="0.25">
      <c r="A2992">
        <v>2991</v>
      </c>
      <c r="B2992">
        <v>13</v>
      </c>
      <c r="C2992">
        <v>0</v>
      </c>
      <c r="D2992">
        <v>0</v>
      </c>
      <c r="E2992">
        <v>0</v>
      </c>
      <c r="F2992">
        <v>1602</v>
      </c>
    </row>
    <row r="2993" spans="1:6" x14ac:dyDescent="0.25">
      <c r="A2993">
        <v>2992</v>
      </c>
      <c r="B2993">
        <v>41</v>
      </c>
      <c r="C2993">
        <v>0</v>
      </c>
      <c r="D2993">
        <v>0</v>
      </c>
      <c r="E2993">
        <v>0</v>
      </c>
      <c r="F2993">
        <v>1</v>
      </c>
    </row>
    <row r="2994" spans="1:6" x14ac:dyDescent="0.25">
      <c r="A2994">
        <v>2993</v>
      </c>
      <c r="B2994">
        <v>42</v>
      </c>
      <c r="C2994">
        <v>0</v>
      </c>
      <c r="D2994">
        <v>0</v>
      </c>
      <c r="E2994">
        <v>0</v>
      </c>
      <c r="F2994">
        <v>0.2</v>
      </c>
    </row>
    <row r="2995" spans="1:6" x14ac:dyDescent="0.25">
      <c r="A2995">
        <v>2994</v>
      </c>
      <c r="B2995">
        <v>43</v>
      </c>
      <c r="C2995">
        <v>0</v>
      </c>
      <c r="D2995">
        <v>0</v>
      </c>
      <c r="E2995">
        <v>0</v>
      </c>
      <c r="F2995">
        <v>0</v>
      </c>
    </row>
    <row r="2996" spans="1:6" x14ac:dyDescent="0.25">
      <c r="A2996">
        <v>2995</v>
      </c>
      <c r="B2996">
        <v>44</v>
      </c>
      <c r="C2996">
        <v>0</v>
      </c>
      <c r="D2996">
        <v>0</v>
      </c>
      <c r="E2996">
        <v>0</v>
      </c>
      <c r="F2996">
        <v>17.200099999999999</v>
      </c>
    </row>
    <row r="2997" spans="1:6" x14ac:dyDescent="0.25">
      <c r="A2997">
        <v>2996</v>
      </c>
      <c r="B2997">
        <v>45</v>
      </c>
      <c r="C2997">
        <v>0</v>
      </c>
      <c r="D2997">
        <v>0</v>
      </c>
      <c r="E2997">
        <v>0</v>
      </c>
      <c r="F2997">
        <v>4400</v>
      </c>
    </row>
    <row r="2998" spans="1:6" x14ac:dyDescent="0.25">
      <c r="A2998">
        <v>2997</v>
      </c>
      <c r="B2998">
        <v>46</v>
      </c>
      <c r="C2998">
        <v>0</v>
      </c>
      <c r="D2998">
        <v>0</v>
      </c>
      <c r="E2998">
        <v>0</v>
      </c>
      <c r="F2998">
        <v>0</v>
      </c>
    </row>
    <row r="2999" spans="1:6" x14ac:dyDescent="0.25">
      <c r="A2999">
        <v>2998</v>
      </c>
      <c r="B2999">
        <v>2</v>
      </c>
      <c r="C2999">
        <v>0</v>
      </c>
      <c r="D2999">
        <v>0</v>
      </c>
      <c r="E2999">
        <v>0</v>
      </c>
      <c r="F2999">
        <v>34.4071</v>
      </c>
    </row>
    <row r="3000" spans="1:6" x14ac:dyDescent="0.25">
      <c r="A3000">
        <v>2999</v>
      </c>
      <c r="B3000">
        <v>10</v>
      </c>
      <c r="C3000">
        <v>1</v>
      </c>
      <c r="D3000">
        <v>0</v>
      </c>
      <c r="E3000">
        <v>0</v>
      </c>
      <c r="F3000">
        <v>34715</v>
      </c>
    </row>
    <row r="3001" spans="1:6" x14ac:dyDescent="0.25">
      <c r="A3001">
        <v>3000</v>
      </c>
      <c r="B3001">
        <v>13</v>
      </c>
      <c r="C3001">
        <v>0</v>
      </c>
      <c r="D3001">
        <v>0</v>
      </c>
      <c r="E3001">
        <v>0</v>
      </c>
      <c r="F3001">
        <v>1602</v>
      </c>
    </row>
    <row r="3002" spans="1:6" x14ac:dyDescent="0.25">
      <c r="A3002">
        <v>3001</v>
      </c>
      <c r="B3002">
        <v>41</v>
      </c>
      <c r="C3002">
        <v>0</v>
      </c>
      <c r="D3002">
        <v>0</v>
      </c>
      <c r="E3002">
        <v>0</v>
      </c>
      <c r="F3002">
        <v>1</v>
      </c>
    </row>
    <row r="3003" spans="1:6" x14ac:dyDescent="0.25">
      <c r="A3003">
        <v>3002</v>
      </c>
      <c r="B3003">
        <v>42</v>
      </c>
      <c r="C3003">
        <v>0</v>
      </c>
      <c r="D3003">
        <v>0</v>
      </c>
      <c r="E3003">
        <v>0</v>
      </c>
      <c r="F3003">
        <v>0.2</v>
      </c>
    </row>
    <row r="3004" spans="1:6" x14ac:dyDescent="0.25">
      <c r="A3004">
        <v>3003</v>
      </c>
      <c r="B3004">
        <v>43</v>
      </c>
      <c r="C3004">
        <v>0</v>
      </c>
      <c r="D3004">
        <v>0</v>
      </c>
      <c r="E3004">
        <v>0</v>
      </c>
      <c r="F3004">
        <v>0</v>
      </c>
    </row>
    <row r="3005" spans="1:6" x14ac:dyDescent="0.25">
      <c r="A3005">
        <v>3004</v>
      </c>
      <c r="B3005">
        <v>44</v>
      </c>
      <c r="C3005">
        <v>0</v>
      </c>
      <c r="D3005">
        <v>0</v>
      </c>
      <c r="E3005">
        <v>0</v>
      </c>
      <c r="F3005">
        <v>17.200099999999999</v>
      </c>
    </row>
    <row r="3006" spans="1:6" x14ac:dyDescent="0.25">
      <c r="A3006">
        <v>3005</v>
      </c>
      <c r="B3006">
        <v>45</v>
      </c>
      <c r="C3006">
        <v>0</v>
      </c>
      <c r="D3006">
        <v>0</v>
      </c>
      <c r="E3006">
        <v>0</v>
      </c>
      <c r="F3006">
        <v>4400</v>
      </c>
    </row>
    <row r="3007" spans="1:6" x14ac:dyDescent="0.25">
      <c r="A3007">
        <v>3006</v>
      </c>
      <c r="B3007" t="s">
        <v>0</v>
      </c>
      <c r="C3007">
        <v>178</v>
      </c>
      <c r="D3007">
        <v>3482</v>
      </c>
      <c r="E3007">
        <v>79925334</v>
      </c>
    </row>
    <row r="3008" spans="1:6" x14ac:dyDescent="0.25">
      <c r="A3008">
        <v>3007</v>
      </c>
      <c r="B3008">
        <v>2</v>
      </c>
      <c r="C3008">
        <v>0</v>
      </c>
      <c r="D3008">
        <v>0</v>
      </c>
      <c r="E3008">
        <v>0</v>
      </c>
      <c r="F3008">
        <v>34.407600000000002</v>
      </c>
    </row>
    <row r="3009" spans="1:6" x14ac:dyDescent="0.25">
      <c r="A3009">
        <v>3008</v>
      </c>
      <c r="B3009">
        <v>10</v>
      </c>
      <c r="C3009">
        <v>1</v>
      </c>
      <c r="D3009">
        <v>0</v>
      </c>
      <c r="E3009">
        <v>0</v>
      </c>
      <c r="F3009">
        <v>34714</v>
      </c>
    </row>
    <row r="3010" spans="1:6" x14ac:dyDescent="0.25">
      <c r="A3010">
        <v>3009</v>
      </c>
      <c r="B3010">
        <v>13</v>
      </c>
      <c r="C3010">
        <v>0</v>
      </c>
      <c r="D3010">
        <v>0</v>
      </c>
      <c r="E3010">
        <v>0</v>
      </c>
      <c r="F3010">
        <v>1602</v>
      </c>
    </row>
    <row r="3011" spans="1:6" x14ac:dyDescent="0.25">
      <c r="A3011">
        <v>3010</v>
      </c>
      <c r="B3011">
        <v>41</v>
      </c>
      <c r="C3011">
        <v>0</v>
      </c>
      <c r="D3011">
        <v>0</v>
      </c>
      <c r="E3011">
        <v>0</v>
      </c>
      <c r="F3011">
        <v>1</v>
      </c>
    </row>
    <row r="3012" spans="1:6" x14ac:dyDescent="0.25">
      <c r="A3012">
        <v>3011</v>
      </c>
      <c r="B3012">
        <v>42</v>
      </c>
      <c r="C3012">
        <v>0</v>
      </c>
      <c r="D3012">
        <v>0</v>
      </c>
      <c r="E3012">
        <v>0</v>
      </c>
      <c r="F3012">
        <v>0.2</v>
      </c>
    </row>
    <row r="3013" spans="1:6" x14ac:dyDescent="0.25">
      <c r="A3013">
        <v>3012</v>
      </c>
      <c r="B3013">
        <v>43</v>
      </c>
      <c r="C3013">
        <v>0</v>
      </c>
      <c r="D3013">
        <v>0</v>
      </c>
      <c r="E3013">
        <v>0</v>
      </c>
      <c r="F3013">
        <v>0</v>
      </c>
    </row>
    <row r="3014" spans="1:6" x14ac:dyDescent="0.25">
      <c r="A3014">
        <v>3013</v>
      </c>
      <c r="B3014">
        <v>44</v>
      </c>
      <c r="C3014">
        <v>0</v>
      </c>
      <c r="D3014">
        <v>0</v>
      </c>
      <c r="E3014">
        <v>0</v>
      </c>
      <c r="F3014">
        <v>17.4496</v>
      </c>
    </row>
    <row r="3015" spans="1:6" x14ac:dyDescent="0.25">
      <c r="A3015">
        <v>3014</v>
      </c>
      <c r="B3015">
        <v>45</v>
      </c>
      <c r="C3015">
        <v>0</v>
      </c>
      <c r="D3015">
        <v>0</v>
      </c>
      <c r="E3015">
        <v>0</v>
      </c>
      <c r="F3015">
        <v>4400</v>
      </c>
    </row>
    <row r="3016" spans="1:6" x14ac:dyDescent="0.25">
      <c r="A3016">
        <v>3015</v>
      </c>
      <c r="B3016">
        <v>46</v>
      </c>
      <c r="C3016">
        <v>0</v>
      </c>
      <c r="D3016">
        <v>0</v>
      </c>
      <c r="E3016">
        <v>0</v>
      </c>
      <c r="F3016">
        <v>0</v>
      </c>
    </row>
    <row r="3017" spans="1:6" x14ac:dyDescent="0.25">
      <c r="A3017">
        <v>3016</v>
      </c>
      <c r="B3017">
        <v>2</v>
      </c>
      <c r="C3017">
        <v>0</v>
      </c>
      <c r="D3017">
        <v>0</v>
      </c>
      <c r="E3017">
        <v>0</v>
      </c>
      <c r="F3017">
        <v>34.407600000000002</v>
      </c>
    </row>
    <row r="3018" spans="1:6" x14ac:dyDescent="0.25">
      <c r="A3018">
        <v>3017</v>
      </c>
      <c r="B3018">
        <v>10</v>
      </c>
      <c r="C3018">
        <v>1</v>
      </c>
      <c r="D3018">
        <v>0</v>
      </c>
      <c r="E3018">
        <v>0</v>
      </c>
      <c r="F3018">
        <v>34714</v>
      </c>
    </row>
    <row r="3019" spans="1:6" x14ac:dyDescent="0.25">
      <c r="A3019">
        <v>3018</v>
      </c>
      <c r="B3019">
        <v>13</v>
      </c>
      <c r="C3019">
        <v>0</v>
      </c>
      <c r="D3019">
        <v>0</v>
      </c>
      <c r="E3019">
        <v>0</v>
      </c>
      <c r="F3019">
        <v>1602</v>
      </c>
    </row>
    <row r="3020" spans="1:6" x14ac:dyDescent="0.25">
      <c r="A3020">
        <v>3019</v>
      </c>
      <c r="B3020">
        <v>41</v>
      </c>
      <c r="C3020">
        <v>0</v>
      </c>
      <c r="D3020">
        <v>0</v>
      </c>
      <c r="E3020">
        <v>0</v>
      </c>
      <c r="F3020">
        <v>1</v>
      </c>
    </row>
    <row r="3021" spans="1:6" x14ac:dyDescent="0.25">
      <c r="A3021">
        <v>3020</v>
      </c>
      <c r="B3021">
        <v>42</v>
      </c>
      <c r="C3021">
        <v>0</v>
      </c>
      <c r="D3021">
        <v>0</v>
      </c>
      <c r="E3021">
        <v>0</v>
      </c>
      <c r="F3021">
        <v>0.2</v>
      </c>
    </row>
    <row r="3022" spans="1:6" x14ac:dyDescent="0.25">
      <c r="A3022">
        <v>3021</v>
      </c>
      <c r="B3022">
        <v>43</v>
      </c>
      <c r="C3022">
        <v>0</v>
      </c>
      <c r="D3022">
        <v>0</v>
      </c>
      <c r="E3022">
        <v>0</v>
      </c>
      <c r="F3022">
        <v>0</v>
      </c>
    </row>
    <row r="3023" spans="1:6" x14ac:dyDescent="0.25">
      <c r="A3023">
        <v>3022</v>
      </c>
      <c r="B3023">
        <v>44</v>
      </c>
      <c r="C3023">
        <v>0</v>
      </c>
      <c r="D3023">
        <v>0</v>
      </c>
      <c r="E3023">
        <v>0</v>
      </c>
      <c r="F3023">
        <v>17.4496</v>
      </c>
    </row>
    <row r="3024" spans="1:6" x14ac:dyDescent="0.25">
      <c r="A3024">
        <v>3023</v>
      </c>
      <c r="B3024">
        <v>45</v>
      </c>
      <c r="C3024">
        <v>0</v>
      </c>
      <c r="D3024">
        <v>0</v>
      </c>
      <c r="E3024">
        <v>0</v>
      </c>
      <c r="F3024">
        <v>4400</v>
      </c>
    </row>
    <row r="3025" spans="1:6" x14ac:dyDescent="0.25">
      <c r="A3025">
        <v>3024</v>
      </c>
      <c r="B3025">
        <v>46</v>
      </c>
      <c r="C3025">
        <v>0</v>
      </c>
      <c r="D3025">
        <v>0</v>
      </c>
      <c r="E3025">
        <v>0</v>
      </c>
      <c r="F3025">
        <v>0</v>
      </c>
    </row>
    <row r="3026" spans="1:6" x14ac:dyDescent="0.25">
      <c r="A3026">
        <v>3025</v>
      </c>
      <c r="B3026">
        <v>2</v>
      </c>
      <c r="C3026">
        <v>0</v>
      </c>
      <c r="D3026">
        <v>0</v>
      </c>
      <c r="E3026">
        <v>0</v>
      </c>
      <c r="F3026">
        <v>34.407600000000002</v>
      </c>
    </row>
    <row r="3027" spans="1:6" x14ac:dyDescent="0.25">
      <c r="A3027">
        <v>3026</v>
      </c>
      <c r="B3027">
        <v>10</v>
      </c>
      <c r="C3027">
        <v>1</v>
      </c>
      <c r="D3027">
        <v>0</v>
      </c>
      <c r="E3027">
        <v>0</v>
      </c>
      <c r="F3027">
        <v>34714</v>
      </c>
    </row>
    <row r="3028" spans="1:6" x14ac:dyDescent="0.25">
      <c r="A3028">
        <v>3027</v>
      </c>
      <c r="B3028">
        <v>13</v>
      </c>
      <c r="C3028">
        <v>0</v>
      </c>
      <c r="D3028">
        <v>0</v>
      </c>
      <c r="E3028">
        <v>0</v>
      </c>
      <c r="F3028">
        <v>1602</v>
      </c>
    </row>
    <row r="3029" spans="1:6" x14ac:dyDescent="0.25">
      <c r="A3029">
        <v>3028</v>
      </c>
      <c r="B3029">
        <v>41</v>
      </c>
      <c r="C3029">
        <v>0</v>
      </c>
      <c r="D3029">
        <v>0</v>
      </c>
      <c r="E3029">
        <v>0</v>
      </c>
      <c r="F3029">
        <v>1</v>
      </c>
    </row>
    <row r="3030" spans="1:6" x14ac:dyDescent="0.25">
      <c r="A3030">
        <v>3029</v>
      </c>
      <c r="B3030">
        <v>42</v>
      </c>
      <c r="C3030">
        <v>0</v>
      </c>
      <c r="D3030">
        <v>0</v>
      </c>
      <c r="E3030">
        <v>0</v>
      </c>
      <c r="F3030">
        <v>0.2</v>
      </c>
    </row>
    <row r="3031" spans="1:6" x14ac:dyDescent="0.25">
      <c r="A3031">
        <v>3030</v>
      </c>
      <c r="B3031">
        <v>43</v>
      </c>
      <c r="C3031">
        <v>0</v>
      </c>
      <c r="D3031">
        <v>0</v>
      </c>
      <c r="E3031">
        <v>0</v>
      </c>
      <c r="F3031">
        <v>0</v>
      </c>
    </row>
    <row r="3032" spans="1:6" x14ac:dyDescent="0.25">
      <c r="A3032">
        <v>3031</v>
      </c>
      <c r="B3032">
        <v>44</v>
      </c>
      <c r="C3032">
        <v>0</v>
      </c>
      <c r="D3032">
        <v>0</v>
      </c>
      <c r="E3032">
        <v>0</v>
      </c>
      <c r="F3032">
        <v>17.4496</v>
      </c>
    </row>
    <row r="3033" spans="1:6" x14ac:dyDescent="0.25">
      <c r="A3033">
        <v>3032</v>
      </c>
      <c r="B3033">
        <v>45</v>
      </c>
      <c r="C3033">
        <v>0</v>
      </c>
      <c r="D3033">
        <v>0</v>
      </c>
      <c r="E3033">
        <v>0</v>
      </c>
      <c r="F3033">
        <v>4400</v>
      </c>
    </row>
    <row r="3034" spans="1:6" x14ac:dyDescent="0.25">
      <c r="A3034">
        <v>3033</v>
      </c>
      <c r="B3034">
        <v>46</v>
      </c>
      <c r="C3034">
        <v>0</v>
      </c>
      <c r="D3034">
        <v>0</v>
      </c>
      <c r="E3034">
        <v>0</v>
      </c>
      <c r="F3034">
        <v>0</v>
      </c>
    </row>
    <row r="3035" spans="1:6" x14ac:dyDescent="0.25">
      <c r="A3035">
        <v>3034</v>
      </c>
      <c r="B3035">
        <v>2</v>
      </c>
      <c r="C3035">
        <v>0</v>
      </c>
      <c r="D3035">
        <v>0</v>
      </c>
      <c r="E3035">
        <v>0</v>
      </c>
      <c r="F3035">
        <v>34.407600000000002</v>
      </c>
    </row>
    <row r="3036" spans="1:6" x14ac:dyDescent="0.25">
      <c r="A3036">
        <v>3035</v>
      </c>
      <c r="B3036">
        <v>10</v>
      </c>
      <c r="C3036">
        <v>1</v>
      </c>
      <c r="D3036">
        <v>0</v>
      </c>
      <c r="E3036">
        <v>0</v>
      </c>
      <c r="F3036">
        <v>34714</v>
      </c>
    </row>
    <row r="3037" spans="1:6" x14ac:dyDescent="0.25">
      <c r="A3037">
        <v>3036</v>
      </c>
      <c r="B3037">
        <v>13</v>
      </c>
      <c r="C3037">
        <v>0</v>
      </c>
      <c r="D3037">
        <v>0</v>
      </c>
      <c r="E3037">
        <v>0</v>
      </c>
      <c r="F3037">
        <v>1602</v>
      </c>
    </row>
    <row r="3038" spans="1:6" x14ac:dyDescent="0.25">
      <c r="A3038">
        <v>3037</v>
      </c>
      <c r="B3038">
        <v>41</v>
      </c>
      <c r="C3038">
        <v>0</v>
      </c>
      <c r="D3038">
        <v>0</v>
      </c>
      <c r="E3038">
        <v>0</v>
      </c>
      <c r="F3038">
        <v>1</v>
      </c>
    </row>
    <row r="3039" spans="1:6" x14ac:dyDescent="0.25">
      <c r="A3039">
        <v>3038</v>
      </c>
      <c r="B3039">
        <v>42</v>
      </c>
      <c r="C3039">
        <v>0</v>
      </c>
      <c r="D3039">
        <v>0</v>
      </c>
      <c r="E3039">
        <v>0</v>
      </c>
      <c r="F3039">
        <v>0.2</v>
      </c>
    </row>
    <row r="3040" spans="1:6" x14ac:dyDescent="0.25">
      <c r="A3040">
        <v>3039</v>
      </c>
      <c r="B3040">
        <v>43</v>
      </c>
      <c r="C3040">
        <v>0</v>
      </c>
      <c r="D3040">
        <v>0</v>
      </c>
      <c r="E3040">
        <v>0</v>
      </c>
      <c r="F3040">
        <v>0</v>
      </c>
    </row>
    <row r="3041" spans="1:6" x14ac:dyDescent="0.25">
      <c r="A3041">
        <v>3040</v>
      </c>
      <c r="B3041">
        <v>44</v>
      </c>
      <c r="C3041">
        <v>0</v>
      </c>
      <c r="D3041">
        <v>0</v>
      </c>
      <c r="E3041">
        <v>0</v>
      </c>
      <c r="F3041">
        <v>17.4496</v>
      </c>
    </row>
    <row r="3042" spans="1:6" x14ac:dyDescent="0.25">
      <c r="A3042">
        <v>3041</v>
      </c>
      <c r="B3042">
        <v>45</v>
      </c>
      <c r="C3042">
        <v>0</v>
      </c>
      <c r="D3042">
        <v>0</v>
      </c>
      <c r="E3042">
        <v>0</v>
      </c>
      <c r="F3042">
        <v>4400</v>
      </c>
    </row>
    <row r="3043" spans="1:6" x14ac:dyDescent="0.25">
      <c r="A3043">
        <v>3042</v>
      </c>
      <c r="B3043">
        <v>46</v>
      </c>
      <c r="C3043">
        <v>0</v>
      </c>
      <c r="D3043">
        <v>0</v>
      </c>
      <c r="E3043">
        <v>0</v>
      </c>
      <c r="F3043">
        <v>0</v>
      </c>
    </row>
    <row r="3044" spans="1:6" x14ac:dyDescent="0.25">
      <c r="A3044">
        <v>3043</v>
      </c>
      <c r="B3044">
        <v>2</v>
      </c>
      <c r="C3044">
        <v>0</v>
      </c>
      <c r="D3044">
        <v>0</v>
      </c>
      <c r="E3044">
        <v>0</v>
      </c>
      <c r="F3044">
        <v>34.407600000000002</v>
      </c>
    </row>
    <row r="3045" spans="1:6" x14ac:dyDescent="0.25">
      <c r="A3045">
        <v>3044</v>
      </c>
      <c r="B3045">
        <v>10</v>
      </c>
      <c r="C3045">
        <v>1</v>
      </c>
      <c r="D3045">
        <v>0</v>
      </c>
      <c r="E3045">
        <v>0</v>
      </c>
      <c r="F3045">
        <v>34714</v>
      </c>
    </row>
    <row r="3046" spans="1:6" x14ac:dyDescent="0.25">
      <c r="A3046">
        <v>3045</v>
      </c>
      <c r="B3046">
        <v>13</v>
      </c>
      <c r="C3046">
        <v>0</v>
      </c>
      <c r="D3046">
        <v>0</v>
      </c>
      <c r="E3046">
        <v>0</v>
      </c>
      <c r="F3046">
        <v>1602</v>
      </c>
    </row>
    <row r="3047" spans="1:6" x14ac:dyDescent="0.25">
      <c r="A3047">
        <v>3046</v>
      </c>
      <c r="B3047">
        <v>41</v>
      </c>
      <c r="C3047">
        <v>0</v>
      </c>
      <c r="D3047">
        <v>0</v>
      </c>
      <c r="E3047">
        <v>0</v>
      </c>
      <c r="F3047">
        <v>1</v>
      </c>
    </row>
    <row r="3048" spans="1:6" x14ac:dyDescent="0.25">
      <c r="A3048">
        <v>3047</v>
      </c>
      <c r="B3048">
        <v>42</v>
      </c>
      <c r="C3048">
        <v>0</v>
      </c>
      <c r="D3048">
        <v>0</v>
      </c>
      <c r="E3048">
        <v>0</v>
      </c>
      <c r="F3048">
        <v>0.2</v>
      </c>
    </row>
    <row r="3049" spans="1:6" x14ac:dyDescent="0.25">
      <c r="A3049">
        <v>3048</v>
      </c>
      <c r="B3049">
        <v>43</v>
      </c>
      <c r="C3049">
        <v>0</v>
      </c>
      <c r="D3049">
        <v>0</v>
      </c>
      <c r="E3049">
        <v>0</v>
      </c>
      <c r="F3049">
        <v>0</v>
      </c>
    </row>
    <row r="3050" spans="1:6" x14ac:dyDescent="0.25">
      <c r="A3050">
        <v>3049</v>
      </c>
      <c r="B3050">
        <v>44</v>
      </c>
      <c r="C3050">
        <v>0</v>
      </c>
      <c r="D3050">
        <v>0</v>
      </c>
      <c r="E3050">
        <v>0</v>
      </c>
      <c r="F3050">
        <v>17.4496</v>
      </c>
    </row>
    <row r="3051" spans="1:6" x14ac:dyDescent="0.25">
      <c r="A3051">
        <v>3050</v>
      </c>
      <c r="B3051">
        <v>45</v>
      </c>
      <c r="C3051">
        <v>0</v>
      </c>
      <c r="D3051">
        <v>0</v>
      </c>
      <c r="E3051">
        <v>0</v>
      </c>
      <c r="F3051">
        <v>4400</v>
      </c>
    </row>
    <row r="3052" spans="1:6" x14ac:dyDescent="0.25">
      <c r="A3052">
        <v>3051</v>
      </c>
      <c r="B3052">
        <v>46</v>
      </c>
      <c r="C3052">
        <v>0</v>
      </c>
      <c r="D3052">
        <v>0</v>
      </c>
      <c r="E3052">
        <v>0</v>
      </c>
      <c r="F3052">
        <v>0</v>
      </c>
    </row>
    <row r="3053" spans="1:6" x14ac:dyDescent="0.25">
      <c r="A3053">
        <v>3052</v>
      </c>
      <c r="B3053">
        <v>2</v>
      </c>
      <c r="C3053">
        <v>0</v>
      </c>
      <c r="D3053">
        <v>0</v>
      </c>
      <c r="E3053">
        <v>0</v>
      </c>
      <c r="F3053">
        <v>34.407299999999999</v>
      </c>
    </row>
    <row r="3054" spans="1:6" x14ac:dyDescent="0.25">
      <c r="A3054">
        <v>3053</v>
      </c>
      <c r="B3054">
        <v>10</v>
      </c>
      <c r="C3054">
        <v>1</v>
      </c>
      <c r="D3054">
        <v>0</v>
      </c>
      <c r="E3054">
        <v>0</v>
      </c>
      <c r="F3054">
        <v>34714</v>
      </c>
    </row>
    <row r="3055" spans="1:6" x14ac:dyDescent="0.25">
      <c r="A3055">
        <v>3054</v>
      </c>
      <c r="B3055">
        <v>13</v>
      </c>
      <c r="C3055">
        <v>0</v>
      </c>
      <c r="D3055">
        <v>0</v>
      </c>
      <c r="E3055">
        <v>0</v>
      </c>
      <c r="F3055">
        <v>1602</v>
      </c>
    </row>
    <row r="3056" spans="1:6" x14ac:dyDescent="0.25">
      <c r="A3056">
        <v>3055</v>
      </c>
      <c r="B3056">
        <v>41</v>
      </c>
      <c r="C3056">
        <v>0</v>
      </c>
      <c r="D3056">
        <v>0</v>
      </c>
      <c r="E3056">
        <v>0</v>
      </c>
      <c r="F3056">
        <v>1</v>
      </c>
    </row>
    <row r="3057" spans="1:6" x14ac:dyDescent="0.25">
      <c r="A3057">
        <v>3056</v>
      </c>
      <c r="B3057">
        <v>42</v>
      </c>
      <c r="C3057">
        <v>0</v>
      </c>
      <c r="D3057">
        <v>0</v>
      </c>
      <c r="E3057">
        <v>0</v>
      </c>
      <c r="F3057">
        <v>0.2</v>
      </c>
    </row>
    <row r="3058" spans="1:6" x14ac:dyDescent="0.25">
      <c r="A3058">
        <v>3057</v>
      </c>
      <c r="B3058">
        <v>43</v>
      </c>
      <c r="C3058">
        <v>0</v>
      </c>
      <c r="D3058">
        <v>0</v>
      </c>
      <c r="E3058">
        <v>0</v>
      </c>
      <c r="F3058">
        <v>0</v>
      </c>
    </row>
    <row r="3059" spans="1:6" x14ac:dyDescent="0.25">
      <c r="A3059">
        <v>3058</v>
      </c>
      <c r="B3059">
        <v>44</v>
      </c>
      <c r="C3059">
        <v>0</v>
      </c>
      <c r="D3059">
        <v>0</v>
      </c>
      <c r="E3059">
        <v>0</v>
      </c>
      <c r="F3059">
        <v>18.174900000000001</v>
      </c>
    </row>
    <row r="3060" spans="1:6" x14ac:dyDescent="0.25">
      <c r="A3060">
        <v>3059</v>
      </c>
      <c r="B3060">
        <v>45</v>
      </c>
      <c r="C3060">
        <v>0</v>
      </c>
      <c r="D3060">
        <v>0</v>
      </c>
      <c r="E3060">
        <v>0</v>
      </c>
      <c r="F3060">
        <v>4400</v>
      </c>
    </row>
    <row r="3061" spans="1:6" x14ac:dyDescent="0.25">
      <c r="A3061">
        <v>3060</v>
      </c>
      <c r="B3061">
        <v>46</v>
      </c>
      <c r="C3061">
        <v>0</v>
      </c>
      <c r="D3061">
        <v>0</v>
      </c>
      <c r="E3061">
        <v>0</v>
      </c>
      <c r="F3061">
        <v>0</v>
      </c>
    </row>
    <row r="3062" spans="1:6" x14ac:dyDescent="0.25">
      <c r="A3062">
        <v>3061</v>
      </c>
      <c r="B3062">
        <v>2</v>
      </c>
      <c r="C3062">
        <v>0</v>
      </c>
      <c r="D3062">
        <v>0</v>
      </c>
      <c r="E3062">
        <v>0</v>
      </c>
      <c r="F3062">
        <v>34.407299999999999</v>
      </c>
    </row>
    <row r="3063" spans="1:6" x14ac:dyDescent="0.25">
      <c r="A3063">
        <v>3062</v>
      </c>
      <c r="B3063">
        <v>10</v>
      </c>
      <c r="C3063">
        <v>1</v>
      </c>
      <c r="D3063">
        <v>0</v>
      </c>
      <c r="E3063">
        <v>0</v>
      </c>
      <c r="F3063">
        <v>34714</v>
      </c>
    </row>
    <row r="3064" spans="1:6" x14ac:dyDescent="0.25">
      <c r="A3064">
        <v>3063</v>
      </c>
      <c r="B3064">
        <v>13</v>
      </c>
      <c r="C3064">
        <v>0</v>
      </c>
      <c r="D3064">
        <v>0</v>
      </c>
      <c r="E3064">
        <v>0</v>
      </c>
      <c r="F3064">
        <v>1602</v>
      </c>
    </row>
    <row r="3065" spans="1:6" x14ac:dyDescent="0.25">
      <c r="A3065">
        <v>3064</v>
      </c>
      <c r="B3065">
        <v>41</v>
      </c>
      <c r="C3065">
        <v>0</v>
      </c>
      <c r="D3065">
        <v>0</v>
      </c>
      <c r="E3065">
        <v>0</v>
      </c>
      <c r="F3065">
        <v>1</v>
      </c>
    </row>
    <row r="3066" spans="1:6" x14ac:dyDescent="0.25">
      <c r="A3066">
        <v>3065</v>
      </c>
      <c r="B3066" t="s">
        <v>0</v>
      </c>
      <c r="C3066">
        <v>2</v>
      </c>
      <c r="D3066">
        <v>3483</v>
      </c>
      <c r="E3066">
        <v>79929205</v>
      </c>
    </row>
    <row r="3067" spans="1:6" x14ac:dyDescent="0.25">
      <c r="A3067">
        <v>3066</v>
      </c>
      <c r="B3067">
        <v>43</v>
      </c>
      <c r="C3067">
        <v>0</v>
      </c>
      <c r="D3067">
        <v>0</v>
      </c>
      <c r="E3067">
        <v>0</v>
      </c>
      <c r="F3067">
        <v>0</v>
      </c>
    </row>
    <row r="3068" spans="1:6" x14ac:dyDescent="0.25">
      <c r="A3068">
        <v>3067</v>
      </c>
      <c r="B3068">
        <v>44</v>
      </c>
      <c r="C3068">
        <v>0</v>
      </c>
      <c r="D3068">
        <v>0</v>
      </c>
      <c r="E3068">
        <v>0</v>
      </c>
      <c r="F3068">
        <v>18.424900000000001</v>
      </c>
    </row>
    <row r="3069" spans="1:6" x14ac:dyDescent="0.25">
      <c r="A3069">
        <v>3068</v>
      </c>
      <c r="B3069">
        <v>45</v>
      </c>
      <c r="C3069">
        <v>0</v>
      </c>
      <c r="D3069">
        <v>0</v>
      </c>
      <c r="E3069">
        <v>0</v>
      </c>
      <c r="F3069">
        <v>4400</v>
      </c>
    </row>
    <row r="3070" spans="1:6" x14ac:dyDescent="0.25">
      <c r="A3070">
        <v>3069</v>
      </c>
      <c r="B3070">
        <v>46</v>
      </c>
      <c r="C3070">
        <v>0</v>
      </c>
      <c r="D3070">
        <v>0</v>
      </c>
      <c r="E3070">
        <v>0</v>
      </c>
      <c r="F3070">
        <v>0</v>
      </c>
    </row>
    <row r="3071" spans="1:6" x14ac:dyDescent="0.25">
      <c r="A3071">
        <v>3070</v>
      </c>
      <c r="B3071">
        <v>2</v>
      </c>
      <c r="C3071">
        <v>0</v>
      </c>
      <c r="D3071">
        <v>0</v>
      </c>
      <c r="E3071">
        <v>0</v>
      </c>
      <c r="F3071">
        <v>34.407299999999999</v>
      </c>
    </row>
    <row r="3072" spans="1:6" x14ac:dyDescent="0.25">
      <c r="A3072">
        <v>3071</v>
      </c>
      <c r="B3072">
        <v>10</v>
      </c>
      <c r="C3072">
        <v>1</v>
      </c>
      <c r="D3072">
        <v>0</v>
      </c>
      <c r="E3072">
        <v>0</v>
      </c>
      <c r="F3072">
        <v>34714</v>
      </c>
    </row>
    <row r="3073" spans="1:6" x14ac:dyDescent="0.25">
      <c r="A3073">
        <v>3072</v>
      </c>
      <c r="B3073">
        <v>13</v>
      </c>
      <c r="C3073">
        <v>0</v>
      </c>
      <c r="D3073">
        <v>0</v>
      </c>
      <c r="E3073">
        <v>0</v>
      </c>
      <c r="F3073">
        <v>1602</v>
      </c>
    </row>
    <row r="3074" spans="1:6" x14ac:dyDescent="0.25">
      <c r="A3074">
        <v>3073</v>
      </c>
      <c r="B3074">
        <v>41</v>
      </c>
      <c r="C3074">
        <v>0</v>
      </c>
      <c r="D3074">
        <v>0</v>
      </c>
      <c r="E3074">
        <v>0</v>
      </c>
      <c r="F3074">
        <v>1</v>
      </c>
    </row>
    <row r="3075" spans="1:6" x14ac:dyDescent="0.25">
      <c r="A3075">
        <v>3074</v>
      </c>
      <c r="B3075">
        <v>42</v>
      </c>
      <c r="C3075">
        <v>0</v>
      </c>
      <c r="D3075">
        <v>0</v>
      </c>
      <c r="E3075">
        <v>0</v>
      </c>
      <c r="F3075">
        <v>0.2</v>
      </c>
    </row>
    <row r="3076" spans="1:6" x14ac:dyDescent="0.25">
      <c r="A3076">
        <v>3075</v>
      </c>
      <c r="B3076">
        <v>43</v>
      </c>
      <c r="C3076">
        <v>0</v>
      </c>
      <c r="D3076">
        <v>0</v>
      </c>
      <c r="E3076">
        <v>0</v>
      </c>
      <c r="F3076">
        <v>0</v>
      </c>
    </row>
    <row r="3077" spans="1:6" x14ac:dyDescent="0.25">
      <c r="A3077">
        <v>3076</v>
      </c>
      <c r="B3077">
        <v>44</v>
      </c>
      <c r="C3077">
        <v>0</v>
      </c>
      <c r="D3077">
        <v>0</v>
      </c>
      <c r="E3077">
        <v>0</v>
      </c>
      <c r="F3077">
        <v>18.424900000000001</v>
      </c>
    </row>
    <row r="3078" spans="1:6" x14ac:dyDescent="0.25">
      <c r="A3078">
        <v>3077</v>
      </c>
      <c r="B3078">
        <v>45</v>
      </c>
      <c r="C3078">
        <v>0</v>
      </c>
      <c r="D3078">
        <v>0</v>
      </c>
      <c r="E3078">
        <v>0</v>
      </c>
      <c r="F3078">
        <v>4400</v>
      </c>
    </row>
    <row r="3079" spans="1:6" x14ac:dyDescent="0.25">
      <c r="A3079">
        <v>3078</v>
      </c>
      <c r="B3079">
        <v>46</v>
      </c>
      <c r="C3079">
        <v>0</v>
      </c>
      <c r="D3079">
        <v>0</v>
      </c>
      <c r="E3079">
        <v>0</v>
      </c>
      <c r="F3079">
        <v>0</v>
      </c>
    </row>
    <row r="3080" spans="1:6" x14ac:dyDescent="0.25">
      <c r="A3080">
        <v>3079</v>
      </c>
      <c r="B3080">
        <v>2</v>
      </c>
      <c r="C3080">
        <v>0</v>
      </c>
      <c r="D3080">
        <v>0</v>
      </c>
      <c r="E3080">
        <v>0</v>
      </c>
      <c r="F3080">
        <v>34.407299999999999</v>
      </c>
    </row>
    <row r="3081" spans="1:6" x14ac:dyDescent="0.25">
      <c r="A3081">
        <v>3080</v>
      </c>
      <c r="B3081" t="s">
        <v>0</v>
      </c>
      <c r="C3081">
        <v>3</v>
      </c>
      <c r="D3081">
        <v>3483</v>
      </c>
      <c r="E3081">
        <v>79930173</v>
      </c>
    </row>
    <row r="3082" spans="1:6" x14ac:dyDescent="0.25">
      <c r="A3082">
        <v>3081</v>
      </c>
      <c r="B3082">
        <v>10</v>
      </c>
      <c r="C3082">
        <v>1</v>
      </c>
      <c r="D3082">
        <v>0</v>
      </c>
      <c r="E3082">
        <v>0</v>
      </c>
      <c r="F3082">
        <v>34714</v>
      </c>
    </row>
    <row r="3083" spans="1:6" x14ac:dyDescent="0.25">
      <c r="A3083">
        <v>3082</v>
      </c>
      <c r="B3083">
        <v>13</v>
      </c>
      <c r="C3083">
        <v>0</v>
      </c>
      <c r="D3083">
        <v>0</v>
      </c>
      <c r="E3083">
        <v>0</v>
      </c>
      <c r="F3083">
        <v>1602</v>
      </c>
    </row>
    <row r="3084" spans="1:6" x14ac:dyDescent="0.25">
      <c r="A3084">
        <v>3083</v>
      </c>
      <c r="B3084">
        <v>41</v>
      </c>
      <c r="C3084">
        <v>0</v>
      </c>
      <c r="D3084">
        <v>0</v>
      </c>
      <c r="E3084">
        <v>0</v>
      </c>
      <c r="F3084">
        <v>1</v>
      </c>
    </row>
    <row r="3085" spans="1:6" x14ac:dyDescent="0.25">
      <c r="A3085">
        <v>3084</v>
      </c>
      <c r="B3085">
        <v>42</v>
      </c>
      <c r="C3085">
        <v>0</v>
      </c>
      <c r="D3085">
        <v>0</v>
      </c>
      <c r="E3085">
        <v>0</v>
      </c>
      <c r="F3085">
        <v>0.2</v>
      </c>
    </row>
    <row r="3086" spans="1:6" x14ac:dyDescent="0.25">
      <c r="A3086">
        <v>3085</v>
      </c>
      <c r="B3086">
        <v>43</v>
      </c>
      <c r="C3086">
        <v>0</v>
      </c>
      <c r="D3086">
        <v>0</v>
      </c>
      <c r="E3086">
        <v>0</v>
      </c>
      <c r="F3086">
        <v>0</v>
      </c>
    </row>
    <row r="3087" spans="1:6" x14ac:dyDescent="0.25">
      <c r="A3087">
        <v>3086</v>
      </c>
      <c r="B3087">
        <v>44</v>
      </c>
      <c r="C3087">
        <v>0</v>
      </c>
      <c r="D3087">
        <v>0</v>
      </c>
      <c r="E3087">
        <v>0</v>
      </c>
      <c r="F3087">
        <v>18.649699999999999</v>
      </c>
    </row>
    <row r="3088" spans="1:6" x14ac:dyDescent="0.25">
      <c r="A3088">
        <v>3087</v>
      </c>
      <c r="B3088">
        <v>45</v>
      </c>
      <c r="C3088">
        <v>0</v>
      </c>
      <c r="D3088">
        <v>0</v>
      </c>
      <c r="E3088">
        <v>0</v>
      </c>
      <c r="F3088">
        <v>4400</v>
      </c>
    </row>
    <row r="3089" spans="1:6" x14ac:dyDescent="0.25">
      <c r="A3089">
        <v>3088</v>
      </c>
      <c r="B3089">
        <v>46</v>
      </c>
      <c r="C3089">
        <v>0</v>
      </c>
      <c r="D3089">
        <v>0</v>
      </c>
      <c r="E3089">
        <v>0</v>
      </c>
      <c r="F3089">
        <v>0</v>
      </c>
    </row>
    <row r="3090" spans="1:6" x14ac:dyDescent="0.25">
      <c r="A3090">
        <v>3089</v>
      </c>
      <c r="B3090">
        <v>2</v>
      </c>
      <c r="C3090">
        <v>0</v>
      </c>
      <c r="D3090">
        <v>0</v>
      </c>
      <c r="E3090">
        <v>0</v>
      </c>
      <c r="F3090">
        <v>34.407499999999999</v>
      </c>
    </row>
    <row r="3091" spans="1:6" x14ac:dyDescent="0.25">
      <c r="A3091">
        <v>3090</v>
      </c>
      <c r="B3091">
        <v>10</v>
      </c>
      <c r="C3091">
        <v>1</v>
      </c>
      <c r="D3091">
        <v>0</v>
      </c>
      <c r="E3091">
        <v>0</v>
      </c>
      <c r="F3091">
        <v>34714</v>
      </c>
    </row>
    <row r="3092" spans="1:6" x14ac:dyDescent="0.25">
      <c r="A3092">
        <v>3091</v>
      </c>
      <c r="B3092">
        <v>13</v>
      </c>
      <c r="C3092">
        <v>0</v>
      </c>
      <c r="D3092">
        <v>0</v>
      </c>
      <c r="E3092">
        <v>0</v>
      </c>
      <c r="F3092">
        <v>1602</v>
      </c>
    </row>
    <row r="3093" spans="1:6" x14ac:dyDescent="0.25">
      <c r="A3093">
        <v>3092</v>
      </c>
      <c r="B3093">
        <v>41</v>
      </c>
      <c r="C3093">
        <v>0</v>
      </c>
      <c r="D3093">
        <v>0</v>
      </c>
      <c r="E3093">
        <v>0</v>
      </c>
      <c r="F3093">
        <v>1</v>
      </c>
    </row>
    <row r="3094" spans="1:6" x14ac:dyDescent="0.25">
      <c r="A3094">
        <v>3093</v>
      </c>
      <c r="B3094">
        <v>42</v>
      </c>
      <c r="C3094">
        <v>0</v>
      </c>
      <c r="D3094">
        <v>0</v>
      </c>
      <c r="E3094">
        <v>0</v>
      </c>
      <c r="F3094">
        <v>0.2</v>
      </c>
    </row>
    <row r="3095" spans="1:6" x14ac:dyDescent="0.25">
      <c r="A3095">
        <v>3094</v>
      </c>
      <c r="B3095">
        <v>43</v>
      </c>
      <c r="C3095">
        <v>0</v>
      </c>
      <c r="D3095">
        <v>0</v>
      </c>
      <c r="E3095">
        <v>0</v>
      </c>
      <c r="F3095">
        <v>0</v>
      </c>
    </row>
    <row r="3096" spans="1:6" x14ac:dyDescent="0.25">
      <c r="A3096">
        <v>3095</v>
      </c>
      <c r="B3096">
        <v>44</v>
      </c>
      <c r="C3096">
        <v>0</v>
      </c>
      <c r="D3096">
        <v>0</v>
      </c>
      <c r="E3096">
        <v>0</v>
      </c>
      <c r="F3096">
        <v>18.649699999999999</v>
      </c>
    </row>
    <row r="3097" spans="1:6" x14ac:dyDescent="0.25">
      <c r="A3097">
        <v>3096</v>
      </c>
      <c r="B3097">
        <v>45</v>
      </c>
      <c r="C3097">
        <v>0</v>
      </c>
      <c r="D3097">
        <v>0</v>
      </c>
      <c r="E3097">
        <v>0</v>
      </c>
      <c r="F3097">
        <v>4400</v>
      </c>
    </row>
    <row r="3098" spans="1:6" x14ac:dyDescent="0.25">
      <c r="A3098">
        <v>3097</v>
      </c>
      <c r="B3098">
        <v>46</v>
      </c>
      <c r="C3098">
        <v>0</v>
      </c>
      <c r="D3098">
        <v>0</v>
      </c>
      <c r="E3098">
        <v>0</v>
      </c>
      <c r="F3098">
        <v>0</v>
      </c>
    </row>
    <row r="3099" spans="1:6" x14ac:dyDescent="0.25">
      <c r="A3099">
        <v>3098</v>
      </c>
      <c r="B3099">
        <v>2</v>
      </c>
      <c r="C3099">
        <v>0</v>
      </c>
      <c r="D3099">
        <v>0</v>
      </c>
      <c r="E3099">
        <v>0</v>
      </c>
      <c r="F3099">
        <v>34.406999999999996</v>
      </c>
    </row>
    <row r="3100" spans="1:6" x14ac:dyDescent="0.25">
      <c r="A3100">
        <v>3099</v>
      </c>
      <c r="B3100">
        <v>10</v>
      </c>
      <c r="C3100">
        <v>1</v>
      </c>
      <c r="D3100">
        <v>0</v>
      </c>
      <c r="E3100">
        <v>0</v>
      </c>
      <c r="F3100">
        <v>34715</v>
      </c>
    </row>
    <row r="3101" spans="1:6" x14ac:dyDescent="0.25">
      <c r="A3101">
        <v>3100</v>
      </c>
      <c r="B3101">
        <v>13</v>
      </c>
      <c r="C3101">
        <v>0</v>
      </c>
      <c r="D3101">
        <v>0</v>
      </c>
      <c r="E3101">
        <v>0</v>
      </c>
      <c r="F3101">
        <v>1602</v>
      </c>
    </row>
    <row r="3102" spans="1:6" x14ac:dyDescent="0.25">
      <c r="A3102">
        <v>3101</v>
      </c>
      <c r="B3102">
        <v>41</v>
      </c>
      <c r="C3102">
        <v>0</v>
      </c>
      <c r="D3102">
        <v>0</v>
      </c>
      <c r="E3102">
        <v>0</v>
      </c>
      <c r="F3102">
        <v>1</v>
      </c>
    </row>
    <row r="3103" spans="1:6" x14ac:dyDescent="0.25">
      <c r="A3103">
        <v>3102</v>
      </c>
      <c r="B3103">
        <v>42</v>
      </c>
      <c r="C3103">
        <v>0</v>
      </c>
      <c r="D3103">
        <v>0</v>
      </c>
      <c r="E3103">
        <v>0</v>
      </c>
      <c r="F3103">
        <v>0.2</v>
      </c>
    </row>
    <row r="3104" spans="1:6" x14ac:dyDescent="0.25">
      <c r="A3104">
        <v>3103</v>
      </c>
      <c r="B3104">
        <v>43</v>
      </c>
      <c r="C3104">
        <v>0</v>
      </c>
      <c r="D3104">
        <v>0</v>
      </c>
      <c r="E3104">
        <v>0</v>
      </c>
      <c r="F3104">
        <v>0</v>
      </c>
    </row>
    <row r="3105" spans="1:6" x14ac:dyDescent="0.25">
      <c r="A3105">
        <v>3104</v>
      </c>
      <c r="B3105">
        <v>44</v>
      </c>
      <c r="C3105">
        <v>0</v>
      </c>
      <c r="D3105">
        <v>0</v>
      </c>
      <c r="E3105">
        <v>0</v>
      </c>
      <c r="F3105">
        <v>18.900300000000001</v>
      </c>
    </row>
    <row r="3106" spans="1:6" x14ac:dyDescent="0.25">
      <c r="A3106">
        <v>3105</v>
      </c>
      <c r="B3106">
        <v>45</v>
      </c>
      <c r="C3106">
        <v>0</v>
      </c>
      <c r="D3106">
        <v>0</v>
      </c>
      <c r="E3106">
        <v>0</v>
      </c>
      <c r="F3106">
        <v>4400</v>
      </c>
    </row>
    <row r="3107" spans="1:6" x14ac:dyDescent="0.25">
      <c r="A3107">
        <v>3106</v>
      </c>
      <c r="B3107">
        <v>46</v>
      </c>
      <c r="C3107">
        <v>0</v>
      </c>
      <c r="D3107">
        <v>0</v>
      </c>
      <c r="E3107">
        <v>0</v>
      </c>
      <c r="F3107">
        <v>0</v>
      </c>
    </row>
    <row r="3108" spans="1:6" x14ac:dyDescent="0.25">
      <c r="A3108">
        <v>3107</v>
      </c>
      <c r="B3108">
        <v>2</v>
      </c>
      <c r="C3108">
        <v>0</v>
      </c>
      <c r="D3108">
        <v>0</v>
      </c>
      <c r="E3108">
        <v>0</v>
      </c>
      <c r="F3108">
        <v>34.406999999999996</v>
      </c>
    </row>
    <row r="3109" spans="1:6" x14ac:dyDescent="0.25">
      <c r="A3109">
        <v>3108</v>
      </c>
      <c r="B3109">
        <v>10</v>
      </c>
      <c r="C3109">
        <v>1</v>
      </c>
      <c r="D3109">
        <v>0</v>
      </c>
      <c r="E3109">
        <v>0</v>
      </c>
      <c r="F3109">
        <v>34715</v>
      </c>
    </row>
    <row r="3110" spans="1:6" x14ac:dyDescent="0.25">
      <c r="A3110">
        <v>3109</v>
      </c>
      <c r="B3110">
        <v>13</v>
      </c>
      <c r="C3110">
        <v>0</v>
      </c>
      <c r="D3110">
        <v>0</v>
      </c>
      <c r="E3110">
        <v>0</v>
      </c>
      <c r="F3110">
        <v>1602</v>
      </c>
    </row>
    <row r="3111" spans="1:6" x14ac:dyDescent="0.25">
      <c r="A3111">
        <v>3110</v>
      </c>
      <c r="B3111" t="s">
        <v>0</v>
      </c>
      <c r="C3111">
        <v>5</v>
      </c>
      <c r="D3111">
        <v>3483</v>
      </c>
      <c r="E3111">
        <v>79932109</v>
      </c>
    </row>
    <row r="3112" spans="1:6" x14ac:dyDescent="0.25">
      <c r="A3112">
        <v>3111</v>
      </c>
      <c r="B3112">
        <v>42</v>
      </c>
      <c r="C3112">
        <v>0</v>
      </c>
      <c r="D3112">
        <v>0</v>
      </c>
      <c r="E3112">
        <v>0</v>
      </c>
      <c r="F3112">
        <v>0.2</v>
      </c>
    </row>
    <row r="3113" spans="1:6" x14ac:dyDescent="0.25">
      <c r="A3113">
        <v>3112</v>
      </c>
      <c r="B3113">
        <v>43</v>
      </c>
      <c r="C3113">
        <v>0</v>
      </c>
      <c r="D3113">
        <v>0</v>
      </c>
      <c r="E3113">
        <v>0</v>
      </c>
      <c r="F3113">
        <v>0</v>
      </c>
    </row>
    <row r="3114" spans="1:6" x14ac:dyDescent="0.25">
      <c r="A3114">
        <v>3113</v>
      </c>
      <c r="B3114">
        <v>44</v>
      </c>
      <c r="C3114">
        <v>0</v>
      </c>
      <c r="D3114">
        <v>0</v>
      </c>
      <c r="E3114">
        <v>0</v>
      </c>
      <c r="F3114">
        <v>19.150600000000001</v>
      </c>
    </row>
    <row r="3115" spans="1:6" x14ac:dyDescent="0.25">
      <c r="A3115">
        <v>3114</v>
      </c>
      <c r="B3115">
        <v>45</v>
      </c>
      <c r="C3115">
        <v>0</v>
      </c>
      <c r="D3115">
        <v>0</v>
      </c>
      <c r="E3115">
        <v>0</v>
      </c>
      <c r="F3115">
        <v>4400</v>
      </c>
    </row>
    <row r="3116" spans="1:6" x14ac:dyDescent="0.25">
      <c r="A3116">
        <v>3115</v>
      </c>
      <c r="B3116">
        <v>46</v>
      </c>
      <c r="C3116">
        <v>0</v>
      </c>
      <c r="D3116">
        <v>0</v>
      </c>
      <c r="E3116">
        <v>0</v>
      </c>
      <c r="F3116">
        <v>0</v>
      </c>
    </row>
    <row r="3117" spans="1:6" x14ac:dyDescent="0.25">
      <c r="A3117">
        <v>3116</v>
      </c>
      <c r="B3117">
        <v>2</v>
      </c>
      <c r="C3117">
        <v>0</v>
      </c>
      <c r="D3117">
        <v>0</v>
      </c>
      <c r="E3117">
        <v>0</v>
      </c>
      <c r="F3117">
        <v>34.406700000000001</v>
      </c>
    </row>
    <row r="3118" spans="1:6" x14ac:dyDescent="0.25">
      <c r="A3118">
        <v>3117</v>
      </c>
      <c r="B3118">
        <v>10</v>
      </c>
      <c r="C3118">
        <v>1</v>
      </c>
      <c r="D3118">
        <v>0</v>
      </c>
      <c r="E3118">
        <v>0</v>
      </c>
      <c r="F3118">
        <v>34715</v>
      </c>
    </row>
    <row r="3119" spans="1:6" x14ac:dyDescent="0.25">
      <c r="A3119">
        <v>3118</v>
      </c>
      <c r="B3119">
        <v>13</v>
      </c>
      <c r="C3119">
        <v>0</v>
      </c>
      <c r="D3119">
        <v>0</v>
      </c>
      <c r="E3119">
        <v>0</v>
      </c>
      <c r="F3119">
        <v>1602</v>
      </c>
    </row>
    <row r="3120" spans="1:6" x14ac:dyDescent="0.25">
      <c r="A3120">
        <v>3119</v>
      </c>
      <c r="B3120">
        <v>41</v>
      </c>
      <c r="C3120">
        <v>0</v>
      </c>
      <c r="D3120">
        <v>0</v>
      </c>
      <c r="E3120">
        <v>0</v>
      </c>
      <c r="F3120">
        <v>1</v>
      </c>
    </row>
    <row r="3121" spans="1:6" x14ac:dyDescent="0.25">
      <c r="A3121">
        <v>3120</v>
      </c>
      <c r="B3121">
        <v>42</v>
      </c>
      <c r="C3121">
        <v>0</v>
      </c>
      <c r="D3121">
        <v>0</v>
      </c>
      <c r="E3121">
        <v>0</v>
      </c>
      <c r="F3121">
        <v>0.2</v>
      </c>
    </row>
    <row r="3122" spans="1:6" x14ac:dyDescent="0.25">
      <c r="A3122">
        <v>3121</v>
      </c>
      <c r="B3122">
        <v>43</v>
      </c>
      <c r="C3122">
        <v>0</v>
      </c>
      <c r="D3122">
        <v>0</v>
      </c>
      <c r="E3122">
        <v>0</v>
      </c>
      <c r="F3122">
        <v>0</v>
      </c>
    </row>
    <row r="3123" spans="1:6" x14ac:dyDescent="0.25">
      <c r="A3123">
        <v>3122</v>
      </c>
      <c r="B3123">
        <v>44</v>
      </c>
      <c r="C3123">
        <v>0</v>
      </c>
      <c r="D3123">
        <v>0</v>
      </c>
      <c r="E3123">
        <v>0</v>
      </c>
      <c r="F3123">
        <v>19.150600000000001</v>
      </c>
    </row>
    <row r="3124" spans="1:6" x14ac:dyDescent="0.25">
      <c r="A3124">
        <v>3123</v>
      </c>
      <c r="B3124">
        <v>45</v>
      </c>
      <c r="C3124">
        <v>0</v>
      </c>
      <c r="D3124">
        <v>0</v>
      </c>
      <c r="E3124">
        <v>0</v>
      </c>
      <c r="F3124">
        <v>4400</v>
      </c>
    </row>
    <row r="3125" spans="1:6" x14ac:dyDescent="0.25">
      <c r="A3125">
        <v>3124</v>
      </c>
      <c r="B3125">
        <v>46</v>
      </c>
      <c r="C3125">
        <v>0</v>
      </c>
      <c r="D3125">
        <v>0</v>
      </c>
      <c r="E3125">
        <v>0</v>
      </c>
      <c r="F3125">
        <v>0</v>
      </c>
    </row>
    <row r="3126" spans="1:6" x14ac:dyDescent="0.25">
      <c r="A3126">
        <v>3125</v>
      </c>
      <c r="B3126" t="s">
        <v>0</v>
      </c>
      <c r="C3126">
        <v>6</v>
      </c>
      <c r="D3126">
        <v>3483</v>
      </c>
      <c r="E3126">
        <v>79933076</v>
      </c>
    </row>
    <row r="3127" spans="1:6" x14ac:dyDescent="0.25">
      <c r="A3127">
        <v>3126</v>
      </c>
      <c r="B3127">
        <v>2</v>
      </c>
      <c r="C3127">
        <v>0</v>
      </c>
      <c r="D3127">
        <v>0</v>
      </c>
      <c r="E3127">
        <v>0</v>
      </c>
      <c r="F3127">
        <v>34.4071</v>
      </c>
    </row>
    <row r="3128" spans="1:6" x14ac:dyDescent="0.25">
      <c r="A3128">
        <v>3127</v>
      </c>
      <c r="B3128">
        <v>10</v>
      </c>
      <c r="C3128">
        <v>1</v>
      </c>
      <c r="D3128">
        <v>0</v>
      </c>
      <c r="E3128">
        <v>0</v>
      </c>
      <c r="F3128">
        <v>34715</v>
      </c>
    </row>
    <row r="3129" spans="1:6" x14ac:dyDescent="0.25">
      <c r="A3129">
        <v>3128</v>
      </c>
      <c r="B3129">
        <v>13</v>
      </c>
      <c r="C3129">
        <v>0</v>
      </c>
      <c r="D3129">
        <v>0</v>
      </c>
      <c r="E3129">
        <v>0</v>
      </c>
      <c r="F3129">
        <v>1602</v>
      </c>
    </row>
    <row r="3130" spans="1:6" x14ac:dyDescent="0.25">
      <c r="A3130">
        <v>3129</v>
      </c>
      <c r="B3130">
        <v>41</v>
      </c>
      <c r="C3130">
        <v>0</v>
      </c>
      <c r="D3130">
        <v>0</v>
      </c>
      <c r="E3130">
        <v>0</v>
      </c>
      <c r="F3130">
        <v>1</v>
      </c>
    </row>
    <row r="3131" spans="1:6" x14ac:dyDescent="0.25">
      <c r="A3131">
        <v>3130</v>
      </c>
      <c r="B3131">
        <v>42</v>
      </c>
      <c r="C3131">
        <v>0</v>
      </c>
      <c r="D3131">
        <v>0</v>
      </c>
      <c r="E3131">
        <v>0</v>
      </c>
      <c r="F3131">
        <v>0.2</v>
      </c>
    </row>
    <row r="3132" spans="1:6" x14ac:dyDescent="0.25">
      <c r="A3132">
        <v>3131</v>
      </c>
      <c r="B3132">
        <v>43</v>
      </c>
      <c r="C3132">
        <v>0</v>
      </c>
      <c r="D3132">
        <v>0</v>
      </c>
      <c r="E3132">
        <v>0</v>
      </c>
      <c r="F3132">
        <v>0</v>
      </c>
    </row>
    <row r="3133" spans="1:6" x14ac:dyDescent="0.25">
      <c r="A3133">
        <v>3132</v>
      </c>
      <c r="B3133">
        <v>44</v>
      </c>
      <c r="C3133">
        <v>0</v>
      </c>
      <c r="D3133">
        <v>0</v>
      </c>
      <c r="E3133">
        <v>0</v>
      </c>
      <c r="F3133">
        <v>19.3752</v>
      </c>
    </row>
    <row r="3134" spans="1:6" x14ac:dyDescent="0.25">
      <c r="A3134">
        <v>3133</v>
      </c>
      <c r="B3134">
        <v>45</v>
      </c>
      <c r="C3134">
        <v>0</v>
      </c>
      <c r="D3134">
        <v>0</v>
      </c>
      <c r="E3134">
        <v>0</v>
      </c>
      <c r="F3134">
        <v>4400</v>
      </c>
    </row>
    <row r="3135" spans="1:6" x14ac:dyDescent="0.25">
      <c r="A3135">
        <v>3134</v>
      </c>
      <c r="B3135">
        <v>46</v>
      </c>
      <c r="C3135">
        <v>0</v>
      </c>
      <c r="D3135">
        <v>0</v>
      </c>
      <c r="E3135">
        <v>0</v>
      </c>
      <c r="F3135">
        <v>0</v>
      </c>
    </row>
    <row r="3136" spans="1:6" x14ac:dyDescent="0.25">
      <c r="A3136">
        <v>3135</v>
      </c>
      <c r="B3136">
        <v>2</v>
      </c>
      <c r="C3136">
        <v>0</v>
      </c>
      <c r="D3136">
        <v>0</v>
      </c>
      <c r="E3136">
        <v>0</v>
      </c>
      <c r="F3136">
        <v>34.4071</v>
      </c>
    </row>
    <row r="3137" spans="1:6" x14ac:dyDescent="0.25">
      <c r="A3137">
        <v>3136</v>
      </c>
      <c r="B3137">
        <v>10</v>
      </c>
      <c r="C3137">
        <v>1</v>
      </c>
      <c r="D3137">
        <v>0</v>
      </c>
      <c r="E3137">
        <v>0</v>
      </c>
      <c r="F3137">
        <v>34715</v>
      </c>
    </row>
    <row r="3138" spans="1:6" x14ac:dyDescent="0.25">
      <c r="A3138">
        <v>3137</v>
      </c>
      <c r="B3138">
        <v>13</v>
      </c>
      <c r="C3138">
        <v>0</v>
      </c>
      <c r="D3138">
        <v>0</v>
      </c>
      <c r="E3138">
        <v>0</v>
      </c>
      <c r="F3138">
        <v>1602</v>
      </c>
    </row>
    <row r="3139" spans="1:6" x14ac:dyDescent="0.25">
      <c r="A3139">
        <v>3138</v>
      </c>
      <c r="B3139">
        <v>41</v>
      </c>
      <c r="C3139">
        <v>0</v>
      </c>
      <c r="D3139">
        <v>0</v>
      </c>
      <c r="E3139">
        <v>0</v>
      </c>
      <c r="F3139">
        <v>1</v>
      </c>
    </row>
    <row r="3140" spans="1:6" x14ac:dyDescent="0.25">
      <c r="A3140">
        <v>3139</v>
      </c>
      <c r="B3140">
        <v>42</v>
      </c>
      <c r="C3140">
        <v>0</v>
      </c>
      <c r="D3140">
        <v>0</v>
      </c>
      <c r="E3140">
        <v>0</v>
      </c>
      <c r="F3140">
        <v>0.2</v>
      </c>
    </row>
    <row r="3141" spans="1:6" x14ac:dyDescent="0.25">
      <c r="A3141">
        <v>3140</v>
      </c>
      <c r="B3141">
        <v>43</v>
      </c>
      <c r="C3141">
        <v>0</v>
      </c>
      <c r="D3141">
        <v>0</v>
      </c>
      <c r="E3141">
        <v>0</v>
      </c>
      <c r="F3141">
        <v>0</v>
      </c>
    </row>
    <row r="3142" spans="1:6" x14ac:dyDescent="0.25">
      <c r="A3142">
        <v>3141</v>
      </c>
      <c r="B3142" t="s">
        <v>0</v>
      </c>
      <c r="C3142">
        <v>7</v>
      </c>
      <c r="D3142">
        <v>3483</v>
      </c>
      <c r="E3142">
        <v>79934043</v>
      </c>
    </row>
    <row r="3143" spans="1:6" x14ac:dyDescent="0.25">
      <c r="A3143">
        <v>3142</v>
      </c>
      <c r="B3143">
        <v>44</v>
      </c>
      <c r="C3143">
        <v>0</v>
      </c>
      <c r="D3143">
        <v>0</v>
      </c>
      <c r="E3143">
        <v>0</v>
      </c>
      <c r="F3143">
        <v>19.624600000000001</v>
      </c>
    </row>
    <row r="3144" spans="1:6" x14ac:dyDescent="0.25">
      <c r="A3144">
        <v>3143</v>
      </c>
      <c r="B3144">
        <v>45</v>
      </c>
      <c r="C3144">
        <v>0</v>
      </c>
      <c r="D3144">
        <v>0</v>
      </c>
      <c r="E3144">
        <v>0</v>
      </c>
      <c r="F3144">
        <v>4400</v>
      </c>
    </row>
    <row r="3145" spans="1:6" x14ac:dyDescent="0.25">
      <c r="A3145">
        <v>3144</v>
      </c>
      <c r="B3145">
        <v>46</v>
      </c>
      <c r="C3145">
        <v>0</v>
      </c>
      <c r="D3145">
        <v>0</v>
      </c>
      <c r="E3145">
        <v>0</v>
      </c>
      <c r="F3145">
        <v>0</v>
      </c>
    </row>
    <row r="3146" spans="1:6" x14ac:dyDescent="0.25">
      <c r="A3146">
        <v>3145</v>
      </c>
      <c r="B3146">
        <v>2</v>
      </c>
      <c r="C3146">
        <v>0</v>
      </c>
      <c r="D3146">
        <v>0</v>
      </c>
      <c r="E3146">
        <v>0</v>
      </c>
      <c r="F3146">
        <v>34.407699999999998</v>
      </c>
    </row>
    <row r="3147" spans="1:6" x14ac:dyDescent="0.25">
      <c r="A3147">
        <v>3146</v>
      </c>
      <c r="B3147">
        <v>10</v>
      </c>
      <c r="C3147">
        <v>1</v>
      </c>
      <c r="D3147">
        <v>0</v>
      </c>
      <c r="E3147">
        <v>0</v>
      </c>
      <c r="F3147">
        <v>34714</v>
      </c>
    </row>
    <row r="3148" spans="1:6" x14ac:dyDescent="0.25">
      <c r="A3148">
        <v>3147</v>
      </c>
      <c r="B3148">
        <v>13</v>
      </c>
      <c r="C3148">
        <v>0</v>
      </c>
      <c r="D3148">
        <v>0</v>
      </c>
      <c r="E3148">
        <v>0</v>
      </c>
      <c r="F3148">
        <v>1602</v>
      </c>
    </row>
    <row r="3149" spans="1:6" x14ac:dyDescent="0.25">
      <c r="A3149">
        <v>3148</v>
      </c>
      <c r="B3149">
        <v>41</v>
      </c>
      <c r="C3149">
        <v>0</v>
      </c>
      <c r="D3149">
        <v>0</v>
      </c>
      <c r="E3149">
        <v>0</v>
      </c>
      <c r="F3149">
        <v>1</v>
      </c>
    </row>
    <row r="3150" spans="1:6" x14ac:dyDescent="0.25">
      <c r="A3150">
        <v>3149</v>
      </c>
      <c r="B3150">
        <v>42</v>
      </c>
      <c r="C3150">
        <v>0</v>
      </c>
      <c r="D3150">
        <v>0</v>
      </c>
      <c r="E3150">
        <v>0</v>
      </c>
      <c r="F3150">
        <v>0.2</v>
      </c>
    </row>
    <row r="3151" spans="1:6" x14ac:dyDescent="0.25">
      <c r="A3151">
        <v>3150</v>
      </c>
      <c r="B3151">
        <v>43</v>
      </c>
      <c r="C3151">
        <v>0</v>
      </c>
      <c r="D3151">
        <v>0</v>
      </c>
      <c r="E3151">
        <v>0</v>
      </c>
      <c r="F3151">
        <v>0</v>
      </c>
    </row>
    <row r="3152" spans="1:6" x14ac:dyDescent="0.25">
      <c r="A3152">
        <v>3151</v>
      </c>
      <c r="B3152">
        <v>44</v>
      </c>
      <c r="C3152">
        <v>0</v>
      </c>
      <c r="D3152">
        <v>0</v>
      </c>
      <c r="E3152">
        <v>0</v>
      </c>
      <c r="F3152">
        <v>19.624600000000001</v>
      </c>
    </row>
    <row r="3153" spans="1:6" x14ac:dyDescent="0.25">
      <c r="A3153">
        <v>3152</v>
      </c>
      <c r="B3153">
        <v>45</v>
      </c>
      <c r="C3153">
        <v>0</v>
      </c>
      <c r="D3153">
        <v>0</v>
      </c>
      <c r="E3153">
        <v>0</v>
      </c>
      <c r="F3153">
        <v>4400</v>
      </c>
    </row>
    <row r="3154" spans="1:6" x14ac:dyDescent="0.25">
      <c r="A3154">
        <v>3153</v>
      </c>
      <c r="B3154">
        <v>46</v>
      </c>
      <c r="C3154">
        <v>0</v>
      </c>
      <c r="D3154">
        <v>0</v>
      </c>
      <c r="E3154">
        <v>0</v>
      </c>
      <c r="F3154">
        <v>0</v>
      </c>
    </row>
    <row r="3155" spans="1:6" x14ac:dyDescent="0.25">
      <c r="A3155">
        <v>3154</v>
      </c>
      <c r="B3155">
        <v>2</v>
      </c>
      <c r="C3155">
        <v>0</v>
      </c>
      <c r="D3155">
        <v>0</v>
      </c>
      <c r="E3155">
        <v>0</v>
      </c>
      <c r="F3155">
        <v>34.407699999999998</v>
      </c>
    </row>
    <row r="3156" spans="1:6" x14ac:dyDescent="0.25">
      <c r="A3156">
        <v>3155</v>
      </c>
      <c r="B3156">
        <v>10</v>
      </c>
      <c r="C3156">
        <v>1</v>
      </c>
      <c r="D3156">
        <v>0</v>
      </c>
      <c r="E3156">
        <v>0</v>
      </c>
      <c r="F3156">
        <v>34714</v>
      </c>
    </row>
    <row r="3157" spans="1:6" x14ac:dyDescent="0.25">
      <c r="A3157">
        <v>3156</v>
      </c>
      <c r="B3157">
        <v>13</v>
      </c>
      <c r="C3157">
        <v>0</v>
      </c>
      <c r="D3157">
        <v>0</v>
      </c>
      <c r="E3157">
        <v>0</v>
      </c>
      <c r="F3157">
        <v>1602</v>
      </c>
    </row>
    <row r="3158" spans="1:6" x14ac:dyDescent="0.25">
      <c r="A3158">
        <v>3157</v>
      </c>
      <c r="B3158">
        <v>41</v>
      </c>
      <c r="C3158">
        <v>0</v>
      </c>
      <c r="D3158">
        <v>0</v>
      </c>
      <c r="E3158">
        <v>0</v>
      </c>
      <c r="F3158">
        <v>1</v>
      </c>
    </row>
    <row r="3159" spans="1:6" x14ac:dyDescent="0.25">
      <c r="A3159">
        <v>3158</v>
      </c>
      <c r="B3159">
        <v>42</v>
      </c>
      <c r="C3159">
        <v>0</v>
      </c>
      <c r="D3159">
        <v>0</v>
      </c>
      <c r="E3159">
        <v>0</v>
      </c>
      <c r="F3159">
        <v>0.2</v>
      </c>
    </row>
    <row r="3160" spans="1:6" x14ac:dyDescent="0.25">
      <c r="A3160">
        <v>3159</v>
      </c>
      <c r="B3160">
        <v>43</v>
      </c>
      <c r="C3160">
        <v>0</v>
      </c>
      <c r="D3160">
        <v>0</v>
      </c>
      <c r="E3160">
        <v>0</v>
      </c>
      <c r="F3160">
        <v>0</v>
      </c>
    </row>
    <row r="3161" spans="1:6" x14ac:dyDescent="0.25">
      <c r="A3161">
        <v>3160</v>
      </c>
      <c r="B3161">
        <v>44</v>
      </c>
      <c r="C3161">
        <v>0</v>
      </c>
      <c r="D3161">
        <v>0</v>
      </c>
      <c r="E3161">
        <v>0</v>
      </c>
      <c r="F3161">
        <v>19.876000000000001</v>
      </c>
    </row>
    <row r="3162" spans="1:6" x14ac:dyDescent="0.25">
      <c r="A3162">
        <v>3161</v>
      </c>
      <c r="B3162">
        <v>45</v>
      </c>
      <c r="C3162">
        <v>0</v>
      </c>
      <c r="D3162">
        <v>0</v>
      </c>
      <c r="E3162">
        <v>0</v>
      </c>
      <c r="F3162">
        <v>4400</v>
      </c>
    </row>
    <row r="3163" spans="1:6" x14ac:dyDescent="0.25">
      <c r="A3163">
        <v>3162</v>
      </c>
      <c r="B3163">
        <v>46</v>
      </c>
      <c r="C3163">
        <v>0</v>
      </c>
      <c r="D3163">
        <v>0</v>
      </c>
      <c r="E3163">
        <v>0</v>
      </c>
      <c r="F3163">
        <v>0</v>
      </c>
    </row>
    <row r="3164" spans="1:6" x14ac:dyDescent="0.25">
      <c r="A3164">
        <v>3163</v>
      </c>
      <c r="B3164">
        <v>2</v>
      </c>
      <c r="C3164">
        <v>0</v>
      </c>
      <c r="D3164">
        <v>0</v>
      </c>
      <c r="E3164">
        <v>0</v>
      </c>
      <c r="F3164">
        <v>34.406399999999998</v>
      </c>
    </row>
    <row r="3165" spans="1:6" x14ac:dyDescent="0.25">
      <c r="A3165">
        <v>3164</v>
      </c>
      <c r="B3165">
        <v>10</v>
      </c>
      <c r="C3165">
        <v>1</v>
      </c>
      <c r="D3165">
        <v>0</v>
      </c>
      <c r="E3165">
        <v>0</v>
      </c>
      <c r="F3165">
        <v>34715</v>
      </c>
    </row>
    <row r="3166" spans="1:6" x14ac:dyDescent="0.25">
      <c r="A3166">
        <v>3165</v>
      </c>
      <c r="B3166">
        <v>13</v>
      </c>
      <c r="C3166">
        <v>0</v>
      </c>
      <c r="D3166">
        <v>0</v>
      </c>
      <c r="E3166">
        <v>0</v>
      </c>
      <c r="F3166">
        <v>1602</v>
      </c>
    </row>
    <row r="3167" spans="1:6" x14ac:dyDescent="0.25">
      <c r="A3167">
        <v>3166</v>
      </c>
      <c r="B3167">
        <v>41</v>
      </c>
      <c r="C3167">
        <v>0</v>
      </c>
      <c r="D3167">
        <v>0</v>
      </c>
      <c r="E3167">
        <v>0</v>
      </c>
      <c r="F3167">
        <v>1</v>
      </c>
    </row>
    <row r="3168" spans="1:6" x14ac:dyDescent="0.25">
      <c r="A3168">
        <v>3167</v>
      </c>
      <c r="B3168">
        <v>42</v>
      </c>
      <c r="C3168">
        <v>0</v>
      </c>
      <c r="D3168">
        <v>0</v>
      </c>
      <c r="E3168">
        <v>0</v>
      </c>
      <c r="F3168">
        <v>0.2</v>
      </c>
    </row>
    <row r="3169" spans="1:6" x14ac:dyDescent="0.25">
      <c r="A3169">
        <v>3168</v>
      </c>
      <c r="B3169">
        <v>43</v>
      </c>
      <c r="C3169">
        <v>0</v>
      </c>
      <c r="D3169">
        <v>0</v>
      </c>
      <c r="E3169">
        <v>0</v>
      </c>
      <c r="F3169">
        <v>0</v>
      </c>
    </row>
    <row r="3170" spans="1:6" x14ac:dyDescent="0.25">
      <c r="A3170">
        <v>3169</v>
      </c>
      <c r="B3170">
        <v>44</v>
      </c>
      <c r="C3170">
        <v>0</v>
      </c>
      <c r="D3170">
        <v>0</v>
      </c>
      <c r="E3170">
        <v>0</v>
      </c>
      <c r="F3170">
        <v>19.876000000000001</v>
      </c>
    </row>
    <row r="3171" spans="1:6" x14ac:dyDescent="0.25">
      <c r="A3171">
        <v>3170</v>
      </c>
      <c r="B3171">
        <v>45</v>
      </c>
      <c r="C3171">
        <v>0</v>
      </c>
      <c r="D3171">
        <v>0</v>
      </c>
      <c r="E3171">
        <v>0</v>
      </c>
      <c r="F3171">
        <v>4400</v>
      </c>
    </row>
    <row r="3172" spans="1:6" x14ac:dyDescent="0.25">
      <c r="A3172">
        <v>3171</v>
      </c>
      <c r="B3172" t="s">
        <v>0</v>
      </c>
      <c r="C3172">
        <v>9</v>
      </c>
      <c r="D3172">
        <v>3483</v>
      </c>
      <c r="E3172">
        <v>79935980</v>
      </c>
    </row>
    <row r="3173" spans="1:6" x14ac:dyDescent="0.25">
      <c r="A3173">
        <v>3172</v>
      </c>
      <c r="B3173">
        <v>2</v>
      </c>
      <c r="C3173">
        <v>0</v>
      </c>
      <c r="D3173">
        <v>0</v>
      </c>
      <c r="E3173">
        <v>0</v>
      </c>
      <c r="F3173">
        <v>34.4071</v>
      </c>
    </row>
    <row r="3174" spans="1:6" x14ac:dyDescent="0.25">
      <c r="A3174">
        <v>3173</v>
      </c>
      <c r="B3174">
        <v>10</v>
      </c>
      <c r="C3174">
        <v>1</v>
      </c>
      <c r="D3174">
        <v>0</v>
      </c>
      <c r="E3174">
        <v>0</v>
      </c>
      <c r="F3174">
        <v>34715</v>
      </c>
    </row>
    <row r="3175" spans="1:6" x14ac:dyDescent="0.25">
      <c r="A3175">
        <v>3174</v>
      </c>
      <c r="B3175">
        <v>13</v>
      </c>
      <c r="C3175">
        <v>0</v>
      </c>
      <c r="D3175">
        <v>0</v>
      </c>
      <c r="E3175">
        <v>0</v>
      </c>
      <c r="F3175">
        <v>1602</v>
      </c>
    </row>
    <row r="3176" spans="1:6" x14ac:dyDescent="0.25">
      <c r="A3176">
        <v>3175</v>
      </c>
      <c r="B3176">
        <v>41</v>
      </c>
      <c r="C3176">
        <v>0</v>
      </c>
      <c r="D3176">
        <v>0</v>
      </c>
      <c r="E3176">
        <v>0</v>
      </c>
      <c r="F3176">
        <v>1</v>
      </c>
    </row>
    <row r="3177" spans="1:6" x14ac:dyDescent="0.25">
      <c r="A3177">
        <v>3176</v>
      </c>
      <c r="B3177">
        <v>42</v>
      </c>
      <c r="C3177">
        <v>0</v>
      </c>
      <c r="D3177">
        <v>0</v>
      </c>
      <c r="E3177">
        <v>0</v>
      </c>
      <c r="F3177">
        <v>0.2</v>
      </c>
    </row>
    <row r="3178" spans="1:6" x14ac:dyDescent="0.25">
      <c r="A3178">
        <v>3177</v>
      </c>
      <c r="B3178">
        <v>43</v>
      </c>
      <c r="C3178">
        <v>0</v>
      </c>
      <c r="D3178">
        <v>0</v>
      </c>
      <c r="E3178">
        <v>0</v>
      </c>
      <c r="F3178">
        <v>0</v>
      </c>
    </row>
    <row r="3179" spans="1:6" x14ac:dyDescent="0.25">
      <c r="A3179">
        <v>3178</v>
      </c>
      <c r="B3179">
        <v>44</v>
      </c>
      <c r="C3179">
        <v>0</v>
      </c>
      <c r="D3179">
        <v>0</v>
      </c>
      <c r="E3179">
        <v>0</v>
      </c>
      <c r="F3179">
        <v>20.100300000000001</v>
      </c>
    </row>
    <row r="3180" spans="1:6" x14ac:dyDescent="0.25">
      <c r="A3180">
        <v>3179</v>
      </c>
      <c r="B3180">
        <v>45</v>
      </c>
      <c r="C3180">
        <v>0</v>
      </c>
      <c r="D3180">
        <v>0</v>
      </c>
      <c r="E3180">
        <v>0</v>
      </c>
      <c r="F3180">
        <v>4400</v>
      </c>
    </row>
    <row r="3181" spans="1:6" x14ac:dyDescent="0.25">
      <c r="A3181">
        <v>3180</v>
      </c>
      <c r="B3181">
        <v>46</v>
      </c>
      <c r="C3181">
        <v>0</v>
      </c>
      <c r="D3181">
        <v>0</v>
      </c>
      <c r="E3181">
        <v>0</v>
      </c>
      <c r="F3181">
        <v>0</v>
      </c>
    </row>
    <row r="3182" spans="1:6" x14ac:dyDescent="0.25">
      <c r="A3182">
        <v>3181</v>
      </c>
      <c r="B3182">
        <v>2</v>
      </c>
      <c r="C3182">
        <v>0</v>
      </c>
      <c r="D3182">
        <v>0</v>
      </c>
      <c r="E3182">
        <v>0</v>
      </c>
      <c r="F3182">
        <v>34.4071</v>
      </c>
    </row>
    <row r="3183" spans="1:6" x14ac:dyDescent="0.25">
      <c r="A3183">
        <v>3182</v>
      </c>
      <c r="B3183">
        <v>10</v>
      </c>
      <c r="C3183">
        <v>1</v>
      </c>
      <c r="D3183">
        <v>0</v>
      </c>
      <c r="E3183">
        <v>0</v>
      </c>
      <c r="F3183">
        <v>34715</v>
      </c>
    </row>
    <row r="3184" spans="1:6" x14ac:dyDescent="0.25">
      <c r="A3184">
        <v>3183</v>
      </c>
      <c r="B3184">
        <v>13</v>
      </c>
      <c r="C3184">
        <v>0</v>
      </c>
      <c r="D3184">
        <v>0</v>
      </c>
      <c r="E3184">
        <v>0</v>
      </c>
      <c r="F3184">
        <v>1602</v>
      </c>
    </row>
    <row r="3185" spans="1:6" x14ac:dyDescent="0.25">
      <c r="A3185">
        <v>3184</v>
      </c>
      <c r="B3185">
        <v>41</v>
      </c>
      <c r="C3185">
        <v>0</v>
      </c>
      <c r="D3185">
        <v>0</v>
      </c>
      <c r="E3185">
        <v>0</v>
      </c>
      <c r="F3185">
        <v>1</v>
      </c>
    </row>
    <row r="3186" spans="1:6" x14ac:dyDescent="0.25">
      <c r="A3186">
        <v>3185</v>
      </c>
      <c r="B3186">
        <v>42</v>
      </c>
      <c r="C3186">
        <v>0</v>
      </c>
      <c r="D3186">
        <v>0</v>
      </c>
      <c r="E3186">
        <v>0</v>
      </c>
      <c r="F3186">
        <v>0.2</v>
      </c>
    </row>
    <row r="3187" spans="1:6" x14ac:dyDescent="0.25">
      <c r="A3187">
        <v>3186</v>
      </c>
      <c r="B3187" t="s">
        <v>0</v>
      </c>
      <c r="C3187">
        <v>10</v>
      </c>
      <c r="D3187">
        <v>3483</v>
      </c>
      <c r="E3187">
        <v>79936948</v>
      </c>
    </row>
    <row r="3188" spans="1:6" x14ac:dyDescent="0.25">
      <c r="A3188">
        <v>3187</v>
      </c>
      <c r="B3188">
        <v>43</v>
      </c>
      <c r="C3188">
        <v>0</v>
      </c>
      <c r="D3188">
        <v>0</v>
      </c>
      <c r="E3188">
        <v>0</v>
      </c>
      <c r="F3188">
        <v>0</v>
      </c>
    </row>
    <row r="3189" spans="1:6" x14ac:dyDescent="0.25">
      <c r="A3189">
        <v>3188</v>
      </c>
      <c r="B3189">
        <v>44</v>
      </c>
      <c r="C3189">
        <v>0</v>
      </c>
      <c r="D3189">
        <v>0</v>
      </c>
      <c r="E3189">
        <v>0</v>
      </c>
      <c r="F3189">
        <v>20.350100000000001</v>
      </c>
    </row>
    <row r="3190" spans="1:6" x14ac:dyDescent="0.25">
      <c r="A3190">
        <v>3189</v>
      </c>
      <c r="B3190">
        <v>45</v>
      </c>
      <c r="C3190">
        <v>0</v>
      </c>
      <c r="D3190">
        <v>0</v>
      </c>
      <c r="E3190">
        <v>0</v>
      </c>
      <c r="F3190">
        <v>4400</v>
      </c>
    </row>
    <row r="3191" spans="1:6" x14ac:dyDescent="0.25">
      <c r="A3191">
        <v>3190</v>
      </c>
      <c r="B3191">
        <v>46</v>
      </c>
      <c r="C3191">
        <v>0</v>
      </c>
      <c r="D3191">
        <v>0</v>
      </c>
      <c r="E3191">
        <v>0</v>
      </c>
      <c r="F3191">
        <v>0</v>
      </c>
    </row>
    <row r="3192" spans="1:6" x14ac:dyDescent="0.25">
      <c r="A3192">
        <v>3191</v>
      </c>
      <c r="B3192">
        <v>2</v>
      </c>
      <c r="C3192">
        <v>0</v>
      </c>
      <c r="D3192">
        <v>0</v>
      </c>
      <c r="E3192">
        <v>0</v>
      </c>
      <c r="F3192">
        <v>34.407299999999999</v>
      </c>
    </row>
    <row r="3193" spans="1:6" x14ac:dyDescent="0.25">
      <c r="A3193">
        <v>3192</v>
      </c>
      <c r="B3193">
        <v>10</v>
      </c>
      <c r="C3193">
        <v>1</v>
      </c>
      <c r="D3193">
        <v>0</v>
      </c>
      <c r="E3193">
        <v>0</v>
      </c>
      <c r="F3193">
        <v>34714</v>
      </c>
    </row>
    <row r="3194" spans="1:6" x14ac:dyDescent="0.25">
      <c r="A3194">
        <v>3193</v>
      </c>
      <c r="B3194">
        <v>13</v>
      </c>
      <c r="C3194">
        <v>0</v>
      </c>
      <c r="D3194">
        <v>0</v>
      </c>
      <c r="E3194">
        <v>0</v>
      </c>
      <c r="F3194">
        <v>1602</v>
      </c>
    </row>
    <row r="3195" spans="1:6" x14ac:dyDescent="0.25">
      <c r="A3195">
        <v>3194</v>
      </c>
      <c r="B3195">
        <v>41</v>
      </c>
      <c r="C3195">
        <v>0</v>
      </c>
      <c r="D3195">
        <v>0</v>
      </c>
      <c r="E3195">
        <v>0</v>
      </c>
      <c r="F3195">
        <v>1</v>
      </c>
    </row>
    <row r="3196" spans="1:6" x14ac:dyDescent="0.25">
      <c r="A3196">
        <v>3195</v>
      </c>
      <c r="B3196">
        <v>42</v>
      </c>
      <c r="C3196">
        <v>0</v>
      </c>
      <c r="D3196">
        <v>0</v>
      </c>
      <c r="E3196">
        <v>0</v>
      </c>
      <c r="F3196">
        <v>0.2</v>
      </c>
    </row>
    <row r="3197" spans="1:6" x14ac:dyDescent="0.25">
      <c r="A3197">
        <v>3196</v>
      </c>
      <c r="B3197">
        <v>43</v>
      </c>
      <c r="C3197">
        <v>0</v>
      </c>
      <c r="D3197">
        <v>0</v>
      </c>
      <c r="E3197">
        <v>0</v>
      </c>
      <c r="F3197">
        <v>0</v>
      </c>
    </row>
    <row r="3198" spans="1:6" x14ac:dyDescent="0.25">
      <c r="A3198">
        <v>3197</v>
      </c>
      <c r="B3198">
        <v>44</v>
      </c>
      <c r="C3198">
        <v>0</v>
      </c>
      <c r="D3198">
        <v>0</v>
      </c>
      <c r="E3198">
        <v>0</v>
      </c>
      <c r="F3198">
        <v>20.350100000000001</v>
      </c>
    </row>
    <row r="3199" spans="1:6" x14ac:dyDescent="0.25">
      <c r="A3199">
        <v>3198</v>
      </c>
      <c r="B3199">
        <v>45</v>
      </c>
      <c r="C3199">
        <v>0</v>
      </c>
      <c r="D3199">
        <v>0</v>
      </c>
      <c r="E3199">
        <v>0</v>
      </c>
      <c r="F3199">
        <v>4400</v>
      </c>
    </row>
    <row r="3200" spans="1:6" x14ac:dyDescent="0.25">
      <c r="A3200">
        <v>3199</v>
      </c>
      <c r="B3200">
        <v>46</v>
      </c>
      <c r="C3200">
        <v>0</v>
      </c>
      <c r="D3200">
        <v>0</v>
      </c>
      <c r="E3200">
        <v>0</v>
      </c>
      <c r="F3200">
        <v>0</v>
      </c>
    </row>
    <row r="3201" spans="1:6" x14ac:dyDescent="0.25">
      <c r="A3201">
        <v>3200</v>
      </c>
      <c r="B3201">
        <v>2</v>
      </c>
      <c r="C3201">
        <v>0</v>
      </c>
      <c r="D3201">
        <v>0</v>
      </c>
      <c r="E3201">
        <v>0</v>
      </c>
      <c r="F3201">
        <v>34.407299999999999</v>
      </c>
    </row>
    <row r="3202" spans="1:6" x14ac:dyDescent="0.25">
      <c r="A3202">
        <v>3201</v>
      </c>
      <c r="B3202">
        <v>10</v>
      </c>
      <c r="C3202">
        <v>1</v>
      </c>
      <c r="D3202">
        <v>0</v>
      </c>
      <c r="E3202">
        <v>0</v>
      </c>
      <c r="F3202">
        <v>34714</v>
      </c>
    </row>
    <row r="3203" spans="1:6" x14ac:dyDescent="0.25">
      <c r="A3203">
        <v>3202</v>
      </c>
      <c r="B3203">
        <v>13</v>
      </c>
      <c r="C3203">
        <v>0</v>
      </c>
      <c r="D3203">
        <v>0</v>
      </c>
      <c r="E3203">
        <v>0</v>
      </c>
      <c r="F3203">
        <v>1602</v>
      </c>
    </row>
    <row r="3204" spans="1:6" x14ac:dyDescent="0.25">
      <c r="A3204">
        <v>3203</v>
      </c>
      <c r="B3204">
        <v>41</v>
      </c>
      <c r="C3204">
        <v>0</v>
      </c>
      <c r="D3204">
        <v>0</v>
      </c>
      <c r="E3204">
        <v>0</v>
      </c>
      <c r="F3204">
        <v>1</v>
      </c>
    </row>
    <row r="3205" spans="1:6" x14ac:dyDescent="0.25">
      <c r="A3205">
        <v>3204</v>
      </c>
      <c r="B3205">
        <v>42</v>
      </c>
      <c r="C3205">
        <v>0</v>
      </c>
      <c r="D3205">
        <v>0</v>
      </c>
      <c r="E3205">
        <v>0</v>
      </c>
      <c r="F3205">
        <v>0.2</v>
      </c>
    </row>
    <row r="3206" spans="1:6" x14ac:dyDescent="0.25">
      <c r="A3206">
        <v>3205</v>
      </c>
      <c r="B3206">
        <v>43</v>
      </c>
      <c r="C3206">
        <v>0</v>
      </c>
      <c r="D3206">
        <v>0</v>
      </c>
      <c r="E3206">
        <v>0</v>
      </c>
      <c r="F3206">
        <v>0</v>
      </c>
    </row>
    <row r="3207" spans="1:6" x14ac:dyDescent="0.25">
      <c r="A3207">
        <v>3206</v>
      </c>
      <c r="B3207">
        <v>44</v>
      </c>
      <c r="C3207">
        <v>0</v>
      </c>
      <c r="D3207">
        <v>0</v>
      </c>
      <c r="E3207">
        <v>0</v>
      </c>
      <c r="F3207">
        <v>20.600100000000001</v>
      </c>
    </row>
    <row r="3208" spans="1:6" x14ac:dyDescent="0.25">
      <c r="A3208">
        <v>3207</v>
      </c>
      <c r="B3208">
        <v>45</v>
      </c>
      <c r="C3208">
        <v>0</v>
      </c>
      <c r="D3208">
        <v>0</v>
      </c>
      <c r="E3208">
        <v>0</v>
      </c>
      <c r="F3208">
        <v>4400</v>
      </c>
    </row>
    <row r="3209" spans="1:6" x14ac:dyDescent="0.25">
      <c r="A3209">
        <v>3208</v>
      </c>
      <c r="B3209">
        <v>46</v>
      </c>
      <c r="C3209">
        <v>0</v>
      </c>
      <c r="D3209">
        <v>0</v>
      </c>
      <c r="E3209">
        <v>0</v>
      </c>
      <c r="F3209">
        <v>0</v>
      </c>
    </row>
    <row r="3210" spans="1:6" x14ac:dyDescent="0.25">
      <c r="A3210">
        <v>3209</v>
      </c>
      <c r="B3210">
        <v>2</v>
      </c>
      <c r="C3210">
        <v>0</v>
      </c>
      <c r="D3210">
        <v>0</v>
      </c>
      <c r="E3210">
        <v>0</v>
      </c>
      <c r="F3210">
        <v>34.407299999999999</v>
      </c>
    </row>
    <row r="3211" spans="1:6" x14ac:dyDescent="0.25">
      <c r="A3211">
        <v>3210</v>
      </c>
      <c r="B3211">
        <v>10</v>
      </c>
      <c r="C3211">
        <v>1</v>
      </c>
      <c r="D3211">
        <v>0</v>
      </c>
      <c r="E3211">
        <v>0</v>
      </c>
      <c r="F3211">
        <v>34714</v>
      </c>
    </row>
    <row r="3212" spans="1:6" x14ac:dyDescent="0.25">
      <c r="A3212">
        <v>3211</v>
      </c>
      <c r="B3212">
        <v>13</v>
      </c>
      <c r="C3212">
        <v>0</v>
      </c>
      <c r="D3212">
        <v>0</v>
      </c>
      <c r="E3212">
        <v>0</v>
      </c>
      <c r="F3212">
        <v>1602</v>
      </c>
    </row>
    <row r="3213" spans="1:6" x14ac:dyDescent="0.25">
      <c r="A3213">
        <v>3212</v>
      </c>
      <c r="B3213">
        <v>41</v>
      </c>
      <c r="C3213">
        <v>0</v>
      </c>
      <c r="D3213">
        <v>0</v>
      </c>
      <c r="E3213">
        <v>0</v>
      </c>
      <c r="F3213">
        <v>1</v>
      </c>
    </row>
    <row r="3214" spans="1:6" x14ac:dyDescent="0.25">
      <c r="A3214">
        <v>3213</v>
      </c>
      <c r="B3214">
        <v>42</v>
      </c>
      <c r="C3214">
        <v>0</v>
      </c>
      <c r="D3214">
        <v>0</v>
      </c>
      <c r="E3214">
        <v>0</v>
      </c>
      <c r="F3214">
        <v>0.2</v>
      </c>
    </row>
    <row r="3215" spans="1:6" x14ac:dyDescent="0.25">
      <c r="A3215">
        <v>3214</v>
      </c>
      <c r="B3215">
        <v>43</v>
      </c>
      <c r="C3215">
        <v>0</v>
      </c>
      <c r="D3215">
        <v>0</v>
      </c>
      <c r="E3215">
        <v>0</v>
      </c>
      <c r="F3215">
        <v>0</v>
      </c>
    </row>
    <row r="3216" spans="1:6" x14ac:dyDescent="0.25">
      <c r="A3216">
        <v>3215</v>
      </c>
      <c r="B3216">
        <v>44</v>
      </c>
      <c r="C3216">
        <v>0</v>
      </c>
      <c r="D3216">
        <v>0</v>
      </c>
      <c r="E3216">
        <v>0</v>
      </c>
      <c r="F3216">
        <v>20.600100000000001</v>
      </c>
    </row>
    <row r="3217" spans="1:6" x14ac:dyDescent="0.25">
      <c r="A3217">
        <v>3216</v>
      </c>
      <c r="B3217" t="s">
        <v>0</v>
      </c>
      <c r="C3217">
        <v>12</v>
      </c>
      <c r="D3217">
        <v>3483</v>
      </c>
      <c r="E3217">
        <v>79938884</v>
      </c>
    </row>
    <row r="3218" spans="1:6" x14ac:dyDescent="0.25">
      <c r="A3218">
        <v>3217</v>
      </c>
      <c r="B3218">
        <v>46</v>
      </c>
      <c r="C3218">
        <v>0</v>
      </c>
      <c r="D3218">
        <v>0</v>
      </c>
      <c r="E3218">
        <v>0</v>
      </c>
      <c r="F3218">
        <v>0</v>
      </c>
    </row>
    <row r="3219" spans="1:6" x14ac:dyDescent="0.25">
      <c r="A3219">
        <v>3218</v>
      </c>
      <c r="B3219">
        <v>2</v>
      </c>
      <c r="C3219">
        <v>0</v>
      </c>
      <c r="D3219">
        <v>0</v>
      </c>
      <c r="E3219">
        <v>0</v>
      </c>
      <c r="F3219">
        <v>34.407699999999998</v>
      </c>
    </row>
    <row r="3220" spans="1:6" x14ac:dyDescent="0.25">
      <c r="A3220">
        <v>3219</v>
      </c>
      <c r="B3220">
        <v>10</v>
      </c>
      <c r="C3220">
        <v>1</v>
      </c>
      <c r="D3220">
        <v>0</v>
      </c>
      <c r="E3220">
        <v>0</v>
      </c>
      <c r="F3220">
        <v>34714</v>
      </c>
    </row>
    <row r="3221" spans="1:6" x14ac:dyDescent="0.25">
      <c r="A3221">
        <v>3220</v>
      </c>
      <c r="B3221">
        <v>13</v>
      </c>
      <c r="C3221">
        <v>0</v>
      </c>
      <c r="D3221">
        <v>0</v>
      </c>
      <c r="E3221">
        <v>0</v>
      </c>
      <c r="F3221">
        <v>1602</v>
      </c>
    </row>
    <row r="3222" spans="1:6" x14ac:dyDescent="0.25">
      <c r="A3222">
        <v>3221</v>
      </c>
      <c r="B3222">
        <v>41</v>
      </c>
      <c r="C3222">
        <v>0</v>
      </c>
      <c r="D3222">
        <v>0</v>
      </c>
      <c r="E3222">
        <v>0</v>
      </c>
      <c r="F3222">
        <v>1</v>
      </c>
    </row>
    <row r="3223" spans="1:6" x14ac:dyDescent="0.25">
      <c r="A3223">
        <v>3222</v>
      </c>
      <c r="B3223">
        <v>42</v>
      </c>
      <c r="C3223">
        <v>0</v>
      </c>
      <c r="D3223">
        <v>0</v>
      </c>
      <c r="E3223">
        <v>0</v>
      </c>
      <c r="F3223">
        <v>0.2</v>
      </c>
    </row>
    <row r="3224" spans="1:6" x14ac:dyDescent="0.25">
      <c r="A3224">
        <v>3223</v>
      </c>
      <c r="B3224">
        <v>43</v>
      </c>
      <c r="C3224">
        <v>0</v>
      </c>
      <c r="D3224">
        <v>0</v>
      </c>
      <c r="E3224">
        <v>0</v>
      </c>
      <c r="F3224">
        <v>0</v>
      </c>
    </row>
    <row r="3225" spans="1:6" x14ac:dyDescent="0.25">
      <c r="A3225">
        <v>3224</v>
      </c>
      <c r="B3225">
        <v>44</v>
      </c>
      <c r="C3225">
        <v>0</v>
      </c>
      <c r="D3225">
        <v>0</v>
      </c>
      <c r="E3225">
        <v>0</v>
      </c>
      <c r="F3225">
        <v>20.8247</v>
      </c>
    </row>
    <row r="3226" spans="1:6" x14ac:dyDescent="0.25">
      <c r="A3226">
        <v>3225</v>
      </c>
      <c r="B3226">
        <v>45</v>
      </c>
      <c r="C3226">
        <v>0</v>
      </c>
      <c r="D3226">
        <v>0</v>
      </c>
      <c r="E3226">
        <v>0</v>
      </c>
      <c r="F3226">
        <v>4400</v>
      </c>
    </row>
    <row r="3227" spans="1:6" x14ac:dyDescent="0.25">
      <c r="A3227">
        <v>3226</v>
      </c>
      <c r="B3227">
        <v>46</v>
      </c>
      <c r="C3227">
        <v>0</v>
      </c>
      <c r="D3227">
        <v>0</v>
      </c>
      <c r="E3227">
        <v>0</v>
      </c>
      <c r="F3227">
        <v>0</v>
      </c>
    </row>
    <row r="3228" spans="1:6" x14ac:dyDescent="0.25">
      <c r="A3228">
        <v>3227</v>
      </c>
      <c r="B3228">
        <v>2</v>
      </c>
      <c r="C3228">
        <v>0</v>
      </c>
      <c r="D3228">
        <v>0</v>
      </c>
      <c r="E3228">
        <v>0</v>
      </c>
      <c r="F3228">
        <v>34.407699999999998</v>
      </c>
    </row>
    <row r="3229" spans="1:6" x14ac:dyDescent="0.25">
      <c r="A3229">
        <v>3228</v>
      </c>
      <c r="B3229">
        <v>10</v>
      </c>
      <c r="C3229">
        <v>1</v>
      </c>
      <c r="D3229">
        <v>0</v>
      </c>
      <c r="E3229">
        <v>0</v>
      </c>
      <c r="F3229">
        <v>34714</v>
      </c>
    </row>
    <row r="3230" spans="1:6" x14ac:dyDescent="0.25">
      <c r="A3230">
        <v>3229</v>
      </c>
      <c r="B3230">
        <v>13</v>
      </c>
      <c r="C3230">
        <v>0</v>
      </c>
      <c r="D3230">
        <v>0</v>
      </c>
      <c r="E3230">
        <v>0</v>
      </c>
      <c r="F3230">
        <v>1602</v>
      </c>
    </row>
    <row r="3231" spans="1:6" x14ac:dyDescent="0.25">
      <c r="A3231">
        <v>3230</v>
      </c>
      <c r="B3231">
        <v>41</v>
      </c>
      <c r="C3231">
        <v>0</v>
      </c>
      <c r="D3231">
        <v>0</v>
      </c>
      <c r="E3231">
        <v>0</v>
      </c>
      <c r="F3231">
        <v>1</v>
      </c>
    </row>
    <row r="3232" spans="1:6" x14ac:dyDescent="0.25">
      <c r="A3232">
        <v>3231</v>
      </c>
      <c r="B3232" t="s">
        <v>0</v>
      </c>
      <c r="C3232">
        <v>13</v>
      </c>
      <c r="D3232">
        <v>3483</v>
      </c>
      <c r="E3232">
        <v>79939852</v>
      </c>
    </row>
    <row r="3233" spans="1:6" x14ac:dyDescent="0.25">
      <c r="A3233">
        <v>3232</v>
      </c>
      <c r="B3233">
        <v>43</v>
      </c>
      <c r="C3233">
        <v>0</v>
      </c>
      <c r="D3233">
        <v>0</v>
      </c>
      <c r="E3233">
        <v>0</v>
      </c>
      <c r="F3233">
        <v>0</v>
      </c>
    </row>
    <row r="3234" spans="1:6" x14ac:dyDescent="0.25">
      <c r="A3234">
        <v>3233</v>
      </c>
      <c r="B3234">
        <v>44</v>
      </c>
      <c r="C3234">
        <v>0</v>
      </c>
      <c r="D3234">
        <v>0</v>
      </c>
      <c r="E3234">
        <v>0</v>
      </c>
      <c r="F3234">
        <v>21.075600000000001</v>
      </c>
    </row>
    <row r="3235" spans="1:6" x14ac:dyDescent="0.25">
      <c r="A3235">
        <v>3234</v>
      </c>
      <c r="B3235">
        <v>45</v>
      </c>
      <c r="C3235">
        <v>0</v>
      </c>
      <c r="D3235">
        <v>0</v>
      </c>
      <c r="E3235">
        <v>0</v>
      </c>
      <c r="F3235">
        <v>4400</v>
      </c>
    </row>
    <row r="3236" spans="1:6" x14ac:dyDescent="0.25">
      <c r="A3236">
        <v>3235</v>
      </c>
      <c r="B3236">
        <v>46</v>
      </c>
      <c r="C3236">
        <v>0</v>
      </c>
      <c r="D3236">
        <v>0</v>
      </c>
      <c r="E3236">
        <v>0</v>
      </c>
      <c r="F3236">
        <v>0</v>
      </c>
    </row>
    <row r="3237" spans="1:6" x14ac:dyDescent="0.25">
      <c r="A3237">
        <v>3236</v>
      </c>
      <c r="B3237">
        <v>2</v>
      </c>
      <c r="C3237">
        <v>0</v>
      </c>
      <c r="D3237">
        <v>0</v>
      </c>
      <c r="E3237">
        <v>0</v>
      </c>
      <c r="F3237">
        <v>34.4069</v>
      </c>
    </row>
    <row r="3238" spans="1:6" x14ac:dyDescent="0.25">
      <c r="A3238">
        <v>3237</v>
      </c>
      <c r="B3238">
        <v>10</v>
      </c>
      <c r="C3238">
        <v>1</v>
      </c>
      <c r="D3238">
        <v>0</v>
      </c>
      <c r="E3238">
        <v>0</v>
      </c>
      <c r="F3238">
        <v>34715</v>
      </c>
    </row>
    <row r="3239" spans="1:6" x14ac:dyDescent="0.25">
      <c r="A3239">
        <v>3238</v>
      </c>
      <c r="B3239">
        <v>13</v>
      </c>
      <c r="C3239">
        <v>0</v>
      </c>
      <c r="D3239">
        <v>0</v>
      </c>
      <c r="E3239">
        <v>0</v>
      </c>
      <c r="F3239">
        <v>1602</v>
      </c>
    </row>
    <row r="3240" spans="1:6" x14ac:dyDescent="0.25">
      <c r="A3240">
        <v>3239</v>
      </c>
      <c r="B3240">
        <v>41</v>
      </c>
      <c r="C3240">
        <v>0</v>
      </c>
      <c r="D3240">
        <v>0</v>
      </c>
      <c r="E3240">
        <v>0</v>
      </c>
      <c r="F3240">
        <v>1</v>
      </c>
    </row>
    <row r="3241" spans="1:6" x14ac:dyDescent="0.25">
      <c r="A3241">
        <v>3240</v>
      </c>
      <c r="B3241">
        <v>42</v>
      </c>
      <c r="C3241">
        <v>0</v>
      </c>
      <c r="D3241">
        <v>0</v>
      </c>
      <c r="E3241">
        <v>0</v>
      </c>
      <c r="F3241">
        <v>0.2</v>
      </c>
    </row>
    <row r="3242" spans="1:6" x14ac:dyDescent="0.25">
      <c r="A3242">
        <v>3241</v>
      </c>
      <c r="B3242">
        <v>43</v>
      </c>
      <c r="C3242">
        <v>0</v>
      </c>
      <c r="D3242">
        <v>0</v>
      </c>
      <c r="E3242">
        <v>0</v>
      </c>
      <c r="F3242">
        <v>0</v>
      </c>
    </row>
    <row r="3243" spans="1:6" x14ac:dyDescent="0.25">
      <c r="A3243">
        <v>3242</v>
      </c>
      <c r="B3243">
        <v>44</v>
      </c>
      <c r="C3243">
        <v>0</v>
      </c>
      <c r="D3243">
        <v>0</v>
      </c>
      <c r="E3243">
        <v>0</v>
      </c>
      <c r="F3243">
        <v>21.075600000000001</v>
      </c>
    </row>
    <row r="3244" spans="1:6" x14ac:dyDescent="0.25">
      <c r="A3244">
        <v>3243</v>
      </c>
      <c r="B3244">
        <v>45</v>
      </c>
      <c r="C3244">
        <v>0</v>
      </c>
      <c r="D3244">
        <v>0</v>
      </c>
      <c r="E3244">
        <v>0</v>
      </c>
      <c r="F3244">
        <v>4400</v>
      </c>
    </row>
    <row r="3245" spans="1:6" x14ac:dyDescent="0.25">
      <c r="A3245">
        <v>3244</v>
      </c>
      <c r="B3245">
        <v>46</v>
      </c>
      <c r="C3245">
        <v>0</v>
      </c>
      <c r="D3245">
        <v>0</v>
      </c>
      <c r="E3245">
        <v>0</v>
      </c>
      <c r="F3245">
        <v>0</v>
      </c>
    </row>
    <row r="3246" spans="1:6" x14ac:dyDescent="0.25">
      <c r="A3246">
        <v>3245</v>
      </c>
      <c r="B3246">
        <v>2</v>
      </c>
      <c r="C3246">
        <v>0</v>
      </c>
      <c r="D3246">
        <v>0</v>
      </c>
      <c r="E3246">
        <v>0</v>
      </c>
      <c r="F3246">
        <v>34.4069</v>
      </c>
    </row>
    <row r="3247" spans="1:6" x14ac:dyDescent="0.25">
      <c r="A3247">
        <v>3246</v>
      </c>
      <c r="B3247" t="s">
        <v>0</v>
      </c>
      <c r="C3247">
        <v>14</v>
      </c>
      <c r="D3247">
        <v>3483</v>
      </c>
      <c r="E3247">
        <v>79940820</v>
      </c>
    </row>
    <row r="3248" spans="1:6" x14ac:dyDescent="0.25">
      <c r="A3248">
        <v>3247</v>
      </c>
      <c r="B3248">
        <v>10</v>
      </c>
      <c r="C3248">
        <v>1</v>
      </c>
      <c r="D3248">
        <v>0</v>
      </c>
      <c r="E3248">
        <v>0</v>
      </c>
      <c r="F3248">
        <v>34715</v>
      </c>
    </row>
    <row r="3249" spans="1:6" x14ac:dyDescent="0.25">
      <c r="A3249">
        <v>3248</v>
      </c>
      <c r="B3249">
        <v>13</v>
      </c>
      <c r="C3249">
        <v>0</v>
      </c>
      <c r="D3249">
        <v>0</v>
      </c>
      <c r="E3249">
        <v>0</v>
      </c>
      <c r="F3249">
        <v>1602</v>
      </c>
    </row>
    <row r="3250" spans="1:6" x14ac:dyDescent="0.25">
      <c r="A3250">
        <v>3249</v>
      </c>
      <c r="B3250">
        <v>41</v>
      </c>
      <c r="C3250">
        <v>0</v>
      </c>
      <c r="D3250">
        <v>0</v>
      </c>
      <c r="E3250">
        <v>0</v>
      </c>
      <c r="F3250">
        <v>1</v>
      </c>
    </row>
    <row r="3251" spans="1:6" x14ac:dyDescent="0.25">
      <c r="A3251">
        <v>3250</v>
      </c>
      <c r="B3251">
        <v>42</v>
      </c>
      <c r="C3251">
        <v>0</v>
      </c>
      <c r="D3251">
        <v>0</v>
      </c>
      <c r="E3251">
        <v>0</v>
      </c>
      <c r="F3251">
        <v>0.2</v>
      </c>
    </row>
    <row r="3252" spans="1:6" x14ac:dyDescent="0.25">
      <c r="A3252">
        <v>3251</v>
      </c>
      <c r="B3252">
        <v>43</v>
      </c>
      <c r="C3252">
        <v>0</v>
      </c>
      <c r="D3252">
        <v>0</v>
      </c>
      <c r="E3252">
        <v>0</v>
      </c>
      <c r="F3252">
        <v>0</v>
      </c>
    </row>
    <row r="3253" spans="1:6" x14ac:dyDescent="0.25">
      <c r="A3253">
        <v>3252</v>
      </c>
      <c r="B3253">
        <v>44</v>
      </c>
      <c r="C3253">
        <v>0</v>
      </c>
      <c r="D3253">
        <v>0</v>
      </c>
      <c r="E3253">
        <v>0</v>
      </c>
      <c r="F3253">
        <v>21.325199999999999</v>
      </c>
    </row>
    <row r="3254" spans="1:6" x14ac:dyDescent="0.25">
      <c r="A3254">
        <v>3253</v>
      </c>
      <c r="B3254">
        <v>45</v>
      </c>
      <c r="C3254">
        <v>0</v>
      </c>
      <c r="D3254">
        <v>0</v>
      </c>
      <c r="E3254">
        <v>0</v>
      </c>
      <c r="F3254">
        <v>4400</v>
      </c>
    </row>
    <row r="3255" spans="1:6" x14ac:dyDescent="0.25">
      <c r="A3255">
        <v>3254</v>
      </c>
      <c r="B3255">
        <v>46</v>
      </c>
      <c r="C3255">
        <v>0</v>
      </c>
      <c r="D3255">
        <v>0</v>
      </c>
      <c r="E3255">
        <v>0</v>
      </c>
      <c r="F3255">
        <v>0</v>
      </c>
    </row>
    <row r="3256" spans="1:6" x14ac:dyDescent="0.25">
      <c r="A3256">
        <v>3255</v>
      </c>
      <c r="B3256">
        <v>2</v>
      </c>
      <c r="C3256">
        <v>0</v>
      </c>
      <c r="D3256">
        <v>0</v>
      </c>
      <c r="E3256">
        <v>0</v>
      </c>
      <c r="F3256">
        <v>34.407299999999999</v>
      </c>
    </row>
    <row r="3257" spans="1:6" x14ac:dyDescent="0.25">
      <c r="A3257">
        <v>3256</v>
      </c>
      <c r="B3257">
        <v>10</v>
      </c>
      <c r="C3257">
        <v>1</v>
      </c>
      <c r="D3257">
        <v>0</v>
      </c>
      <c r="E3257">
        <v>0</v>
      </c>
      <c r="F3257">
        <v>34714</v>
      </c>
    </row>
    <row r="3258" spans="1:6" x14ac:dyDescent="0.25">
      <c r="A3258">
        <v>3257</v>
      </c>
      <c r="B3258">
        <v>13</v>
      </c>
      <c r="C3258">
        <v>0</v>
      </c>
      <c r="D3258">
        <v>0</v>
      </c>
      <c r="E3258">
        <v>0</v>
      </c>
      <c r="F3258">
        <v>1602</v>
      </c>
    </row>
    <row r="3259" spans="1:6" x14ac:dyDescent="0.25">
      <c r="A3259">
        <v>3258</v>
      </c>
      <c r="B3259">
        <v>41</v>
      </c>
      <c r="C3259">
        <v>0</v>
      </c>
      <c r="D3259">
        <v>0</v>
      </c>
      <c r="E3259">
        <v>0</v>
      </c>
      <c r="F3259">
        <v>1</v>
      </c>
    </row>
    <row r="3260" spans="1:6" x14ac:dyDescent="0.25">
      <c r="A3260">
        <v>3259</v>
      </c>
      <c r="B3260">
        <v>42</v>
      </c>
      <c r="C3260">
        <v>0</v>
      </c>
      <c r="D3260">
        <v>0</v>
      </c>
      <c r="E3260">
        <v>0</v>
      </c>
      <c r="F3260">
        <v>0.2</v>
      </c>
    </row>
    <row r="3261" spans="1:6" x14ac:dyDescent="0.25">
      <c r="A3261">
        <v>3260</v>
      </c>
      <c r="B3261">
        <v>43</v>
      </c>
      <c r="C3261">
        <v>0</v>
      </c>
      <c r="D3261">
        <v>0</v>
      </c>
      <c r="E3261">
        <v>0</v>
      </c>
      <c r="F3261">
        <v>0</v>
      </c>
    </row>
    <row r="3262" spans="1:6" x14ac:dyDescent="0.25">
      <c r="A3262">
        <v>3261</v>
      </c>
      <c r="B3262">
        <v>44</v>
      </c>
      <c r="C3262">
        <v>0</v>
      </c>
      <c r="D3262">
        <v>0</v>
      </c>
      <c r="E3262">
        <v>0</v>
      </c>
      <c r="F3262">
        <v>21.325199999999999</v>
      </c>
    </row>
    <row r="3263" spans="1:6" x14ac:dyDescent="0.25">
      <c r="A3263">
        <v>3262</v>
      </c>
      <c r="B3263">
        <v>45</v>
      </c>
      <c r="C3263">
        <v>0</v>
      </c>
      <c r="D3263">
        <v>0</v>
      </c>
      <c r="E3263">
        <v>0</v>
      </c>
      <c r="F3263">
        <v>4400</v>
      </c>
    </row>
    <row r="3264" spans="1:6" x14ac:dyDescent="0.25">
      <c r="A3264">
        <v>3263</v>
      </c>
      <c r="B3264">
        <v>46</v>
      </c>
      <c r="C3264">
        <v>0</v>
      </c>
      <c r="D3264">
        <v>0</v>
      </c>
      <c r="E3264">
        <v>0</v>
      </c>
      <c r="F3264">
        <v>0</v>
      </c>
    </row>
    <row r="3265" spans="1:6" x14ac:dyDescent="0.25">
      <c r="A3265">
        <v>3264</v>
      </c>
      <c r="B3265">
        <v>2</v>
      </c>
      <c r="C3265">
        <v>0</v>
      </c>
      <c r="D3265">
        <v>0</v>
      </c>
      <c r="E3265">
        <v>0</v>
      </c>
      <c r="F3265">
        <v>34.407299999999999</v>
      </c>
    </row>
    <row r="3266" spans="1:6" x14ac:dyDescent="0.25">
      <c r="A3266">
        <v>3265</v>
      </c>
      <c r="B3266">
        <v>10</v>
      </c>
      <c r="C3266">
        <v>1</v>
      </c>
      <c r="D3266">
        <v>0</v>
      </c>
      <c r="E3266">
        <v>0</v>
      </c>
      <c r="F3266">
        <v>34714</v>
      </c>
    </row>
    <row r="3267" spans="1:6" x14ac:dyDescent="0.25">
      <c r="A3267">
        <v>3266</v>
      </c>
      <c r="B3267">
        <v>13</v>
      </c>
      <c r="C3267">
        <v>0</v>
      </c>
      <c r="D3267">
        <v>0</v>
      </c>
      <c r="E3267">
        <v>0</v>
      </c>
      <c r="F3267">
        <v>1602</v>
      </c>
    </row>
    <row r="3268" spans="1:6" x14ac:dyDescent="0.25">
      <c r="A3268">
        <v>3267</v>
      </c>
      <c r="B3268">
        <v>41</v>
      </c>
      <c r="C3268">
        <v>0</v>
      </c>
      <c r="D3268">
        <v>0</v>
      </c>
      <c r="E3268">
        <v>0</v>
      </c>
      <c r="F3268">
        <v>1</v>
      </c>
    </row>
    <row r="3269" spans="1:6" x14ac:dyDescent="0.25">
      <c r="A3269">
        <v>3268</v>
      </c>
      <c r="B3269">
        <v>42</v>
      </c>
      <c r="C3269">
        <v>0</v>
      </c>
      <c r="D3269">
        <v>0</v>
      </c>
      <c r="E3269">
        <v>0</v>
      </c>
      <c r="F3269">
        <v>0.2</v>
      </c>
    </row>
    <row r="3270" spans="1:6" x14ac:dyDescent="0.25">
      <c r="A3270">
        <v>3269</v>
      </c>
      <c r="B3270">
        <v>43</v>
      </c>
      <c r="C3270">
        <v>0</v>
      </c>
      <c r="D3270">
        <v>0</v>
      </c>
      <c r="E3270">
        <v>0</v>
      </c>
      <c r="F3270">
        <v>0</v>
      </c>
    </row>
    <row r="3271" spans="1:6" x14ac:dyDescent="0.25">
      <c r="A3271">
        <v>3270</v>
      </c>
      <c r="B3271">
        <v>44</v>
      </c>
      <c r="C3271">
        <v>0</v>
      </c>
      <c r="D3271">
        <v>0</v>
      </c>
      <c r="E3271">
        <v>0</v>
      </c>
      <c r="F3271">
        <v>21.5502</v>
      </c>
    </row>
    <row r="3272" spans="1:6" x14ac:dyDescent="0.25">
      <c r="A3272">
        <v>3271</v>
      </c>
      <c r="B3272">
        <v>45</v>
      </c>
      <c r="C3272">
        <v>0</v>
      </c>
      <c r="D3272">
        <v>0</v>
      </c>
      <c r="E3272">
        <v>0</v>
      </c>
      <c r="F3272">
        <v>4400</v>
      </c>
    </row>
    <row r="3273" spans="1:6" x14ac:dyDescent="0.25">
      <c r="A3273">
        <v>3272</v>
      </c>
      <c r="B3273">
        <v>46</v>
      </c>
      <c r="C3273">
        <v>0</v>
      </c>
      <c r="D3273">
        <v>0</v>
      </c>
      <c r="E3273">
        <v>0</v>
      </c>
      <c r="F3273">
        <v>0</v>
      </c>
    </row>
    <row r="3274" spans="1:6" x14ac:dyDescent="0.25">
      <c r="A3274">
        <v>3273</v>
      </c>
      <c r="B3274">
        <v>2</v>
      </c>
      <c r="C3274">
        <v>0</v>
      </c>
      <c r="D3274">
        <v>0</v>
      </c>
      <c r="E3274">
        <v>0</v>
      </c>
      <c r="F3274">
        <v>34.407299999999999</v>
      </c>
    </row>
    <row r="3275" spans="1:6" x14ac:dyDescent="0.25">
      <c r="A3275">
        <v>3274</v>
      </c>
      <c r="B3275">
        <v>10</v>
      </c>
      <c r="C3275">
        <v>1</v>
      </c>
      <c r="D3275">
        <v>0</v>
      </c>
      <c r="E3275">
        <v>0</v>
      </c>
      <c r="F3275">
        <v>34714</v>
      </c>
    </row>
    <row r="3276" spans="1:6" x14ac:dyDescent="0.25">
      <c r="A3276">
        <v>3275</v>
      </c>
      <c r="B3276">
        <v>13</v>
      </c>
      <c r="C3276">
        <v>0</v>
      </c>
      <c r="D3276">
        <v>0</v>
      </c>
      <c r="E3276">
        <v>0</v>
      </c>
      <c r="F3276">
        <v>1602</v>
      </c>
    </row>
    <row r="3277" spans="1:6" x14ac:dyDescent="0.25">
      <c r="A3277">
        <v>3276</v>
      </c>
      <c r="B3277" t="s">
        <v>0</v>
      </c>
      <c r="C3277">
        <v>16</v>
      </c>
      <c r="D3277">
        <v>3483</v>
      </c>
      <c r="E3277">
        <v>79942756</v>
      </c>
    </row>
    <row r="3278" spans="1:6" x14ac:dyDescent="0.25">
      <c r="A3278">
        <v>3277</v>
      </c>
      <c r="B3278">
        <v>42</v>
      </c>
      <c r="C3278">
        <v>0</v>
      </c>
      <c r="D3278">
        <v>0</v>
      </c>
      <c r="E3278">
        <v>0</v>
      </c>
      <c r="F3278">
        <v>0.2</v>
      </c>
    </row>
    <row r="3279" spans="1:6" x14ac:dyDescent="0.25">
      <c r="A3279">
        <v>3278</v>
      </c>
      <c r="B3279">
        <v>43</v>
      </c>
      <c r="C3279">
        <v>0</v>
      </c>
      <c r="D3279">
        <v>0</v>
      </c>
      <c r="E3279">
        <v>0</v>
      </c>
      <c r="F3279">
        <v>0</v>
      </c>
    </row>
    <row r="3280" spans="1:6" x14ac:dyDescent="0.25">
      <c r="A3280">
        <v>3279</v>
      </c>
      <c r="B3280">
        <v>44</v>
      </c>
      <c r="C3280">
        <v>0</v>
      </c>
      <c r="D3280">
        <v>0</v>
      </c>
      <c r="E3280">
        <v>0</v>
      </c>
      <c r="F3280">
        <v>21.8005</v>
      </c>
    </row>
    <row r="3281" spans="1:6" x14ac:dyDescent="0.25">
      <c r="A3281">
        <v>3280</v>
      </c>
      <c r="B3281">
        <v>45</v>
      </c>
      <c r="C3281">
        <v>0</v>
      </c>
      <c r="D3281">
        <v>0</v>
      </c>
      <c r="E3281">
        <v>0</v>
      </c>
      <c r="F3281">
        <v>4400</v>
      </c>
    </row>
    <row r="3282" spans="1:6" x14ac:dyDescent="0.25">
      <c r="A3282">
        <v>3281</v>
      </c>
      <c r="B3282">
        <v>46</v>
      </c>
      <c r="C3282">
        <v>0</v>
      </c>
      <c r="D3282">
        <v>0</v>
      </c>
      <c r="E3282">
        <v>0</v>
      </c>
      <c r="F3282">
        <v>0</v>
      </c>
    </row>
    <row r="3283" spans="1:6" x14ac:dyDescent="0.25">
      <c r="A3283">
        <v>3282</v>
      </c>
      <c r="B3283">
        <v>2</v>
      </c>
      <c r="C3283">
        <v>0</v>
      </c>
      <c r="D3283">
        <v>0</v>
      </c>
      <c r="E3283">
        <v>0</v>
      </c>
      <c r="F3283">
        <v>34.406999999999996</v>
      </c>
    </row>
    <row r="3284" spans="1:6" x14ac:dyDescent="0.25">
      <c r="A3284">
        <v>3283</v>
      </c>
      <c r="B3284">
        <v>10</v>
      </c>
      <c r="C3284">
        <v>1</v>
      </c>
      <c r="D3284">
        <v>0</v>
      </c>
      <c r="E3284">
        <v>0</v>
      </c>
      <c r="F3284">
        <v>34715</v>
      </c>
    </row>
    <row r="3285" spans="1:6" x14ac:dyDescent="0.25">
      <c r="A3285">
        <v>3284</v>
      </c>
      <c r="B3285">
        <v>13</v>
      </c>
      <c r="C3285">
        <v>0</v>
      </c>
      <c r="D3285">
        <v>0</v>
      </c>
      <c r="E3285">
        <v>0</v>
      </c>
      <c r="F3285">
        <v>1602</v>
      </c>
    </row>
    <row r="3286" spans="1:6" x14ac:dyDescent="0.25">
      <c r="A3286">
        <v>3285</v>
      </c>
      <c r="B3286">
        <v>41</v>
      </c>
      <c r="C3286">
        <v>0</v>
      </c>
      <c r="D3286">
        <v>0</v>
      </c>
      <c r="E3286">
        <v>0</v>
      </c>
      <c r="F3286">
        <v>1</v>
      </c>
    </row>
    <row r="3287" spans="1:6" x14ac:dyDescent="0.25">
      <c r="A3287">
        <v>3286</v>
      </c>
      <c r="B3287">
        <v>42</v>
      </c>
      <c r="C3287">
        <v>0</v>
      </c>
      <c r="D3287">
        <v>0</v>
      </c>
      <c r="E3287">
        <v>0</v>
      </c>
      <c r="F3287">
        <v>0.2</v>
      </c>
    </row>
    <row r="3288" spans="1:6" x14ac:dyDescent="0.25">
      <c r="A3288">
        <v>3287</v>
      </c>
      <c r="B3288">
        <v>43</v>
      </c>
      <c r="C3288">
        <v>0</v>
      </c>
      <c r="D3288">
        <v>0</v>
      </c>
      <c r="E3288">
        <v>0</v>
      </c>
      <c r="F3288">
        <v>0</v>
      </c>
    </row>
    <row r="3289" spans="1:6" x14ac:dyDescent="0.25">
      <c r="A3289">
        <v>3288</v>
      </c>
      <c r="B3289">
        <v>44</v>
      </c>
      <c r="C3289">
        <v>0</v>
      </c>
      <c r="D3289">
        <v>0</v>
      </c>
      <c r="E3289">
        <v>0</v>
      </c>
      <c r="F3289">
        <v>21.8005</v>
      </c>
    </row>
    <row r="3290" spans="1:6" x14ac:dyDescent="0.25">
      <c r="A3290">
        <v>3289</v>
      </c>
      <c r="B3290">
        <v>45</v>
      </c>
      <c r="C3290">
        <v>0</v>
      </c>
      <c r="D3290">
        <v>0</v>
      </c>
      <c r="E3290">
        <v>0</v>
      </c>
      <c r="F3290">
        <v>4400</v>
      </c>
    </row>
    <row r="3291" spans="1:6" x14ac:dyDescent="0.25">
      <c r="A3291">
        <v>3290</v>
      </c>
      <c r="B3291">
        <v>46</v>
      </c>
      <c r="C3291">
        <v>0</v>
      </c>
      <c r="D3291">
        <v>0</v>
      </c>
      <c r="E3291">
        <v>0</v>
      </c>
      <c r="F3291">
        <v>0</v>
      </c>
    </row>
    <row r="3292" spans="1:6" x14ac:dyDescent="0.25">
      <c r="A3292">
        <v>3291</v>
      </c>
      <c r="B3292" t="s">
        <v>0</v>
      </c>
      <c r="C3292">
        <v>17</v>
      </c>
      <c r="D3292">
        <v>3483</v>
      </c>
      <c r="E3292">
        <v>79943724</v>
      </c>
    </row>
    <row r="3293" spans="1:6" x14ac:dyDescent="0.25">
      <c r="A3293">
        <v>3292</v>
      </c>
      <c r="B3293">
        <v>2</v>
      </c>
      <c r="C3293">
        <v>0</v>
      </c>
      <c r="D3293">
        <v>0</v>
      </c>
      <c r="E3293">
        <v>0</v>
      </c>
      <c r="F3293">
        <v>34.406500000000001</v>
      </c>
    </row>
    <row r="3294" spans="1:6" x14ac:dyDescent="0.25">
      <c r="A3294">
        <v>3293</v>
      </c>
      <c r="B3294">
        <v>10</v>
      </c>
      <c r="C3294">
        <v>1</v>
      </c>
      <c r="D3294">
        <v>0</v>
      </c>
      <c r="E3294">
        <v>0</v>
      </c>
      <c r="F3294">
        <v>34715</v>
      </c>
    </row>
    <row r="3295" spans="1:6" x14ac:dyDescent="0.25">
      <c r="A3295">
        <v>3294</v>
      </c>
      <c r="B3295">
        <v>13</v>
      </c>
      <c r="C3295">
        <v>0</v>
      </c>
      <c r="D3295">
        <v>0</v>
      </c>
      <c r="E3295">
        <v>0</v>
      </c>
      <c r="F3295">
        <v>1602</v>
      </c>
    </row>
    <row r="3296" spans="1:6" x14ac:dyDescent="0.25">
      <c r="A3296">
        <v>3295</v>
      </c>
      <c r="B3296">
        <v>41</v>
      </c>
      <c r="C3296">
        <v>0</v>
      </c>
      <c r="D3296">
        <v>0</v>
      </c>
      <c r="E3296">
        <v>0</v>
      </c>
      <c r="F3296">
        <v>1</v>
      </c>
    </row>
    <row r="3297" spans="1:6" x14ac:dyDescent="0.25">
      <c r="A3297">
        <v>3296</v>
      </c>
      <c r="B3297">
        <v>42</v>
      </c>
      <c r="C3297">
        <v>0</v>
      </c>
      <c r="D3297">
        <v>0</v>
      </c>
      <c r="E3297">
        <v>0</v>
      </c>
      <c r="F3297">
        <v>0.2</v>
      </c>
    </row>
    <row r="3298" spans="1:6" x14ac:dyDescent="0.25">
      <c r="A3298">
        <v>3297</v>
      </c>
      <c r="B3298">
        <v>43</v>
      </c>
      <c r="C3298">
        <v>0</v>
      </c>
      <c r="D3298">
        <v>0</v>
      </c>
      <c r="E3298">
        <v>0</v>
      </c>
      <c r="F3298">
        <v>0</v>
      </c>
    </row>
    <row r="3299" spans="1:6" x14ac:dyDescent="0.25">
      <c r="A3299">
        <v>3298</v>
      </c>
      <c r="B3299">
        <v>44</v>
      </c>
      <c r="C3299">
        <v>0</v>
      </c>
      <c r="D3299">
        <v>0</v>
      </c>
      <c r="E3299">
        <v>0</v>
      </c>
      <c r="F3299">
        <v>22.050999999999998</v>
      </c>
    </row>
    <row r="3300" spans="1:6" x14ac:dyDescent="0.25">
      <c r="A3300">
        <v>3299</v>
      </c>
      <c r="B3300">
        <v>45</v>
      </c>
      <c r="C3300">
        <v>0</v>
      </c>
      <c r="D3300">
        <v>0</v>
      </c>
      <c r="E3300">
        <v>0</v>
      </c>
      <c r="F3300">
        <v>4400</v>
      </c>
    </row>
    <row r="3301" spans="1:6" x14ac:dyDescent="0.25">
      <c r="A3301">
        <v>3300</v>
      </c>
      <c r="B3301">
        <v>46</v>
      </c>
      <c r="C3301">
        <v>0</v>
      </c>
      <c r="D3301">
        <v>0</v>
      </c>
      <c r="E3301">
        <v>0</v>
      </c>
      <c r="F3301">
        <v>0</v>
      </c>
    </row>
    <row r="3302" spans="1:6" x14ac:dyDescent="0.25">
      <c r="A3302">
        <v>3301</v>
      </c>
      <c r="B3302">
        <v>2</v>
      </c>
      <c r="C3302">
        <v>0</v>
      </c>
      <c r="D3302">
        <v>0</v>
      </c>
      <c r="E3302">
        <v>0</v>
      </c>
      <c r="F3302">
        <v>34.406500000000001</v>
      </c>
    </row>
    <row r="3303" spans="1:6" x14ac:dyDescent="0.25">
      <c r="A3303">
        <v>3302</v>
      </c>
      <c r="B3303">
        <v>10</v>
      </c>
      <c r="C3303">
        <v>1</v>
      </c>
      <c r="D3303">
        <v>0</v>
      </c>
      <c r="E3303">
        <v>0</v>
      </c>
      <c r="F3303">
        <v>34715</v>
      </c>
    </row>
    <row r="3304" spans="1:6" x14ac:dyDescent="0.25">
      <c r="A3304">
        <v>3303</v>
      </c>
      <c r="B3304">
        <v>13</v>
      </c>
      <c r="C3304">
        <v>0</v>
      </c>
      <c r="D3304">
        <v>0</v>
      </c>
      <c r="E3304">
        <v>0</v>
      </c>
      <c r="F3304">
        <v>1602</v>
      </c>
    </row>
    <row r="3305" spans="1:6" x14ac:dyDescent="0.25">
      <c r="A3305">
        <v>3304</v>
      </c>
      <c r="B3305">
        <v>41</v>
      </c>
      <c r="C3305">
        <v>0</v>
      </c>
      <c r="D3305">
        <v>0</v>
      </c>
      <c r="E3305">
        <v>0</v>
      </c>
      <c r="F3305">
        <v>1</v>
      </c>
    </row>
    <row r="3306" spans="1:6" x14ac:dyDescent="0.25">
      <c r="A3306">
        <v>3305</v>
      </c>
      <c r="B3306">
        <v>42</v>
      </c>
      <c r="C3306">
        <v>0</v>
      </c>
      <c r="D3306">
        <v>0</v>
      </c>
      <c r="E3306">
        <v>0</v>
      </c>
      <c r="F3306">
        <v>0.2</v>
      </c>
    </row>
    <row r="3307" spans="1:6" x14ac:dyDescent="0.25">
      <c r="A3307">
        <v>3306</v>
      </c>
      <c r="B3307">
        <v>43</v>
      </c>
      <c r="C3307">
        <v>0</v>
      </c>
      <c r="D3307">
        <v>0</v>
      </c>
      <c r="E3307">
        <v>0</v>
      </c>
      <c r="F3307">
        <v>0</v>
      </c>
    </row>
    <row r="3308" spans="1:6" x14ac:dyDescent="0.25">
      <c r="A3308">
        <v>3307</v>
      </c>
      <c r="B3308">
        <v>44</v>
      </c>
      <c r="C3308">
        <v>0</v>
      </c>
      <c r="D3308">
        <v>0</v>
      </c>
      <c r="E3308">
        <v>0</v>
      </c>
      <c r="F3308">
        <v>22.276299999999999</v>
      </c>
    </row>
    <row r="3309" spans="1:6" x14ac:dyDescent="0.25">
      <c r="A3309">
        <v>3308</v>
      </c>
      <c r="B3309">
        <v>45</v>
      </c>
      <c r="C3309">
        <v>0</v>
      </c>
      <c r="D3309">
        <v>0</v>
      </c>
      <c r="E3309">
        <v>0</v>
      </c>
      <c r="F3309">
        <v>4400</v>
      </c>
    </row>
    <row r="3310" spans="1:6" x14ac:dyDescent="0.25">
      <c r="A3310">
        <v>3309</v>
      </c>
      <c r="B3310">
        <v>46</v>
      </c>
      <c r="C3310">
        <v>0</v>
      </c>
      <c r="D3310">
        <v>0</v>
      </c>
      <c r="E3310">
        <v>0</v>
      </c>
      <c r="F3310">
        <v>0</v>
      </c>
    </row>
    <row r="3311" spans="1:6" x14ac:dyDescent="0.25">
      <c r="A3311">
        <v>3310</v>
      </c>
      <c r="B3311">
        <v>2</v>
      </c>
      <c r="C3311">
        <v>0</v>
      </c>
      <c r="D3311">
        <v>0</v>
      </c>
      <c r="E3311">
        <v>0</v>
      </c>
      <c r="F3311">
        <v>34.406199999999998</v>
      </c>
    </row>
    <row r="3312" spans="1:6" x14ac:dyDescent="0.25">
      <c r="A3312">
        <v>3311</v>
      </c>
      <c r="B3312">
        <v>10</v>
      </c>
      <c r="C3312">
        <v>1</v>
      </c>
      <c r="D3312">
        <v>0</v>
      </c>
      <c r="E3312">
        <v>0</v>
      </c>
      <c r="F3312">
        <v>34715</v>
      </c>
    </row>
    <row r="3313" spans="1:6" x14ac:dyDescent="0.25">
      <c r="A3313">
        <v>3312</v>
      </c>
      <c r="B3313">
        <v>13</v>
      </c>
      <c r="C3313">
        <v>0</v>
      </c>
      <c r="D3313">
        <v>0</v>
      </c>
      <c r="E3313">
        <v>0</v>
      </c>
      <c r="F3313">
        <v>1602</v>
      </c>
    </row>
    <row r="3314" spans="1:6" x14ac:dyDescent="0.25">
      <c r="A3314">
        <v>3313</v>
      </c>
      <c r="B3314">
        <v>41</v>
      </c>
      <c r="C3314">
        <v>0</v>
      </c>
      <c r="D3314">
        <v>0</v>
      </c>
      <c r="E3314">
        <v>0</v>
      </c>
      <c r="F3314">
        <v>1</v>
      </c>
    </row>
    <row r="3315" spans="1:6" x14ac:dyDescent="0.25">
      <c r="A3315">
        <v>3314</v>
      </c>
      <c r="B3315">
        <v>42</v>
      </c>
      <c r="C3315">
        <v>0</v>
      </c>
      <c r="D3315">
        <v>0</v>
      </c>
      <c r="E3315">
        <v>0</v>
      </c>
      <c r="F3315">
        <v>0.2</v>
      </c>
    </row>
    <row r="3316" spans="1:6" x14ac:dyDescent="0.25">
      <c r="A3316">
        <v>3315</v>
      </c>
      <c r="B3316">
        <v>43</v>
      </c>
      <c r="C3316">
        <v>0</v>
      </c>
      <c r="D3316">
        <v>0</v>
      </c>
      <c r="E3316">
        <v>0</v>
      </c>
      <c r="F3316">
        <v>0</v>
      </c>
    </row>
    <row r="3317" spans="1:6" x14ac:dyDescent="0.25">
      <c r="A3317">
        <v>3316</v>
      </c>
      <c r="B3317">
        <v>44</v>
      </c>
      <c r="C3317">
        <v>0</v>
      </c>
      <c r="D3317">
        <v>0</v>
      </c>
      <c r="E3317">
        <v>0</v>
      </c>
      <c r="F3317">
        <v>22.276299999999999</v>
      </c>
    </row>
    <row r="3318" spans="1:6" x14ac:dyDescent="0.25">
      <c r="A3318">
        <v>3317</v>
      </c>
      <c r="B3318">
        <v>45</v>
      </c>
      <c r="C3318">
        <v>0</v>
      </c>
      <c r="D3318">
        <v>0</v>
      </c>
      <c r="E3318">
        <v>0</v>
      </c>
      <c r="F3318">
        <v>4400</v>
      </c>
    </row>
    <row r="3319" spans="1:6" x14ac:dyDescent="0.25">
      <c r="A3319">
        <v>3318</v>
      </c>
      <c r="B3319">
        <v>46</v>
      </c>
      <c r="C3319">
        <v>0</v>
      </c>
      <c r="D3319">
        <v>0</v>
      </c>
      <c r="E3319">
        <v>0</v>
      </c>
      <c r="F3319">
        <v>0</v>
      </c>
    </row>
    <row r="3320" spans="1:6" x14ac:dyDescent="0.25">
      <c r="A3320">
        <v>3319</v>
      </c>
      <c r="B3320">
        <v>2</v>
      </c>
      <c r="C3320">
        <v>0</v>
      </c>
      <c r="D3320">
        <v>0</v>
      </c>
      <c r="E3320">
        <v>0</v>
      </c>
      <c r="F3320">
        <v>34.406199999999998</v>
      </c>
    </row>
    <row r="3321" spans="1:6" x14ac:dyDescent="0.25">
      <c r="A3321">
        <v>3320</v>
      </c>
      <c r="B3321">
        <v>10</v>
      </c>
      <c r="C3321">
        <v>1</v>
      </c>
      <c r="D3321">
        <v>0</v>
      </c>
      <c r="E3321">
        <v>0</v>
      </c>
      <c r="F3321">
        <v>34715</v>
      </c>
    </row>
    <row r="3322" spans="1:6" x14ac:dyDescent="0.25">
      <c r="A3322">
        <v>3321</v>
      </c>
      <c r="B3322" t="s">
        <v>0</v>
      </c>
      <c r="C3322">
        <v>19</v>
      </c>
      <c r="D3322">
        <v>3483</v>
      </c>
      <c r="E3322">
        <v>79945659</v>
      </c>
    </row>
    <row r="3323" spans="1:6" x14ac:dyDescent="0.25">
      <c r="A3323">
        <v>3322</v>
      </c>
      <c r="B3323">
        <v>13</v>
      </c>
      <c r="C3323">
        <v>0</v>
      </c>
      <c r="D3323">
        <v>0</v>
      </c>
      <c r="E3323">
        <v>0</v>
      </c>
      <c r="F3323">
        <v>1602</v>
      </c>
    </row>
    <row r="3324" spans="1:6" x14ac:dyDescent="0.25">
      <c r="A3324">
        <v>3323</v>
      </c>
      <c r="B3324">
        <v>41</v>
      </c>
      <c r="C3324">
        <v>0</v>
      </c>
      <c r="D3324">
        <v>0</v>
      </c>
      <c r="E3324">
        <v>0</v>
      </c>
      <c r="F3324">
        <v>1</v>
      </c>
    </row>
    <row r="3325" spans="1:6" x14ac:dyDescent="0.25">
      <c r="A3325">
        <v>3324</v>
      </c>
      <c r="B3325">
        <v>42</v>
      </c>
      <c r="C3325">
        <v>0</v>
      </c>
      <c r="D3325">
        <v>0</v>
      </c>
      <c r="E3325">
        <v>0</v>
      </c>
      <c r="F3325">
        <v>0.2</v>
      </c>
    </row>
    <row r="3326" spans="1:6" x14ac:dyDescent="0.25">
      <c r="A3326">
        <v>3325</v>
      </c>
      <c r="B3326">
        <v>43</v>
      </c>
      <c r="C3326">
        <v>0</v>
      </c>
      <c r="D3326">
        <v>0</v>
      </c>
      <c r="E3326">
        <v>0</v>
      </c>
      <c r="F3326">
        <v>0</v>
      </c>
    </row>
    <row r="3327" spans="1:6" x14ac:dyDescent="0.25">
      <c r="A3327">
        <v>3326</v>
      </c>
      <c r="B3327">
        <v>44</v>
      </c>
      <c r="C3327">
        <v>0</v>
      </c>
      <c r="D3327">
        <v>0</v>
      </c>
      <c r="E3327">
        <v>0</v>
      </c>
      <c r="F3327">
        <v>22.526199999999999</v>
      </c>
    </row>
    <row r="3328" spans="1:6" x14ac:dyDescent="0.25">
      <c r="A3328">
        <v>3327</v>
      </c>
      <c r="B3328">
        <v>45</v>
      </c>
      <c r="C3328">
        <v>0</v>
      </c>
      <c r="D3328">
        <v>0</v>
      </c>
      <c r="E3328">
        <v>0</v>
      </c>
      <c r="F3328">
        <v>4400</v>
      </c>
    </row>
    <row r="3329" spans="1:6" x14ac:dyDescent="0.25">
      <c r="A3329">
        <v>3328</v>
      </c>
      <c r="B3329">
        <v>46</v>
      </c>
      <c r="C3329">
        <v>0</v>
      </c>
      <c r="D3329">
        <v>0</v>
      </c>
      <c r="E3329">
        <v>0</v>
      </c>
      <c r="F3329">
        <v>0</v>
      </c>
    </row>
    <row r="3330" spans="1:6" x14ac:dyDescent="0.25">
      <c r="A3330">
        <v>3329</v>
      </c>
      <c r="B3330">
        <v>2</v>
      </c>
      <c r="C3330">
        <v>0</v>
      </c>
      <c r="D3330">
        <v>0</v>
      </c>
      <c r="E3330">
        <v>0</v>
      </c>
      <c r="F3330">
        <v>34.406300000000002</v>
      </c>
    </row>
    <row r="3331" spans="1:6" x14ac:dyDescent="0.25">
      <c r="A3331">
        <v>3330</v>
      </c>
      <c r="B3331">
        <v>10</v>
      </c>
      <c r="C3331">
        <v>1</v>
      </c>
      <c r="D3331">
        <v>0</v>
      </c>
      <c r="E3331">
        <v>0</v>
      </c>
      <c r="F3331">
        <v>34715</v>
      </c>
    </row>
    <row r="3332" spans="1:6" x14ac:dyDescent="0.25">
      <c r="A3332">
        <v>3331</v>
      </c>
      <c r="B3332">
        <v>13</v>
      </c>
      <c r="C3332">
        <v>0</v>
      </c>
      <c r="D3332">
        <v>0</v>
      </c>
      <c r="E3332">
        <v>0</v>
      </c>
      <c r="F3332">
        <v>1602</v>
      </c>
    </row>
    <row r="3333" spans="1:6" x14ac:dyDescent="0.25">
      <c r="A3333">
        <v>3332</v>
      </c>
      <c r="B3333">
        <v>41</v>
      </c>
      <c r="C3333">
        <v>0</v>
      </c>
      <c r="D3333">
        <v>0</v>
      </c>
      <c r="E3333">
        <v>0</v>
      </c>
      <c r="F3333">
        <v>1</v>
      </c>
    </row>
    <row r="3334" spans="1:6" x14ac:dyDescent="0.25">
      <c r="A3334">
        <v>3333</v>
      </c>
      <c r="B3334">
        <v>42</v>
      </c>
      <c r="C3334">
        <v>0</v>
      </c>
      <c r="D3334">
        <v>0</v>
      </c>
      <c r="E3334">
        <v>0</v>
      </c>
      <c r="F3334">
        <v>0.2</v>
      </c>
    </row>
    <row r="3335" spans="1:6" x14ac:dyDescent="0.25">
      <c r="A3335">
        <v>3334</v>
      </c>
      <c r="B3335">
        <v>43</v>
      </c>
      <c r="C3335">
        <v>0</v>
      </c>
      <c r="D3335">
        <v>0</v>
      </c>
      <c r="E3335">
        <v>0</v>
      </c>
      <c r="F3335">
        <v>0</v>
      </c>
    </row>
    <row r="3336" spans="1:6" x14ac:dyDescent="0.25">
      <c r="A3336">
        <v>3335</v>
      </c>
      <c r="B3336">
        <v>44</v>
      </c>
      <c r="C3336">
        <v>0</v>
      </c>
      <c r="D3336">
        <v>0</v>
      </c>
      <c r="E3336">
        <v>0</v>
      </c>
      <c r="F3336">
        <v>22.526199999999999</v>
      </c>
    </row>
    <row r="3337" spans="1:6" x14ac:dyDescent="0.25">
      <c r="A3337">
        <v>3336</v>
      </c>
      <c r="B3337" t="s">
        <v>0</v>
      </c>
      <c r="C3337">
        <v>20</v>
      </c>
      <c r="D3337">
        <v>3483</v>
      </c>
      <c r="E3337">
        <v>79946626</v>
      </c>
    </row>
    <row r="3338" spans="1:6" x14ac:dyDescent="0.25">
      <c r="A3338">
        <v>3337</v>
      </c>
      <c r="B3338">
        <v>46</v>
      </c>
      <c r="C3338">
        <v>0</v>
      </c>
      <c r="D3338">
        <v>0</v>
      </c>
      <c r="E3338">
        <v>0</v>
      </c>
      <c r="F3338">
        <v>0</v>
      </c>
    </row>
    <row r="3339" spans="1:6" x14ac:dyDescent="0.25">
      <c r="A3339">
        <v>3338</v>
      </c>
      <c r="B3339">
        <v>2</v>
      </c>
      <c r="C3339">
        <v>0</v>
      </c>
      <c r="D3339">
        <v>0</v>
      </c>
      <c r="E3339">
        <v>0</v>
      </c>
      <c r="F3339">
        <v>34.4071</v>
      </c>
    </row>
    <row r="3340" spans="1:6" x14ac:dyDescent="0.25">
      <c r="A3340">
        <v>3339</v>
      </c>
      <c r="B3340">
        <v>10</v>
      </c>
      <c r="C3340">
        <v>1</v>
      </c>
      <c r="D3340">
        <v>0</v>
      </c>
      <c r="E3340">
        <v>0</v>
      </c>
      <c r="F3340">
        <v>34715</v>
      </c>
    </row>
    <row r="3341" spans="1:6" x14ac:dyDescent="0.25">
      <c r="A3341">
        <v>3340</v>
      </c>
      <c r="B3341">
        <v>13</v>
      </c>
      <c r="C3341">
        <v>0</v>
      </c>
      <c r="D3341">
        <v>0</v>
      </c>
      <c r="E3341">
        <v>0</v>
      </c>
      <c r="F3341">
        <v>1602</v>
      </c>
    </row>
    <row r="3342" spans="1:6" x14ac:dyDescent="0.25">
      <c r="A3342">
        <v>3341</v>
      </c>
      <c r="B3342">
        <v>41</v>
      </c>
      <c r="C3342">
        <v>0</v>
      </c>
      <c r="D3342">
        <v>0</v>
      </c>
      <c r="E3342">
        <v>0</v>
      </c>
      <c r="F3342">
        <v>1</v>
      </c>
    </row>
    <row r="3343" spans="1:6" x14ac:dyDescent="0.25">
      <c r="A3343">
        <v>3342</v>
      </c>
      <c r="B3343">
        <v>42</v>
      </c>
      <c r="C3343">
        <v>0</v>
      </c>
      <c r="D3343">
        <v>0</v>
      </c>
      <c r="E3343">
        <v>0</v>
      </c>
      <c r="F3343">
        <v>0.2</v>
      </c>
    </row>
    <row r="3344" spans="1:6" x14ac:dyDescent="0.25">
      <c r="A3344">
        <v>3343</v>
      </c>
      <c r="B3344">
        <v>43</v>
      </c>
      <c r="C3344">
        <v>0</v>
      </c>
      <c r="D3344">
        <v>0</v>
      </c>
      <c r="E3344">
        <v>0</v>
      </c>
      <c r="F3344">
        <v>0</v>
      </c>
    </row>
    <row r="3345" spans="1:6" x14ac:dyDescent="0.25">
      <c r="A3345">
        <v>3344</v>
      </c>
      <c r="B3345">
        <v>44</v>
      </c>
      <c r="C3345">
        <v>0</v>
      </c>
      <c r="D3345">
        <v>0</v>
      </c>
      <c r="E3345">
        <v>0</v>
      </c>
      <c r="F3345">
        <v>22.775400000000001</v>
      </c>
    </row>
    <row r="3346" spans="1:6" x14ac:dyDescent="0.25">
      <c r="A3346">
        <v>3345</v>
      </c>
      <c r="B3346">
        <v>45</v>
      </c>
      <c r="C3346">
        <v>0</v>
      </c>
      <c r="D3346">
        <v>0</v>
      </c>
      <c r="E3346">
        <v>0</v>
      </c>
      <c r="F3346">
        <v>4400</v>
      </c>
    </row>
    <row r="3347" spans="1:6" x14ac:dyDescent="0.25">
      <c r="A3347">
        <v>3346</v>
      </c>
      <c r="B3347">
        <v>46</v>
      </c>
      <c r="C3347">
        <v>0</v>
      </c>
      <c r="D3347">
        <v>0</v>
      </c>
      <c r="E3347">
        <v>0</v>
      </c>
      <c r="F3347">
        <v>0</v>
      </c>
    </row>
    <row r="3348" spans="1:6" x14ac:dyDescent="0.25">
      <c r="A3348">
        <v>3347</v>
      </c>
      <c r="B3348">
        <v>2</v>
      </c>
      <c r="C3348">
        <v>0</v>
      </c>
      <c r="D3348">
        <v>0</v>
      </c>
      <c r="E3348">
        <v>0</v>
      </c>
      <c r="F3348">
        <v>34.4071</v>
      </c>
    </row>
    <row r="3349" spans="1:6" x14ac:dyDescent="0.25">
      <c r="A3349">
        <v>3348</v>
      </c>
      <c r="B3349">
        <v>10</v>
      </c>
      <c r="C3349">
        <v>1</v>
      </c>
      <c r="D3349">
        <v>0</v>
      </c>
      <c r="E3349">
        <v>0</v>
      </c>
      <c r="F3349">
        <v>34715</v>
      </c>
    </row>
    <row r="3350" spans="1:6" x14ac:dyDescent="0.25">
      <c r="A3350">
        <v>3349</v>
      </c>
      <c r="B3350">
        <v>13</v>
      </c>
      <c r="C3350">
        <v>0</v>
      </c>
      <c r="D3350">
        <v>0</v>
      </c>
      <c r="E3350">
        <v>0</v>
      </c>
      <c r="F3350">
        <v>1602</v>
      </c>
    </row>
    <row r="3351" spans="1:6" x14ac:dyDescent="0.25">
      <c r="A3351">
        <v>3350</v>
      </c>
      <c r="B3351">
        <v>41</v>
      </c>
      <c r="C3351">
        <v>0</v>
      </c>
      <c r="D3351">
        <v>0</v>
      </c>
      <c r="E3351">
        <v>0</v>
      </c>
      <c r="F3351">
        <v>1</v>
      </c>
    </row>
    <row r="3352" spans="1:6" x14ac:dyDescent="0.25">
      <c r="A3352">
        <v>3351</v>
      </c>
      <c r="B3352" t="s">
        <v>0</v>
      </c>
      <c r="C3352">
        <v>21</v>
      </c>
      <c r="D3352">
        <v>3483</v>
      </c>
      <c r="E3352">
        <v>79947594</v>
      </c>
    </row>
    <row r="3353" spans="1:6" x14ac:dyDescent="0.25">
      <c r="A3353">
        <v>3352</v>
      </c>
      <c r="B3353">
        <v>42</v>
      </c>
      <c r="C3353">
        <v>0</v>
      </c>
      <c r="D3353">
        <v>0</v>
      </c>
      <c r="E3353">
        <v>0</v>
      </c>
      <c r="F3353">
        <v>0.2</v>
      </c>
    </row>
    <row r="3354" spans="1:6" x14ac:dyDescent="0.25">
      <c r="A3354">
        <v>3353</v>
      </c>
      <c r="B3354">
        <v>43</v>
      </c>
      <c r="C3354">
        <v>0</v>
      </c>
      <c r="D3354">
        <v>0</v>
      </c>
      <c r="E3354">
        <v>0</v>
      </c>
      <c r="F3354">
        <v>0</v>
      </c>
    </row>
    <row r="3355" spans="1:6" x14ac:dyDescent="0.25">
      <c r="A3355">
        <v>3354</v>
      </c>
      <c r="B3355">
        <v>44</v>
      </c>
      <c r="C3355">
        <v>0</v>
      </c>
      <c r="D3355">
        <v>0</v>
      </c>
      <c r="E3355">
        <v>0</v>
      </c>
      <c r="F3355">
        <v>23.001100000000001</v>
      </c>
    </row>
    <row r="3356" spans="1:6" x14ac:dyDescent="0.25">
      <c r="A3356">
        <v>3355</v>
      </c>
      <c r="B3356">
        <v>45</v>
      </c>
      <c r="C3356">
        <v>0</v>
      </c>
      <c r="D3356">
        <v>0</v>
      </c>
      <c r="E3356">
        <v>0</v>
      </c>
      <c r="F3356">
        <v>4400</v>
      </c>
    </row>
    <row r="3357" spans="1:6" x14ac:dyDescent="0.25">
      <c r="A3357">
        <v>3356</v>
      </c>
      <c r="B3357">
        <v>46</v>
      </c>
      <c r="C3357">
        <v>0</v>
      </c>
      <c r="D3357">
        <v>0</v>
      </c>
      <c r="E3357">
        <v>0</v>
      </c>
      <c r="F3357">
        <v>0</v>
      </c>
    </row>
    <row r="3358" spans="1:6" x14ac:dyDescent="0.25">
      <c r="A3358">
        <v>3357</v>
      </c>
      <c r="B3358">
        <v>2</v>
      </c>
      <c r="C3358">
        <v>0</v>
      </c>
      <c r="D3358">
        <v>0</v>
      </c>
      <c r="E3358">
        <v>0</v>
      </c>
      <c r="F3358">
        <v>34.406399999999998</v>
      </c>
    </row>
    <row r="3359" spans="1:6" x14ac:dyDescent="0.25">
      <c r="A3359">
        <v>3358</v>
      </c>
      <c r="B3359">
        <v>10</v>
      </c>
      <c r="C3359">
        <v>1</v>
      </c>
      <c r="D3359">
        <v>0</v>
      </c>
      <c r="E3359">
        <v>0</v>
      </c>
      <c r="F3359">
        <v>34715</v>
      </c>
    </row>
    <row r="3360" spans="1:6" x14ac:dyDescent="0.25">
      <c r="A3360">
        <v>3359</v>
      </c>
      <c r="B3360">
        <v>13</v>
      </c>
      <c r="C3360">
        <v>0</v>
      </c>
      <c r="D3360">
        <v>0</v>
      </c>
      <c r="E3360">
        <v>0</v>
      </c>
      <c r="F3360">
        <v>1602</v>
      </c>
    </row>
    <row r="3361" spans="1:6" x14ac:dyDescent="0.25">
      <c r="A3361">
        <v>3360</v>
      </c>
      <c r="B3361">
        <v>41</v>
      </c>
      <c r="C3361">
        <v>0</v>
      </c>
      <c r="D3361">
        <v>0</v>
      </c>
      <c r="E3361">
        <v>0</v>
      </c>
      <c r="F3361">
        <v>1</v>
      </c>
    </row>
    <row r="3362" spans="1:6" x14ac:dyDescent="0.25">
      <c r="A3362">
        <v>3361</v>
      </c>
      <c r="B3362">
        <v>42</v>
      </c>
      <c r="C3362">
        <v>0</v>
      </c>
      <c r="D3362">
        <v>0</v>
      </c>
      <c r="E3362">
        <v>0</v>
      </c>
      <c r="F3362">
        <v>0.2</v>
      </c>
    </row>
    <row r="3363" spans="1:6" x14ac:dyDescent="0.25">
      <c r="A3363">
        <v>3362</v>
      </c>
      <c r="B3363">
        <v>43</v>
      </c>
      <c r="C3363">
        <v>0</v>
      </c>
      <c r="D3363">
        <v>0</v>
      </c>
      <c r="E3363">
        <v>0</v>
      </c>
      <c r="F3363">
        <v>0</v>
      </c>
    </row>
    <row r="3364" spans="1:6" x14ac:dyDescent="0.25">
      <c r="A3364">
        <v>3363</v>
      </c>
      <c r="B3364">
        <v>44</v>
      </c>
      <c r="C3364">
        <v>0</v>
      </c>
      <c r="D3364">
        <v>0</v>
      </c>
      <c r="E3364">
        <v>0</v>
      </c>
      <c r="F3364">
        <v>23.001100000000001</v>
      </c>
    </row>
    <row r="3365" spans="1:6" x14ac:dyDescent="0.25">
      <c r="A3365">
        <v>3364</v>
      </c>
      <c r="B3365">
        <v>45</v>
      </c>
      <c r="C3365">
        <v>0</v>
      </c>
      <c r="D3365">
        <v>0</v>
      </c>
      <c r="E3365">
        <v>0</v>
      </c>
      <c r="F3365">
        <v>4400</v>
      </c>
    </row>
    <row r="3366" spans="1:6" x14ac:dyDescent="0.25">
      <c r="A3366">
        <v>3365</v>
      </c>
      <c r="B3366">
        <v>46</v>
      </c>
      <c r="C3366">
        <v>0</v>
      </c>
      <c r="D3366">
        <v>0</v>
      </c>
      <c r="E3366">
        <v>0</v>
      </c>
      <c r="F3366">
        <v>0</v>
      </c>
    </row>
    <row r="3367" spans="1:6" x14ac:dyDescent="0.25">
      <c r="A3367">
        <v>3366</v>
      </c>
      <c r="B3367">
        <v>2</v>
      </c>
      <c r="C3367">
        <v>0</v>
      </c>
      <c r="D3367">
        <v>0</v>
      </c>
      <c r="E3367">
        <v>0</v>
      </c>
      <c r="F3367">
        <v>34.406399999999998</v>
      </c>
    </row>
    <row r="3368" spans="1:6" x14ac:dyDescent="0.25">
      <c r="A3368">
        <v>3367</v>
      </c>
      <c r="B3368">
        <v>10</v>
      </c>
      <c r="C3368">
        <v>1</v>
      </c>
      <c r="D3368">
        <v>0</v>
      </c>
      <c r="E3368">
        <v>0</v>
      </c>
      <c r="F3368">
        <v>34715</v>
      </c>
    </row>
    <row r="3369" spans="1:6" x14ac:dyDescent="0.25">
      <c r="A3369">
        <v>3368</v>
      </c>
      <c r="B3369">
        <v>13</v>
      </c>
      <c r="C3369">
        <v>0</v>
      </c>
      <c r="D3369">
        <v>0</v>
      </c>
      <c r="E3369">
        <v>0</v>
      </c>
      <c r="F3369">
        <v>1602</v>
      </c>
    </row>
    <row r="3370" spans="1:6" x14ac:dyDescent="0.25">
      <c r="A3370">
        <v>3369</v>
      </c>
      <c r="B3370">
        <v>41</v>
      </c>
      <c r="C3370">
        <v>0</v>
      </c>
      <c r="D3370">
        <v>0</v>
      </c>
      <c r="E3370">
        <v>0</v>
      </c>
      <c r="F3370">
        <v>1</v>
      </c>
    </row>
    <row r="3371" spans="1:6" x14ac:dyDescent="0.25">
      <c r="A3371">
        <v>3370</v>
      </c>
      <c r="B3371">
        <v>42</v>
      </c>
      <c r="C3371">
        <v>0</v>
      </c>
      <c r="D3371">
        <v>0</v>
      </c>
      <c r="E3371">
        <v>0</v>
      </c>
      <c r="F3371">
        <v>0.2</v>
      </c>
    </row>
    <row r="3372" spans="1:6" x14ac:dyDescent="0.25">
      <c r="A3372">
        <v>3371</v>
      </c>
      <c r="B3372">
        <v>43</v>
      </c>
      <c r="C3372">
        <v>0</v>
      </c>
      <c r="D3372">
        <v>0</v>
      </c>
      <c r="E3372">
        <v>0</v>
      </c>
      <c r="F3372">
        <v>0</v>
      </c>
    </row>
    <row r="3373" spans="1:6" x14ac:dyDescent="0.25">
      <c r="A3373">
        <v>3372</v>
      </c>
      <c r="B3373">
        <v>44</v>
      </c>
      <c r="C3373">
        <v>0</v>
      </c>
      <c r="D3373">
        <v>0</v>
      </c>
      <c r="E3373">
        <v>0</v>
      </c>
      <c r="F3373">
        <v>23.250900000000001</v>
      </c>
    </row>
    <row r="3374" spans="1:6" x14ac:dyDescent="0.25">
      <c r="A3374">
        <v>3373</v>
      </c>
      <c r="B3374">
        <v>45</v>
      </c>
      <c r="C3374">
        <v>0</v>
      </c>
      <c r="D3374">
        <v>0</v>
      </c>
      <c r="E3374">
        <v>0</v>
      </c>
      <c r="F3374">
        <v>4400</v>
      </c>
    </row>
    <row r="3375" spans="1:6" x14ac:dyDescent="0.25">
      <c r="A3375">
        <v>3374</v>
      </c>
      <c r="B3375">
        <v>46</v>
      </c>
      <c r="C3375">
        <v>0</v>
      </c>
      <c r="D3375">
        <v>0</v>
      </c>
      <c r="E3375">
        <v>0</v>
      </c>
      <c r="F3375">
        <v>0</v>
      </c>
    </row>
    <row r="3376" spans="1:6" x14ac:dyDescent="0.25">
      <c r="A3376">
        <v>3375</v>
      </c>
      <c r="B3376">
        <v>2</v>
      </c>
      <c r="C3376">
        <v>0</v>
      </c>
      <c r="D3376">
        <v>0</v>
      </c>
      <c r="E3376">
        <v>0</v>
      </c>
      <c r="F3376">
        <v>34.406599999999997</v>
      </c>
    </row>
    <row r="3377" spans="1:6" x14ac:dyDescent="0.25">
      <c r="A3377">
        <v>3376</v>
      </c>
      <c r="B3377">
        <v>10</v>
      </c>
      <c r="C3377">
        <v>1</v>
      </c>
      <c r="D3377">
        <v>0</v>
      </c>
      <c r="E3377">
        <v>0</v>
      </c>
      <c r="F3377">
        <v>34715</v>
      </c>
    </row>
    <row r="3378" spans="1:6" x14ac:dyDescent="0.25">
      <c r="A3378">
        <v>3377</v>
      </c>
      <c r="B3378">
        <v>13</v>
      </c>
      <c r="C3378">
        <v>0</v>
      </c>
      <c r="D3378">
        <v>0</v>
      </c>
      <c r="E3378">
        <v>0</v>
      </c>
      <c r="F3378">
        <v>1602</v>
      </c>
    </row>
    <row r="3379" spans="1:6" x14ac:dyDescent="0.25">
      <c r="A3379">
        <v>3378</v>
      </c>
      <c r="B3379">
        <v>41</v>
      </c>
      <c r="C3379">
        <v>0</v>
      </c>
      <c r="D3379">
        <v>0</v>
      </c>
      <c r="E3379">
        <v>0</v>
      </c>
      <c r="F3379">
        <v>1</v>
      </c>
    </row>
    <row r="3380" spans="1:6" x14ac:dyDescent="0.25">
      <c r="A3380">
        <v>3379</v>
      </c>
      <c r="B3380">
        <v>42</v>
      </c>
      <c r="C3380">
        <v>0</v>
      </c>
      <c r="D3380">
        <v>0</v>
      </c>
      <c r="E3380">
        <v>0</v>
      </c>
      <c r="F3380">
        <v>0.2</v>
      </c>
    </row>
    <row r="3381" spans="1:6" x14ac:dyDescent="0.25">
      <c r="A3381">
        <v>3380</v>
      </c>
      <c r="B3381">
        <v>43</v>
      </c>
      <c r="C3381">
        <v>0</v>
      </c>
      <c r="D3381">
        <v>0</v>
      </c>
      <c r="E3381">
        <v>0</v>
      </c>
      <c r="F3381">
        <v>0</v>
      </c>
    </row>
    <row r="3382" spans="1:6" x14ac:dyDescent="0.25">
      <c r="A3382">
        <v>3381</v>
      </c>
      <c r="B3382" t="s">
        <v>0</v>
      </c>
      <c r="C3382">
        <v>23</v>
      </c>
      <c r="D3382">
        <v>3483</v>
      </c>
      <c r="E3382">
        <v>79949530</v>
      </c>
    </row>
    <row r="3383" spans="1:6" x14ac:dyDescent="0.25">
      <c r="A3383">
        <v>3382</v>
      </c>
      <c r="B3383">
        <v>45</v>
      </c>
      <c r="C3383">
        <v>0</v>
      </c>
      <c r="D3383">
        <v>0</v>
      </c>
      <c r="E3383">
        <v>0</v>
      </c>
      <c r="F3383">
        <v>4400</v>
      </c>
    </row>
    <row r="3384" spans="1:6" x14ac:dyDescent="0.25">
      <c r="A3384">
        <v>3383</v>
      </c>
      <c r="B3384">
        <v>46</v>
      </c>
      <c r="C3384">
        <v>0</v>
      </c>
      <c r="D3384">
        <v>0</v>
      </c>
      <c r="E3384">
        <v>0</v>
      </c>
      <c r="F3384">
        <v>0</v>
      </c>
    </row>
    <row r="3385" spans="1:6" x14ac:dyDescent="0.25">
      <c r="A3385">
        <v>3384</v>
      </c>
      <c r="B3385">
        <v>2</v>
      </c>
      <c r="C3385">
        <v>0</v>
      </c>
      <c r="D3385">
        <v>0</v>
      </c>
      <c r="E3385">
        <v>0</v>
      </c>
      <c r="F3385">
        <v>34.4071</v>
      </c>
    </row>
    <row r="3386" spans="1:6" x14ac:dyDescent="0.25">
      <c r="A3386">
        <v>3385</v>
      </c>
      <c r="B3386">
        <v>10</v>
      </c>
      <c r="C3386">
        <v>1</v>
      </c>
      <c r="D3386">
        <v>0</v>
      </c>
      <c r="E3386">
        <v>0</v>
      </c>
      <c r="F3386">
        <v>34715</v>
      </c>
    </row>
    <row r="3387" spans="1:6" x14ac:dyDescent="0.25">
      <c r="A3387">
        <v>3386</v>
      </c>
      <c r="B3387">
        <v>13</v>
      </c>
      <c r="C3387">
        <v>0</v>
      </c>
      <c r="D3387">
        <v>0</v>
      </c>
      <c r="E3387">
        <v>0</v>
      </c>
      <c r="F3387">
        <v>1602</v>
      </c>
    </row>
    <row r="3388" spans="1:6" x14ac:dyDescent="0.25">
      <c r="A3388">
        <v>3387</v>
      </c>
      <c r="B3388">
        <v>41</v>
      </c>
      <c r="C3388">
        <v>0</v>
      </c>
      <c r="D3388">
        <v>0</v>
      </c>
      <c r="E3388">
        <v>0</v>
      </c>
      <c r="F3388">
        <v>1</v>
      </c>
    </row>
    <row r="3389" spans="1:6" x14ac:dyDescent="0.25">
      <c r="A3389">
        <v>3388</v>
      </c>
      <c r="B3389">
        <v>42</v>
      </c>
      <c r="C3389">
        <v>0</v>
      </c>
      <c r="D3389">
        <v>0</v>
      </c>
      <c r="E3389">
        <v>0</v>
      </c>
      <c r="F3389">
        <v>0.2</v>
      </c>
    </row>
    <row r="3390" spans="1:6" x14ac:dyDescent="0.25">
      <c r="A3390">
        <v>3389</v>
      </c>
      <c r="B3390">
        <v>43</v>
      </c>
      <c r="C3390">
        <v>0</v>
      </c>
      <c r="D3390">
        <v>0</v>
      </c>
      <c r="E3390">
        <v>0</v>
      </c>
      <c r="F3390">
        <v>0</v>
      </c>
    </row>
    <row r="3391" spans="1:6" x14ac:dyDescent="0.25">
      <c r="A3391">
        <v>3390</v>
      </c>
      <c r="B3391">
        <v>44</v>
      </c>
      <c r="C3391">
        <v>0</v>
      </c>
      <c r="D3391">
        <v>0</v>
      </c>
      <c r="E3391">
        <v>0</v>
      </c>
      <c r="F3391">
        <v>23.500499999999999</v>
      </c>
    </row>
    <row r="3392" spans="1:6" x14ac:dyDescent="0.25">
      <c r="A3392">
        <v>3391</v>
      </c>
      <c r="B3392">
        <v>45</v>
      </c>
      <c r="C3392">
        <v>0</v>
      </c>
      <c r="D3392">
        <v>0</v>
      </c>
      <c r="E3392">
        <v>0</v>
      </c>
      <c r="F3392">
        <v>4400</v>
      </c>
    </row>
    <row r="3393" spans="1:6" x14ac:dyDescent="0.25">
      <c r="A3393">
        <v>3392</v>
      </c>
      <c r="B3393">
        <v>46</v>
      </c>
      <c r="C3393">
        <v>0</v>
      </c>
      <c r="D3393">
        <v>0</v>
      </c>
      <c r="E3393">
        <v>0</v>
      </c>
      <c r="F3393">
        <v>0</v>
      </c>
    </row>
    <row r="3394" spans="1:6" x14ac:dyDescent="0.25">
      <c r="A3394">
        <v>3393</v>
      </c>
      <c r="B3394">
        <v>2</v>
      </c>
      <c r="C3394">
        <v>0</v>
      </c>
      <c r="D3394">
        <v>0</v>
      </c>
      <c r="E3394">
        <v>0</v>
      </c>
      <c r="F3394">
        <v>34.4071</v>
      </c>
    </row>
    <row r="3395" spans="1:6" x14ac:dyDescent="0.25">
      <c r="A3395">
        <v>3394</v>
      </c>
      <c r="B3395">
        <v>10</v>
      </c>
      <c r="C3395">
        <v>1</v>
      </c>
      <c r="D3395">
        <v>0</v>
      </c>
      <c r="E3395">
        <v>0</v>
      </c>
      <c r="F3395">
        <v>34715</v>
      </c>
    </row>
    <row r="3396" spans="1:6" x14ac:dyDescent="0.25">
      <c r="A3396">
        <v>3395</v>
      </c>
      <c r="B3396">
        <v>13</v>
      </c>
      <c r="C3396">
        <v>0</v>
      </c>
      <c r="D3396">
        <v>0</v>
      </c>
      <c r="E3396">
        <v>0</v>
      </c>
      <c r="F3396">
        <v>1602</v>
      </c>
    </row>
    <row r="3397" spans="1:6" x14ac:dyDescent="0.25">
      <c r="A3397">
        <v>3396</v>
      </c>
      <c r="B3397" t="s">
        <v>0</v>
      </c>
      <c r="C3397">
        <v>24</v>
      </c>
      <c r="D3397">
        <v>3483</v>
      </c>
      <c r="E3397">
        <v>79950499</v>
      </c>
    </row>
    <row r="3398" spans="1:6" x14ac:dyDescent="0.25">
      <c r="A3398">
        <v>3397</v>
      </c>
      <c r="B3398">
        <v>41</v>
      </c>
      <c r="C3398">
        <v>0</v>
      </c>
      <c r="D3398">
        <v>0</v>
      </c>
      <c r="E3398">
        <v>0</v>
      </c>
      <c r="F3398">
        <v>1</v>
      </c>
    </row>
    <row r="3399" spans="1:6" x14ac:dyDescent="0.25">
      <c r="A3399">
        <v>3398</v>
      </c>
      <c r="B3399">
        <v>42</v>
      </c>
      <c r="C3399">
        <v>0</v>
      </c>
      <c r="D3399">
        <v>0</v>
      </c>
      <c r="E3399">
        <v>0</v>
      </c>
      <c r="F3399">
        <v>0.2</v>
      </c>
    </row>
    <row r="3400" spans="1:6" x14ac:dyDescent="0.25">
      <c r="A3400">
        <v>3399</v>
      </c>
      <c r="B3400">
        <v>43</v>
      </c>
      <c r="C3400">
        <v>0</v>
      </c>
      <c r="D3400">
        <v>0</v>
      </c>
      <c r="E3400">
        <v>0</v>
      </c>
      <c r="F3400">
        <v>0</v>
      </c>
    </row>
    <row r="3401" spans="1:6" x14ac:dyDescent="0.25">
      <c r="A3401">
        <v>3400</v>
      </c>
      <c r="B3401">
        <v>44</v>
      </c>
      <c r="C3401">
        <v>0</v>
      </c>
      <c r="D3401">
        <v>0</v>
      </c>
      <c r="E3401">
        <v>0</v>
      </c>
      <c r="F3401">
        <v>23.726299999999998</v>
      </c>
    </row>
    <row r="3402" spans="1:6" x14ac:dyDescent="0.25">
      <c r="A3402">
        <v>3401</v>
      </c>
      <c r="B3402">
        <v>45</v>
      </c>
      <c r="C3402">
        <v>0</v>
      </c>
      <c r="D3402">
        <v>0</v>
      </c>
      <c r="E3402">
        <v>0</v>
      </c>
      <c r="F3402">
        <v>4400</v>
      </c>
    </row>
    <row r="3403" spans="1:6" x14ac:dyDescent="0.25">
      <c r="A3403">
        <v>3402</v>
      </c>
      <c r="B3403">
        <v>46</v>
      </c>
      <c r="C3403">
        <v>0</v>
      </c>
      <c r="D3403">
        <v>0</v>
      </c>
      <c r="E3403">
        <v>0</v>
      </c>
      <c r="F3403">
        <v>0</v>
      </c>
    </row>
    <row r="3404" spans="1:6" x14ac:dyDescent="0.25">
      <c r="A3404">
        <v>3403</v>
      </c>
      <c r="B3404">
        <v>2</v>
      </c>
      <c r="C3404">
        <v>0</v>
      </c>
      <c r="D3404">
        <v>0</v>
      </c>
      <c r="E3404">
        <v>0</v>
      </c>
      <c r="F3404">
        <v>34.406300000000002</v>
      </c>
    </row>
    <row r="3405" spans="1:6" x14ac:dyDescent="0.25">
      <c r="A3405">
        <v>3404</v>
      </c>
      <c r="B3405">
        <v>10</v>
      </c>
      <c r="C3405">
        <v>1</v>
      </c>
      <c r="D3405">
        <v>0</v>
      </c>
      <c r="E3405">
        <v>0</v>
      </c>
      <c r="F3405">
        <v>34715</v>
      </c>
    </row>
    <row r="3406" spans="1:6" x14ac:dyDescent="0.25">
      <c r="A3406">
        <v>3405</v>
      </c>
      <c r="B3406">
        <v>13</v>
      </c>
      <c r="C3406">
        <v>0</v>
      </c>
      <c r="D3406">
        <v>0</v>
      </c>
      <c r="E3406">
        <v>0</v>
      </c>
      <c r="F3406">
        <v>1602</v>
      </c>
    </row>
    <row r="3407" spans="1:6" x14ac:dyDescent="0.25">
      <c r="A3407">
        <v>3406</v>
      </c>
      <c r="B3407">
        <v>41</v>
      </c>
      <c r="C3407">
        <v>0</v>
      </c>
      <c r="D3407">
        <v>0</v>
      </c>
      <c r="E3407">
        <v>0</v>
      </c>
      <c r="F3407">
        <v>1</v>
      </c>
    </row>
    <row r="3408" spans="1:6" x14ac:dyDescent="0.25">
      <c r="A3408">
        <v>3407</v>
      </c>
      <c r="B3408">
        <v>42</v>
      </c>
      <c r="C3408">
        <v>0</v>
      </c>
      <c r="D3408">
        <v>0</v>
      </c>
      <c r="E3408">
        <v>0</v>
      </c>
      <c r="F3408">
        <v>0.2</v>
      </c>
    </row>
    <row r="3409" spans="1:6" x14ac:dyDescent="0.25">
      <c r="A3409">
        <v>3408</v>
      </c>
      <c r="B3409">
        <v>43</v>
      </c>
      <c r="C3409">
        <v>0</v>
      </c>
      <c r="D3409">
        <v>0</v>
      </c>
      <c r="E3409">
        <v>0</v>
      </c>
      <c r="F3409">
        <v>0</v>
      </c>
    </row>
    <row r="3410" spans="1:6" x14ac:dyDescent="0.25">
      <c r="A3410">
        <v>3409</v>
      </c>
      <c r="B3410">
        <v>44</v>
      </c>
      <c r="C3410">
        <v>0</v>
      </c>
      <c r="D3410">
        <v>0</v>
      </c>
      <c r="E3410">
        <v>0</v>
      </c>
      <c r="F3410">
        <v>23.726299999999998</v>
      </c>
    </row>
    <row r="3411" spans="1:6" x14ac:dyDescent="0.25">
      <c r="A3411">
        <v>3410</v>
      </c>
      <c r="B3411">
        <v>45</v>
      </c>
      <c r="C3411">
        <v>0</v>
      </c>
      <c r="D3411">
        <v>0</v>
      </c>
      <c r="E3411">
        <v>0</v>
      </c>
      <c r="F3411">
        <v>4400</v>
      </c>
    </row>
    <row r="3412" spans="1:6" x14ac:dyDescent="0.25">
      <c r="A3412">
        <v>3411</v>
      </c>
      <c r="B3412">
        <v>46</v>
      </c>
      <c r="C3412">
        <v>0</v>
      </c>
      <c r="D3412">
        <v>0</v>
      </c>
      <c r="E3412">
        <v>0</v>
      </c>
      <c r="F3412">
        <v>0</v>
      </c>
    </row>
    <row r="3413" spans="1:6" x14ac:dyDescent="0.25">
      <c r="A3413">
        <v>3412</v>
      </c>
      <c r="B3413">
        <v>2</v>
      </c>
      <c r="C3413">
        <v>0</v>
      </c>
      <c r="D3413">
        <v>0</v>
      </c>
      <c r="E3413">
        <v>0</v>
      </c>
      <c r="F3413">
        <v>34.406700000000001</v>
      </c>
    </row>
    <row r="3414" spans="1:6" x14ac:dyDescent="0.25">
      <c r="A3414">
        <v>3413</v>
      </c>
      <c r="B3414">
        <v>10</v>
      </c>
      <c r="C3414">
        <v>1</v>
      </c>
      <c r="D3414">
        <v>0</v>
      </c>
      <c r="E3414">
        <v>0</v>
      </c>
      <c r="F3414">
        <v>34715</v>
      </c>
    </row>
    <row r="3415" spans="1:6" x14ac:dyDescent="0.25">
      <c r="A3415">
        <v>3414</v>
      </c>
      <c r="B3415">
        <v>13</v>
      </c>
      <c r="C3415">
        <v>0</v>
      </c>
      <c r="D3415">
        <v>0</v>
      </c>
      <c r="E3415">
        <v>0</v>
      </c>
      <c r="F3415">
        <v>1602</v>
      </c>
    </row>
    <row r="3416" spans="1:6" x14ac:dyDescent="0.25">
      <c r="A3416">
        <v>3415</v>
      </c>
      <c r="B3416">
        <v>41</v>
      </c>
      <c r="C3416">
        <v>0</v>
      </c>
      <c r="D3416">
        <v>0</v>
      </c>
      <c r="E3416">
        <v>0</v>
      </c>
      <c r="F3416">
        <v>1</v>
      </c>
    </row>
    <row r="3417" spans="1:6" x14ac:dyDescent="0.25">
      <c r="A3417">
        <v>3416</v>
      </c>
      <c r="B3417">
        <v>42</v>
      </c>
      <c r="C3417">
        <v>0</v>
      </c>
      <c r="D3417">
        <v>0</v>
      </c>
      <c r="E3417">
        <v>0</v>
      </c>
      <c r="F3417">
        <v>0.2</v>
      </c>
    </row>
    <row r="3418" spans="1:6" x14ac:dyDescent="0.25">
      <c r="A3418">
        <v>3417</v>
      </c>
      <c r="B3418">
        <v>43</v>
      </c>
      <c r="C3418">
        <v>0</v>
      </c>
      <c r="D3418">
        <v>0</v>
      </c>
      <c r="E3418">
        <v>0</v>
      </c>
      <c r="F3418">
        <v>0</v>
      </c>
    </row>
    <row r="3419" spans="1:6" x14ac:dyDescent="0.25">
      <c r="A3419">
        <v>3418</v>
      </c>
      <c r="B3419">
        <v>44</v>
      </c>
      <c r="C3419">
        <v>0</v>
      </c>
      <c r="D3419">
        <v>0</v>
      </c>
      <c r="E3419">
        <v>0</v>
      </c>
      <c r="F3419">
        <v>23.975899999999999</v>
      </c>
    </row>
    <row r="3420" spans="1:6" x14ac:dyDescent="0.25">
      <c r="A3420">
        <v>3419</v>
      </c>
      <c r="B3420">
        <v>45</v>
      </c>
      <c r="C3420">
        <v>0</v>
      </c>
      <c r="D3420">
        <v>0</v>
      </c>
      <c r="E3420">
        <v>0</v>
      </c>
      <c r="F3420">
        <v>4400</v>
      </c>
    </row>
    <row r="3421" spans="1:6" x14ac:dyDescent="0.25">
      <c r="A3421">
        <v>3420</v>
      </c>
      <c r="B3421">
        <v>46</v>
      </c>
      <c r="C3421">
        <v>0</v>
      </c>
      <c r="D3421">
        <v>0</v>
      </c>
      <c r="E3421">
        <v>0</v>
      </c>
      <c r="F3421">
        <v>0</v>
      </c>
    </row>
    <row r="3422" spans="1:6" x14ac:dyDescent="0.25">
      <c r="A3422">
        <v>3421</v>
      </c>
      <c r="B3422">
        <v>2</v>
      </c>
      <c r="C3422">
        <v>0</v>
      </c>
      <c r="D3422">
        <v>0</v>
      </c>
      <c r="E3422">
        <v>0</v>
      </c>
      <c r="F3422">
        <v>34.406700000000001</v>
      </c>
    </row>
    <row r="3423" spans="1:6" x14ac:dyDescent="0.25">
      <c r="A3423">
        <v>3422</v>
      </c>
      <c r="B3423">
        <v>10</v>
      </c>
      <c r="C3423">
        <v>1</v>
      </c>
      <c r="D3423">
        <v>0</v>
      </c>
      <c r="E3423">
        <v>0</v>
      </c>
      <c r="F3423">
        <v>34715</v>
      </c>
    </row>
    <row r="3424" spans="1:6" x14ac:dyDescent="0.25">
      <c r="A3424">
        <v>3423</v>
      </c>
      <c r="B3424">
        <v>13</v>
      </c>
      <c r="C3424">
        <v>0</v>
      </c>
      <c r="D3424">
        <v>0</v>
      </c>
      <c r="E3424">
        <v>0</v>
      </c>
      <c r="F3424">
        <v>1602</v>
      </c>
    </row>
    <row r="3425" spans="1:6" x14ac:dyDescent="0.25">
      <c r="A3425">
        <v>3424</v>
      </c>
      <c r="B3425">
        <v>41</v>
      </c>
      <c r="C3425">
        <v>0</v>
      </c>
      <c r="D3425">
        <v>0</v>
      </c>
      <c r="E3425">
        <v>0</v>
      </c>
      <c r="F3425">
        <v>1</v>
      </c>
    </row>
    <row r="3426" spans="1:6" x14ac:dyDescent="0.25">
      <c r="A3426">
        <v>3425</v>
      </c>
      <c r="B3426">
        <v>42</v>
      </c>
      <c r="C3426">
        <v>0</v>
      </c>
      <c r="D3426">
        <v>0</v>
      </c>
      <c r="E3426">
        <v>0</v>
      </c>
      <c r="F3426">
        <v>0.2</v>
      </c>
    </row>
    <row r="3427" spans="1:6" x14ac:dyDescent="0.25">
      <c r="A3427">
        <v>3426</v>
      </c>
      <c r="B3427" t="s">
        <v>0</v>
      </c>
      <c r="C3427">
        <v>26</v>
      </c>
      <c r="D3427">
        <v>3483</v>
      </c>
      <c r="E3427">
        <v>79952435</v>
      </c>
    </row>
    <row r="3428" spans="1:6" x14ac:dyDescent="0.25">
      <c r="A3428">
        <v>3427</v>
      </c>
      <c r="B3428">
        <v>44</v>
      </c>
      <c r="C3428">
        <v>0</v>
      </c>
      <c r="D3428">
        <v>0</v>
      </c>
      <c r="E3428">
        <v>0</v>
      </c>
      <c r="F3428">
        <v>24.2257</v>
      </c>
    </row>
    <row r="3429" spans="1:6" x14ac:dyDescent="0.25">
      <c r="A3429">
        <v>3428</v>
      </c>
      <c r="B3429">
        <v>45</v>
      </c>
      <c r="C3429">
        <v>0</v>
      </c>
      <c r="D3429">
        <v>0</v>
      </c>
      <c r="E3429">
        <v>0</v>
      </c>
      <c r="F3429">
        <v>4400</v>
      </c>
    </row>
    <row r="3430" spans="1:6" x14ac:dyDescent="0.25">
      <c r="A3430">
        <v>3429</v>
      </c>
      <c r="B3430">
        <v>46</v>
      </c>
      <c r="C3430">
        <v>0</v>
      </c>
      <c r="D3430">
        <v>0</v>
      </c>
      <c r="E3430">
        <v>0</v>
      </c>
      <c r="F3430">
        <v>0</v>
      </c>
    </row>
    <row r="3431" spans="1:6" x14ac:dyDescent="0.25">
      <c r="A3431">
        <v>3430</v>
      </c>
      <c r="B3431">
        <v>2</v>
      </c>
      <c r="C3431">
        <v>0</v>
      </c>
      <c r="D3431">
        <v>0</v>
      </c>
      <c r="E3431">
        <v>0</v>
      </c>
      <c r="F3431">
        <v>34.4069</v>
      </c>
    </row>
    <row r="3432" spans="1:6" x14ac:dyDescent="0.25">
      <c r="A3432">
        <v>3431</v>
      </c>
      <c r="B3432">
        <v>10</v>
      </c>
      <c r="C3432">
        <v>1</v>
      </c>
      <c r="D3432">
        <v>0</v>
      </c>
      <c r="E3432">
        <v>0</v>
      </c>
      <c r="F3432">
        <v>34715</v>
      </c>
    </row>
    <row r="3433" spans="1:6" x14ac:dyDescent="0.25">
      <c r="A3433">
        <v>3432</v>
      </c>
      <c r="B3433">
        <v>13</v>
      </c>
      <c r="C3433">
        <v>0</v>
      </c>
      <c r="D3433">
        <v>0</v>
      </c>
      <c r="E3433">
        <v>0</v>
      </c>
      <c r="F3433">
        <v>1602</v>
      </c>
    </row>
    <row r="3434" spans="1:6" x14ac:dyDescent="0.25">
      <c r="A3434">
        <v>3433</v>
      </c>
      <c r="B3434">
        <v>41</v>
      </c>
      <c r="C3434">
        <v>0</v>
      </c>
      <c r="D3434">
        <v>0</v>
      </c>
      <c r="E3434">
        <v>0</v>
      </c>
      <c r="F3434">
        <v>1</v>
      </c>
    </row>
    <row r="3435" spans="1:6" x14ac:dyDescent="0.25">
      <c r="A3435">
        <v>3434</v>
      </c>
      <c r="B3435">
        <v>42</v>
      </c>
      <c r="C3435">
        <v>0</v>
      </c>
      <c r="D3435">
        <v>0</v>
      </c>
      <c r="E3435">
        <v>0</v>
      </c>
      <c r="F3435">
        <v>0.2</v>
      </c>
    </row>
    <row r="3436" spans="1:6" x14ac:dyDescent="0.25">
      <c r="A3436">
        <v>3435</v>
      </c>
      <c r="B3436">
        <v>43</v>
      </c>
      <c r="C3436">
        <v>0</v>
      </c>
      <c r="D3436">
        <v>0</v>
      </c>
      <c r="E3436">
        <v>0</v>
      </c>
      <c r="F3436">
        <v>0</v>
      </c>
    </row>
    <row r="3437" spans="1:6" x14ac:dyDescent="0.25">
      <c r="A3437">
        <v>3436</v>
      </c>
      <c r="B3437">
        <v>44</v>
      </c>
      <c r="C3437">
        <v>0</v>
      </c>
      <c r="D3437">
        <v>0</v>
      </c>
      <c r="E3437">
        <v>0</v>
      </c>
      <c r="F3437">
        <v>24.2257</v>
      </c>
    </row>
    <row r="3438" spans="1:6" x14ac:dyDescent="0.25">
      <c r="A3438">
        <v>3437</v>
      </c>
      <c r="B3438">
        <v>45</v>
      </c>
      <c r="C3438">
        <v>0</v>
      </c>
      <c r="D3438">
        <v>0</v>
      </c>
      <c r="E3438">
        <v>0</v>
      </c>
      <c r="F3438">
        <v>4400</v>
      </c>
    </row>
    <row r="3439" spans="1:6" x14ac:dyDescent="0.25">
      <c r="A3439">
        <v>3438</v>
      </c>
      <c r="B3439">
        <v>46</v>
      </c>
      <c r="C3439">
        <v>0</v>
      </c>
      <c r="D3439">
        <v>0</v>
      </c>
      <c r="E3439">
        <v>0</v>
      </c>
      <c r="F3439">
        <v>0</v>
      </c>
    </row>
    <row r="3440" spans="1:6" x14ac:dyDescent="0.25">
      <c r="A3440">
        <v>3439</v>
      </c>
      <c r="B3440">
        <v>2</v>
      </c>
      <c r="C3440">
        <v>0</v>
      </c>
      <c r="D3440">
        <v>0</v>
      </c>
      <c r="E3440">
        <v>0</v>
      </c>
      <c r="F3440">
        <v>34.4069</v>
      </c>
    </row>
    <row r="3441" spans="1:6" x14ac:dyDescent="0.25">
      <c r="A3441">
        <v>3440</v>
      </c>
      <c r="B3441">
        <v>10</v>
      </c>
      <c r="C3441">
        <v>1</v>
      </c>
      <c r="D3441">
        <v>0</v>
      </c>
      <c r="E3441">
        <v>0</v>
      </c>
      <c r="F3441">
        <v>34715</v>
      </c>
    </row>
    <row r="3442" spans="1:6" x14ac:dyDescent="0.25">
      <c r="A3442">
        <v>3441</v>
      </c>
      <c r="B3442" t="s">
        <v>0</v>
      </c>
      <c r="C3442">
        <v>27</v>
      </c>
      <c r="D3442">
        <v>3483</v>
      </c>
      <c r="E3442">
        <v>79953403</v>
      </c>
    </row>
    <row r="3443" spans="1:6" x14ac:dyDescent="0.25">
      <c r="A3443">
        <v>3442</v>
      </c>
      <c r="B3443">
        <v>41</v>
      </c>
      <c r="C3443">
        <v>0</v>
      </c>
      <c r="D3443">
        <v>0</v>
      </c>
      <c r="E3443">
        <v>0</v>
      </c>
      <c r="F3443">
        <v>1</v>
      </c>
    </row>
    <row r="3444" spans="1:6" x14ac:dyDescent="0.25">
      <c r="A3444">
        <v>3443</v>
      </c>
      <c r="B3444">
        <v>42</v>
      </c>
      <c r="C3444">
        <v>0</v>
      </c>
      <c r="D3444">
        <v>0</v>
      </c>
      <c r="E3444">
        <v>0</v>
      </c>
      <c r="F3444">
        <v>0.2</v>
      </c>
    </row>
    <row r="3445" spans="1:6" x14ac:dyDescent="0.25">
      <c r="A3445">
        <v>3444</v>
      </c>
      <c r="B3445">
        <v>43</v>
      </c>
      <c r="C3445">
        <v>0</v>
      </c>
      <c r="D3445">
        <v>0</v>
      </c>
      <c r="E3445">
        <v>0</v>
      </c>
      <c r="F3445">
        <v>0</v>
      </c>
    </row>
    <row r="3446" spans="1:6" x14ac:dyDescent="0.25">
      <c r="A3446">
        <v>3445</v>
      </c>
      <c r="B3446">
        <v>44</v>
      </c>
      <c r="C3446">
        <v>0</v>
      </c>
      <c r="D3446">
        <v>0</v>
      </c>
      <c r="E3446">
        <v>0</v>
      </c>
      <c r="F3446">
        <v>24.4758</v>
      </c>
    </row>
    <row r="3447" spans="1:6" x14ac:dyDescent="0.25">
      <c r="A3447">
        <v>3446</v>
      </c>
      <c r="B3447">
        <v>45</v>
      </c>
      <c r="C3447">
        <v>0</v>
      </c>
      <c r="D3447">
        <v>0</v>
      </c>
      <c r="E3447">
        <v>0</v>
      </c>
      <c r="F3447">
        <v>4400</v>
      </c>
    </row>
    <row r="3448" spans="1:6" x14ac:dyDescent="0.25">
      <c r="A3448">
        <v>3447</v>
      </c>
      <c r="B3448">
        <v>46</v>
      </c>
      <c r="C3448">
        <v>0</v>
      </c>
      <c r="D3448">
        <v>0</v>
      </c>
      <c r="E3448">
        <v>0</v>
      </c>
      <c r="F3448">
        <v>0</v>
      </c>
    </row>
    <row r="3449" spans="1:6" x14ac:dyDescent="0.25">
      <c r="A3449">
        <v>3448</v>
      </c>
      <c r="B3449">
        <v>2</v>
      </c>
      <c r="C3449">
        <v>0</v>
      </c>
      <c r="D3449">
        <v>0</v>
      </c>
      <c r="E3449">
        <v>0</v>
      </c>
      <c r="F3449">
        <v>34.406799999999997</v>
      </c>
    </row>
    <row r="3450" spans="1:6" x14ac:dyDescent="0.25">
      <c r="A3450">
        <v>3449</v>
      </c>
      <c r="B3450">
        <v>10</v>
      </c>
      <c r="C3450">
        <v>1</v>
      </c>
      <c r="D3450">
        <v>0</v>
      </c>
      <c r="E3450">
        <v>0</v>
      </c>
      <c r="F3450">
        <v>34715</v>
      </c>
    </row>
    <row r="3451" spans="1:6" x14ac:dyDescent="0.25">
      <c r="A3451">
        <v>3450</v>
      </c>
      <c r="B3451">
        <v>13</v>
      </c>
      <c r="C3451">
        <v>0</v>
      </c>
      <c r="D3451">
        <v>0</v>
      </c>
      <c r="E3451">
        <v>0</v>
      </c>
      <c r="F3451">
        <v>1602</v>
      </c>
    </row>
    <row r="3452" spans="1:6" x14ac:dyDescent="0.25">
      <c r="A3452">
        <v>3451</v>
      </c>
      <c r="B3452">
        <v>41</v>
      </c>
      <c r="C3452">
        <v>0</v>
      </c>
      <c r="D3452">
        <v>0</v>
      </c>
      <c r="E3452">
        <v>0</v>
      </c>
      <c r="F3452">
        <v>1</v>
      </c>
    </row>
    <row r="3453" spans="1:6" x14ac:dyDescent="0.25">
      <c r="A3453">
        <v>3452</v>
      </c>
      <c r="B3453">
        <v>42</v>
      </c>
      <c r="C3453">
        <v>0</v>
      </c>
      <c r="D3453">
        <v>0</v>
      </c>
      <c r="E3453">
        <v>0</v>
      </c>
      <c r="F3453">
        <v>0.2</v>
      </c>
    </row>
    <row r="3454" spans="1:6" x14ac:dyDescent="0.25">
      <c r="A3454">
        <v>3453</v>
      </c>
      <c r="B3454">
        <v>43</v>
      </c>
      <c r="C3454">
        <v>0</v>
      </c>
      <c r="D3454">
        <v>0</v>
      </c>
      <c r="E3454">
        <v>0</v>
      </c>
      <c r="F3454">
        <v>0</v>
      </c>
    </row>
    <row r="3455" spans="1:6" x14ac:dyDescent="0.25">
      <c r="A3455">
        <v>3454</v>
      </c>
      <c r="B3455">
        <v>44</v>
      </c>
      <c r="C3455">
        <v>0</v>
      </c>
      <c r="D3455">
        <v>0</v>
      </c>
      <c r="E3455">
        <v>0</v>
      </c>
      <c r="F3455">
        <v>24.4758</v>
      </c>
    </row>
    <row r="3456" spans="1:6" x14ac:dyDescent="0.25">
      <c r="A3456">
        <v>3455</v>
      </c>
      <c r="B3456">
        <v>45</v>
      </c>
      <c r="C3456">
        <v>0</v>
      </c>
      <c r="D3456">
        <v>0</v>
      </c>
      <c r="E3456">
        <v>0</v>
      </c>
      <c r="F3456">
        <v>4400</v>
      </c>
    </row>
    <row r="3457" spans="1:6" x14ac:dyDescent="0.25">
      <c r="A3457">
        <v>3456</v>
      </c>
      <c r="B3457" t="s">
        <v>0</v>
      </c>
      <c r="C3457">
        <v>28</v>
      </c>
      <c r="D3457">
        <v>3483</v>
      </c>
      <c r="E3457">
        <v>79954371</v>
      </c>
    </row>
    <row r="3458" spans="1:6" x14ac:dyDescent="0.25">
      <c r="A3458">
        <v>3457</v>
      </c>
      <c r="B3458">
        <v>46</v>
      </c>
      <c r="C3458">
        <v>0</v>
      </c>
      <c r="D3458">
        <v>0</v>
      </c>
      <c r="E3458">
        <v>0</v>
      </c>
      <c r="F3458">
        <v>0</v>
      </c>
    </row>
    <row r="3459" spans="1:6" x14ac:dyDescent="0.25">
      <c r="A3459">
        <v>3458</v>
      </c>
      <c r="B3459">
        <v>2</v>
      </c>
      <c r="C3459">
        <v>0</v>
      </c>
      <c r="D3459">
        <v>0</v>
      </c>
      <c r="E3459">
        <v>0</v>
      </c>
      <c r="F3459">
        <v>34.4069</v>
      </c>
    </row>
    <row r="3460" spans="1:6" x14ac:dyDescent="0.25">
      <c r="A3460">
        <v>3459</v>
      </c>
      <c r="B3460">
        <v>10</v>
      </c>
      <c r="C3460">
        <v>1</v>
      </c>
      <c r="D3460">
        <v>0</v>
      </c>
      <c r="E3460">
        <v>0</v>
      </c>
      <c r="F3460">
        <v>34715</v>
      </c>
    </row>
    <row r="3461" spans="1:6" x14ac:dyDescent="0.25">
      <c r="A3461">
        <v>3460</v>
      </c>
      <c r="B3461">
        <v>13</v>
      </c>
      <c r="C3461">
        <v>0</v>
      </c>
      <c r="D3461">
        <v>0</v>
      </c>
      <c r="E3461">
        <v>0</v>
      </c>
      <c r="F3461">
        <v>1602</v>
      </c>
    </row>
    <row r="3462" spans="1:6" x14ac:dyDescent="0.25">
      <c r="A3462">
        <v>3461</v>
      </c>
      <c r="B3462">
        <v>41</v>
      </c>
      <c r="C3462">
        <v>0</v>
      </c>
      <c r="D3462">
        <v>0</v>
      </c>
      <c r="E3462">
        <v>0</v>
      </c>
      <c r="F3462">
        <v>1</v>
      </c>
    </row>
    <row r="3463" spans="1:6" x14ac:dyDescent="0.25">
      <c r="A3463">
        <v>3462</v>
      </c>
      <c r="B3463">
        <v>42</v>
      </c>
      <c r="C3463">
        <v>0</v>
      </c>
      <c r="D3463">
        <v>0</v>
      </c>
      <c r="E3463">
        <v>0</v>
      </c>
      <c r="F3463">
        <v>0.2</v>
      </c>
    </row>
    <row r="3464" spans="1:6" x14ac:dyDescent="0.25">
      <c r="A3464">
        <v>3463</v>
      </c>
      <c r="B3464">
        <v>43</v>
      </c>
      <c r="C3464">
        <v>0</v>
      </c>
      <c r="D3464">
        <v>0</v>
      </c>
      <c r="E3464">
        <v>0</v>
      </c>
      <c r="F3464">
        <v>0</v>
      </c>
    </row>
    <row r="3465" spans="1:6" x14ac:dyDescent="0.25">
      <c r="A3465">
        <v>3464</v>
      </c>
      <c r="B3465">
        <v>44</v>
      </c>
      <c r="C3465">
        <v>0</v>
      </c>
      <c r="D3465">
        <v>0</v>
      </c>
      <c r="E3465">
        <v>0</v>
      </c>
      <c r="F3465">
        <v>24.700800000000001</v>
      </c>
    </row>
    <row r="3466" spans="1:6" x14ac:dyDescent="0.25">
      <c r="A3466">
        <v>3465</v>
      </c>
      <c r="B3466">
        <v>45</v>
      </c>
      <c r="C3466">
        <v>0</v>
      </c>
      <c r="D3466">
        <v>0</v>
      </c>
      <c r="E3466">
        <v>0</v>
      </c>
      <c r="F3466">
        <v>4400</v>
      </c>
    </row>
    <row r="3467" spans="1:6" x14ac:dyDescent="0.25">
      <c r="A3467">
        <v>3466</v>
      </c>
      <c r="B3467">
        <v>46</v>
      </c>
      <c r="C3467">
        <v>0</v>
      </c>
      <c r="D3467">
        <v>0</v>
      </c>
      <c r="E3467">
        <v>0</v>
      </c>
      <c r="F3467">
        <v>0</v>
      </c>
    </row>
    <row r="3468" spans="1:6" x14ac:dyDescent="0.25">
      <c r="A3468">
        <v>3467</v>
      </c>
      <c r="B3468">
        <v>2</v>
      </c>
      <c r="C3468">
        <v>0</v>
      </c>
      <c r="D3468">
        <v>0</v>
      </c>
      <c r="E3468">
        <v>0</v>
      </c>
      <c r="F3468">
        <v>34.4069</v>
      </c>
    </row>
    <row r="3469" spans="1:6" x14ac:dyDescent="0.25">
      <c r="A3469">
        <v>3468</v>
      </c>
      <c r="B3469">
        <v>10</v>
      </c>
      <c r="C3469">
        <v>1</v>
      </c>
      <c r="D3469">
        <v>0</v>
      </c>
      <c r="E3469">
        <v>0</v>
      </c>
      <c r="F3469">
        <v>34715</v>
      </c>
    </row>
    <row r="3470" spans="1:6" x14ac:dyDescent="0.25">
      <c r="A3470">
        <v>3469</v>
      </c>
      <c r="B3470">
        <v>13</v>
      </c>
      <c r="C3470">
        <v>0</v>
      </c>
      <c r="D3470">
        <v>0</v>
      </c>
      <c r="E3470">
        <v>0</v>
      </c>
      <c r="F3470">
        <v>1602</v>
      </c>
    </row>
    <row r="3471" spans="1:6" x14ac:dyDescent="0.25">
      <c r="A3471">
        <v>3470</v>
      </c>
      <c r="B3471">
        <v>41</v>
      </c>
      <c r="C3471">
        <v>0</v>
      </c>
      <c r="D3471">
        <v>0</v>
      </c>
      <c r="E3471">
        <v>0</v>
      </c>
      <c r="F3471">
        <v>1</v>
      </c>
    </row>
    <row r="3472" spans="1:6" x14ac:dyDescent="0.25">
      <c r="A3472">
        <v>3471</v>
      </c>
      <c r="B3472">
        <v>42</v>
      </c>
      <c r="C3472">
        <v>0</v>
      </c>
      <c r="D3472">
        <v>0</v>
      </c>
      <c r="E3472">
        <v>0</v>
      </c>
      <c r="F3472">
        <v>0.2</v>
      </c>
    </row>
    <row r="3473" spans="1:6" x14ac:dyDescent="0.25">
      <c r="A3473">
        <v>3472</v>
      </c>
      <c r="B3473">
        <v>43</v>
      </c>
      <c r="C3473">
        <v>0</v>
      </c>
      <c r="D3473">
        <v>0</v>
      </c>
      <c r="E3473">
        <v>0</v>
      </c>
      <c r="F3473">
        <v>0</v>
      </c>
    </row>
    <row r="3474" spans="1:6" x14ac:dyDescent="0.25">
      <c r="A3474">
        <v>3473</v>
      </c>
      <c r="B3474">
        <v>44</v>
      </c>
      <c r="C3474">
        <v>0</v>
      </c>
      <c r="D3474">
        <v>0</v>
      </c>
      <c r="E3474">
        <v>0</v>
      </c>
      <c r="F3474">
        <v>24.952000000000002</v>
      </c>
    </row>
    <row r="3475" spans="1:6" x14ac:dyDescent="0.25">
      <c r="A3475">
        <v>3474</v>
      </c>
      <c r="B3475">
        <v>45</v>
      </c>
      <c r="C3475">
        <v>0</v>
      </c>
      <c r="D3475">
        <v>0</v>
      </c>
      <c r="E3475">
        <v>0</v>
      </c>
      <c r="F3475">
        <v>4400</v>
      </c>
    </row>
    <row r="3476" spans="1:6" x14ac:dyDescent="0.25">
      <c r="A3476">
        <v>3475</v>
      </c>
      <c r="B3476">
        <v>46</v>
      </c>
      <c r="C3476">
        <v>0</v>
      </c>
      <c r="D3476">
        <v>0</v>
      </c>
      <c r="E3476">
        <v>0</v>
      </c>
      <c r="F3476">
        <v>0</v>
      </c>
    </row>
    <row r="3477" spans="1:6" x14ac:dyDescent="0.25">
      <c r="A3477">
        <v>3476</v>
      </c>
      <c r="B3477">
        <v>2</v>
      </c>
      <c r="C3477">
        <v>0</v>
      </c>
      <c r="D3477">
        <v>0</v>
      </c>
      <c r="E3477">
        <v>0</v>
      </c>
      <c r="F3477">
        <v>34.405700000000003</v>
      </c>
    </row>
    <row r="3478" spans="1:6" x14ac:dyDescent="0.25">
      <c r="A3478">
        <v>3477</v>
      </c>
      <c r="B3478">
        <v>10</v>
      </c>
      <c r="C3478">
        <v>1</v>
      </c>
      <c r="D3478">
        <v>0</v>
      </c>
      <c r="E3478">
        <v>0</v>
      </c>
      <c r="F3478">
        <v>34716</v>
      </c>
    </row>
    <row r="3479" spans="1:6" x14ac:dyDescent="0.25">
      <c r="A3479">
        <v>3478</v>
      </c>
      <c r="B3479">
        <v>13</v>
      </c>
      <c r="C3479">
        <v>0</v>
      </c>
      <c r="D3479">
        <v>0</v>
      </c>
      <c r="E3479">
        <v>0</v>
      </c>
      <c r="F3479">
        <v>1602</v>
      </c>
    </row>
    <row r="3480" spans="1:6" x14ac:dyDescent="0.25">
      <c r="A3480">
        <v>3479</v>
      </c>
      <c r="B3480">
        <v>41</v>
      </c>
      <c r="C3480">
        <v>0</v>
      </c>
      <c r="D3480">
        <v>0</v>
      </c>
      <c r="E3480">
        <v>0</v>
      </c>
      <c r="F3480">
        <v>1</v>
      </c>
    </row>
    <row r="3481" spans="1:6" x14ac:dyDescent="0.25">
      <c r="A3481">
        <v>3480</v>
      </c>
      <c r="B3481">
        <v>42</v>
      </c>
      <c r="C3481">
        <v>0</v>
      </c>
      <c r="D3481">
        <v>0</v>
      </c>
      <c r="E3481">
        <v>0</v>
      </c>
      <c r="F3481">
        <v>0.2</v>
      </c>
    </row>
    <row r="3482" spans="1:6" x14ac:dyDescent="0.25">
      <c r="A3482">
        <v>3481</v>
      </c>
      <c r="B3482">
        <v>43</v>
      </c>
      <c r="C3482">
        <v>0</v>
      </c>
      <c r="D3482">
        <v>0</v>
      </c>
      <c r="E3482">
        <v>0</v>
      </c>
      <c r="F3482">
        <v>0</v>
      </c>
    </row>
    <row r="3483" spans="1:6" x14ac:dyDescent="0.25">
      <c r="A3483">
        <v>3482</v>
      </c>
      <c r="B3483">
        <v>44</v>
      </c>
      <c r="C3483">
        <v>0</v>
      </c>
      <c r="D3483">
        <v>0</v>
      </c>
      <c r="E3483">
        <v>0</v>
      </c>
      <c r="F3483">
        <v>24.952000000000002</v>
      </c>
    </row>
    <row r="3484" spans="1:6" x14ac:dyDescent="0.25">
      <c r="A3484">
        <v>3483</v>
      </c>
      <c r="B3484">
        <v>45</v>
      </c>
      <c r="C3484">
        <v>0</v>
      </c>
      <c r="D3484">
        <v>0</v>
      </c>
      <c r="E3484">
        <v>0</v>
      </c>
      <c r="F3484">
        <v>4400</v>
      </c>
    </row>
    <row r="3485" spans="1:6" x14ac:dyDescent="0.25">
      <c r="A3485">
        <v>3484</v>
      </c>
      <c r="B3485">
        <v>46</v>
      </c>
      <c r="C3485">
        <v>0</v>
      </c>
      <c r="D3485">
        <v>0</v>
      </c>
      <c r="E3485">
        <v>0</v>
      </c>
      <c r="F3485">
        <v>0</v>
      </c>
    </row>
    <row r="3486" spans="1:6" x14ac:dyDescent="0.25">
      <c r="A3486">
        <v>3485</v>
      </c>
      <c r="B3486">
        <v>2</v>
      </c>
      <c r="C3486">
        <v>0</v>
      </c>
      <c r="D3486">
        <v>0</v>
      </c>
      <c r="E3486">
        <v>0</v>
      </c>
      <c r="F3486">
        <v>34.405700000000003</v>
      </c>
    </row>
    <row r="3487" spans="1:6" x14ac:dyDescent="0.25">
      <c r="A3487">
        <v>3486</v>
      </c>
      <c r="B3487" t="s">
        <v>0</v>
      </c>
      <c r="C3487">
        <v>30</v>
      </c>
      <c r="D3487">
        <v>3483</v>
      </c>
      <c r="E3487">
        <v>79956307</v>
      </c>
    </row>
    <row r="3488" spans="1:6" x14ac:dyDescent="0.25">
      <c r="A3488">
        <v>3487</v>
      </c>
      <c r="B3488">
        <v>13</v>
      </c>
      <c r="C3488">
        <v>0</v>
      </c>
      <c r="D3488">
        <v>0</v>
      </c>
      <c r="E3488">
        <v>0</v>
      </c>
      <c r="F3488">
        <v>1602</v>
      </c>
    </row>
    <row r="3489" spans="1:6" x14ac:dyDescent="0.25">
      <c r="A3489">
        <v>3488</v>
      </c>
      <c r="B3489">
        <v>41</v>
      </c>
      <c r="C3489">
        <v>0</v>
      </c>
      <c r="D3489">
        <v>0</v>
      </c>
      <c r="E3489">
        <v>0</v>
      </c>
      <c r="F3489">
        <v>1</v>
      </c>
    </row>
    <row r="3490" spans="1:6" x14ac:dyDescent="0.25">
      <c r="A3490">
        <v>3489</v>
      </c>
      <c r="B3490">
        <v>42</v>
      </c>
      <c r="C3490">
        <v>0</v>
      </c>
      <c r="D3490">
        <v>0</v>
      </c>
      <c r="E3490">
        <v>0</v>
      </c>
      <c r="F3490">
        <v>0.2</v>
      </c>
    </row>
    <row r="3491" spans="1:6" x14ac:dyDescent="0.25">
      <c r="A3491">
        <v>3490</v>
      </c>
      <c r="B3491">
        <v>43</v>
      </c>
      <c r="C3491">
        <v>0</v>
      </c>
      <c r="D3491">
        <v>0</v>
      </c>
      <c r="E3491">
        <v>0</v>
      </c>
      <c r="F3491">
        <v>0</v>
      </c>
    </row>
    <row r="3492" spans="1:6" x14ac:dyDescent="0.25">
      <c r="A3492">
        <v>3491</v>
      </c>
      <c r="B3492">
        <v>44</v>
      </c>
      <c r="C3492">
        <v>0</v>
      </c>
      <c r="D3492">
        <v>0</v>
      </c>
      <c r="E3492">
        <v>0</v>
      </c>
      <c r="F3492">
        <v>25.201899999999998</v>
      </c>
    </row>
    <row r="3493" spans="1:6" x14ac:dyDescent="0.25">
      <c r="A3493">
        <v>3492</v>
      </c>
      <c r="B3493">
        <v>45</v>
      </c>
      <c r="C3493">
        <v>0</v>
      </c>
      <c r="D3493">
        <v>0</v>
      </c>
      <c r="E3493">
        <v>0</v>
      </c>
      <c r="F3493">
        <v>4400</v>
      </c>
    </row>
    <row r="3494" spans="1:6" x14ac:dyDescent="0.25">
      <c r="A3494">
        <v>3493</v>
      </c>
      <c r="B3494">
        <v>46</v>
      </c>
      <c r="C3494">
        <v>0</v>
      </c>
      <c r="D3494">
        <v>0</v>
      </c>
      <c r="E3494">
        <v>0</v>
      </c>
      <c r="F3494">
        <v>0</v>
      </c>
    </row>
    <row r="3495" spans="1:6" x14ac:dyDescent="0.25">
      <c r="A3495">
        <v>3494</v>
      </c>
      <c r="B3495">
        <v>2</v>
      </c>
      <c r="C3495">
        <v>0</v>
      </c>
      <c r="D3495">
        <v>0</v>
      </c>
      <c r="E3495">
        <v>0</v>
      </c>
      <c r="F3495">
        <v>34.405799999999999</v>
      </c>
    </row>
    <row r="3496" spans="1:6" x14ac:dyDescent="0.25">
      <c r="A3496">
        <v>3495</v>
      </c>
      <c r="B3496">
        <v>10</v>
      </c>
      <c r="C3496">
        <v>1</v>
      </c>
      <c r="D3496">
        <v>0</v>
      </c>
      <c r="E3496">
        <v>0</v>
      </c>
      <c r="F3496">
        <v>34716</v>
      </c>
    </row>
    <row r="3497" spans="1:6" x14ac:dyDescent="0.25">
      <c r="A3497">
        <v>3496</v>
      </c>
      <c r="B3497">
        <v>13</v>
      </c>
      <c r="C3497">
        <v>0</v>
      </c>
      <c r="D3497">
        <v>0</v>
      </c>
      <c r="E3497">
        <v>0</v>
      </c>
      <c r="F3497">
        <v>1602</v>
      </c>
    </row>
    <row r="3498" spans="1:6" x14ac:dyDescent="0.25">
      <c r="A3498">
        <v>3497</v>
      </c>
      <c r="B3498">
        <v>41</v>
      </c>
      <c r="C3498">
        <v>0</v>
      </c>
      <c r="D3498">
        <v>0</v>
      </c>
      <c r="E3498">
        <v>0</v>
      </c>
      <c r="F3498">
        <v>1</v>
      </c>
    </row>
    <row r="3499" spans="1:6" x14ac:dyDescent="0.25">
      <c r="A3499">
        <v>3498</v>
      </c>
      <c r="B3499">
        <v>42</v>
      </c>
      <c r="C3499">
        <v>0</v>
      </c>
      <c r="D3499">
        <v>0</v>
      </c>
      <c r="E3499">
        <v>0</v>
      </c>
      <c r="F3499">
        <v>0.2</v>
      </c>
    </row>
    <row r="3500" spans="1:6" x14ac:dyDescent="0.25">
      <c r="A3500">
        <v>3499</v>
      </c>
      <c r="B3500">
        <v>43</v>
      </c>
      <c r="C3500">
        <v>0</v>
      </c>
      <c r="D3500">
        <v>0</v>
      </c>
      <c r="E3500">
        <v>0</v>
      </c>
      <c r="F3500">
        <v>0</v>
      </c>
    </row>
    <row r="3501" spans="1:6" x14ac:dyDescent="0.25">
      <c r="A3501">
        <v>3500</v>
      </c>
      <c r="B3501">
        <v>44</v>
      </c>
      <c r="C3501">
        <v>0</v>
      </c>
      <c r="D3501">
        <v>0</v>
      </c>
      <c r="E3501">
        <v>0</v>
      </c>
      <c r="F3501">
        <v>25.201899999999998</v>
      </c>
    </row>
    <row r="3502" spans="1:6" x14ac:dyDescent="0.25">
      <c r="A3502">
        <v>3501</v>
      </c>
      <c r="B3502" t="s">
        <v>0</v>
      </c>
      <c r="C3502">
        <v>31</v>
      </c>
      <c r="D3502">
        <v>3483</v>
      </c>
      <c r="E3502">
        <v>79957275</v>
      </c>
    </row>
    <row r="3503" spans="1:6" x14ac:dyDescent="0.25">
      <c r="A3503">
        <v>3502</v>
      </c>
      <c r="B3503">
        <v>45</v>
      </c>
      <c r="C3503">
        <v>0</v>
      </c>
      <c r="D3503">
        <v>0</v>
      </c>
      <c r="E3503">
        <v>0</v>
      </c>
      <c r="F3503">
        <v>4400</v>
      </c>
    </row>
    <row r="3504" spans="1:6" x14ac:dyDescent="0.25">
      <c r="A3504">
        <v>3503</v>
      </c>
      <c r="B3504">
        <v>46</v>
      </c>
      <c r="C3504">
        <v>0</v>
      </c>
      <c r="D3504">
        <v>0</v>
      </c>
      <c r="E3504">
        <v>0</v>
      </c>
      <c r="F3504">
        <v>0</v>
      </c>
    </row>
    <row r="3505" spans="1:6" x14ac:dyDescent="0.25">
      <c r="A3505">
        <v>3504</v>
      </c>
      <c r="B3505">
        <v>2</v>
      </c>
      <c r="C3505">
        <v>0</v>
      </c>
      <c r="D3505">
        <v>0</v>
      </c>
      <c r="E3505">
        <v>0</v>
      </c>
      <c r="F3505">
        <v>34.405700000000003</v>
      </c>
    </row>
    <row r="3506" spans="1:6" x14ac:dyDescent="0.25">
      <c r="A3506">
        <v>3505</v>
      </c>
      <c r="B3506">
        <v>10</v>
      </c>
      <c r="C3506">
        <v>1</v>
      </c>
      <c r="D3506">
        <v>0</v>
      </c>
      <c r="E3506">
        <v>0</v>
      </c>
      <c r="F3506">
        <v>34716</v>
      </c>
    </row>
    <row r="3507" spans="1:6" x14ac:dyDescent="0.25">
      <c r="A3507">
        <v>3506</v>
      </c>
      <c r="B3507">
        <v>13</v>
      </c>
      <c r="C3507">
        <v>0</v>
      </c>
      <c r="D3507">
        <v>0</v>
      </c>
      <c r="E3507">
        <v>0</v>
      </c>
      <c r="F3507">
        <v>1602</v>
      </c>
    </row>
    <row r="3508" spans="1:6" x14ac:dyDescent="0.25">
      <c r="A3508">
        <v>3507</v>
      </c>
      <c r="B3508">
        <v>41</v>
      </c>
      <c r="C3508">
        <v>0</v>
      </c>
      <c r="D3508">
        <v>0</v>
      </c>
      <c r="E3508">
        <v>0</v>
      </c>
      <c r="F3508">
        <v>1</v>
      </c>
    </row>
    <row r="3509" spans="1:6" x14ac:dyDescent="0.25">
      <c r="A3509">
        <v>3508</v>
      </c>
      <c r="B3509">
        <v>42</v>
      </c>
      <c r="C3509">
        <v>0</v>
      </c>
      <c r="D3509">
        <v>0</v>
      </c>
      <c r="E3509">
        <v>0</v>
      </c>
      <c r="F3509">
        <v>0.2</v>
      </c>
    </row>
    <row r="3510" spans="1:6" x14ac:dyDescent="0.25">
      <c r="A3510">
        <v>3509</v>
      </c>
      <c r="B3510">
        <v>43</v>
      </c>
      <c r="C3510">
        <v>0</v>
      </c>
      <c r="D3510">
        <v>0</v>
      </c>
      <c r="E3510">
        <v>0</v>
      </c>
      <c r="F3510">
        <v>0</v>
      </c>
    </row>
    <row r="3511" spans="1:6" x14ac:dyDescent="0.25">
      <c r="A3511">
        <v>3510</v>
      </c>
      <c r="B3511">
        <v>44</v>
      </c>
      <c r="C3511">
        <v>0</v>
      </c>
      <c r="D3511">
        <v>0</v>
      </c>
      <c r="E3511">
        <v>0</v>
      </c>
      <c r="F3511">
        <v>25.427</v>
      </c>
    </row>
    <row r="3512" spans="1:6" x14ac:dyDescent="0.25">
      <c r="A3512">
        <v>3511</v>
      </c>
      <c r="B3512">
        <v>45</v>
      </c>
      <c r="C3512">
        <v>0</v>
      </c>
      <c r="D3512">
        <v>0</v>
      </c>
      <c r="E3512">
        <v>0</v>
      </c>
      <c r="F3512">
        <v>4400</v>
      </c>
    </row>
    <row r="3513" spans="1:6" x14ac:dyDescent="0.25">
      <c r="A3513">
        <v>3512</v>
      </c>
      <c r="B3513">
        <v>46</v>
      </c>
      <c r="C3513">
        <v>0</v>
      </c>
      <c r="D3513">
        <v>0</v>
      </c>
      <c r="E3513">
        <v>0</v>
      </c>
      <c r="F3513">
        <v>0</v>
      </c>
    </row>
    <row r="3514" spans="1:6" x14ac:dyDescent="0.25">
      <c r="A3514">
        <v>3513</v>
      </c>
      <c r="B3514">
        <v>2</v>
      </c>
      <c r="C3514">
        <v>0</v>
      </c>
      <c r="D3514">
        <v>0</v>
      </c>
      <c r="E3514">
        <v>0</v>
      </c>
      <c r="F3514">
        <v>34.405700000000003</v>
      </c>
    </row>
    <row r="3515" spans="1:6" x14ac:dyDescent="0.25">
      <c r="A3515">
        <v>3514</v>
      </c>
      <c r="B3515">
        <v>10</v>
      </c>
      <c r="C3515">
        <v>1</v>
      </c>
      <c r="D3515">
        <v>0</v>
      </c>
      <c r="E3515">
        <v>0</v>
      </c>
      <c r="F3515">
        <v>34716</v>
      </c>
    </row>
    <row r="3516" spans="1:6" x14ac:dyDescent="0.25">
      <c r="A3516">
        <v>3515</v>
      </c>
      <c r="B3516">
        <v>13</v>
      </c>
      <c r="C3516">
        <v>0</v>
      </c>
      <c r="D3516">
        <v>0</v>
      </c>
      <c r="E3516">
        <v>0</v>
      </c>
      <c r="F3516">
        <v>1602</v>
      </c>
    </row>
    <row r="3517" spans="1:6" x14ac:dyDescent="0.25">
      <c r="A3517">
        <v>3516</v>
      </c>
      <c r="B3517">
        <v>41</v>
      </c>
      <c r="C3517">
        <v>0</v>
      </c>
      <c r="D3517">
        <v>0</v>
      </c>
      <c r="E3517">
        <v>0</v>
      </c>
      <c r="F3517">
        <v>1</v>
      </c>
    </row>
    <row r="3518" spans="1:6" x14ac:dyDescent="0.25">
      <c r="A3518">
        <v>3517</v>
      </c>
      <c r="B3518">
        <v>42</v>
      </c>
      <c r="C3518">
        <v>0</v>
      </c>
      <c r="D3518">
        <v>0</v>
      </c>
      <c r="E3518">
        <v>0</v>
      </c>
      <c r="F3518">
        <v>0.2</v>
      </c>
    </row>
    <row r="3519" spans="1:6" x14ac:dyDescent="0.25">
      <c r="A3519">
        <v>3518</v>
      </c>
      <c r="B3519">
        <v>43</v>
      </c>
      <c r="C3519">
        <v>0</v>
      </c>
      <c r="D3519">
        <v>0</v>
      </c>
      <c r="E3519">
        <v>0</v>
      </c>
      <c r="F3519">
        <v>0</v>
      </c>
    </row>
    <row r="3520" spans="1:6" x14ac:dyDescent="0.25">
      <c r="A3520">
        <v>3519</v>
      </c>
      <c r="B3520">
        <v>44</v>
      </c>
      <c r="C3520">
        <v>0</v>
      </c>
      <c r="D3520">
        <v>0</v>
      </c>
      <c r="E3520">
        <v>0</v>
      </c>
      <c r="F3520">
        <v>25.675799999999999</v>
      </c>
    </row>
    <row r="3521" spans="1:6" x14ac:dyDescent="0.25">
      <c r="A3521">
        <v>3520</v>
      </c>
      <c r="B3521">
        <v>45</v>
      </c>
      <c r="C3521">
        <v>0</v>
      </c>
      <c r="D3521">
        <v>0</v>
      </c>
      <c r="E3521">
        <v>0</v>
      </c>
      <c r="F3521">
        <v>4400</v>
      </c>
    </row>
    <row r="3522" spans="1:6" x14ac:dyDescent="0.25">
      <c r="A3522">
        <v>3521</v>
      </c>
      <c r="B3522">
        <v>46</v>
      </c>
      <c r="C3522">
        <v>0</v>
      </c>
      <c r="D3522">
        <v>0</v>
      </c>
      <c r="E3522">
        <v>0</v>
      </c>
      <c r="F3522">
        <v>0</v>
      </c>
    </row>
    <row r="3523" spans="1:6" x14ac:dyDescent="0.25">
      <c r="A3523">
        <v>3522</v>
      </c>
      <c r="B3523">
        <v>2</v>
      </c>
      <c r="C3523">
        <v>0</v>
      </c>
      <c r="D3523">
        <v>0</v>
      </c>
      <c r="E3523">
        <v>0</v>
      </c>
      <c r="F3523">
        <v>34.4069</v>
      </c>
    </row>
    <row r="3524" spans="1:6" x14ac:dyDescent="0.25">
      <c r="A3524">
        <v>3523</v>
      </c>
      <c r="B3524">
        <v>10</v>
      </c>
      <c r="C3524">
        <v>1</v>
      </c>
      <c r="D3524">
        <v>0</v>
      </c>
      <c r="E3524">
        <v>0</v>
      </c>
      <c r="F3524">
        <v>34715</v>
      </c>
    </row>
    <row r="3525" spans="1:6" x14ac:dyDescent="0.25">
      <c r="A3525">
        <v>3524</v>
      </c>
      <c r="B3525">
        <v>13</v>
      </c>
      <c r="C3525">
        <v>0</v>
      </c>
      <c r="D3525">
        <v>0</v>
      </c>
      <c r="E3525">
        <v>0</v>
      </c>
      <c r="F3525">
        <v>1602</v>
      </c>
    </row>
    <row r="3526" spans="1:6" x14ac:dyDescent="0.25">
      <c r="A3526">
        <v>3525</v>
      </c>
      <c r="B3526">
        <v>41</v>
      </c>
      <c r="C3526">
        <v>0</v>
      </c>
      <c r="D3526">
        <v>0</v>
      </c>
      <c r="E3526">
        <v>0</v>
      </c>
      <c r="F3526">
        <v>1</v>
      </c>
    </row>
    <row r="3527" spans="1:6" x14ac:dyDescent="0.25">
      <c r="A3527">
        <v>3526</v>
      </c>
      <c r="B3527">
        <v>42</v>
      </c>
      <c r="C3527">
        <v>0</v>
      </c>
      <c r="D3527">
        <v>0</v>
      </c>
      <c r="E3527">
        <v>0</v>
      </c>
      <c r="F3527">
        <v>0.2</v>
      </c>
    </row>
    <row r="3528" spans="1:6" x14ac:dyDescent="0.25">
      <c r="A3528">
        <v>3527</v>
      </c>
      <c r="B3528">
        <v>43</v>
      </c>
      <c r="C3528">
        <v>0</v>
      </c>
      <c r="D3528">
        <v>0</v>
      </c>
      <c r="E3528">
        <v>0</v>
      </c>
      <c r="F3528">
        <v>0</v>
      </c>
    </row>
    <row r="3529" spans="1:6" x14ac:dyDescent="0.25">
      <c r="A3529">
        <v>3528</v>
      </c>
      <c r="B3529">
        <v>44</v>
      </c>
      <c r="C3529">
        <v>0</v>
      </c>
      <c r="D3529">
        <v>0</v>
      </c>
      <c r="E3529">
        <v>0</v>
      </c>
      <c r="F3529">
        <v>25.675799999999999</v>
      </c>
    </row>
    <row r="3530" spans="1:6" x14ac:dyDescent="0.25">
      <c r="A3530">
        <v>3529</v>
      </c>
      <c r="B3530">
        <v>45</v>
      </c>
      <c r="C3530">
        <v>0</v>
      </c>
      <c r="D3530">
        <v>0</v>
      </c>
      <c r="E3530">
        <v>0</v>
      </c>
      <c r="F3530">
        <v>4400</v>
      </c>
    </row>
    <row r="3531" spans="1:6" x14ac:dyDescent="0.25">
      <c r="A3531">
        <v>3530</v>
      </c>
      <c r="B3531">
        <v>46</v>
      </c>
      <c r="C3531">
        <v>0</v>
      </c>
      <c r="D3531">
        <v>0</v>
      </c>
      <c r="E3531">
        <v>0</v>
      </c>
      <c r="F3531">
        <v>0</v>
      </c>
    </row>
    <row r="3532" spans="1:6" x14ac:dyDescent="0.25">
      <c r="A3532">
        <v>3531</v>
      </c>
      <c r="B3532">
        <v>2</v>
      </c>
      <c r="C3532">
        <v>0</v>
      </c>
      <c r="D3532">
        <v>0</v>
      </c>
      <c r="E3532">
        <v>0</v>
      </c>
      <c r="F3532">
        <v>34.4069</v>
      </c>
    </row>
    <row r="3533" spans="1:6" x14ac:dyDescent="0.25">
      <c r="A3533">
        <v>3532</v>
      </c>
      <c r="B3533">
        <v>10</v>
      </c>
      <c r="C3533">
        <v>1</v>
      </c>
      <c r="D3533">
        <v>0</v>
      </c>
      <c r="E3533">
        <v>0</v>
      </c>
      <c r="F3533">
        <v>34715</v>
      </c>
    </row>
    <row r="3534" spans="1:6" x14ac:dyDescent="0.25">
      <c r="A3534">
        <v>3533</v>
      </c>
      <c r="B3534">
        <v>13</v>
      </c>
      <c r="C3534">
        <v>0</v>
      </c>
      <c r="D3534">
        <v>0</v>
      </c>
      <c r="E3534">
        <v>0</v>
      </c>
      <c r="F3534">
        <v>1602</v>
      </c>
    </row>
    <row r="3535" spans="1:6" x14ac:dyDescent="0.25">
      <c r="A3535">
        <v>3534</v>
      </c>
      <c r="B3535">
        <v>41</v>
      </c>
      <c r="C3535">
        <v>0</v>
      </c>
      <c r="D3535">
        <v>0</v>
      </c>
      <c r="E3535">
        <v>0</v>
      </c>
      <c r="F3535">
        <v>1</v>
      </c>
    </row>
    <row r="3536" spans="1:6" x14ac:dyDescent="0.25">
      <c r="A3536">
        <v>3535</v>
      </c>
      <c r="B3536">
        <v>42</v>
      </c>
      <c r="C3536">
        <v>0</v>
      </c>
      <c r="D3536">
        <v>0</v>
      </c>
      <c r="E3536">
        <v>0</v>
      </c>
      <c r="F3536">
        <v>0.2</v>
      </c>
    </row>
    <row r="3537" spans="1:6" x14ac:dyDescent="0.25">
      <c r="A3537">
        <v>3536</v>
      </c>
      <c r="B3537">
        <v>43</v>
      </c>
      <c r="C3537">
        <v>0</v>
      </c>
      <c r="D3537">
        <v>0</v>
      </c>
      <c r="E3537">
        <v>0</v>
      </c>
      <c r="F3537">
        <v>0</v>
      </c>
    </row>
    <row r="3538" spans="1:6" x14ac:dyDescent="0.25">
      <c r="A3538">
        <v>3537</v>
      </c>
      <c r="B3538">
        <v>44</v>
      </c>
      <c r="C3538">
        <v>0</v>
      </c>
      <c r="D3538">
        <v>0</v>
      </c>
      <c r="E3538">
        <v>0</v>
      </c>
      <c r="F3538">
        <v>25.926500000000001</v>
      </c>
    </row>
    <row r="3539" spans="1:6" x14ac:dyDescent="0.25">
      <c r="A3539">
        <v>3538</v>
      </c>
      <c r="B3539">
        <v>45</v>
      </c>
      <c r="C3539">
        <v>0</v>
      </c>
      <c r="D3539">
        <v>0</v>
      </c>
      <c r="E3539">
        <v>0</v>
      </c>
      <c r="F3539">
        <v>4400</v>
      </c>
    </row>
    <row r="3540" spans="1:6" x14ac:dyDescent="0.25">
      <c r="A3540">
        <v>3539</v>
      </c>
      <c r="B3540">
        <v>46</v>
      </c>
      <c r="C3540">
        <v>0</v>
      </c>
      <c r="D3540">
        <v>0</v>
      </c>
      <c r="E3540">
        <v>0</v>
      </c>
      <c r="F3540">
        <v>0</v>
      </c>
    </row>
    <row r="3541" spans="1:6" x14ac:dyDescent="0.25">
      <c r="A3541">
        <v>3540</v>
      </c>
      <c r="B3541">
        <v>2</v>
      </c>
      <c r="C3541">
        <v>0</v>
      </c>
      <c r="D3541">
        <v>0</v>
      </c>
      <c r="E3541">
        <v>0</v>
      </c>
      <c r="F3541">
        <v>34.406199999999998</v>
      </c>
    </row>
    <row r="3542" spans="1:6" x14ac:dyDescent="0.25">
      <c r="A3542">
        <v>3541</v>
      </c>
      <c r="B3542">
        <v>10</v>
      </c>
      <c r="C3542">
        <v>1</v>
      </c>
      <c r="D3542">
        <v>0</v>
      </c>
      <c r="E3542">
        <v>0</v>
      </c>
      <c r="F3542">
        <v>34715</v>
      </c>
    </row>
    <row r="3543" spans="1:6" x14ac:dyDescent="0.25">
      <c r="A3543">
        <v>3542</v>
      </c>
      <c r="B3543">
        <v>13</v>
      </c>
      <c r="C3543">
        <v>0</v>
      </c>
      <c r="D3543">
        <v>0</v>
      </c>
      <c r="E3543">
        <v>0</v>
      </c>
      <c r="F3543">
        <v>1602</v>
      </c>
    </row>
    <row r="3544" spans="1:6" x14ac:dyDescent="0.25">
      <c r="A3544">
        <v>3543</v>
      </c>
      <c r="B3544">
        <v>41</v>
      </c>
      <c r="C3544">
        <v>0</v>
      </c>
      <c r="D3544">
        <v>0</v>
      </c>
      <c r="E3544">
        <v>0</v>
      </c>
      <c r="F3544">
        <v>1</v>
      </c>
    </row>
    <row r="3545" spans="1:6" x14ac:dyDescent="0.25">
      <c r="A3545">
        <v>3544</v>
      </c>
      <c r="B3545">
        <v>42</v>
      </c>
      <c r="C3545">
        <v>0</v>
      </c>
      <c r="D3545">
        <v>0</v>
      </c>
      <c r="E3545">
        <v>0</v>
      </c>
      <c r="F3545">
        <v>0.2</v>
      </c>
    </row>
    <row r="3546" spans="1:6" x14ac:dyDescent="0.25">
      <c r="A3546">
        <v>3545</v>
      </c>
      <c r="B3546">
        <v>43</v>
      </c>
      <c r="C3546">
        <v>0</v>
      </c>
      <c r="D3546">
        <v>0</v>
      </c>
      <c r="E3546">
        <v>0</v>
      </c>
      <c r="F3546">
        <v>0</v>
      </c>
    </row>
    <row r="3547" spans="1:6" x14ac:dyDescent="0.25">
      <c r="A3547">
        <v>3546</v>
      </c>
      <c r="B3547" t="s">
        <v>0</v>
      </c>
      <c r="C3547">
        <v>34</v>
      </c>
      <c r="D3547">
        <v>3483</v>
      </c>
      <c r="E3547">
        <v>79960179</v>
      </c>
    </row>
    <row r="3548" spans="1:6" x14ac:dyDescent="0.25">
      <c r="A3548">
        <v>3547</v>
      </c>
      <c r="B3548">
        <v>45</v>
      </c>
      <c r="C3548">
        <v>0</v>
      </c>
      <c r="D3548">
        <v>0</v>
      </c>
      <c r="E3548">
        <v>0</v>
      </c>
      <c r="F3548">
        <v>4400</v>
      </c>
    </row>
    <row r="3549" spans="1:6" x14ac:dyDescent="0.25">
      <c r="A3549">
        <v>3548</v>
      </c>
      <c r="B3549">
        <v>46</v>
      </c>
      <c r="C3549">
        <v>0</v>
      </c>
      <c r="D3549">
        <v>0</v>
      </c>
      <c r="E3549">
        <v>0</v>
      </c>
      <c r="F3549">
        <v>0</v>
      </c>
    </row>
    <row r="3550" spans="1:6" x14ac:dyDescent="0.25">
      <c r="A3550">
        <v>3549</v>
      </c>
      <c r="B3550">
        <v>2</v>
      </c>
      <c r="C3550">
        <v>0</v>
      </c>
      <c r="D3550">
        <v>0</v>
      </c>
      <c r="E3550">
        <v>0</v>
      </c>
      <c r="F3550">
        <v>34.405799999999999</v>
      </c>
    </row>
    <row r="3551" spans="1:6" x14ac:dyDescent="0.25">
      <c r="A3551">
        <v>3550</v>
      </c>
      <c r="B3551">
        <v>10</v>
      </c>
      <c r="C3551">
        <v>1</v>
      </c>
      <c r="D3551">
        <v>0</v>
      </c>
      <c r="E3551">
        <v>0</v>
      </c>
      <c r="F3551">
        <v>34716</v>
      </c>
    </row>
    <row r="3552" spans="1:6" x14ac:dyDescent="0.25">
      <c r="A3552">
        <v>3551</v>
      </c>
      <c r="B3552">
        <v>13</v>
      </c>
      <c r="C3552">
        <v>0</v>
      </c>
      <c r="D3552">
        <v>0</v>
      </c>
      <c r="E3552">
        <v>0</v>
      </c>
      <c r="F3552">
        <v>1602</v>
      </c>
    </row>
    <row r="3553" spans="1:6" x14ac:dyDescent="0.25">
      <c r="A3553">
        <v>3552</v>
      </c>
      <c r="B3553">
        <v>41</v>
      </c>
      <c r="C3553">
        <v>0</v>
      </c>
      <c r="D3553">
        <v>0</v>
      </c>
      <c r="E3553">
        <v>0</v>
      </c>
      <c r="F3553">
        <v>1</v>
      </c>
    </row>
    <row r="3554" spans="1:6" x14ac:dyDescent="0.25">
      <c r="A3554">
        <v>3553</v>
      </c>
      <c r="B3554">
        <v>42</v>
      </c>
      <c r="C3554">
        <v>0</v>
      </c>
      <c r="D3554">
        <v>0</v>
      </c>
      <c r="E3554">
        <v>0</v>
      </c>
      <c r="F3554">
        <v>0.2</v>
      </c>
    </row>
    <row r="3555" spans="1:6" x14ac:dyDescent="0.25">
      <c r="A3555">
        <v>3554</v>
      </c>
      <c r="B3555">
        <v>43</v>
      </c>
      <c r="C3555">
        <v>0</v>
      </c>
      <c r="D3555">
        <v>0</v>
      </c>
      <c r="E3555">
        <v>0</v>
      </c>
      <c r="F3555">
        <v>0</v>
      </c>
    </row>
    <row r="3556" spans="1:6" x14ac:dyDescent="0.25">
      <c r="A3556">
        <v>3555</v>
      </c>
      <c r="B3556">
        <v>44</v>
      </c>
      <c r="C3556">
        <v>0</v>
      </c>
      <c r="D3556">
        <v>0</v>
      </c>
      <c r="E3556">
        <v>0</v>
      </c>
      <c r="F3556">
        <v>26.151900000000001</v>
      </c>
    </row>
    <row r="3557" spans="1:6" x14ac:dyDescent="0.25">
      <c r="A3557">
        <v>3556</v>
      </c>
      <c r="B3557">
        <v>45</v>
      </c>
      <c r="C3557">
        <v>0</v>
      </c>
      <c r="D3557">
        <v>0</v>
      </c>
      <c r="E3557">
        <v>0</v>
      </c>
      <c r="F3557">
        <v>4400</v>
      </c>
    </row>
    <row r="3558" spans="1:6" x14ac:dyDescent="0.25">
      <c r="A3558">
        <v>3557</v>
      </c>
      <c r="B3558">
        <v>46</v>
      </c>
      <c r="C3558">
        <v>0</v>
      </c>
      <c r="D3558">
        <v>0</v>
      </c>
      <c r="E3558">
        <v>0</v>
      </c>
      <c r="F3558">
        <v>0</v>
      </c>
    </row>
    <row r="3559" spans="1:6" x14ac:dyDescent="0.25">
      <c r="A3559">
        <v>3558</v>
      </c>
      <c r="B3559">
        <v>2</v>
      </c>
      <c r="C3559">
        <v>0</v>
      </c>
      <c r="D3559">
        <v>0</v>
      </c>
      <c r="E3559">
        <v>0</v>
      </c>
      <c r="F3559">
        <v>34.405799999999999</v>
      </c>
    </row>
    <row r="3560" spans="1:6" x14ac:dyDescent="0.25">
      <c r="A3560">
        <v>3559</v>
      </c>
      <c r="B3560">
        <v>10</v>
      </c>
      <c r="C3560">
        <v>1</v>
      </c>
      <c r="D3560">
        <v>0</v>
      </c>
      <c r="E3560">
        <v>0</v>
      </c>
      <c r="F3560">
        <v>34716</v>
      </c>
    </row>
    <row r="3561" spans="1:6" x14ac:dyDescent="0.25">
      <c r="A3561">
        <v>3560</v>
      </c>
      <c r="B3561">
        <v>13</v>
      </c>
      <c r="C3561">
        <v>0</v>
      </c>
      <c r="D3561">
        <v>0</v>
      </c>
      <c r="E3561">
        <v>0</v>
      </c>
      <c r="F3561">
        <v>1602</v>
      </c>
    </row>
    <row r="3562" spans="1:6" x14ac:dyDescent="0.25">
      <c r="A3562">
        <v>3561</v>
      </c>
      <c r="B3562" t="s">
        <v>0</v>
      </c>
      <c r="C3562">
        <v>35</v>
      </c>
      <c r="D3562">
        <v>3483</v>
      </c>
      <c r="E3562">
        <v>79961147</v>
      </c>
    </row>
    <row r="3563" spans="1:6" x14ac:dyDescent="0.25">
      <c r="A3563">
        <v>3562</v>
      </c>
      <c r="B3563">
        <v>41</v>
      </c>
      <c r="C3563">
        <v>0</v>
      </c>
      <c r="D3563">
        <v>0</v>
      </c>
      <c r="E3563">
        <v>0</v>
      </c>
      <c r="F3563">
        <v>1</v>
      </c>
    </row>
    <row r="3564" spans="1:6" x14ac:dyDescent="0.25">
      <c r="A3564">
        <v>3563</v>
      </c>
      <c r="B3564">
        <v>42</v>
      </c>
      <c r="C3564">
        <v>0</v>
      </c>
      <c r="D3564">
        <v>0</v>
      </c>
      <c r="E3564">
        <v>0</v>
      </c>
      <c r="F3564">
        <v>0.2</v>
      </c>
    </row>
    <row r="3565" spans="1:6" x14ac:dyDescent="0.25">
      <c r="A3565">
        <v>3564</v>
      </c>
      <c r="B3565">
        <v>43</v>
      </c>
      <c r="C3565">
        <v>0</v>
      </c>
      <c r="D3565">
        <v>0</v>
      </c>
      <c r="E3565">
        <v>0</v>
      </c>
      <c r="F3565">
        <v>0</v>
      </c>
    </row>
    <row r="3566" spans="1:6" x14ac:dyDescent="0.25">
      <c r="A3566">
        <v>3565</v>
      </c>
      <c r="B3566">
        <v>44</v>
      </c>
      <c r="C3566">
        <v>0</v>
      </c>
      <c r="D3566">
        <v>0</v>
      </c>
      <c r="E3566">
        <v>0</v>
      </c>
      <c r="F3566">
        <v>26.402000000000001</v>
      </c>
    </row>
    <row r="3567" spans="1:6" x14ac:dyDescent="0.25">
      <c r="A3567">
        <v>3566</v>
      </c>
      <c r="B3567">
        <v>45</v>
      </c>
      <c r="C3567">
        <v>0</v>
      </c>
      <c r="D3567">
        <v>0</v>
      </c>
      <c r="E3567">
        <v>0</v>
      </c>
      <c r="F3567">
        <v>4400</v>
      </c>
    </row>
    <row r="3568" spans="1:6" x14ac:dyDescent="0.25">
      <c r="A3568">
        <v>3567</v>
      </c>
      <c r="B3568">
        <v>46</v>
      </c>
      <c r="C3568">
        <v>0</v>
      </c>
      <c r="D3568">
        <v>0</v>
      </c>
      <c r="E3568">
        <v>0</v>
      </c>
      <c r="F3568">
        <v>0</v>
      </c>
    </row>
    <row r="3569" spans="1:6" x14ac:dyDescent="0.25">
      <c r="A3569">
        <v>3568</v>
      </c>
      <c r="B3569">
        <v>2</v>
      </c>
      <c r="C3569">
        <v>0</v>
      </c>
      <c r="D3569">
        <v>0</v>
      </c>
      <c r="E3569">
        <v>0</v>
      </c>
      <c r="F3569">
        <v>34.405700000000003</v>
      </c>
    </row>
    <row r="3570" spans="1:6" x14ac:dyDescent="0.25">
      <c r="A3570">
        <v>3569</v>
      </c>
      <c r="B3570">
        <v>10</v>
      </c>
      <c r="C3570">
        <v>1</v>
      </c>
      <c r="D3570">
        <v>0</v>
      </c>
      <c r="E3570">
        <v>0</v>
      </c>
      <c r="F3570">
        <v>34716</v>
      </c>
    </row>
    <row r="3571" spans="1:6" x14ac:dyDescent="0.25">
      <c r="A3571">
        <v>3570</v>
      </c>
      <c r="B3571">
        <v>13</v>
      </c>
      <c r="C3571">
        <v>0</v>
      </c>
      <c r="D3571">
        <v>0</v>
      </c>
      <c r="E3571">
        <v>0</v>
      </c>
      <c r="F3571">
        <v>1602</v>
      </c>
    </row>
    <row r="3572" spans="1:6" x14ac:dyDescent="0.25">
      <c r="A3572">
        <v>3571</v>
      </c>
      <c r="B3572">
        <v>41</v>
      </c>
      <c r="C3572">
        <v>0</v>
      </c>
      <c r="D3572">
        <v>0</v>
      </c>
      <c r="E3572">
        <v>0</v>
      </c>
      <c r="F3572">
        <v>1</v>
      </c>
    </row>
    <row r="3573" spans="1:6" x14ac:dyDescent="0.25">
      <c r="A3573">
        <v>3572</v>
      </c>
      <c r="B3573">
        <v>42</v>
      </c>
      <c r="C3573">
        <v>0</v>
      </c>
      <c r="D3573">
        <v>0</v>
      </c>
      <c r="E3573">
        <v>0</v>
      </c>
      <c r="F3573">
        <v>0.2</v>
      </c>
    </row>
    <row r="3574" spans="1:6" x14ac:dyDescent="0.25">
      <c r="A3574">
        <v>3573</v>
      </c>
      <c r="B3574">
        <v>43</v>
      </c>
      <c r="C3574">
        <v>0</v>
      </c>
      <c r="D3574">
        <v>0</v>
      </c>
      <c r="E3574">
        <v>0</v>
      </c>
      <c r="F3574">
        <v>0</v>
      </c>
    </row>
    <row r="3575" spans="1:6" x14ac:dyDescent="0.25">
      <c r="A3575">
        <v>3574</v>
      </c>
      <c r="B3575">
        <v>44</v>
      </c>
      <c r="C3575">
        <v>0</v>
      </c>
      <c r="D3575">
        <v>0</v>
      </c>
      <c r="E3575">
        <v>0</v>
      </c>
      <c r="F3575">
        <v>26.402000000000001</v>
      </c>
    </row>
    <row r="3576" spans="1:6" x14ac:dyDescent="0.25">
      <c r="A3576">
        <v>3575</v>
      </c>
      <c r="B3576">
        <v>45</v>
      </c>
      <c r="C3576">
        <v>0</v>
      </c>
      <c r="D3576">
        <v>0</v>
      </c>
      <c r="E3576">
        <v>0</v>
      </c>
      <c r="F3576">
        <v>4400</v>
      </c>
    </row>
    <row r="3577" spans="1:6" x14ac:dyDescent="0.25">
      <c r="A3577">
        <v>3576</v>
      </c>
      <c r="B3577">
        <v>46</v>
      </c>
      <c r="C3577">
        <v>0</v>
      </c>
      <c r="D3577">
        <v>0</v>
      </c>
      <c r="E3577">
        <v>0</v>
      </c>
      <c r="F3577">
        <v>0</v>
      </c>
    </row>
    <row r="3578" spans="1:6" x14ac:dyDescent="0.25">
      <c r="A3578">
        <v>3577</v>
      </c>
      <c r="B3578">
        <v>2</v>
      </c>
      <c r="C3578">
        <v>0</v>
      </c>
      <c r="D3578">
        <v>0</v>
      </c>
      <c r="E3578">
        <v>0</v>
      </c>
      <c r="F3578">
        <v>34.406399999999998</v>
      </c>
    </row>
    <row r="3579" spans="1:6" x14ac:dyDescent="0.25">
      <c r="A3579">
        <v>3578</v>
      </c>
      <c r="B3579">
        <v>10</v>
      </c>
      <c r="C3579">
        <v>1</v>
      </c>
      <c r="D3579">
        <v>0</v>
      </c>
      <c r="E3579">
        <v>0</v>
      </c>
      <c r="F3579">
        <v>34715</v>
      </c>
    </row>
    <row r="3580" spans="1:6" x14ac:dyDescent="0.25">
      <c r="A3580">
        <v>3579</v>
      </c>
      <c r="B3580">
        <v>13</v>
      </c>
      <c r="C3580">
        <v>0</v>
      </c>
      <c r="D3580">
        <v>0</v>
      </c>
      <c r="E3580">
        <v>0</v>
      </c>
      <c r="F3580">
        <v>1602</v>
      </c>
    </row>
    <row r="3581" spans="1:6" x14ac:dyDescent="0.25">
      <c r="A3581">
        <v>3580</v>
      </c>
      <c r="B3581">
        <v>41</v>
      </c>
      <c r="C3581">
        <v>0</v>
      </c>
      <c r="D3581">
        <v>0</v>
      </c>
      <c r="E3581">
        <v>0</v>
      </c>
      <c r="F3581">
        <v>1</v>
      </c>
    </row>
    <row r="3582" spans="1:6" x14ac:dyDescent="0.25">
      <c r="A3582">
        <v>3581</v>
      </c>
      <c r="B3582">
        <v>42</v>
      </c>
      <c r="C3582">
        <v>0</v>
      </c>
      <c r="D3582">
        <v>0</v>
      </c>
      <c r="E3582">
        <v>0</v>
      </c>
      <c r="F3582">
        <v>0.2</v>
      </c>
    </row>
    <row r="3583" spans="1:6" x14ac:dyDescent="0.25">
      <c r="A3583">
        <v>3582</v>
      </c>
      <c r="B3583">
        <v>43</v>
      </c>
      <c r="C3583">
        <v>0</v>
      </c>
      <c r="D3583">
        <v>0</v>
      </c>
      <c r="E3583">
        <v>0</v>
      </c>
      <c r="F3583">
        <v>0</v>
      </c>
    </row>
    <row r="3584" spans="1:6" x14ac:dyDescent="0.25">
      <c r="A3584">
        <v>3583</v>
      </c>
      <c r="B3584">
        <v>44</v>
      </c>
      <c r="C3584">
        <v>0</v>
      </c>
      <c r="D3584">
        <v>0</v>
      </c>
      <c r="E3584">
        <v>0</v>
      </c>
      <c r="F3584">
        <v>26.651399999999999</v>
      </c>
    </row>
    <row r="3585" spans="1:6" x14ac:dyDescent="0.25">
      <c r="A3585">
        <v>3584</v>
      </c>
      <c r="B3585">
        <v>45</v>
      </c>
      <c r="C3585">
        <v>0</v>
      </c>
      <c r="D3585">
        <v>0</v>
      </c>
      <c r="E3585">
        <v>0</v>
      </c>
      <c r="F3585">
        <v>4400</v>
      </c>
    </row>
    <row r="3586" spans="1:6" x14ac:dyDescent="0.25">
      <c r="A3586">
        <v>3585</v>
      </c>
      <c r="B3586">
        <v>46</v>
      </c>
      <c r="C3586">
        <v>0</v>
      </c>
      <c r="D3586">
        <v>0</v>
      </c>
      <c r="E3586">
        <v>0</v>
      </c>
      <c r="F3586">
        <v>0</v>
      </c>
    </row>
    <row r="3587" spans="1:6" x14ac:dyDescent="0.25">
      <c r="A3587">
        <v>3586</v>
      </c>
      <c r="B3587">
        <v>2</v>
      </c>
      <c r="C3587">
        <v>0</v>
      </c>
      <c r="D3587">
        <v>0</v>
      </c>
      <c r="E3587">
        <v>0</v>
      </c>
      <c r="F3587">
        <v>34.406399999999998</v>
      </c>
    </row>
    <row r="3588" spans="1:6" x14ac:dyDescent="0.25">
      <c r="A3588">
        <v>3587</v>
      </c>
      <c r="B3588">
        <v>10</v>
      </c>
      <c r="C3588">
        <v>1</v>
      </c>
      <c r="D3588">
        <v>0</v>
      </c>
      <c r="E3588">
        <v>0</v>
      </c>
      <c r="F3588">
        <v>34715</v>
      </c>
    </row>
    <row r="3589" spans="1:6" x14ac:dyDescent="0.25">
      <c r="A3589">
        <v>3588</v>
      </c>
      <c r="B3589">
        <v>13</v>
      </c>
      <c r="C3589">
        <v>0</v>
      </c>
      <c r="D3589">
        <v>0</v>
      </c>
      <c r="E3589">
        <v>0</v>
      </c>
      <c r="F3589">
        <v>1602</v>
      </c>
    </row>
    <row r="3590" spans="1:6" x14ac:dyDescent="0.25">
      <c r="A3590">
        <v>3589</v>
      </c>
      <c r="B3590">
        <v>41</v>
      </c>
      <c r="C3590">
        <v>0</v>
      </c>
      <c r="D3590">
        <v>0</v>
      </c>
      <c r="E3590">
        <v>0</v>
      </c>
      <c r="F3590">
        <v>1</v>
      </c>
    </row>
    <row r="3591" spans="1:6" x14ac:dyDescent="0.25">
      <c r="A3591">
        <v>3590</v>
      </c>
      <c r="B3591">
        <v>42</v>
      </c>
      <c r="C3591">
        <v>0</v>
      </c>
      <c r="D3591">
        <v>0</v>
      </c>
      <c r="E3591">
        <v>0</v>
      </c>
      <c r="F3591">
        <v>0.2</v>
      </c>
    </row>
    <row r="3592" spans="1:6" x14ac:dyDescent="0.25">
      <c r="A3592">
        <v>3591</v>
      </c>
      <c r="B3592" t="s">
        <v>0</v>
      </c>
      <c r="C3592">
        <v>37</v>
      </c>
      <c r="D3592">
        <v>3483</v>
      </c>
      <c r="E3592">
        <v>79963083</v>
      </c>
    </row>
    <row r="3593" spans="1:6" x14ac:dyDescent="0.25">
      <c r="A3593">
        <v>3592</v>
      </c>
      <c r="B3593">
        <v>44</v>
      </c>
      <c r="C3593">
        <v>0</v>
      </c>
      <c r="D3593">
        <v>0</v>
      </c>
      <c r="E3593">
        <v>0</v>
      </c>
      <c r="F3593">
        <v>26.876999999999999</v>
      </c>
    </row>
    <row r="3594" spans="1:6" x14ac:dyDescent="0.25">
      <c r="A3594">
        <v>3593</v>
      </c>
      <c r="B3594">
        <v>45</v>
      </c>
      <c r="C3594">
        <v>0</v>
      </c>
      <c r="D3594">
        <v>0</v>
      </c>
      <c r="E3594">
        <v>0</v>
      </c>
      <c r="F3594">
        <v>4400</v>
      </c>
    </row>
    <row r="3595" spans="1:6" x14ac:dyDescent="0.25">
      <c r="A3595">
        <v>3594</v>
      </c>
      <c r="B3595">
        <v>46</v>
      </c>
      <c r="C3595">
        <v>0</v>
      </c>
      <c r="D3595">
        <v>0</v>
      </c>
      <c r="E3595">
        <v>0</v>
      </c>
      <c r="F3595">
        <v>0</v>
      </c>
    </row>
    <row r="3596" spans="1:6" x14ac:dyDescent="0.25">
      <c r="A3596">
        <v>3595</v>
      </c>
      <c r="B3596">
        <v>2</v>
      </c>
      <c r="C3596">
        <v>0</v>
      </c>
      <c r="D3596">
        <v>0</v>
      </c>
      <c r="E3596">
        <v>0</v>
      </c>
      <c r="F3596">
        <v>34.405700000000003</v>
      </c>
    </row>
    <row r="3597" spans="1:6" x14ac:dyDescent="0.25">
      <c r="A3597">
        <v>3596</v>
      </c>
      <c r="B3597">
        <v>10</v>
      </c>
      <c r="C3597">
        <v>1</v>
      </c>
      <c r="D3597">
        <v>0</v>
      </c>
      <c r="E3597">
        <v>0</v>
      </c>
      <c r="F3597">
        <v>34716</v>
      </c>
    </row>
    <row r="3598" spans="1:6" x14ac:dyDescent="0.25">
      <c r="A3598">
        <v>3597</v>
      </c>
      <c r="B3598">
        <v>13</v>
      </c>
      <c r="C3598">
        <v>0</v>
      </c>
      <c r="D3598">
        <v>0</v>
      </c>
      <c r="E3598">
        <v>0</v>
      </c>
      <c r="F3598">
        <v>1602</v>
      </c>
    </row>
    <row r="3599" spans="1:6" x14ac:dyDescent="0.25">
      <c r="A3599">
        <v>3598</v>
      </c>
      <c r="B3599">
        <v>41</v>
      </c>
      <c r="C3599">
        <v>0</v>
      </c>
      <c r="D3599">
        <v>0</v>
      </c>
      <c r="E3599">
        <v>0</v>
      </c>
      <c r="F3599">
        <v>1</v>
      </c>
    </row>
    <row r="3600" spans="1:6" x14ac:dyDescent="0.25">
      <c r="A3600">
        <v>3599</v>
      </c>
      <c r="B3600">
        <v>42</v>
      </c>
      <c r="C3600">
        <v>0</v>
      </c>
      <c r="D3600">
        <v>0</v>
      </c>
      <c r="E3600">
        <v>0</v>
      </c>
      <c r="F3600">
        <v>0.2</v>
      </c>
    </row>
    <row r="3601" spans="1:6" x14ac:dyDescent="0.25">
      <c r="A3601">
        <v>3600</v>
      </c>
      <c r="B3601">
        <v>43</v>
      </c>
      <c r="C3601">
        <v>0</v>
      </c>
      <c r="D3601">
        <v>0</v>
      </c>
      <c r="E3601">
        <v>0</v>
      </c>
      <c r="F3601">
        <v>0</v>
      </c>
    </row>
    <row r="3602" spans="1:6" x14ac:dyDescent="0.25">
      <c r="A3602">
        <v>3601</v>
      </c>
      <c r="B3602">
        <v>44</v>
      </c>
      <c r="C3602">
        <v>0</v>
      </c>
      <c r="D3602">
        <v>0</v>
      </c>
      <c r="E3602">
        <v>0</v>
      </c>
      <c r="F3602">
        <v>26.876999999999999</v>
      </c>
    </row>
    <row r="3603" spans="1:6" x14ac:dyDescent="0.25">
      <c r="A3603">
        <v>3602</v>
      </c>
      <c r="B3603">
        <v>45</v>
      </c>
      <c r="C3603">
        <v>0</v>
      </c>
      <c r="D3603">
        <v>0</v>
      </c>
      <c r="E3603">
        <v>0</v>
      </c>
      <c r="F3603">
        <v>4400</v>
      </c>
    </row>
    <row r="3604" spans="1:6" x14ac:dyDescent="0.25">
      <c r="A3604">
        <v>3603</v>
      </c>
      <c r="B3604">
        <v>46</v>
      </c>
      <c r="C3604">
        <v>0</v>
      </c>
      <c r="D3604">
        <v>0</v>
      </c>
      <c r="E3604">
        <v>0</v>
      </c>
      <c r="F3604">
        <v>0</v>
      </c>
    </row>
    <row r="3605" spans="1:6" x14ac:dyDescent="0.25">
      <c r="A3605">
        <v>3604</v>
      </c>
      <c r="B3605">
        <v>2</v>
      </c>
      <c r="C3605">
        <v>0</v>
      </c>
      <c r="D3605">
        <v>0</v>
      </c>
      <c r="E3605">
        <v>0</v>
      </c>
      <c r="F3605">
        <v>34.405700000000003</v>
      </c>
    </row>
    <row r="3606" spans="1:6" x14ac:dyDescent="0.25">
      <c r="A3606">
        <v>3605</v>
      </c>
      <c r="B3606">
        <v>10</v>
      </c>
      <c r="C3606">
        <v>1</v>
      </c>
      <c r="D3606">
        <v>0</v>
      </c>
      <c r="E3606">
        <v>0</v>
      </c>
      <c r="F3606">
        <v>34716</v>
      </c>
    </row>
    <row r="3607" spans="1:6" x14ac:dyDescent="0.25">
      <c r="A3607">
        <v>3606</v>
      </c>
      <c r="B3607" t="s">
        <v>0</v>
      </c>
      <c r="C3607">
        <v>38</v>
      </c>
      <c r="D3607">
        <v>3483</v>
      </c>
      <c r="E3607">
        <v>79964050</v>
      </c>
    </row>
    <row r="3608" spans="1:6" x14ac:dyDescent="0.25">
      <c r="A3608">
        <v>3607</v>
      </c>
      <c r="B3608">
        <v>41</v>
      </c>
      <c r="C3608">
        <v>0</v>
      </c>
      <c r="D3608">
        <v>0</v>
      </c>
      <c r="E3608">
        <v>0</v>
      </c>
      <c r="F3608">
        <v>1</v>
      </c>
    </row>
    <row r="3609" spans="1:6" x14ac:dyDescent="0.25">
      <c r="A3609">
        <v>3608</v>
      </c>
      <c r="B3609">
        <v>42</v>
      </c>
      <c r="C3609">
        <v>0</v>
      </c>
      <c r="D3609">
        <v>0</v>
      </c>
      <c r="E3609">
        <v>0</v>
      </c>
      <c r="F3609">
        <v>0.2</v>
      </c>
    </row>
    <row r="3610" spans="1:6" x14ac:dyDescent="0.25">
      <c r="A3610">
        <v>3609</v>
      </c>
      <c r="B3610">
        <v>43</v>
      </c>
      <c r="C3610">
        <v>0</v>
      </c>
      <c r="D3610">
        <v>0</v>
      </c>
      <c r="E3610">
        <v>0</v>
      </c>
      <c r="F3610">
        <v>0</v>
      </c>
    </row>
    <row r="3611" spans="1:6" x14ac:dyDescent="0.25">
      <c r="A3611">
        <v>3610</v>
      </c>
      <c r="B3611">
        <v>44</v>
      </c>
      <c r="C3611">
        <v>0</v>
      </c>
      <c r="D3611">
        <v>0</v>
      </c>
      <c r="E3611">
        <v>0</v>
      </c>
      <c r="F3611">
        <v>27.126899999999999</v>
      </c>
    </row>
    <row r="3612" spans="1:6" x14ac:dyDescent="0.25">
      <c r="A3612">
        <v>3611</v>
      </c>
      <c r="B3612">
        <v>45</v>
      </c>
      <c r="C3612">
        <v>0</v>
      </c>
      <c r="D3612">
        <v>0</v>
      </c>
      <c r="E3612">
        <v>0</v>
      </c>
      <c r="F3612">
        <v>4400</v>
      </c>
    </row>
    <row r="3613" spans="1:6" x14ac:dyDescent="0.25">
      <c r="A3613">
        <v>3612</v>
      </c>
      <c r="B3613">
        <v>46</v>
      </c>
      <c r="C3613">
        <v>0</v>
      </c>
      <c r="D3613">
        <v>0</v>
      </c>
      <c r="E3613">
        <v>0</v>
      </c>
      <c r="F3613">
        <v>0</v>
      </c>
    </row>
    <row r="3614" spans="1:6" x14ac:dyDescent="0.25">
      <c r="A3614">
        <v>3613</v>
      </c>
      <c r="B3614">
        <v>2</v>
      </c>
      <c r="C3614">
        <v>0</v>
      </c>
      <c r="D3614">
        <v>0</v>
      </c>
      <c r="E3614">
        <v>0</v>
      </c>
      <c r="F3614">
        <v>34.405799999999999</v>
      </c>
    </row>
    <row r="3615" spans="1:6" x14ac:dyDescent="0.25">
      <c r="A3615">
        <v>3614</v>
      </c>
      <c r="B3615">
        <v>10</v>
      </c>
      <c r="C3615">
        <v>1</v>
      </c>
      <c r="D3615">
        <v>0</v>
      </c>
      <c r="E3615">
        <v>0</v>
      </c>
      <c r="F3615">
        <v>34716</v>
      </c>
    </row>
    <row r="3616" spans="1:6" x14ac:dyDescent="0.25">
      <c r="A3616">
        <v>3615</v>
      </c>
      <c r="B3616">
        <v>13</v>
      </c>
      <c r="C3616">
        <v>0</v>
      </c>
      <c r="D3616">
        <v>0</v>
      </c>
      <c r="E3616">
        <v>0</v>
      </c>
      <c r="F3616">
        <v>1602</v>
      </c>
    </row>
    <row r="3617" spans="1:6" x14ac:dyDescent="0.25">
      <c r="A3617">
        <v>3616</v>
      </c>
      <c r="B3617">
        <v>41</v>
      </c>
      <c r="C3617">
        <v>0</v>
      </c>
      <c r="D3617">
        <v>0</v>
      </c>
      <c r="E3617">
        <v>0</v>
      </c>
      <c r="F3617">
        <v>1</v>
      </c>
    </row>
    <row r="3618" spans="1:6" x14ac:dyDescent="0.25">
      <c r="A3618">
        <v>3617</v>
      </c>
      <c r="B3618">
        <v>42</v>
      </c>
      <c r="C3618">
        <v>0</v>
      </c>
      <c r="D3618">
        <v>0</v>
      </c>
      <c r="E3618">
        <v>0</v>
      </c>
      <c r="F3618">
        <v>0.2</v>
      </c>
    </row>
    <row r="3619" spans="1:6" x14ac:dyDescent="0.25">
      <c r="A3619">
        <v>3618</v>
      </c>
      <c r="B3619">
        <v>43</v>
      </c>
      <c r="C3619">
        <v>0</v>
      </c>
      <c r="D3619">
        <v>0</v>
      </c>
      <c r="E3619">
        <v>0</v>
      </c>
      <c r="F3619">
        <v>0</v>
      </c>
    </row>
    <row r="3620" spans="1:6" x14ac:dyDescent="0.25">
      <c r="A3620">
        <v>3619</v>
      </c>
      <c r="B3620">
        <v>44</v>
      </c>
      <c r="C3620">
        <v>0</v>
      </c>
      <c r="D3620">
        <v>0</v>
      </c>
      <c r="E3620">
        <v>0</v>
      </c>
      <c r="F3620">
        <v>27.126899999999999</v>
      </c>
    </row>
    <row r="3621" spans="1:6" x14ac:dyDescent="0.25">
      <c r="A3621">
        <v>3620</v>
      </c>
      <c r="B3621">
        <v>45</v>
      </c>
      <c r="C3621">
        <v>0</v>
      </c>
      <c r="D3621">
        <v>0</v>
      </c>
      <c r="E3621">
        <v>0</v>
      </c>
      <c r="F3621">
        <v>4400</v>
      </c>
    </row>
    <row r="3622" spans="1:6" x14ac:dyDescent="0.25">
      <c r="A3622">
        <v>3621</v>
      </c>
      <c r="B3622" t="s">
        <v>0</v>
      </c>
      <c r="C3622">
        <v>39</v>
      </c>
      <c r="D3622">
        <v>3483</v>
      </c>
      <c r="E3622">
        <v>79965018</v>
      </c>
    </row>
    <row r="3623" spans="1:6" x14ac:dyDescent="0.25">
      <c r="A3623">
        <v>3622</v>
      </c>
      <c r="B3623">
        <v>46</v>
      </c>
      <c r="C3623">
        <v>0</v>
      </c>
      <c r="D3623">
        <v>0</v>
      </c>
      <c r="E3623">
        <v>0</v>
      </c>
      <c r="F3623">
        <v>0</v>
      </c>
    </row>
    <row r="3624" spans="1:6" x14ac:dyDescent="0.25">
      <c r="A3624">
        <v>3623</v>
      </c>
      <c r="B3624">
        <v>2</v>
      </c>
      <c r="C3624">
        <v>0</v>
      </c>
      <c r="D3624">
        <v>0</v>
      </c>
      <c r="E3624">
        <v>0</v>
      </c>
      <c r="F3624">
        <v>34.406100000000002</v>
      </c>
    </row>
    <row r="3625" spans="1:6" x14ac:dyDescent="0.25">
      <c r="A3625">
        <v>3624</v>
      </c>
      <c r="B3625">
        <v>10</v>
      </c>
      <c r="C3625">
        <v>1</v>
      </c>
      <c r="D3625">
        <v>0</v>
      </c>
      <c r="E3625">
        <v>0</v>
      </c>
      <c r="F3625">
        <v>34716</v>
      </c>
    </row>
    <row r="3626" spans="1:6" x14ac:dyDescent="0.25">
      <c r="A3626">
        <v>3625</v>
      </c>
      <c r="B3626">
        <v>13</v>
      </c>
      <c r="C3626">
        <v>0</v>
      </c>
      <c r="D3626">
        <v>0</v>
      </c>
      <c r="E3626">
        <v>0</v>
      </c>
      <c r="F3626">
        <v>1602</v>
      </c>
    </row>
    <row r="3627" spans="1:6" x14ac:dyDescent="0.25">
      <c r="A3627">
        <v>3626</v>
      </c>
      <c r="B3627">
        <v>41</v>
      </c>
      <c r="C3627">
        <v>0</v>
      </c>
      <c r="D3627">
        <v>0</v>
      </c>
      <c r="E3627">
        <v>0</v>
      </c>
      <c r="F3627">
        <v>1</v>
      </c>
    </row>
    <row r="3628" spans="1:6" x14ac:dyDescent="0.25">
      <c r="A3628">
        <v>3627</v>
      </c>
      <c r="B3628">
        <v>42</v>
      </c>
      <c r="C3628">
        <v>0</v>
      </c>
      <c r="D3628">
        <v>0</v>
      </c>
      <c r="E3628">
        <v>0</v>
      </c>
      <c r="F3628">
        <v>0.2</v>
      </c>
    </row>
    <row r="3629" spans="1:6" x14ac:dyDescent="0.25">
      <c r="A3629">
        <v>3628</v>
      </c>
      <c r="B3629">
        <v>43</v>
      </c>
      <c r="C3629">
        <v>0</v>
      </c>
      <c r="D3629">
        <v>0</v>
      </c>
      <c r="E3629">
        <v>0</v>
      </c>
      <c r="F3629">
        <v>0</v>
      </c>
    </row>
    <row r="3630" spans="1:6" x14ac:dyDescent="0.25">
      <c r="A3630">
        <v>3629</v>
      </c>
      <c r="B3630">
        <v>44</v>
      </c>
      <c r="C3630">
        <v>0</v>
      </c>
      <c r="D3630">
        <v>0</v>
      </c>
      <c r="E3630">
        <v>0</v>
      </c>
      <c r="F3630">
        <v>27.3767</v>
      </c>
    </row>
    <row r="3631" spans="1:6" x14ac:dyDescent="0.25">
      <c r="A3631">
        <v>3630</v>
      </c>
      <c r="B3631">
        <v>45</v>
      </c>
      <c r="C3631">
        <v>0</v>
      </c>
      <c r="D3631">
        <v>0</v>
      </c>
      <c r="E3631">
        <v>0</v>
      </c>
      <c r="F3631">
        <v>4400</v>
      </c>
    </row>
    <row r="3632" spans="1:6" x14ac:dyDescent="0.25">
      <c r="A3632">
        <v>3631</v>
      </c>
      <c r="B3632">
        <v>46</v>
      </c>
      <c r="C3632">
        <v>0</v>
      </c>
      <c r="D3632">
        <v>0</v>
      </c>
      <c r="E3632">
        <v>0</v>
      </c>
      <c r="F3632">
        <v>0</v>
      </c>
    </row>
    <row r="3633" spans="1:6" x14ac:dyDescent="0.25">
      <c r="A3633">
        <v>3632</v>
      </c>
      <c r="B3633">
        <v>2</v>
      </c>
      <c r="C3633">
        <v>0</v>
      </c>
      <c r="D3633">
        <v>0</v>
      </c>
      <c r="E3633">
        <v>0</v>
      </c>
      <c r="F3633">
        <v>34.406100000000002</v>
      </c>
    </row>
    <row r="3634" spans="1:6" x14ac:dyDescent="0.25">
      <c r="A3634">
        <v>3633</v>
      </c>
      <c r="B3634">
        <v>10</v>
      </c>
      <c r="C3634">
        <v>1</v>
      </c>
      <c r="D3634">
        <v>0</v>
      </c>
      <c r="E3634">
        <v>0</v>
      </c>
      <c r="F3634">
        <v>34716</v>
      </c>
    </row>
    <row r="3635" spans="1:6" x14ac:dyDescent="0.25">
      <c r="A3635">
        <v>3634</v>
      </c>
      <c r="B3635">
        <v>13</v>
      </c>
      <c r="C3635">
        <v>0</v>
      </c>
      <c r="D3635">
        <v>0</v>
      </c>
      <c r="E3635">
        <v>0</v>
      </c>
      <c r="F3635">
        <v>1602</v>
      </c>
    </row>
    <row r="3636" spans="1:6" x14ac:dyDescent="0.25">
      <c r="A3636">
        <v>3635</v>
      </c>
      <c r="B3636">
        <v>41</v>
      </c>
      <c r="C3636">
        <v>0</v>
      </c>
      <c r="D3636">
        <v>0</v>
      </c>
      <c r="E3636">
        <v>0</v>
      </c>
      <c r="F3636">
        <v>1</v>
      </c>
    </row>
    <row r="3637" spans="1:6" x14ac:dyDescent="0.25">
      <c r="A3637">
        <v>3636</v>
      </c>
      <c r="B3637">
        <v>42</v>
      </c>
      <c r="C3637">
        <v>0</v>
      </c>
      <c r="D3637">
        <v>0</v>
      </c>
      <c r="E3637">
        <v>0</v>
      </c>
      <c r="F3637">
        <v>0.2</v>
      </c>
    </row>
    <row r="3638" spans="1:6" x14ac:dyDescent="0.25">
      <c r="A3638">
        <v>3637</v>
      </c>
      <c r="B3638">
        <v>43</v>
      </c>
      <c r="C3638">
        <v>0</v>
      </c>
      <c r="D3638">
        <v>0</v>
      </c>
      <c r="E3638">
        <v>0</v>
      </c>
      <c r="F3638">
        <v>0</v>
      </c>
    </row>
    <row r="3639" spans="1:6" x14ac:dyDescent="0.25">
      <c r="A3639">
        <v>3638</v>
      </c>
      <c r="B3639">
        <v>44</v>
      </c>
      <c r="C3639">
        <v>0</v>
      </c>
      <c r="D3639">
        <v>0</v>
      </c>
      <c r="E3639">
        <v>0</v>
      </c>
      <c r="F3639">
        <v>27.601299999999998</v>
      </c>
    </row>
    <row r="3640" spans="1:6" x14ac:dyDescent="0.25">
      <c r="A3640">
        <v>3639</v>
      </c>
      <c r="B3640">
        <v>45</v>
      </c>
      <c r="C3640">
        <v>0</v>
      </c>
      <c r="D3640">
        <v>0</v>
      </c>
      <c r="E3640">
        <v>0</v>
      </c>
      <c r="F3640">
        <v>4400</v>
      </c>
    </row>
    <row r="3641" spans="1:6" x14ac:dyDescent="0.25">
      <c r="A3641">
        <v>3640</v>
      </c>
      <c r="B3641">
        <v>46</v>
      </c>
      <c r="C3641">
        <v>0</v>
      </c>
      <c r="D3641">
        <v>0</v>
      </c>
      <c r="E3641">
        <v>0</v>
      </c>
      <c r="F3641">
        <v>0</v>
      </c>
    </row>
    <row r="3642" spans="1:6" x14ac:dyDescent="0.25">
      <c r="A3642">
        <v>3641</v>
      </c>
      <c r="B3642">
        <v>2</v>
      </c>
      <c r="C3642">
        <v>0</v>
      </c>
      <c r="D3642">
        <v>0</v>
      </c>
      <c r="E3642">
        <v>0</v>
      </c>
      <c r="F3642">
        <v>34.406599999999997</v>
      </c>
    </row>
    <row r="3643" spans="1:6" x14ac:dyDescent="0.25">
      <c r="A3643">
        <v>3642</v>
      </c>
      <c r="B3643">
        <v>10</v>
      </c>
      <c r="C3643">
        <v>1</v>
      </c>
      <c r="D3643">
        <v>0</v>
      </c>
      <c r="E3643">
        <v>0</v>
      </c>
      <c r="F3643">
        <v>34715</v>
      </c>
    </row>
    <row r="3644" spans="1:6" x14ac:dyDescent="0.25">
      <c r="A3644">
        <v>3643</v>
      </c>
      <c r="B3644">
        <v>13</v>
      </c>
      <c r="C3644">
        <v>0</v>
      </c>
      <c r="D3644">
        <v>0</v>
      </c>
      <c r="E3644">
        <v>0</v>
      </c>
      <c r="F3644">
        <v>1602</v>
      </c>
    </row>
    <row r="3645" spans="1:6" x14ac:dyDescent="0.25">
      <c r="A3645">
        <v>3644</v>
      </c>
      <c r="B3645">
        <v>41</v>
      </c>
      <c r="C3645">
        <v>0</v>
      </c>
      <c r="D3645">
        <v>0</v>
      </c>
      <c r="E3645">
        <v>0</v>
      </c>
      <c r="F3645">
        <v>1</v>
      </c>
    </row>
    <row r="3646" spans="1:6" x14ac:dyDescent="0.25">
      <c r="A3646">
        <v>3645</v>
      </c>
      <c r="B3646">
        <v>42</v>
      </c>
      <c r="C3646">
        <v>0</v>
      </c>
      <c r="D3646">
        <v>0</v>
      </c>
      <c r="E3646">
        <v>0</v>
      </c>
      <c r="F3646">
        <v>0.2</v>
      </c>
    </row>
    <row r="3647" spans="1:6" x14ac:dyDescent="0.25">
      <c r="A3647">
        <v>3646</v>
      </c>
      <c r="B3647">
        <v>43</v>
      </c>
      <c r="C3647">
        <v>0</v>
      </c>
      <c r="D3647">
        <v>0</v>
      </c>
      <c r="E3647">
        <v>0</v>
      </c>
      <c r="F3647">
        <v>0</v>
      </c>
    </row>
    <row r="3648" spans="1:6" x14ac:dyDescent="0.25">
      <c r="A3648">
        <v>3647</v>
      </c>
      <c r="B3648">
        <v>44</v>
      </c>
      <c r="C3648">
        <v>0</v>
      </c>
      <c r="D3648">
        <v>0</v>
      </c>
      <c r="E3648">
        <v>0</v>
      </c>
      <c r="F3648">
        <v>27.601299999999998</v>
      </c>
    </row>
    <row r="3649" spans="1:6" x14ac:dyDescent="0.25">
      <c r="A3649">
        <v>3648</v>
      </c>
      <c r="B3649">
        <v>45</v>
      </c>
      <c r="C3649">
        <v>0</v>
      </c>
      <c r="D3649">
        <v>0</v>
      </c>
      <c r="E3649">
        <v>0</v>
      </c>
      <c r="F3649">
        <v>4400</v>
      </c>
    </row>
    <row r="3650" spans="1:6" x14ac:dyDescent="0.25">
      <c r="A3650">
        <v>3649</v>
      </c>
      <c r="B3650">
        <v>46</v>
      </c>
      <c r="C3650">
        <v>0</v>
      </c>
      <c r="D3650">
        <v>0</v>
      </c>
      <c r="E3650">
        <v>0</v>
      </c>
      <c r="F3650">
        <v>0</v>
      </c>
    </row>
    <row r="3651" spans="1:6" x14ac:dyDescent="0.25">
      <c r="A3651">
        <v>3650</v>
      </c>
      <c r="B3651">
        <v>2</v>
      </c>
      <c r="C3651">
        <v>0</v>
      </c>
      <c r="D3651">
        <v>0</v>
      </c>
      <c r="E3651">
        <v>0</v>
      </c>
      <c r="F3651">
        <v>34.406599999999997</v>
      </c>
    </row>
    <row r="3652" spans="1:6" x14ac:dyDescent="0.25">
      <c r="A3652">
        <v>3651</v>
      </c>
      <c r="B3652" t="s">
        <v>0</v>
      </c>
      <c r="C3652">
        <v>41</v>
      </c>
      <c r="D3652">
        <v>3483</v>
      </c>
      <c r="E3652">
        <v>79966954</v>
      </c>
    </row>
    <row r="3653" spans="1:6" x14ac:dyDescent="0.25">
      <c r="A3653">
        <v>3652</v>
      </c>
      <c r="B3653">
        <v>13</v>
      </c>
      <c r="C3653">
        <v>0</v>
      </c>
      <c r="D3653">
        <v>0</v>
      </c>
      <c r="E3653">
        <v>0</v>
      </c>
      <c r="F3653">
        <v>1602</v>
      </c>
    </row>
    <row r="3654" spans="1:6" x14ac:dyDescent="0.25">
      <c r="A3654">
        <v>3653</v>
      </c>
      <c r="B3654">
        <v>41</v>
      </c>
      <c r="C3654">
        <v>0</v>
      </c>
      <c r="D3654">
        <v>0</v>
      </c>
      <c r="E3654">
        <v>0</v>
      </c>
      <c r="F3654">
        <v>1</v>
      </c>
    </row>
    <row r="3655" spans="1:6" x14ac:dyDescent="0.25">
      <c r="A3655">
        <v>3654</v>
      </c>
      <c r="B3655">
        <v>42</v>
      </c>
      <c r="C3655">
        <v>0</v>
      </c>
      <c r="D3655">
        <v>0</v>
      </c>
      <c r="E3655">
        <v>0</v>
      </c>
      <c r="F3655">
        <v>0.2</v>
      </c>
    </row>
    <row r="3656" spans="1:6" x14ac:dyDescent="0.25">
      <c r="A3656">
        <v>3655</v>
      </c>
      <c r="B3656">
        <v>43</v>
      </c>
      <c r="C3656">
        <v>0</v>
      </c>
      <c r="D3656">
        <v>0</v>
      </c>
      <c r="E3656">
        <v>0</v>
      </c>
      <c r="F3656">
        <v>0</v>
      </c>
    </row>
    <row r="3657" spans="1:6" x14ac:dyDescent="0.25">
      <c r="A3657">
        <v>3656</v>
      </c>
      <c r="B3657">
        <v>44</v>
      </c>
      <c r="C3657">
        <v>0</v>
      </c>
      <c r="D3657">
        <v>0</v>
      </c>
      <c r="E3657">
        <v>0</v>
      </c>
      <c r="F3657">
        <v>27.850999999999999</v>
      </c>
    </row>
    <row r="3658" spans="1:6" x14ac:dyDescent="0.25">
      <c r="A3658">
        <v>3657</v>
      </c>
      <c r="B3658">
        <v>45</v>
      </c>
      <c r="C3658">
        <v>0</v>
      </c>
      <c r="D3658">
        <v>0</v>
      </c>
      <c r="E3658">
        <v>0</v>
      </c>
      <c r="F3658">
        <v>4400</v>
      </c>
    </row>
    <row r="3659" spans="1:6" x14ac:dyDescent="0.25">
      <c r="A3659">
        <v>3658</v>
      </c>
      <c r="B3659">
        <v>46</v>
      </c>
      <c r="C3659">
        <v>0</v>
      </c>
      <c r="D3659">
        <v>0</v>
      </c>
      <c r="E3659">
        <v>0</v>
      </c>
      <c r="F3659">
        <v>0</v>
      </c>
    </row>
    <row r="3660" spans="1:6" x14ac:dyDescent="0.25">
      <c r="A3660">
        <v>3659</v>
      </c>
      <c r="B3660">
        <v>2</v>
      </c>
      <c r="C3660">
        <v>0</v>
      </c>
      <c r="D3660">
        <v>0</v>
      </c>
      <c r="E3660">
        <v>0</v>
      </c>
      <c r="F3660">
        <v>34.406799999999997</v>
      </c>
    </row>
    <row r="3661" spans="1:6" x14ac:dyDescent="0.25">
      <c r="A3661">
        <v>3660</v>
      </c>
      <c r="B3661">
        <v>10</v>
      </c>
      <c r="C3661">
        <v>1</v>
      </c>
      <c r="D3661">
        <v>0</v>
      </c>
      <c r="E3661">
        <v>0</v>
      </c>
      <c r="F3661">
        <v>34715</v>
      </c>
    </row>
    <row r="3662" spans="1:6" x14ac:dyDescent="0.25">
      <c r="A3662">
        <v>3661</v>
      </c>
      <c r="B3662">
        <v>13</v>
      </c>
      <c r="C3662">
        <v>0</v>
      </c>
      <c r="D3662">
        <v>0</v>
      </c>
      <c r="E3662">
        <v>0</v>
      </c>
      <c r="F3662">
        <v>1602</v>
      </c>
    </row>
    <row r="3663" spans="1:6" x14ac:dyDescent="0.25">
      <c r="A3663">
        <v>3662</v>
      </c>
      <c r="B3663">
        <v>41</v>
      </c>
      <c r="C3663">
        <v>0</v>
      </c>
      <c r="D3663">
        <v>0</v>
      </c>
      <c r="E3663">
        <v>0</v>
      </c>
      <c r="F3663">
        <v>1</v>
      </c>
    </row>
    <row r="3664" spans="1:6" x14ac:dyDescent="0.25">
      <c r="A3664">
        <v>3663</v>
      </c>
      <c r="B3664">
        <v>42</v>
      </c>
      <c r="C3664">
        <v>0</v>
      </c>
      <c r="D3664">
        <v>0</v>
      </c>
      <c r="E3664">
        <v>0</v>
      </c>
      <c r="F3664">
        <v>0.2</v>
      </c>
    </row>
    <row r="3665" spans="1:6" x14ac:dyDescent="0.25">
      <c r="A3665">
        <v>3664</v>
      </c>
      <c r="B3665">
        <v>43</v>
      </c>
      <c r="C3665">
        <v>0</v>
      </c>
      <c r="D3665">
        <v>0</v>
      </c>
      <c r="E3665">
        <v>0</v>
      </c>
      <c r="F3665">
        <v>0</v>
      </c>
    </row>
    <row r="3666" spans="1:6" x14ac:dyDescent="0.25">
      <c r="A3666">
        <v>3665</v>
      </c>
      <c r="B3666">
        <v>44</v>
      </c>
      <c r="C3666">
        <v>0</v>
      </c>
      <c r="D3666">
        <v>0</v>
      </c>
      <c r="E3666">
        <v>0</v>
      </c>
      <c r="F3666">
        <v>27.850999999999999</v>
      </c>
    </row>
    <row r="3667" spans="1:6" x14ac:dyDescent="0.25">
      <c r="A3667">
        <v>3666</v>
      </c>
      <c r="B3667" t="s">
        <v>0</v>
      </c>
      <c r="C3667">
        <v>42</v>
      </c>
      <c r="D3667">
        <v>3483</v>
      </c>
      <c r="E3667">
        <v>79967922</v>
      </c>
    </row>
    <row r="3668" spans="1:6" x14ac:dyDescent="0.25">
      <c r="A3668">
        <v>3667</v>
      </c>
      <c r="B3668">
        <v>45</v>
      </c>
      <c r="C3668">
        <v>0</v>
      </c>
      <c r="D3668">
        <v>0</v>
      </c>
      <c r="E3668">
        <v>0</v>
      </c>
      <c r="F3668">
        <v>4400</v>
      </c>
    </row>
    <row r="3669" spans="1:6" x14ac:dyDescent="0.25">
      <c r="A3669">
        <v>3668</v>
      </c>
      <c r="B3669">
        <v>46</v>
      </c>
      <c r="C3669">
        <v>0</v>
      </c>
      <c r="D3669">
        <v>0</v>
      </c>
      <c r="E3669">
        <v>0</v>
      </c>
      <c r="F3669">
        <v>0</v>
      </c>
    </row>
    <row r="3670" spans="1:6" x14ac:dyDescent="0.25">
      <c r="A3670">
        <v>3669</v>
      </c>
      <c r="B3670">
        <v>2</v>
      </c>
      <c r="C3670">
        <v>0</v>
      </c>
      <c r="D3670">
        <v>0</v>
      </c>
      <c r="E3670">
        <v>0</v>
      </c>
      <c r="F3670">
        <v>34.406700000000001</v>
      </c>
    </row>
    <row r="3671" spans="1:6" x14ac:dyDescent="0.25">
      <c r="A3671">
        <v>3670</v>
      </c>
      <c r="B3671">
        <v>10</v>
      </c>
      <c r="C3671">
        <v>1</v>
      </c>
      <c r="D3671">
        <v>0</v>
      </c>
      <c r="E3671">
        <v>0</v>
      </c>
      <c r="F3671">
        <v>34715</v>
      </c>
    </row>
    <row r="3672" spans="1:6" x14ac:dyDescent="0.25">
      <c r="A3672">
        <v>3671</v>
      </c>
      <c r="B3672">
        <v>13</v>
      </c>
      <c r="C3672">
        <v>0</v>
      </c>
      <c r="D3672">
        <v>0</v>
      </c>
      <c r="E3672">
        <v>0</v>
      </c>
      <c r="F3672">
        <v>1602</v>
      </c>
    </row>
    <row r="3673" spans="1:6" x14ac:dyDescent="0.25">
      <c r="A3673">
        <v>3672</v>
      </c>
      <c r="B3673">
        <v>41</v>
      </c>
      <c r="C3673">
        <v>0</v>
      </c>
      <c r="D3673">
        <v>0</v>
      </c>
      <c r="E3673">
        <v>0</v>
      </c>
      <c r="F3673">
        <v>1</v>
      </c>
    </row>
    <row r="3674" spans="1:6" x14ac:dyDescent="0.25">
      <c r="A3674">
        <v>3673</v>
      </c>
      <c r="B3674">
        <v>42</v>
      </c>
      <c r="C3674">
        <v>0</v>
      </c>
      <c r="D3674">
        <v>0</v>
      </c>
      <c r="E3674">
        <v>0</v>
      </c>
      <c r="F3674">
        <v>0.2</v>
      </c>
    </row>
    <row r="3675" spans="1:6" x14ac:dyDescent="0.25">
      <c r="A3675">
        <v>3674</v>
      </c>
      <c r="B3675">
        <v>43</v>
      </c>
      <c r="C3675">
        <v>0</v>
      </c>
      <c r="D3675">
        <v>0</v>
      </c>
      <c r="E3675">
        <v>0</v>
      </c>
      <c r="F3675">
        <v>0</v>
      </c>
    </row>
    <row r="3676" spans="1:6" x14ac:dyDescent="0.25">
      <c r="A3676">
        <v>3675</v>
      </c>
      <c r="B3676">
        <v>44</v>
      </c>
      <c r="C3676">
        <v>0</v>
      </c>
      <c r="D3676">
        <v>0</v>
      </c>
      <c r="E3676">
        <v>0</v>
      </c>
      <c r="F3676">
        <v>28.101199999999999</v>
      </c>
    </row>
    <row r="3677" spans="1:6" x14ac:dyDescent="0.25">
      <c r="A3677">
        <v>3676</v>
      </c>
      <c r="B3677">
        <v>45</v>
      </c>
      <c r="C3677">
        <v>0</v>
      </c>
      <c r="D3677">
        <v>0</v>
      </c>
      <c r="E3677">
        <v>0</v>
      </c>
      <c r="F3677">
        <v>4400</v>
      </c>
    </row>
    <row r="3678" spans="1:6" x14ac:dyDescent="0.25">
      <c r="A3678">
        <v>3677</v>
      </c>
      <c r="B3678">
        <v>46</v>
      </c>
      <c r="C3678">
        <v>0</v>
      </c>
      <c r="D3678">
        <v>0</v>
      </c>
      <c r="E3678">
        <v>0</v>
      </c>
      <c r="F3678">
        <v>0</v>
      </c>
    </row>
    <row r="3679" spans="1:6" x14ac:dyDescent="0.25">
      <c r="A3679">
        <v>3678</v>
      </c>
      <c r="B3679">
        <v>2</v>
      </c>
      <c r="C3679">
        <v>0</v>
      </c>
      <c r="D3679">
        <v>0</v>
      </c>
      <c r="E3679">
        <v>0</v>
      </c>
      <c r="F3679">
        <v>34.406700000000001</v>
      </c>
    </row>
    <row r="3680" spans="1:6" x14ac:dyDescent="0.25">
      <c r="A3680">
        <v>3679</v>
      </c>
      <c r="B3680">
        <v>10</v>
      </c>
      <c r="C3680">
        <v>1</v>
      </c>
      <c r="D3680">
        <v>0</v>
      </c>
      <c r="E3680">
        <v>0</v>
      </c>
      <c r="F3680">
        <v>34715</v>
      </c>
    </row>
    <row r="3681" spans="1:6" x14ac:dyDescent="0.25">
      <c r="A3681">
        <v>3680</v>
      </c>
      <c r="B3681">
        <v>13</v>
      </c>
      <c r="C3681">
        <v>0</v>
      </c>
      <c r="D3681">
        <v>0</v>
      </c>
      <c r="E3681">
        <v>0</v>
      </c>
      <c r="F3681">
        <v>1602</v>
      </c>
    </row>
    <row r="3682" spans="1:6" x14ac:dyDescent="0.25">
      <c r="A3682">
        <v>3681</v>
      </c>
      <c r="B3682">
        <v>41</v>
      </c>
      <c r="C3682">
        <v>0</v>
      </c>
      <c r="D3682">
        <v>0</v>
      </c>
      <c r="E3682">
        <v>0</v>
      </c>
      <c r="F3682">
        <v>1</v>
      </c>
    </row>
    <row r="3683" spans="1:6" x14ac:dyDescent="0.25">
      <c r="A3683">
        <v>3682</v>
      </c>
      <c r="B3683">
        <v>42</v>
      </c>
      <c r="C3683">
        <v>0</v>
      </c>
      <c r="D3683">
        <v>0</v>
      </c>
      <c r="E3683">
        <v>0</v>
      </c>
      <c r="F3683">
        <v>0.2</v>
      </c>
    </row>
    <row r="3684" spans="1:6" x14ac:dyDescent="0.25">
      <c r="A3684">
        <v>3683</v>
      </c>
      <c r="B3684">
        <v>43</v>
      </c>
      <c r="C3684">
        <v>0</v>
      </c>
      <c r="D3684">
        <v>0</v>
      </c>
      <c r="E3684">
        <v>0</v>
      </c>
      <c r="F3684">
        <v>0</v>
      </c>
    </row>
    <row r="3685" spans="1:6" x14ac:dyDescent="0.25">
      <c r="A3685">
        <v>3684</v>
      </c>
      <c r="B3685">
        <v>44</v>
      </c>
      <c r="C3685">
        <v>0</v>
      </c>
      <c r="D3685">
        <v>0</v>
      </c>
      <c r="E3685">
        <v>0</v>
      </c>
      <c r="F3685">
        <v>28.326499999999999</v>
      </c>
    </row>
    <row r="3686" spans="1:6" x14ac:dyDescent="0.25">
      <c r="A3686">
        <v>3685</v>
      </c>
      <c r="B3686">
        <v>45</v>
      </c>
      <c r="C3686">
        <v>0</v>
      </c>
      <c r="D3686">
        <v>0</v>
      </c>
      <c r="E3686">
        <v>0</v>
      </c>
      <c r="F3686">
        <v>4400</v>
      </c>
    </row>
    <row r="3687" spans="1:6" x14ac:dyDescent="0.25">
      <c r="A3687">
        <v>3686</v>
      </c>
      <c r="B3687">
        <v>46</v>
      </c>
      <c r="C3687">
        <v>0</v>
      </c>
      <c r="D3687">
        <v>0</v>
      </c>
      <c r="E3687">
        <v>0</v>
      </c>
      <c r="F3687">
        <v>0</v>
      </c>
    </row>
    <row r="3688" spans="1:6" x14ac:dyDescent="0.25">
      <c r="A3688">
        <v>3687</v>
      </c>
      <c r="B3688">
        <v>2</v>
      </c>
      <c r="C3688">
        <v>0</v>
      </c>
      <c r="D3688">
        <v>0</v>
      </c>
      <c r="E3688">
        <v>0</v>
      </c>
      <c r="F3688">
        <v>34.406399999999998</v>
      </c>
    </row>
    <row r="3689" spans="1:6" x14ac:dyDescent="0.25">
      <c r="A3689">
        <v>3688</v>
      </c>
      <c r="B3689">
        <v>10</v>
      </c>
      <c r="C3689">
        <v>1</v>
      </c>
      <c r="D3689">
        <v>0</v>
      </c>
      <c r="E3689">
        <v>0</v>
      </c>
      <c r="F3689">
        <v>34715</v>
      </c>
    </row>
    <row r="3690" spans="1:6" x14ac:dyDescent="0.25">
      <c r="A3690">
        <v>3689</v>
      </c>
      <c r="B3690">
        <v>13</v>
      </c>
      <c r="C3690">
        <v>0</v>
      </c>
      <c r="D3690">
        <v>0</v>
      </c>
      <c r="E3690">
        <v>0</v>
      </c>
      <c r="F3690">
        <v>1602</v>
      </c>
    </row>
    <row r="3691" spans="1:6" x14ac:dyDescent="0.25">
      <c r="A3691">
        <v>3690</v>
      </c>
      <c r="B3691">
        <v>41</v>
      </c>
      <c r="C3691">
        <v>0</v>
      </c>
      <c r="D3691">
        <v>0</v>
      </c>
      <c r="E3691">
        <v>0</v>
      </c>
      <c r="F3691">
        <v>1</v>
      </c>
    </row>
    <row r="3692" spans="1:6" x14ac:dyDescent="0.25">
      <c r="A3692">
        <v>3691</v>
      </c>
      <c r="B3692">
        <v>42</v>
      </c>
      <c r="C3692">
        <v>0</v>
      </c>
      <c r="D3692">
        <v>0</v>
      </c>
      <c r="E3692">
        <v>0</v>
      </c>
      <c r="F3692">
        <v>0.2</v>
      </c>
    </row>
    <row r="3693" spans="1:6" x14ac:dyDescent="0.25">
      <c r="A3693">
        <v>3692</v>
      </c>
      <c r="B3693">
        <v>43</v>
      </c>
      <c r="C3693">
        <v>0</v>
      </c>
      <c r="D3693">
        <v>0</v>
      </c>
      <c r="E3693">
        <v>0</v>
      </c>
      <c r="F3693">
        <v>0</v>
      </c>
    </row>
    <row r="3694" spans="1:6" x14ac:dyDescent="0.25">
      <c r="A3694">
        <v>3693</v>
      </c>
      <c r="B3694">
        <v>44</v>
      </c>
      <c r="C3694">
        <v>0</v>
      </c>
      <c r="D3694">
        <v>0</v>
      </c>
      <c r="E3694">
        <v>0</v>
      </c>
      <c r="F3694">
        <v>28.326499999999999</v>
      </c>
    </row>
    <row r="3695" spans="1:6" x14ac:dyDescent="0.25">
      <c r="A3695">
        <v>3694</v>
      </c>
      <c r="B3695">
        <v>45</v>
      </c>
      <c r="C3695">
        <v>0</v>
      </c>
      <c r="D3695">
        <v>0</v>
      </c>
      <c r="E3695">
        <v>0</v>
      </c>
      <c r="F3695">
        <v>4400</v>
      </c>
    </row>
    <row r="3696" spans="1:6" x14ac:dyDescent="0.25">
      <c r="A3696">
        <v>3695</v>
      </c>
      <c r="B3696">
        <v>46</v>
      </c>
      <c r="C3696">
        <v>0</v>
      </c>
      <c r="D3696">
        <v>0</v>
      </c>
      <c r="E3696">
        <v>0</v>
      </c>
      <c r="F3696">
        <v>0</v>
      </c>
    </row>
    <row r="3697" spans="1:6" x14ac:dyDescent="0.25">
      <c r="A3697">
        <v>3696</v>
      </c>
      <c r="B3697">
        <v>2</v>
      </c>
      <c r="C3697">
        <v>0</v>
      </c>
      <c r="D3697">
        <v>0</v>
      </c>
      <c r="E3697">
        <v>0</v>
      </c>
      <c r="F3697">
        <v>34.406399999999998</v>
      </c>
    </row>
    <row r="3698" spans="1:6" x14ac:dyDescent="0.25">
      <c r="A3698">
        <v>3697</v>
      </c>
      <c r="B3698">
        <v>10</v>
      </c>
      <c r="C3698">
        <v>1</v>
      </c>
      <c r="D3698">
        <v>0</v>
      </c>
      <c r="E3698">
        <v>0</v>
      </c>
      <c r="F3698">
        <v>34715</v>
      </c>
    </row>
    <row r="3699" spans="1:6" x14ac:dyDescent="0.25">
      <c r="A3699">
        <v>3698</v>
      </c>
      <c r="B3699">
        <v>13</v>
      </c>
      <c r="C3699">
        <v>0</v>
      </c>
      <c r="D3699">
        <v>0</v>
      </c>
      <c r="E3699">
        <v>0</v>
      </c>
      <c r="F3699">
        <v>1602</v>
      </c>
    </row>
    <row r="3700" spans="1:6" x14ac:dyDescent="0.25">
      <c r="A3700">
        <v>3699</v>
      </c>
      <c r="B3700">
        <v>41</v>
      </c>
      <c r="C3700">
        <v>0</v>
      </c>
      <c r="D3700">
        <v>0</v>
      </c>
      <c r="E3700">
        <v>0</v>
      </c>
      <c r="F3700">
        <v>1</v>
      </c>
    </row>
    <row r="3701" spans="1:6" x14ac:dyDescent="0.25">
      <c r="A3701">
        <v>3700</v>
      </c>
      <c r="B3701">
        <v>42</v>
      </c>
      <c r="C3701">
        <v>0</v>
      </c>
      <c r="D3701">
        <v>0</v>
      </c>
      <c r="E3701">
        <v>0</v>
      </c>
      <c r="F3701">
        <v>0.2</v>
      </c>
    </row>
    <row r="3702" spans="1:6" x14ac:dyDescent="0.25">
      <c r="A3702">
        <v>3701</v>
      </c>
      <c r="B3702">
        <v>43</v>
      </c>
      <c r="C3702">
        <v>0</v>
      </c>
      <c r="D3702">
        <v>0</v>
      </c>
      <c r="E3702">
        <v>0</v>
      </c>
      <c r="F3702">
        <v>0</v>
      </c>
    </row>
    <row r="3703" spans="1:6" x14ac:dyDescent="0.25">
      <c r="A3703">
        <v>3702</v>
      </c>
      <c r="B3703">
        <v>44</v>
      </c>
      <c r="C3703">
        <v>0</v>
      </c>
      <c r="D3703">
        <v>0</v>
      </c>
      <c r="E3703">
        <v>0</v>
      </c>
      <c r="F3703">
        <v>28.5764</v>
      </c>
    </row>
    <row r="3704" spans="1:6" x14ac:dyDescent="0.25">
      <c r="A3704">
        <v>3703</v>
      </c>
      <c r="B3704">
        <v>45</v>
      </c>
      <c r="C3704">
        <v>0</v>
      </c>
      <c r="D3704">
        <v>0</v>
      </c>
      <c r="E3704">
        <v>0</v>
      </c>
      <c r="F3704">
        <v>4400</v>
      </c>
    </row>
    <row r="3705" spans="1:6" x14ac:dyDescent="0.25">
      <c r="A3705">
        <v>3704</v>
      </c>
      <c r="B3705">
        <v>46</v>
      </c>
      <c r="C3705">
        <v>0</v>
      </c>
      <c r="D3705">
        <v>0</v>
      </c>
      <c r="E3705">
        <v>0</v>
      </c>
      <c r="F3705">
        <v>0</v>
      </c>
    </row>
    <row r="3706" spans="1:6" x14ac:dyDescent="0.25">
      <c r="A3706">
        <v>3705</v>
      </c>
      <c r="B3706">
        <v>2</v>
      </c>
      <c r="C3706">
        <v>0</v>
      </c>
      <c r="D3706">
        <v>0</v>
      </c>
      <c r="E3706">
        <v>0</v>
      </c>
      <c r="F3706">
        <v>34.406500000000001</v>
      </c>
    </row>
    <row r="3707" spans="1:6" x14ac:dyDescent="0.25">
      <c r="A3707">
        <v>3706</v>
      </c>
      <c r="B3707">
        <v>10</v>
      </c>
      <c r="C3707">
        <v>1</v>
      </c>
      <c r="D3707">
        <v>0</v>
      </c>
      <c r="E3707">
        <v>0</v>
      </c>
      <c r="F3707">
        <v>34715</v>
      </c>
    </row>
    <row r="3708" spans="1:6" x14ac:dyDescent="0.25">
      <c r="A3708">
        <v>3707</v>
      </c>
      <c r="B3708">
        <v>13</v>
      </c>
      <c r="C3708">
        <v>0</v>
      </c>
      <c r="D3708">
        <v>0</v>
      </c>
      <c r="E3708">
        <v>0</v>
      </c>
      <c r="F3708">
        <v>1602</v>
      </c>
    </row>
    <row r="3709" spans="1:6" x14ac:dyDescent="0.25">
      <c r="A3709">
        <v>3708</v>
      </c>
      <c r="B3709">
        <v>41</v>
      </c>
      <c r="C3709">
        <v>0</v>
      </c>
      <c r="D3709">
        <v>0</v>
      </c>
      <c r="E3709">
        <v>0</v>
      </c>
      <c r="F3709">
        <v>1</v>
      </c>
    </row>
    <row r="3710" spans="1:6" x14ac:dyDescent="0.25">
      <c r="A3710">
        <v>3709</v>
      </c>
      <c r="B3710">
        <v>42</v>
      </c>
      <c r="C3710">
        <v>0</v>
      </c>
      <c r="D3710">
        <v>0</v>
      </c>
      <c r="E3710">
        <v>0</v>
      </c>
      <c r="F3710">
        <v>0.2</v>
      </c>
    </row>
    <row r="3711" spans="1:6" x14ac:dyDescent="0.25">
      <c r="A3711">
        <v>3710</v>
      </c>
      <c r="B3711">
        <v>43</v>
      </c>
      <c r="C3711">
        <v>0</v>
      </c>
      <c r="D3711">
        <v>0</v>
      </c>
      <c r="E3711">
        <v>0</v>
      </c>
      <c r="F3711">
        <v>0</v>
      </c>
    </row>
    <row r="3712" spans="1:6" x14ac:dyDescent="0.25">
      <c r="A3712">
        <v>3711</v>
      </c>
      <c r="B3712" t="s">
        <v>0</v>
      </c>
      <c r="C3712">
        <v>45</v>
      </c>
      <c r="D3712">
        <v>3483</v>
      </c>
      <c r="E3712">
        <v>79970826</v>
      </c>
    </row>
    <row r="3713" spans="1:6" x14ac:dyDescent="0.25">
      <c r="A3713">
        <v>3712</v>
      </c>
      <c r="B3713">
        <v>45</v>
      </c>
      <c r="C3713">
        <v>0</v>
      </c>
      <c r="D3713">
        <v>0</v>
      </c>
      <c r="E3713">
        <v>0</v>
      </c>
      <c r="F3713">
        <v>4400</v>
      </c>
    </row>
    <row r="3714" spans="1:6" x14ac:dyDescent="0.25">
      <c r="A3714">
        <v>3713</v>
      </c>
      <c r="B3714">
        <v>46</v>
      </c>
      <c r="C3714">
        <v>0</v>
      </c>
      <c r="D3714">
        <v>0</v>
      </c>
      <c r="E3714">
        <v>0</v>
      </c>
      <c r="F3714">
        <v>0</v>
      </c>
    </row>
    <row r="3715" spans="1:6" x14ac:dyDescent="0.25">
      <c r="A3715">
        <v>3714</v>
      </c>
      <c r="B3715">
        <v>2</v>
      </c>
      <c r="C3715">
        <v>0</v>
      </c>
      <c r="D3715">
        <v>0</v>
      </c>
      <c r="E3715">
        <v>0</v>
      </c>
      <c r="F3715">
        <v>34.406199999999998</v>
      </c>
    </row>
    <row r="3716" spans="1:6" x14ac:dyDescent="0.25">
      <c r="A3716">
        <v>3715</v>
      </c>
      <c r="B3716">
        <v>10</v>
      </c>
      <c r="C3716">
        <v>1</v>
      </c>
      <c r="D3716">
        <v>0</v>
      </c>
      <c r="E3716">
        <v>0</v>
      </c>
      <c r="F3716">
        <v>34715</v>
      </c>
    </row>
    <row r="3717" spans="1:6" x14ac:dyDescent="0.25">
      <c r="A3717">
        <v>3716</v>
      </c>
      <c r="B3717">
        <v>13</v>
      </c>
      <c r="C3717">
        <v>0</v>
      </c>
      <c r="D3717">
        <v>0</v>
      </c>
      <c r="E3717">
        <v>0</v>
      </c>
      <c r="F3717">
        <v>1602</v>
      </c>
    </row>
    <row r="3718" spans="1:6" x14ac:dyDescent="0.25">
      <c r="A3718">
        <v>3717</v>
      </c>
      <c r="B3718">
        <v>41</v>
      </c>
      <c r="C3718">
        <v>0</v>
      </c>
      <c r="D3718">
        <v>0</v>
      </c>
      <c r="E3718">
        <v>0</v>
      </c>
      <c r="F3718">
        <v>1</v>
      </c>
    </row>
    <row r="3719" spans="1:6" x14ac:dyDescent="0.25">
      <c r="A3719">
        <v>3718</v>
      </c>
      <c r="B3719">
        <v>42</v>
      </c>
      <c r="C3719">
        <v>0</v>
      </c>
      <c r="D3719">
        <v>0</v>
      </c>
      <c r="E3719">
        <v>0</v>
      </c>
      <c r="F3719">
        <v>0.2</v>
      </c>
    </row>
    <row r="3720" spans="1:6" x14ac:dyDescent="0.25">
      <c r="A3720">
        <v>3719</v>
      </c>
      <c r="B3720">
        <v>43</v>
      </c>
      <c r="C3720">
        <v>0</v>
      </c>
      <c r="D3720">
        <v>0</v>
      </c>
      <c r="E3720">
        <v>0</v>
      </c>
      <c r="F3720">
        <v>0</v>
      </c>
    </row>
    <row r="3721" spans="1:6" x14ac:dyDescent="0.25">
      <c r="A3721">
        <v>3720</v>
      </c>
      <c r="B3721">
        <v>44</v>
      </c>
      <c r="C3721">
        <v>0</v>
      </c>
      <c r="D3721">
        <v>0</v>
      </c>
      <c r="E3721">
        <v>0</v>
      </c>
      <c r="F3721">
        <v>28.826699999999999</v>
      </c>
    </row>
    <row r="3722" spans="1:6" x14ac:dyDescent="0.25">
      <c r="A3722">
        <v>3721</v>
      </c>
      <c r="B3722">
        <v>45</v>
      </c>
      <c r="C3722">
        <v>0</v>
      </c>
      <c r="D3722">
        <v>0</v>
      </c>
      <c r="E3722">
        <v>0</v>
      </c>
      <c r="F3722">
        <v>4400</v>
      </c>
    </row>
    <row r="3723" spans="1:6" x14ac:dyDescent="0.25">
      <c r="A3723">
        <v>3722</v>
      </c>
      <c r="B3723">
        <v>46</v>
      </c>
      <c r="C3723">
        <v>0</v>
      </c>
      <c r="D3723">
        <v>0</v>
      </c>
      <c r="E3723">
        <v>0</v>
      </c>
      <c r="F3723">
        <v>0</v>
      </c>
    </row>
    <row r="3724" spans="1:6" x14ac:dyDescent="0.25">
      <c r="A3724">
        <v>3723</v>
      </c>
      <c r="B3724">
        <v>2</v>
      </c>
      <c r="C3724">
        <v>0</v>
      </c>
      <c r="D3724">
        <v>0</v>
      </c>
      <c r="E3724">
        <v>0</v>
      </c>
      <c r="F3724">
        <v>34.406199999999998</v>
      </c>
    </row>
    <row r="3725" spans="1:6" x14ac:dyDescent="0.25">
      <c r="A3725">
        <v>3724</v>
      </c>
      <c r="B3725">
        <v>10</v>
      </c>
      <c r="C3725">
        <v>1</v>
      </c>
      <c r="D3725">
        <v>0</v>
      </c>
      <c r="E3725">
        <v>0</v>
      </c>
      <c r="F3725">
        <v>34715</v>
      </c>
    </row>
    <row r="3726" spans="1:6" x14ac:dyDescent="0.25">
      <c r="A3726">
        <v>3725</v>
      </c>
      <c r="B3726">
        <v>13</v>
      </c>
      <c r="C3726">
        <v>0</v>
      </c>
      <c r="D3726">
        <v>0</v>
      </c>
      <c r="E3726">
        <v>0</v>
      </c>
      <c r="F3726">
        <v>1602</v>
      </c>
    </row>
    <row r="3727" spans="1:6" x14ac:dyDescent="0.25">
      <c r="A3727">
        <v>3726</v>
      </c>
      <c r="B3727" t="s">
        <v>0</v>
      </c>
      <c r="C3727">
        <v>46</v>
      </c>
      <c r="D3727">
        <v>3483</v>
      </c>
      <c r="E3727">
        <v>79971794</v>
      </c>
    </row>
    <row r="3728" spans="1:6" x14ac:dyDescent="0.25">
      <c r="A3728">
        <v>3727</v>
      </c>
      <c r="B3728">
        <v>41</v>
      </c>
      <c r="C3728">
        <v>0</v>
      </c>
      <c r="D3728">
        <v>0</v>
      </c>
      <c r="E3728">
        <v>0</v>
      </c>
      <c r="F3728">
        <v>1</v>
      </c>
    </row>
    <row r="3729" spans="1:6" x14ac:dyDescent="0.25">
      <c r="A3729">
        <v>3728</v>
      </c>
      <c r="B3729">
        <v>42</v>
      </c>
      <c r="C3729">
        <v>0</v>
      </c>
      <c r="D3729">
        <v>0</v>
      </c>
      <c r="E3729">
        <v>0</v>
      </c>
      <c r="F3729">
        <v>0.2</v>
      </c>
    </row>
    <row r="3730" spans="1:6" x14ac:dyDescent="0.25">
      <c r="A3730">
        <v>3729</v>
      </c>
      <c r="B3730">
        <v>43</v>
      </c>
      <c r="C3730">
        <v>0</v>
      </c>
      <c r="D3730">
        <v>0</v>
      </c>
      <c r="E3730">
        <v>0</v>
      </c>
      <c r="F3730">
        <v>0</v>
      </c>
    </row>
    <row r="3731" spans="1:6" x14ac:dyDescent="0.25">
      <c r="A3731">
        <v>3730</v>
      </c>
      <c r="B3731">
        <v>44</v>
      </c>
      <c r="C3731">
        <v>0</v>
      </c>
      <c r="D3731">
        <v>0</v>
      </c>
      <c r="E3731">
        <v>0</v>
      </c>
      <c r="F3731">
        <v>29.0518</v>
      </c>
    </row>
    <row r="3732" spans="1:6" x14ac:dyDescent="0.25">
      <c r="A3732">
        <v>3731</v>
      </c>
      <c r="B3732">
        <v>45</v>
      </c>
      <c r="C3732">
        <v>0</v>
      </c>
      <c r="D3732">
        <v>0</v>
      </c>
      <c r="E3732">
        <v>0</v>
      </c>
      <c r="F3732">
        <v>4400</v>
      </c>
    </row>
    <row r="3733" spans="1:6" x14ac:dyDescent="0.25">
      <c r="A3733">
        <v>3732</v>
      </c>
      <c r="B3733">
        <v>46</v>
      </c>
      <c r="C3733">
        <v>0</v>
      </c>
      <c r="D3733">
        <v>0</v>
      </c>
      <c r="E3733">
        <v>0</v>
      </c>
      <c r="F3733">
        <v>0</v>
      </c>
    </row>
    <row r="3734" spans="1:6" x14ac:dyDescent="0.25">
      <c r="A3734">
        <v>3733</v>
      </c>
      <c r="B3734">
        <v>2</v>
      </c>
      <c r="C3734">
        <v>0</v>
      </c>
      <c r="D3734">
        <v>0</v>
      </c>
      <c r="E3734">
        <v>0</v>
      </c>
      <c r="F3734">
        <v>34.406100000000002</v>
      </c>
    </row>
    <row r="3735" spans="1:6" x14ac:dyDescent="0.25">
      <c r="A3735">
        <v>3734</v>
      </c>
      <c r="B3735">
        <v>10</v>
      </c>
      <c r="C3735">
        <v>1</v>
      </c>
      <c r="D3735">
        <v>0</v>
      </c>
      <c r="E3735">
        <v>0</v>
      </c>
      <c r="F3735">
        <v>34716</v>
      </c>
    </row>
    <row r="3736" spans="1:6" x14ac:dyDescent="0.25">
      <c r="A3736">
        <v>3735</v>
      </c>
      <c r="B3736">
        <v>13</v>
      </c>
      <c r="C3736">
        <v>0</v>
      </c>
      <c r="D3736">
        <v>0</v>
      </c>
      <c r="E3736">
        <v>0</v>
      </c>
      <c r="F3736">
        <v>1602</v>
      </c>
    </row>
    <row r="3737" spans="1:6" x14ac:dyDescent="0.25">
      <c r="A3737">
        <v>3736</v>
      </c>
      <c r="B3737">
        <v>41</v>
      </c>
      <c r="C3737">
        <v>0</v>
      </c>
      <c r="D3737">
        <v>0</v>
      </c>
      <c r="E3737">
        <v>0</v>
      </c>
      <c r="F3737">
        <v>1</v>
      </c>
    </row>
    <row r="3738" spans="1:6" x14ac:dyDescent="0.25">
      <c r="A3738">
        <v>3737</v>
      </c>
      <c r="B3738">
        <v>42</v>
      </c>
      <c r="C3738">
        <v>0</v>
      </c>
      <c r="D3738">
        <v>0</v>
      </c>
      <c r="E3738">
        <v>0</v>
      </c>
      <c r="F3738">
        <v>0.2</v>
      </c>
    </row>
    <row r="3739" spans="1:6" x14ac:dyDescent="0.25">
      <c r="A3739">
        <v>3738</v>
      </c>
      <c r="B3739">
        <v>43</v>
      </c>
      <c r="C3739">
        <v>0</v>
      </c>
      <c r="D3739">
        <v>0</v>
      </c>
      <c r="E3739">
        <v>0</v>
      </c>
      <c r="F3739">
        <v>0</v>
      </c>
    </row>
    <row r="3740" spans="1:6" x14ac:dyDescent="0.25">
      <c r="A3740">
        <v>3739</v>
      </c>
      <c r="B3740">
        <v>44</v>
      </c>
      <c r="C3740">
        <v>0</v>
      </c>
      <c r="D3740">
        <v>0</v>
      </c>
      <c r="E3740">
        <v>0</v>
      </c>
      <c r="F3740">
        <v>29.0518</v>
      </c>
    </row>
    <row r="3741" spans="1:6" x14ac:dyDescent="0.25">
      <c r="A3741">
        <v>3740</v>
      </c>
      <c r="B3741">
        <v>45</v>
      </c>
      <c r="C3741">
        <v>0</v>
      </c>
      <c r="D3741">
        <v>0</v>
      </c>
      <c r="E3741">
        <v>0</v>
      </c>
      <c r="F3741">
        <v>4400</v>
      </c>
    </row>
    <row r="3742" spans="1:6" x14ac:dyDescent="0.25">
      <c r="A3742">
        <v>3741</v>
      </c>
      <c r="B3742">
        <v>46</v>
      </c>
      <c r="C3742">
        <v>0</v>
      </c>
      <c r="D3742">
        <v>0</v>
      </c>
      <c r="E3742">
        <v>0</v>
      </c>
      <c r="F3742">
        <v>0</v>
      </c>
    </row>
    <row r="3743" spans="1:6" x14ac:dyDescent="0.25">
      <c r="A3743">
        <v>3742</v>
      </c>
      <c r="B3743">
        <v>2</v>
      </c>
      <c r="C3743">
        <v>0</v>
      </c>
      <c r="D3743">
        <v>0</v>
      </c>
      <c r="E3743">
        <v>0</v>
      </c>
      <c r="F3743">
        <v>34.405799999999999</v>
      </c>
    </row>
    <row r="3744" spans="1:6" x14ac:dyDescent="0.25">
      <c r="A3744">
        <v>3743</v>
      </c>
      <c r="B3744">
        <v>10</v>
      </c>
      <c r="C3744">
        <v>1</v>
      </c>
      <c r="D3744">
        <v>0</v>
      </c>
      <c r="E3744">
        <v>0</v>
      </c>
      <c r="F3744">
        <v>34716</v>
      </c>
    </row>
    <row r="3745" spans="1:6" x14ac:dyDescent="0.25">
      <c r="A3745">
        <v>3744</v>
      </c>
      <c r="B3745">
        <v>13</v>
      </c>
      <c r="C3745">
        <v>0</v>
      </c>
      <c r="D3745">
        <v>0</v>
      </c>
      <c r="E3745">
        <v>0</v>
      </c>
      <c r="F3745">
        <v>1602</v>
      </c>
    </row>
    <row r="3746" spans="1:6" x14ac:dyDescent="0.25">
      <c r="A3746">
        <v>3745</v>
      </c>
      <c r="B3746">
        <v>41</v>
      </c>
      <c r="C3746">
        <v>0</v>
      </c>
      <c r="D3746">
        <v>0</v>
      </c>
      <c r="E3746">
        <v>0</v>
      </c>
      <c r="F3746">
        <v>1</v>
      </c>
    </row>
    <row r="3747" spans="1:6" x14ac:dyDescent="0.25">
      <c r="A3747">
        <v>3746</v>
      </c>
      <c r="B3747">
        <v>42</v>
      </c>
      <c r="C3747">
        <v>0</v>
      </c>
      <c r="D3747">
        <v>0</v>
      </c>
      <c r="E3747">
        <v>0</v>
      </c>
      <c r="F3747">
        <v>0.2</v>
      </c>
    </row>
    <row r="3748" spans="1:6" x14ac:dyDescent="0.25">
      <c r="A3748">
        <v>3747</v>
      </c>
      <c r="B3748">
        <v>43</v>
      </c>
      <c r="C3748">
        <v>0</v>
      </c>
      <c r="D3748">
        <v>0</v>
      </c>
      <c r="E3748">
        <v>0</v>
      </c>
      <c r="F3748">
        <v>0</v>
      </c>
    </row>
    <row r="3749" spans="1:6" x14ac:dyDescent="0.25">
      <c r="A3749">
        <v>3748</v>
      </c>
      <c r="B3749">
        <v>44</v>
      </c>
      <c r="C3749">
        <v>0</v>
      </c>
      <c r="D3749">
        <v>0</v>
      </c>
      <c r="E3749">
        <v>0</v>
      </c>
      <c r="F3749">
        <v>29.302099999999999</v>
      </c>
    </row>
    <row r="3750" spans="1:6" x14ac:dyDescent="0.25">
      <c r="A3750">
        <v>3749</v>
      </c>
      <c r="B3750">
        <v>45</v>
      </c>
      <c r="C3750">
        <v>0</v>
      </c>
      <c r="D3750">
        <v>0</v>
      </c>
      <c r="E3750">
        <v>0</v>
      </c>
      <c r="F3750">
        <v>4400</v>
      </c>
    </row>
    <row r="3751" spans="1:6" x14ac:dyDescent="0.25">
      <c r="A3751">
        <v>3750</v>
      </c>
      <c r="B3751">
        <v>46</v>
      </c>
      <c r="C3751">
        <v>0</v>
      </c>
      <c r="D3751">
        <v>0</v>
      </c>
      <c r="E3751">
        <v>0</v>
      </c>
      <c r="F3751">
        <v>0</v>
      </c>
    </row>
    <row r="3752" spans="1:6" x14ac:dyDescent="0.25">
      <c r="A3752">
        <v>3751</v>
      </c>
      <c r="B3752">
        <v>2</v>
      </c>
      <c r="C3752">
        <v>0</v>
      </c>
      <c r="D3752">
        <v>0</v>
      </c>
      <c r="E3752">
        <v>0</v>
      </c>
      <c r="F3752">
        <v>34.405799999999999</v>
      </c>
    </row>
    <row r="3753" spans="1:6" x14ac:dyDescent="0.25">
      <c r="A3753">
        <v>3752</v>
      </c>
      <c r="B3753">
        <v>10</v>
      </c>
      <c r="C3753">
        <v>1</v>
      </c>
      <c r="D3753">
        <v>0</v>
      </c>
      <c r="E3753">
        <v>0</v>
      </c>
      <c r="F3753">
        <v>34716</v>
      </c>
    </row>
    <row r="3754" spans="1:6" x14ac:dyDescent="0.25">
      <c r="A3754">
        <v>3753</v>
      </c>
      <c r="B3754">
        <v>13</v>
      </c>
      <c r="C3754">
        <v>0</v>
      </c>
      <c r="D3754">
        <v>0</v>
      </c>
      <c r="E3754">
        <v>0</v>
      </c>
      <c r="F3754">
        <v>1602</v>
      </c>
    </row>
    <row r="3755" spans="1:6" x14ac:dyDescent="0.25">
      <c r="A3755">
        <v>3754</v>
      </c>
      <c r="B3755">
        <v>41</v>
      </c>
      <c r="C3755">
        <v>0</v>
      </c>
      <c r="D3755">
        <v>0</v>
      </c>
      <c r="E3755">
        <v>0</v>
      </c>
      <c r="F3755">
        <v>1</v>
      </c>
    </row>
    <row r="3756" spans="1:6" x14ac:dyDescent="0.25">
      <c r="A3756">
        <v>3755</v>
      </c>
      <c r="B3756">
        <v>42</v>
      </c>
      <c r="C3756">
        <v>0</v>
      </c>
      <c r="D3756">
        <v>0</v>
      </c>
      <c r="E3756">
        <v>0</v>
      </c>
      <c r="F3756">
        <v>0.2</v>
      </c>
    </row>
    <row r="3757" spans="1:6" x14ac:dyDescent="0.25">
      <c r="A3757">
        <v>3756</v>
      </c>
      <c r="B3757" t="s">
        <v>0</v>
      </c>
      <c r="C3757">
        <v>48</v>
      </c>
      <c r="D3757">
        <v>3483</v>
      </c>
      <c r="E3757">
        <v>79973729</v>
      </c>
    </row>
    <row r="3758" spans="1:6" x14ac:dyDescent="0.25">
      <c r="A3758">
        <v>3757</v>
      </c>
      <c r="B3758">
        <v>44</v>
      </c>
      <c r="C3758">
        <v>0</v>
      </c>
      <c r="D3758">
        <v>0</v>
      </c>
      <c r="E3758">
        <v>0</v>
      </c>
      <c r="F3758">
        <v>29.551100000000002</v>
      </c>
    </row>
    <row r="3759" spans="1:6" x14ac:dyDescent="0.25">
      <c r="A3759">
        <v>3758</v>
      </c>
      <c r="B3759">
        <v>45</v>
      </c>
      <c r="C3759">
        <v>0</v>
      </c>
      <c r="D3759">
        <v>0</v>
      </c>
      <c r="E3759">
        <v>0</v>
      </c>
      <c r="F3759">
        <v>4400</v>
      </c>
    </row>
    <row r="3760" spans="1:6" x14ac:dyDescent="0.25">
      <c r="A3760">
        <v>3759</v>
      </c>
      <c r="B3760">
        <v>46</v>
      </c>
      <c r="C3760">
        <v>0</v>
      </c>
      <c r="D3760">
        <v>0</v>
      </c>
      <c r="E3760">
        <v>0</v>
      </c>
      <c r="F3760">
        <v>0</v>
      </c>
    </row>
    <row r="3761" spans="1:6" x14ac:dyDescent="0.25">
      <c r="A3761">
        <v>3760</v>
      </c>
      <c r="B3761">
        <v>2</v>
      </c>
      <c r="C3761">
        <v>0</v>
      </c>
      <c r="D3761">
        <v>0</v>
      </c>
      <c r="E3761">
        <v>0</v>
      </c>
      <c r="F3761">
        <v>34.406799999999997</v>
      </c>
    </row>
    <row r="3762" spans="1:6" x14ac:dyDescent="0.25">
      <c r="A3762">
        <v>3761</v>
      </c>
      <c r="B3762">
        <v>10</v>
      </c>
      <c r="C3762">
        <v>1</v>
      </c>
      <c r="D3762">
        <v>0</v>
      </c>
      <c r="E3762">
        <v>0</v>
      </c>
      <c r="F3762">
        <v>34715</v>
      </c>
    </row>
    <row r="3763" spans="1:6" x14ac:dyDescent="0.25">
      <c r="A3763">
        <v>3762</v>
      </c>
      <c r="B3763">
        <v>13</v>
      </c>
      <c r="C3763">
        <v>0</v>
      </c>
      <c r="D3763">
        <v>0</v>
      </c>
      <c r="E3763">
        <v>0</v>
      </c>
      <c r="F3763">
        <v>1602</v>
      </c>
    </row>
    <row r="3764" spans="1:6" x14ac:dyDescent="0.25">
      <c r="A3764">
        <v>3763</v>
      </c>
      <c r="B3764">
        <v>41</v>
      </c>
      <c r="C3764">
        <v>0</v>
      </c>
      <c r="D3764">
        <v>0</v>
      </c>
      <c r="E3764">
        <v>0</v>
      </c>
      <c r="F3764">
        <v>1</v>
      </c>
    </row>
    <row r="3765" spans="1:6" x14ac:dyDescent="0.25">
      <c r="A3765">
        <v>3764</v>
      </c>
      <c r="B3765">
        <v>42</v>
      </c>
      <c r="C3765">
        <v>0</v>
      </c>
      <c r="D3765">
        <v>0</v>
      </c>
      <c r="E3765">
        <v>0</v>
      </c>
      <c r="F3765">
        <v>0.2</v>
      </c>
    </row>
    <row r="3766" spans="1:6" x14ac:dyDescent="0.25">
      <c r="A3766">
        <v>3765</v>
      </c>
      <c r="B3766">
        <v>43</v>
      </c>
      <c r="C3766">
        <v>0</v>
      </c>
      <c r="D3766">
        <v>0</v>
      </c>
      <c r="E3766">
        <v>0</v>
      </c>
      <c r="F3766">
        <v>0</v>
      </c>
    </row>
    <row r="3767" spans="1:6" x14ac:dyDescent="0.25">
      <c r="A3767">
        <v>3766</v>
      </c>
      <c r="B3767">
        <v>44</v>
      </c>
      <c r="C3767">
        <v>0</v>
      </c>
      <c r="D3767">
        <v>0</v>
      </c>
      <c r="E3767">
        <v>0</v>
      </c>
      <c r="F3767">
        <v>29.551100000000002</v>
      </c>
    </row>
    <row r="3768" spans="1:6" x14ac:dyDescent="0.25">
      <c r="A3768">
        <v>3767</v>
      </c>
      <c r="B3768">
        <v>45</v>
      </c>
      <c r="C3768">
        <v>0</v>
      </c>
      <c r="D3768">
        <v>0</v>
      </c>
      <c r="E3768">
        <v>0</v>
      </c>
      <c r="F3768">
        <v>4400</v>
      </c>
    </row>
    <row r="3769" spans="1:6" x14ac:dyDescent="0.25">
      <c r="A3769">
        <v>3768</v>
      </c>
      <c r="B3769">
        <v>46</v>
      </c>
      <c r="C3769">
        <v>0</v>
      </c>
      <c r="D3769">
        <v>0</v>
      </c>
      <c r="E3769">
        <v>0</v>
      </c>
      <c r="F3769">
        <v>0</v>
      </c>
    </row>
    <row r="3770" spans="1:6" x14ac:dyDescent="0.25">
      <c r="A3770">
        <v>3769</v>
      </c>
      <c r="B3770">
        <v>2</v>
      </c>
      <c r="C3770">
        <v>0</v>
      </c>
      <c r="D3770">
        <v>0</v>
      </c>
      <c r="E3770">
        <v>0</v>
      </c>
      <c r="F3770">
        <v>34.406799999999997</v>
      </c>
    </row>
    <row r="3771" spans="1:6" x14ac:dyDescent="0.25">
      <c r="A3771">
        <v>3770</v>
      </c>
      <c r="B3771">
        <v>10</v>
      </c>
      <c r="C3771">
        <v>1</v>
      </c>
      <c r="D3771">
        <v>0</v>
      </c>
      <c r="E3771">
        <v>0</v>
      </c>
      <c r="F3771">
        <v>34715</v>
      </c>
    </row>
    <row r="3772" spans="1:6" x14ac:dyDescent="0.25">
      <c r="A3772">
        <v>3771</v>
      </c>
      <c r="B3772" t="s">
        <v>0</v>
      </c>
      <c r="C3772">
        <v>49</v>
      </c>
      <c r="D3772">
        <v>3483</v>
      </c>
      <c r="E3772">
        <v>79974696</v>
      </c>
    </row>
    <row r="3773" spans="1:6" x14ac:dyDescent="0.25">
      <c r="A3773">
        <v>3772</v>
      </c>
      <c r="B3773">
        <v>13</v>
      </c>
      <c r="C3773">
        <v>0</v>
      </c>
      <c r="D3773">
        <v>0</v>
      </c>
      <c r="E3773">
        <v>0</v>
      </c>
      <c r="F3773">
        <v>1602</v>
      </c>
    </row>
    <row r="3774" spans="1:6" x14ac:dyDescent="0.25">
      <c r="A3774">
        <v>3773</v>
      </c>
      <c r="B3774">
        <v>41</v>
      </c>
      <c r="C3774">
        <v>0</v>
      </c>
      <c r="D3774">
        <v>0</v>
      </c>
      <c r="E3774">
        <v>0</v>
      </c>
      <c r="F3774">
        <v>1</v>
      </c>
    </row>
    <row r="3775" spans="1:6" x14ac:dyDescent="0.25">
      <c r="A3775">
        <v>3774</v>
      </c>
      <c r="B3775">
        <v>42</v>
      </c>
      <c r="C3775">
        <v>0</v>
      </c>
      <c r="D3775">
        <v>0</v>
      </c>
      <c r="E3775">
        <v>0</v>
      </c>
      <c r="F3775">
        <v>0.2</v>
      </c>
    </row>
    <row r="3776" spans="1:6" x14ac:dyDescent="0.25">
      <c r="A3776">
        <v>3775</v>
      </c>
      <c r="B3776">
        <v>43</v>
      </c>
      <c r="C3776">
        <v>0</v>
      </c>
      <c r="D3776">
        <v>0</v>
      </c>
      <c r="E3776">
        <v>0</v>
      </c>
      <c r="F3776">
        <v>0</v>
      </c>
    </row>
    <row r="3777" spans="1:6" x14ac:dyDescent="0.25">
      <c r="A3777">
        <v>3776</v>
      </c>
      <c r="B3777">
        <v>44</v>
      </c>
      <c r="C3777">
        <v>0</v>
      </c>
      <c r="D3777">
        <v>0</v>
      </c>
      <c r="E3777">
        <v>0</v>
      </c>
      <c r="F3777">
        <v>29.775500000000001</v>
      </c>
    </row>
    <row r="3778" spans="1:6" x14ac:dyDescent="0.25">
      <c r="A3778">
        <v>3777</v>
      </c>
      <c r="B3778">
        <v>45</v>
      </c>
      <c r="C3778">
        <v>0</v>
      </c>
      <c r="D3778">
        <v>0</v>
      </c>
      <c r="E3778">
        <v>0</v>
      </c>
      <c r="F3778">
        <v>4400</v>
      </c>
    </row>
    <row r="3779" spans="1:6" x14ac:dyDescent="0.25">
      <c r="A3779">
        <v>3778</v>
      </c>
      <c r="B3779">
        <v>46</v>
      </c>
      <c r="C3779">
        <v>0</v>
      </c>
      <c r="D3779">
        <v>0</v>
      </c>
      <c r="E3779">
        <v>0</v>
      </c>
      <c r="F3779">
        <v>0</v>
      </c>
    </row>
    <row r="3780" spans="1:6" x14ac:dyDescent="0.25">
      <c r="A3780">
        <v>3779</v>
      </c>
      <c r="B3780">
        <v>2</v>
      </c>
      <c r="C3780">
        <v>0</v>
      </c>
      <c r="D3780">
        <v>0</v>
      </c>
      <c r="E3780">
        <v>0</v>
      </c>
      <c r="F3780">
        <v>34.407400000000003</v>
      </c>
    </row>
    <row r="3781" spans="1:6" x14ac:dyDescent="0.25">
      <c r="A3781">
        <v>3780</v>
      </c>
      <c r="B3781">
        <v>10</v>
      </c>
      <c r="C3781">
        <v>1</v>
      </c>
      <c r="D3781">
        <v>0</v>
      </c>
      <c r="E3781">
        <v>0</v>
      </c>
      <c r="F3781">
        <v>34714</v>
      </c>
    </row>
    <row r="3782" spans="1:6" x14ac:dyDescent="0.25">
      <c r="A3782">
        <v>3781</v>
      </c>
      <c r="B3782">
        <v>13</v>
      </c>
      <c r="C3782">
        <v>0</v>
      </c>
      <c r="D3782">
        <v>0</v>
      </c>
      <c r="E3782">
        <v>0</v>
      </c>
      <c r="F3782">
        <v>1602</v>
      </c>
    </row>
    <row r="3783" spans="1:6" x14ac:dyDescent="0.25">
      <c r="A3783">
        <v>3782</v>
      </c>
      <c r="B3783">
        <v>41</v>
      </c>
      <c r="C3783">
        <v>0</v>
      </c>
      <c r="D3783">
        <v>0</v>
      </c>
      <c r="E3783">
        <v>0</v>
      </c>
      <c r="F3783">
        <v>1</v>
      </c>
    </row>
    <row r="3784" spans="1:6" x14ac:dyDescent="0.25">
      <c r="A3784">
        <v>3783</v>
      </c>
      <c r="B3784">
        <v>42</v>
      </c>
      <c r="C3784">
        <v>0</v>
      </c>
      <c r="D3784">
        <v>0</v>
      </c>
      <c r="E3784">
        <v>0</v>
      </c>
      <c r="F3784">
        <v>0.2</v>
      </c>
    </row>
    <row r="3785" spans="1:6" x14ac:dyDescent="0.25">
      <c r="A3785">
        <v>3784</v>
      </c>
      <c r="B3785">
        <v>43</v>
      </c>
      <c r="C3785">
        <v>0</v>
      </c>
      <c r="D3785">
        <v>0</v>
      </c>
      <c r="E3785">
        <v>0</v>
      </c>
      <c r="F3785">
        <v>0</v>
      </c>
    </row>
    <row r="3786" spans="1:6" x14ac:dyDescent="0.25">
      <c r="A3786">
        <v>3785</v>
      </c>
      <c r="B3786">
        <v>44</v>
      </c>
      <c r="C3786">
        <v>0</v>
      </c>
      <c r="D3786">
        <v>0</v>
      </c>
      <c r="E3786">
        <v>0</v>
      </c>
      <c r="F3786">
        <v>29.775500000000001</v>
      </c>
    </row>
    <row r="3787" spans="1:6" x14ac:dyDescent="0.25">
      <c r="A3787">
        <v>3786</v>
      </c>
      <c r="B3787">
        <v>45</v>
      </c>
      <c r="C3787">
        <v>0</v>
      </c>
      <c r="D3787">
        <v>0</v>
      </c>
      <c r="E3787">
        <v>0</v>
      </c>
      <c r="F3787">
        <v>4400</v>
      </c>
    </row>
    <row r="3788" spans="1:6" x14ac:dyDescent="0.25">
      <c r="A3788">
        <v>3787</v>
      </c>
      <c r="B3788">
        <v>46</v>
      </c>
      <c r="C3788">
        <v>0</v>
      </c>
      <c r="D3788">
        <v>0</v>
      </c>
      <c r="E3788">
        <v>0</v>
      </c>
      <c r="F3788">
        <v>0</v>
      </c>
    </row>
    <row r="3789" spans="1:6" x14ac:dyDescent="0.25">
      <c r="A3789">
        <v>3788</v>
      </c>
      <c r="B3789">
        <v>2</v>
      </c>
      <c r="C3789">
        <v>0</v>
      </c>
      <c r="D3789">
        <v>0</v>
      </c>
      <c r="E3789">
        <v>0</v>
      </c>
      <c r="F3789">
        <v>34.406599999999997</v>
      </c>
    </row>
    <row r="3790" spans="1:6" x14ac:dyDescent="0.25">
      <c r="A3790">
        <v>3789</v>
      </c>
      <c r="B3790">
        <v>10</v>
      </c>
      <c r="C3790">
        <v>1</v>
      </c>
      <c r="D3790">
        <v>0</v>
      </c>
      <c r="E3790">
        <v>0</v>
      </c>
      <c r="F3790">
        <v>34715</v>
      </c>
    </row>
    <row r="3791" spans="1:6" x14ac:dyDescent="0.25">
      <c r="A3791">
        <v>3790</v>
      </c>
      <c r="B3791">
        <v>13</v>
      </c>
      <c r="C3791">
        <v>0</v>
      </c>
      <c r="D3791">
        <v>0</v>
      </c>
      <c r="E3791">
        <v>0</v>
      </c>
      <c r="F3791">
        <v>1602</v>
      </c>
    </row>
    <row r="3792" spans="1:6" x14ac:dyDescent="0.25">
      <c r="A3792">
        <v>3791</v>
      </c>
      <c r="B3792">
        <v>41</v>
      </c>
      <c r="C3792">
        <v>0</v>
      </c>
      <c r="D3792">
        <v>0</v>
      </c>
      <c r="E3792">
        <v>0</v>
      </c>
      <c r="F3792">
        <v>1</v>
      </c>
    </row>
    <row r="3793" spans="1:6" x14ac:dyDescent="0.25">
      <c r="A3793">
        <v>3792</v>
      </c>
      <c r="B3793">
        <v>42</v>
      </c>
      <c r="C3793">
        <v>0</v>
      </c>
      <c r="D3793">
        <v>0</v>
      </c>
      <c r="E3793">
        <v>0</v>
      </c>
      <c r="F3793">
        <v>0.2</v>
      </c>
    </row>
    <row r="3794" spans="1:6" x14ac:dyDescent="0.25">
      <c r="A3794">
        <v>3793</v>
      </c>
      <c r="B3794">
        <v>43</v>
      </c>
      <c r="C3794">
        <v>0</v>
      </c>
      <c r="D3794">
        <v>0</v>
      </c>
      <c r="E3794">
        <v>0</v>
      </c>
      <c r="F3794">
        <v>0</v>
      </c>
    </row>
    <row r="3795" spans="1:6" x14ac:dyDescent="0.25">
      <c r="A3795">
        <v>3794</v>
      </c>
      <c r="B3795">
        <v>44</v>
      </c>
      <c r="C3795">
        <v>0</v>
      </c>
      <c r="D3795">
        <v>0</v>
      </c>
      <c r="E3795">
        <v>0</v>
      </c>
      <c r="F3795">
        <v>30.026399999999999</v>
      </c>
    </row>
    <row r="3796" spans="1:6" x14ac:dyDescent="0.25">
      <c r="A3796">
        <v>3795</v>
      </c>
      <c r="B3796">
        <v>45</v>
      </c>
      <c r="C3796">
        <v>0</v>
      </c>
      <c r="D3796">
        <v>0</v>
      </c>
      <c r="E3796">
        <v>0</v>
      </c>
      <c r="F3796">
        <v>4400</v>
      </c>
    </row>
    <row r="3797" spans="1:6" x14ac:dyDescent="0.25">
      <c r="A3797">
        <v>3796</v>
      </c>
      <c r="B3797">
        <v>46</v>
      </c>
      <c r="C3797">
        <v>0</v>
      </c>
      <c r="D3797">
        <v>0</v>
      </c>
      <c r="E3797">
        <v>0</v>
      </c>
      <c r="F3797">
        <v>0</v>
      </c>
    </row>
    <row r="3798" spans="1:6" x14ac:dyDescent="0.25">
      <c r="A3798">
        <v>3797</v>
      </c>
      <c r="B3798">
        <v>2</v>
      </c>
      <c r="C3798">
        <v>0</v>
      </c>
      <c r="D3798">
        <v>0</v>
      </c>
      <c r="E3798">
        <v>0</v>
      </c>
      <c r="F3798">
        <v>34.406599999999997</v>
      </c>
    </row>
    <row r="3799" spans="1:6" x14ac:dyDescent="0.25">
      <c r="A3799">
        <v>3798</v>
      </c>
      <c r="B3799">
        <v>10</v>
      </c>
      <c r="C3799">
        <v>1</v>
      </c>
      <c r="D3799">
        <v>0</v>
      </c>
      <c r="E3799">
        <v>0</v>
      </c>
      <c r="F3799">
        <v>34715</v>
      </c>
    </row>
    <row r="3800" spans="1:6" x14ac:dyDescent="0.25">
      <c r="A3800">
        <v>3799</v>
      </c>
      <c r="B3800">
        <v>13</v>
      </c>
      <c r="C3800">
        <v>0</v>
      </c>
      <c r="D3800">
        <v>0</v>
      </c>
      <c r="E3800">
        <v>0</v>
      </c>
      <c r="F3800">
        <v>1602</v>
      </c>
    </row>
    <row r="3801" spans="1:6" x14ac:dyDescent="0.25">
      <c r="A3801">
        <v>3800</v>
      </c>
      <c r="B3801">
        <v>41</v>
      </c>
      <c r="C3801">
        <v>0</v>
      </c>
      <c r="D3801">
        <v>0</v>
      </c>
      <c r="E3801">
        <v>0</v>
      </c>
      <c r="F3801">
        <v>1</v>
      </c>
    </row>
    <row r="3802" spans="1:6" x14ac:dyDescent="0.25">
      <c r="A3802">
        <v>3801</v>
      </c>
      <c r="B3802">
        <v>42</v>
      </c>
      <c r="C3802">
        <v>0</v>
      </c>
      <c r="D3802">
        <v>0</v>
      </c>
      <c r="E3802">
        <v>0</v>
      </c>
      <c r="F3802">
        <v>0.2</v>
      </c>
    </row>
    <row r="3803" spans="1:6" x14ac:dyDescent="0.25">
      <c r="A3803">
        <v>3802</v>
      </c>
      <c r="B3803">
        <v>43</v>
      </c>
      <c r="C3803">
        <v>0</v>
      </c>
      <c r="D3803">
        <v>0</v>
      </c>
      <c r="E3803">
        <v>0</v>
      </c>
      <c r="F3803">
        <v>0</v>
      </c>
    </row>
    <row r="3804" spans="1:6" x14ac:dyDescent="0.25">
      <c r="A3804">
        <v>3803</v>
      </c>
      <c r="B3804">
        <v>44</v>
      </c>
      <c r="C3804">
        <v>0</v>
      </c>
      <c r="D3804">
        <v>0</v>
      </c>
      <c r="E3804">
        <v>0</v>
      </c>
      <c r="F3804">
        <v>30.277100000000001</v>
      </c>
    </row>
    <row r="3805" spans="1:6" x14ac:dyDescent="0.25">
      <c r="A3805">
        <v>3804</v>
      </c>
      <c r="B3805">
        <v>45</v>
      </c>
      <c r="C3805">
        <v>0</v>
      </c>
      <c r="D3805">
        <v>0</v>
      </c>
      <c r="E3805">
        <v>0</v>
      </c>
      <c r="F3805">
        <v>4400</v>
      </c>
    </row>
    <row r="3806" spans="1:6" x14ac:dyDescent="0.25">
      <c r="A3806">
        <v>3805</v>
      </c>
      <c r="B3806">
        <v>46</v>
      </c>
      <c r="C3806">
        <v>0</v>
      </c>
      <c r="D3806">
        <v>0</v>
      </c>
      <c r="E3806">
        <v>0</v>
      </c>
      <c r="F3806">
        <v>0</v>
      </c>
    </row>
    <row r="3807" spans="1:6" x14ac:dyDescent="0.25">
      <c r="A3807">
        <v>3806</v>
      </c>
      <c r="B3807">
        <v>2</v>
      </c>
      <c r="C3807">
        <v>0</v>
      </c>
      <c r="D3807">
        <v>0</v>
      </c>
      <c r="E3807">
        <v>0</v>
      </c>
      <c r="F3807">
        <v>34.405900000000003</v>
      </c>
    </row>
    <row r="3808" spans="1:6" x14ac:dyDescent="0.25">
      <c r="A3808">
        <v>3807</v>
      </c>
      <c r="B3808">
        <v>10</v>
      </c>
      <c r="C3808">
        <v>1</v>
      </c>
      <c r="D3808">
        <v>0</v>
      </c>
      <c r="E3808">
        <v>0</v>
      </c>
      <c r="F3808">
        <v>34716</v>
      </c>
    </row>
    <row r="3809" spans="1:6" x14ac:dyDescent="0.25">
      <c r="A3809">
        <v>3808</v>
      </c>
      <c r="B3809">
        <v>13</v>
      </c>
      <c r="C3809">
        <v>0</v>
      </c>
      <c r="D3809">
        <v>0</v>
      </c>
      <c r="E3809">
        <v>0</v>
      </c>
      <c r="F3809">
        <v>1602</v>
      </c>
    </row>
    <row r="3810" spans="1:6" x14ac:dyDescent="0.25">
      <c r="A3810">
        <v>3809</v>
      </c>
      <c r="B3810">
        <v>41</v>
      </c>
      <c r="C3810">
        <v>0</v>
      </c>
      <c r="D3810">
        <v>0</v>
      </c>
      <c r="E3810">
        <v>0</v>
      </c>
      <c r="F3810">
        <v>1</v>
      </c>
    </row>
    <row r="3811" spans="1:6" x14ac:dyDescent="0.25">
      <c r="A3811">
        <v>3810</v>
      </c>
      <c r="B3811">
        <v>42</v>
      </c>
      <c r="C3811">
        <v>0</v>
      </c>
      <c r="D3811">
        <v>0</v>
      </c>
      <c r="E3811">
        <v>0</v>
      </c>
      <c r="F3811">
        <v>0.2</v>
      </c>
    </row>
    <row r="3812" spans="1:6" x14ac:dyDescent="0.25">
      <c r="A3812">
        <v>3811</v>
      </c>
      <c r="B3812">
        <v>43</v>
      </c>
      <c r="C3812">
        <v>0</v>
      </c>
      <c r="D3812">
        <v>0</v>
      </c>
      <c r="E3812">
        <v>0</v>
      </c>
      <c r="F3812">
        <v>0</v>
      </c>
    </row>
    <row r="3813" spans="1:6" x14ac:dyDescent="0.25">
      <c r="A3813">
        <v>3812</v>
      </c>
      <c r="B3813">
        <v>44</v>
      </c>
      <c r="C3813">
        <v>0</v>
      </c>
      <c r="D3813">
        <v>0</v>
      </c>
      <c r="E3813">
        <v>0</v>
      </c>
      <c r="F3813">
        <v>30.277100000000001</v>
      </c>
    </row>
    <row r="3814" spans="1:6" x14ac:dyDescent="0.25">
      <c r="A3814">
        <v>3813</v>
      </c>
      <c r="B3814">
        <v>45</v>
      </c>
      <c r="C3814">
        <v>0</v>
      </c>
      <c r="D3814">
        <v>0</v>
      </c>
      <c r="E3814">
        <v>0</v>
      </c>
      <c r="F3814">
        <v>4400</v>
      </c>
    </row>
    <row r="3815" spans="1:6" x14ac:dyDescent="0.25">
      <c r="A3815">
        <v>3814</v>
      </c>
      <c r="B3815">
        <v>46</v>
      </c>
      <c r="C3815">
        <v>0</v>
      </c>
      <c r="D3815">
        <v>0</v>
      </c>
      <c r="E3815">
        <v>0</v>
      </c>
      <c r="F3815">
        <v>0</v>
      </c>
    </row>
    <row r="3816" spans="1:6" x14ac:dyDescent="0.25">
      <c r="A3816">
        <v>3815</v>
      </c>
      <c r="B3816">
        <v>2</v>
      </c>
      <c r="C3816">
        <v>0</v>
      </c>
      <c r="D3816">
        <v>0</v>
      </c>
      <c r="E3816">
        <v>0</v>
      </c>
      <c r="F3816">
        <v>34.405900000000003</v>
      </c>
    </row>
    <row r="3817" spans="1:6" x14ac:dyDescent="0.25">
      <c r="A3817">
        <v>3816</v>
      </c>
      <c r="B3817" t="s">
        <v>0</v>
      </c>
      <c r="C3817">
        <v>52</v>
      </c>
      <c r="D3817">
        <v>3483</v>
      </c>
      <c r="E3817">
        <v>79977599</v>
      </c>
    </row>
    <row r="3818" spans="1:6" x14ac:dyDescent="0.25">
      <c r="A3818">
        <v>3817</v>
      </c>
      <c r="B3818">
        <v>13</v>
      </c>
      <c r="C3818">
        <v>0</v>
      </c>
      <c r="D3818">
        <v>0</v>
      </c>
      <c r="E3818">
        <v>0</v>
      </c>
      <c r="F3818">
        <v>1602</v>
      </c>
    </row>
    <row r="3819" spans="1:6" x14ac:dyDescent="0.25">
      <c r="A3819">
        <v>3818</v>
      </c>
      <c r="B3819">
        <v>41</v>
      </c>
      <c r="C3819">
        <v>0</v>
      </c>
      <c r="D3819">
        <v>0</v>
      </c>
      <c r="E3819">
        <v>0</v>
      </c>
      <c r="F3819">
        <v>1</v>
      </c>
    </row>
    <row r="3820" spans="1:6" x14ac:dyDescent="0.25">
      <c r="A3820">
        <v>3819</v>
      </c>
      <c r="B3820">
        <v>42</v>
      </c>
      <c r="C3820">
        <v>0</v>
      </c>
      <c r="D3820">
        <v>0</v>
      </c>
      <c r="E3820">
        <v>0</v>
      </c>
      <c r="F3820">
        <v>0.2</v>
      </c>
    </row>
    <row r="3821" spans="1:6" x14ac:dyDescent="0.25">
      <c r="A3821">
        <v>3820</v>
      </c>
      <c r="B3821">
        <v>43</v>
      </c>
      <c r="C3821">
        <v>0</v>
      </c>
      <c r="D3821">
        <v>0</v>
      </c>
      <c r="E3821">
        <v>0</v>
      </c>
      <c r="F3821">
        <v>0</v>
      </c>
    </row>
    <row r="3822" spans="1:6" x14ac:dyDescent="0.25">
      <c r="A3822">
        <v>3821</v>
      </c>
      <c r="B3822">
        <v>44</v>
      </c>
      <c r="C3822">
        <v>0</v>
      </c>
      <c r="D3822">
        <v>0</v>
      </c>
      <c r="E3822">
        <v>0</v>
      </c>
      <c r="F3822">
        <v>30.501799999999999</v>
      </c>
    </row>
    <row r="3823" spans="1:6" x14ac:dyDescent="0.25">
      <c r="A3823">
        <v>3822</v>
      </c>
      <c r="B3823">
        <v>45</v>
      </c>
      <c r="C3823">
        <v>0</v>
      </c>
      <c r="D3823">
        <v>0</v>
      </c>
      <c r="E3823">
        <v>0</v>
      </c>
      <c r="F3823">
        <v>4400</v>
      </c>
    </row>
    <row r="3824" spans="1:6" x14ac:dyDescent="0.25">
      <c r="A3824">
        <v>3823</v>
      </c>
      <c r="B3824">
        <v>46</v>
      </c>
      <c r="C3824">
        <v>0</v>
      </c>
      <c r="D3824">
        <v>0</v>
      </c>
      <c r="E3824">
        <v>0</v>
      </c>
      <c r="F3824">
        <v>0</v>
      </c>
    </row>
    <row r="3825" spans="1:6" x14ac:dyDescent="0.25">
      <c r="A3825">
        <v>3824</v>
      </c>
      <c r="B3825">
        <v>2</v>
      </c>
      <c r="C3825">
        <v>0</v>
      </c>
      <c r="D3825">
        <v>0</v>
      </c>
      <c r="E3825">
        <v>0</v>
      </c>
      <c r="F3825">
        <v>34.406199999999998</v>
      </c>
    </row>
    <row r="3826" spans="1:6" x14ac:dyDescent="0.25">
      <c r="A3826">
        <v>3825</v>
      </c>
      <c r="B3826">
        <v>10</v>
      </c>
      <c r="C3826">
        <v>1</v>
      </c>
      <c r="D3826">
        <v>0</v>
      </c>
      <c r="E3826">
        <v>0</v>
      </c>
      <c r="F3826">
        <v>34715</v>
      </c>
    </row>
    <row r="3827" spans="1:6" x14ac:dyDescent="0.25">
      <c r="A3827">
        <v>3826</v>
      </c>
      <c r="B3827">
        <v>13</v>
      </c>
      <c r="C3827">
        <v>0</v>
      </c>
      <c r="D3827">
        <v>0</v>
      </c>
      <c r="E3827">
        <v>0</v>
      </c>
      <c r="F3827">
        <v>1602</v>
      </c>
    </row>
    <row r="3828" spans="1:6" x14ac:dyDescent="0.25">
      <c r="A3828">
        <v>3827</v>
      </c>
      <c r="B3828">
        <v>41</v>
      </c>
      <c r="C3828">
        <v>0</v>
      </c>
      <c r="D3828">
        <v>0</v>
      </c>
      <c r="E3828">
        <v>0</v>
      </c>
      <c r="F3828">
        <v>1</v>
      </c>
    </row>
    <row r="3829" spans="1:6" x14ac:dyDescent="0.25">
      <c r="A3829">
        <v>3828</v>
      </c>
      <c r="B3829">
        <v>42</v>
      </c>
      <c r="C3829">
        <v>0</v>
      </c>
      <c r="D3829">
        <v>0</v>
      </c>
      <c r="E3829">
        <v>0</v>
      </c>
      <c r="F3829">
        <v>0.2</v>
      </c>
    </row>
    <row r="3830" spans="1:6" x14ac:dyDescent="0.25">
      <c r="A3830">
        <v>3829</v>
      </c>
      <c r="B3830">
        <v>43</v>
      </c>
      <c r="C3830">
        <v>0</v>
      </c>
      <c r="D3830">
        <v>0</v>
      </c>
      <c r="E3830">
        <v>0</v>
      </c>
      <c r="F3830">
        <v>0</v>
      </c>
    </row>
    <row r="3831" spans="1:6" x14ac:dyDescent="0.25">
      <c r="A3831">
        <v>3830</v>
      </c>
      <c r="B3831">
        <v>44</v>
      </c>
      <c r="C3831">
        <v>0</v>
      </c>
      <c r="D3831">
        <v>0</v>
      </c>
      <c r="E3831">
        <v>0</v>
      </c>
      <c r="F3831">
        <v>30.501799999999999</v>
      </c>
    </row>
    <row r="3832" spans="1:6" x14ac:dyDescent="0.25">
      <c r="A3832">
        <v>3831</v>
      </c>
      <c r="B3832" t="s">
        <v>0</v>
      </c>
      <c r="C3832">
        <v>53</v>
      </c>
      <c r="D3832">
        <v>3483</v>
      </c>
      <c r="E3832">
        <v>79978567</v>
      </c>
    </row>
    <row r="3833" spans="1:6" x14ac:dyDescent="0.25">
      <c r="A3833">
        <v>3832</v>
      </c>
      <c r="B3833">
        <v>45</v>
      </c>
      <c r="C3833">
        <v>0</v>
      </c>
      <c r="D3833">
        <v>0</v>
      </c>
      <c r="E3833">
        <v>0</v>
      </c>
      <c r="F3833">
        <v>4400</v>
      </c>
    </row>
    <row r="3834" spans="1:6" x14ac:dyDescent="0.25">
      <c r="A3834">
        <v>3833</v>
      </c>
      <c r="B3834">
        <v>46</v>
      </c>
      <c r="C3834">
        <v>0</v>
      </c>
      <c r="D3834">
        <v>0</v>
      </c>
      <c r="E3834">
        <v>0</v>
      </c>
      <c r="F3834">
        <v>0</v>
      </c>
    </row>
    <row r="3835" spans="1:6" x14ac:dyDescent="0.25">
      <c r="A3835">
        <v>3834</v>
      </c>
      <c r="B3835">
        <v>2</v>
      </c>
      <c r="C3835">
        <v>0</v>
      </c>
      <c r="D3835">
        <v>0</v>
      </c>
      <c r="E3835">
        <v>0</v>
      </c>
      <c r="F3835">
        <v>34.406799999999997</v>
      </c>
    </row>
    <row r="3836" spans="1:6" x14ac:dyDescent="0.25">
      <c r="A3836">
        <v>3835</v>
      </c>
      <c r="B3836">
        <v>10</v>
      </c>
      <c r="C3836">
        <v>1</v>
      </c>
      <c r="D3836">
        <v>0</v>
      </c>
      <c r="E3836">
        <v>0</v>
      </c>
      <c r="F3836">
        <v>34715</v>
      </c>
    </row>
    <row r="3837" spans="1:6" x14ac:dyDescent="0.25">
      <c r="A3837">
        <v>3836</v>
      </c>
      <c r="B3837">
        <v>13</v>
      </c>
      <c r="C3837">
        <v>0</v>
      </c>
      <c r="D3837">
        <v>0</v>
      </c>
      <c r="E3837">
        <v>0</v>
      </c>
      <c r="F3837">
        <v>1602</v>
      </c>
    </row>
    <row r="3838" spans="1:6" x14ac:dyDescent="0.25">
      <c r="A3838">
        <v>3837</v>
      </c>
      <c r="B3838">
        <v>41</v>
      </c>
      <c r="C3838">
        <v>0</v>
      </c>
      <c r="D3838">
        <v>0</v>
      </c>
      <c r="E3838">
        <v>0</v>
      </c>
      <c r="F3838">
        <v>1</v>
      </c>
    </row>
    <row r="3839" spans="1:6" x14ac:dyDescent="0.25">
      <c r="A3839">
        <v>3838</v>
      </c>
      <c r="B3839">
        <v>42</v>
      </c>
      <c r="C3839">
        <v>0</v>
      </c>
      <c r="D3839">
        <v>0</v>
      </c>
      <c r="E3839">
        <v>0</v>
      </c>
      <c r="F3839">
        <v>0.2</v>
      </c>
    </row>
    <row r="3840" spans="1:6" x14ac:dyDescent="0.25">
      <c r="A3840">
        <v>3839</v>
      </c>
      <c r="B3840">
        <v>43</v>
      </c>
      <c r="C3840">
        <v>0</v>
      </c>
      <c r="D3840">
        <v>0</v>
      </c>
      <c r="E3840">
        <v>0</v>
      </c>
      <c r="F3840">
        <v>0</v>
      </c>
    </row>
    <row r="3841" spans="1:6" x14ac:dyDescent="0.25">
      <c r="A3841">
        <v>3840</v>
      </c>
      <c r="B3841">
        <v>44</v>
      </c>
      <c r="C3841">
        <v>0</v>
      </c>
      <c r="D3841">
        <v>0</v>
      </c>
      <c r="E3841">
        <v>0</v>
      </c>
      <c r="F3841">
        <v>30.751300000000001</v>
      </c>
    </row>
    <row r="3842" spans="1:6" x14ac:dyDescent="0.25">
      <c r="A3842">
        <v>3841</v>
      </c>
      <c r="B3842">
        <v>45</v>
      </c>
      <c r="C3842">
        <v>0</v>
      </c>
      <c r="D3842">
        <v>0</v>
      </c>
      <c r="E3842">
        <v>0</v>
      </c>
      <c r="F3842">
        <v>4400</v>
      </c>
    </row>
    <row r="3843" spans="1:6" x14ac:dyDescent="0.25">
      <c r="A3843">
        <v>3842</v>
      </c>
      <c r="B3843">
        <v>46</v>
      </c>
      <c r="C3843">
        <v>0</v>
      </c>
      <c r="D3843">
        <v>0</v>
      </c>
      <c r="E3843">
        <v>0</v>
      </c>
      <c r="F3843">
        <v>0</v>
      </c>
    </row>
    <row r="3844" spans="1:6" x14ac:dyDescent="0.25">
      <c r="A3844">
        <v>3843</v>
      </c>
      <c r="B3844">
        <v>2</v>
      </c>
      <c r="C3844">
        <v>0</v>
      </c>
      <c r="D3844">
        <v>0</v>
      </c>
      <c r="E3844">
        <v>0</v>
      </c>
      <c r="F3844">
        <v>34.406799999999997</v>
      </c>
    </row>
    <row r="3845" spans="1:6" x14ac:dyDescent="0.25">
      <c r="A3845">
        <v>3844</v>
      </c>
      <c r="B3845">
        <v>10</v>
      </c>
      <c r="C3845">
        <v>1</v>
      </c>
      <c r="D3845">
        <v>0</v>
      </c>
      <c r="E3845">
        <v>0</v>
      </c>
      <c r="F3845">
        <v>34715</v>
      </c>
    </row>
    <row r="3846" spans="1:6" x14ac:dyDescent="0.25">
      <c r="A3846">
        <v>3845</v>
      </c>
      <c r="B3846">
        <v>13</v>
      </c>
      <c r="C3846">
        <v>0</v>
      </c>
      <c r="D3846">
        <v>0</v>
      </c>
      <c r="E3846">
        <v>0</v>
      </c>
      <c r="F3846">
        <v>1602</v>
      </c>
    </row>
    <row r="3847" spans="1:6" x14ac:dyDescent="0.25">
      <c r="A3847">
        <v>3846</v>
      </c>
      <c r="B3847">
        <v>41</v>
      </c>
      <c r="C3847">
        <v>0</v>
      </c>
      <c r="D3847">
        <v>0</v>
      </c>
      <c r="E3847">
        <v>0</v>
      </c>
      <c r="F3847">
        <v>1</v>
      </c>
    </row>
    <row r="3848" spans="1:6" x14ac:dyDescent="0.25">
      <c r="A3848">
        <v>3847</v>
      </c>
      <c r="B3848">
        <v>42</v>
      </c>
      <c r="C3848">
        <v>0</v>
      </c>
      <c r="D3848">
        <v>0</v>
      </c>
      <c r="E3848">
        <v>0</v>
      </c>
      <c r="F3848">
        <v>0.2</v>
      </c>
    </row>
    <row r="3849" spans="1:6" x14ac:dyDescent="0.25">
      <c r="A3849">
        <v>3848</v>
      </c>
      <c r="B3849">
        <v>43</v>
      </c>
      <c r="C3849">
        <v>0</v>
      </c>
      <c r="D3849">
        <v>0</v>
      </c>
      <c r="E3849">
        <v>0</v>
      </c>
      <c r="F3849">
        <v>0</v>
      </c>
    </row>
    <row r="3850" spans="1:6" x14ac:dyDescent="0.25">
      <c r="A3850">
        <v>3849</v>
      </c>
      <c r="B3850">
        <v>44</v>
      </c>
      <c r="C3850">
        <v>0</v>
      </c>
      <c r="D3850">
        <v>0</v>
      </c>
      <c r="E3850">
        <v>0</v>
      </c>
      <c r="F3850">
        <v>31.0015</v>
      </c>
    </row>
    <row r="3851" spans="1:6" x14ac:dyDescent="0.25">
      <c r="A3851">
        <v>3850</v>
      </c>
      <c r="B3851">
        <v>45</v>
      </c>
      <c r="C3851">
        <v>0</v>
      </c>
      <c r="D3851">
        <v>0</v>
      </c>
      <c r="E3851">
        <v>0</v>
      </c>
      <c r="F3851">
        <v>4400</v>
      </c>
    </row>
    <row r="3852" spans="1:6" x14ac:dyDescent="0.25">
      <c r="A3852">
        <v>3851</v>
      </c>
      <c r="B3852">
        <v>46</v>
      </c>
      <c r="C3852">
        <v>0</v>
      </c>
      <c r="D3852">
        <v>0</v>
      </c>
      <c r="E3852">
        <v>0</v>
      </c>
      <c r="F3852">
        <v>0</v>
      </c>
    </row>
    <row r="3853" spans="1:6" x14ac:dyDescent="0.25">
      <c r="A3853">
        <v>3852</v>
      </c>
      <c r="B3853">
        <v>2</v>
      </c>
      <c r="C3853">
        <v>0</v>
      </c>
      <c r="D3853">
        <v>0</v>
      </c>
      <c r="E3853">
        <v>0</v>
      </c>
      <c r="F3853">
        <v>34.406500000000001</v>
      </c>
    </row>
    <row r="3854" spans="1:6" x14ac:dyDescent="0.25">
      <c r="A3854">
        <v>3853</v>
      </c>
      <c r="B3854">
        <v>10</v>
      </c>
      <c r="C3854">
        <v>1</v>
      </c>
      <c r="D3854">
        <v>0</v>
      </c>
      <c r="E3854">
        <v>0</v>
      </c>
      <c r="F3854">
        <v>34715</v>
      </c>
    </row>
    <row r="3855" spans="1:6" x14ac:dyDescent="0.25">
      <c r="A3855">
        <v>3854</v>
      </c>
      <c r="B3855">
        <v>13</v>
      </c>
      <c r="C3855">
        <v>0</v>
      </c>
      <c r="D3855">
        <v>0</v>
      </c>
      <c r="E3855">
        <v>0</v>
      </c>
      <c r="F3855">
        <v>1602</v>
      </c>
    </row>
    <row r="3856" spans="1:6" x14ac:dyDescent="0.25">
      <c r="A3856">
        <v>3855</v>
      </c>
      <c r="B3856">
        <v>41</v>
      </c>
      <c r="C3856">
        <v>0</v>
      </c>
      <c r="D3856">
        <v>0</v>
      </c>
      <c r="E3856">
        <v>0</v>
      </c>
      <c r="F3856">
        <v>1</v>
      </c>
    </row>
    <row r="3857" spans="1:6" x14ac:dyDescent="0.25">
      <c r="A3857">
        <v>3856</v>
      </c>
      <c r="B3857">
        <v>42</v>
      </c>
      <c r="C3857">
        <v>0</v>
      </c>
      <c r="D3857">
        <v>0</v>
      </c>
      <c r="E3857">
        <v>0</v>
      </c>
      <c r="F3857">
        <v>0.2</v>
      </c>
    </row>
    <row r="3858" spans="1:6" x14ac:dyDescent="0.25">
      <c r="A3858">
        <v>3857</v>
      </c>
      <c r="B3858">
        <v>43</v>
      </c>
      <c r="C3858">
        <v>0</v>
      </c>
      <c r="D3858">
        <v>0</v>
      </c>
      <c r="E3858">
        <v>0</v>
      </c>
      <c r="F3858">
        <v>0</v>
      </c>
    </row>
    <row r="3859" spans="1:6" x14ac:dyDescent="0.25">
      <c r="A3859">
        <v>3858</v>
      </c>
      <c r="B3859">
        <v>44</v>
      </c>
      <c r="C3859">
        <v>0</v>
      </c>
      <c r="D3859">
        <v>0</v>
      </c>
      <c r="E3859">
        <v>0</v>
      </c>
      <c r="F3859">
        <v>31.0015</v>
      </c>
    </row>
    <row r="3860" spans="1:6" x14ac:dyDescent="0.25">
      <c r="A3860">
        <v>3859</v>
      </c>
      <c r="B3860">
        <v>45</v>
      </c>
      <c r="C3860">
        <v>0</v>
      </c>
      <c r="D3860">
        <v>0</v>
      </c>
      <c r="E3860">
        <v>0</v>
      </c>
      <c r="F3860">
        <v>4400</v>
      </c>
    </row>
    <row r="3861" spans="1:6" x14ac:dyDescent="0.25">
      <c r="A3861">
        <v>3860</v>
      </c>
      <c r="B3861">
        <v>46</v>
      </c>
      <c r="C3861">
        <v>0</v>
      </c>
      <c r="D3861">
        <v>0</v>
      </c>
      <c r="E3861">
        <v>0</v>
      </c>
      <c r="F3861">
        <v>0</v>
      </c>
    </row>
    <row r="3862" spans="1:6" x14ac:dyDescent="0.25">
      <c r="A3862">
        <v>3861</v>
      </c>
      <c r="B3862" t="s">
        <v>0</v>
      </c>
      <c r="C3862">
        <v>55</v>
      </c>
      <c r="D3862">
        <v>3483</v>
      </c>
      <c r="E3862">
        <v>79980503</v>
      </c>
    </row>
    <row r="3863" spans="1:6" x14ac:dyDescent="0.25">
      <c r="A3863">
        <v>3862</v>
      </c>
      <c r="B3863">
        <v>10</v>
      </c>
      <c r="C3863">
        <v>1</v>
      </c>
      <c r="D3863">
        <v>0</v>
      </c>
      <c r="E3863">
        <v>0</v>
      </c>
      <c r="F3863">
        <v>34715</v>
      </c>
    </row>
    <row r="3864" spans="1:6" x14ac:dyDescent="0.25">
      <c r="A3864">
        <v>3863</v>
      </c>
      <c r="B3864">
        <v>13</v>
      </c>
      <c r="C3864">
        <v>0</v>
      </c>
      <c r="D3864">
        <v>0</v>
      </c>
      <c r="E3864">
        <v>0</v>
      </c>
      <c r="F3864">
        <v>1602</v>
      </c>
    </row>
    <row r="3865" spans="1:6" x14ac:dyDescent="0.25">
      <c r="A3865">
        <v>3864</v>
      </c>
      <c r="B3865">
        <v>41</v>
      </c>
      <c r="C3865">
        <v>0</v>
      </c>
      <c r="D3865">
        <v>0</v>
      </c>
      <c r="E3865">
        <v>0</v>
      </c>
      <c r="F3865">
        <v>1</v>
      </c>
    </row>
    <row r="3866" spans="1:6" x14ac:dyDescent="0.25">
      <c r="A3866">
        <v>3865</v>
      </c>
      <c r="B3866">
        <v>42</v>
      </c>
      <c r="C3866">
        <v>0</v>
      </c>
      <c r="D3866">
        <v>0</v>
      </c>
      <c r="E3866">
        <v>0</v>
      </c>
      <c r="F3866">
        <v>0.2</v>
      </c>
    </row>
    <row r="3867" spans="1:6" x14ac:dyDescent="0.25">
      <c r="A3867">
        <v>3866</v>
      </c>
      <c r="B3867">
        <v>43</v>
      </c>
      <c r="C3867">
        <v>0</v>
      </c>
      <c r="D3867">
        <v>0</v>
      </c>
      <c r="E3867">
        <v>0</v>
      </c>
      <c r="F3867">
        <v>0</v>
      </c>
    </row>
    <row r="3868" spans="1:6" x14ac:dyDescent="0.25">
      <c r="A3868">
        <v>3867</v>
      </c>
      <c r="B3868">
        <v>44</v>
      </c>
      <c r="C3868">
        <v>0</v>
      </c>
      <c r="D3868">
        <v>0</v>
      </c>
      <c r="E3868">
        <v>0</v>
      </c>
      <c r="F3868">
        <v>31.2515</v>
      </c>
    </row>
    <row r="3869" spans="1:6" x14ac:dyDescent="0.25">
      <c r="A3869">
        <v>3868</v>
      </c>
      <c r="B3869">
        <v>45</v>
      </c>
      <c r="C3869">
        <v>0</v>
      </c>
      <c r="D3869">
        <v>0</v>
      </c>
      <c r="E3869">
        <v>0</v>
      </c>
      <c r="F3869">
        <v>4400</v>
      </c>
    </row>
    <row r="3870" spans="1:6" x14ac:dyDescent="0.25">
      <c r="A3870">
        <v>3869</v>
      </c>
      <c r="B3870">
        <v>46</v>
      </c>
      <c r="C3870">
        <v>0</v>
      </c>
      <c r="D3870">
        <v>0</v>
      </c>
      <c r="E3870">
        <v>0</v>
      </c>
      <c r="F3870">
        <v>0</v>
      </c>
    </row>
    <row r="3871" spans="1:6" x14ac:dyDescent="0.25">
      <c r="A3871">
        <v>3870</v>
      </c>
      <c r="B3871">
        <v>2</v>
      </c>
      <c r="C3871">
        <v>0</v>
      </c>
      <c r="D3871">
        <v>0</v>
      </c>
      <c r="E3871">
        <v>0</v>
      </c>
      <c r="F3871">
        <v>34.406599999999997</v>
      </c>
    </row>
    <row r="3872" spans="1:6" x14ac:dyDescent="0.25">
      <c r="A3872">
        <v>3871</v>
      </c>
      <c r="B3872">
        <v>10</v>
      </c>
      <c r="C3872">
        <v>1</v>
      </c>
      <c r="D3872">
        <v>0</v>
      </c>
      <c r="E3872">
        <v>0</v>
      </c>
      <c r="F3872">
        <v>34715</v>
      </c>
    </row>
    <row r="3873" spans="1:6" x14ac:dyDescent="0.25">
      <c r="A3873">
        <v>3872</v>
      </c>
      <c r="B3873">
        <v>13</v>
      </c>
      <c r="C3873">
        <v>0</v>
      </c>
      <c r="D3873">
        <v>0</v>
      </c>
      <c r="E3873">
        <v>0</v>
      </c>
      <c r="F3873">
        <v>1602</v>
      </c>
    </row>
    <row r="3874" spans="1:6" x14ac:dyDescent="0.25">
      <c r="A3874">
        <v>3873</v>
      </c>
      <c r="B3874">
        <v>41</v>
      </c>
      <c r="C3874">
        <v>0</v>
      </c>
      <c r="D3874">
        <v>0</v>
      </c>
      <c r="E3874">
        <v>0</v>
      </c>
      <c r="F3874">
        <v>1</v>
      </c>
    </row>
    <row r="3875" spans="1:6" x14ac:dyDescent="0.25">
      <c r="A3875">
        <v>3874</v>
      </c>
      <c r="B3875">
        <v>42</v>
      </c>
      <c r="C3875">
        <v>0</v>
      </c>
      <c r="D3875">
        <v>0</v>
      </c>
      <c r="E3875">
        <v>0</v>
      </c>
      <c r="F3875">
        <v>0.2</v>
      </c>
    </row>
    <row r="3876" spans="1:6" x14ac:dyDescent="0.25">
      <c r="A3876">
        <v>3875</v>
      </c>
      <c r="B3876">
        <v>43</v>
      </c>
      <c r="C3876">
        <v>0</v>
      </c>
      <c r="D3876">
        <v>0</v>
      </c>
      <c r="E3876">
        <v>0</v>
      </c>
      <c r="F3876">
        <v>0</v>
      </c>
    </row>
    <row r="3877" spans="1:6" x14ac:dyDescent="0.25">
      <c r="A3877">
        <v>3876</v>
      </c>
      <c r="B3877" t="s">
        <v>0</v>
      </c>
      <c r="C3877">
        <v>56</v>
      </c>
      <c r="D3877">
        <v>3483</v>
      </c>
      <c r="E3877">
        <v>79981471</v>
      </c>
    </row>
    <row r="3878" spans="1:6" x14ac:dyDescent="0.25">
      <c r="A3878">
        <v>3877</v>
      </c>
      <c r="B3878">
        <v>45</v>
      </c>
      <c r="C3878">
        <v>0</v>
      </c>
      <c r="D3878">
        <v>0</v>
      </c>
      <c r="E3878">
        <v>0</v>
      </c>
      <c r="F3878">
        <v>4400</v>
      </c>
    </row>
    <row r="3879" spans="1:6" x14ac:dyDescent="0.25">
      <c r="A3879">
        <v>3878</v>
      </c>
      <c r="B3879">
        <v>46</v>
      </c>
      <c r="C3879">
        <v>0</v>
      </c>
      <c r="D3879">
        <v>0</v>
      </c>
      <c r="E3879">
        <v>0</v>
      </c>
      <c r="F3879">
        <v>0</v>
      </c>
    </row>
    <row r="3880" spans="1:6" x14ac:dyDescent="0.25">
      <c r="A3880">
        <v>3879</v>
      </c>
      <c r="B3880">
        <v>2</v>
      </c>
      <c r="C3880">
        <v>0</v>
      </c>
      <c r="D3880">
        <v>0</v>
      </c>
      <c r="E3880">
        <v>0</v>
      </c>
      <c r="F3880">
        <v>34.406799999999997</v>
      </c>
    </row>
    <row r="3881" spans="1:6" x14ac:dyDescent="0.25">
      <c r="A3881">
        <v>3880</v>
      </c>
      <c r="B3881">
        <v>10</v>
      </c>
      <c r="C3881">
        <v>1</v>
      </c>
      <c r="D3881">
        <v>0</v>
      </c>
      <c r="E3881">
        <v>0</v>
      </c>
      <c r="F3881">
        <v>34715</v>
      </c>
    </row>
    <row r="3882" spans="1:6" x14ac:dyDescent="0.25">
      <c r="A3882">
        <v>3881</v>
      </c>
      <c r="B3882">
        <v>13</v>
      </c>
      <c r="C3882">
        <v>0</v>
      </c>
      <c r="D3882">
        <v>0</v>
      </c>
      <c r="E3882">
        <v>0</v>
      </c>
      <c r="F3882">
        <v>1602</v>
      </c>
    </row>
    <row r="3883" spans="1:6" x14ac:dyDescent="0.25">
      <c r="A3883">
        <v>3882</v>
      </c>
      <c r="B3883">
        <v>41</v>
      </c>
      <c r="C3883">
        <v>0</v>
      </c>
      <c r="D3883">
        <v>0</v>
      </c>
      <c r="E3883">
        <v>0</v>
      </c>
      <c r="F3883">
        <v>1</v>
      </c>
    </row>
    <row r="3884" spans="1:6" x14ac:dyDescent="0.25">
      <c r="A3884">
        <v>3883</v>
      </c>
      <c r="B3884">
        <v>42</v>
      </c>
      <c r="C3884">
        <v>0</v>
      </c>
      <c r="D3884">
        <v>0</v>
      </c>
      <c r="E3884">
        <v>0</v>
      </c>
      <c r="F3884">
        <v>0.2</v>
      </c>
    </row>
    <row r="3885" spans="1:6" x14ac:dyDescent="0.25">
      <c r="A3885">
        <v>3884</v>
      </c>
      <c r="B3885">
        <v>43</v>
      </c>
      <c r="C3885">
        <v>0</v>
      </c>
      <c r="D3885">
        <v>0</v>
      </c>
      <c r="E3885">
        <v>0</v>
      </c>
      <c r="F3885">
        <v>0</v>
      </c>
    </row>
    <row r="3886" spans="1:6" x14ac:dyDescent="0.25">
      <c r="A3886">
        <v>3885</v>
      </c>
      <c r="B3886">
        <v>44</v>
      </c>
      <c r="C3886">
        <v>0</v>
      </c>
      <c r="D3886">
        <v>0</v>
      </c>
      <c r="E3886">
        <v>0</v>
      </c>
      <c r="F3886">
        <v>31.476199999999999</v>
      </c>
    </row>
    <row r="3887" spans="1:6" x14ac:dyDescent="0.25">
      <c r="A3887">
        <v>3886</v>
      </c>
      <c r="B3887">
        <v>45</v>
      </c>
      <c r="C3887">
        <v>0</v>
      </c>
      <c r="D3887">
        <v>0</v>
      </c>
      <c r="E3887">
        <v>0</v>
      </c>
      <c r="F3887">
        <v>4400</v>
      </c>
    </row>
    <row r="3888" spans="1:6" x14ac:dyDescent="0.25">
      <c r="A3888">
        <v>3887</v>
      </c>
      <c r="B3888">
        <v>46</v>
      </c>
      <c r="C3888">
        <v>0</v>
      </c>
      <c r="D3888">
        <v>0</v>
      </c>
      <c r="E3888">
        <v>0</v>
      </c>
      <c r="F3888">
        <v>0</v>
      </c>
    </row>
    <row r="3889" spans="1:6" x14ac:dyDescent="0.25">
      <c r="A3889">
        <v>3888</v>
      </c>
      <c r="B3889">
        <v>2</v>
      </c>
      <c r="C3889">
        <v>0</v>
      </c>
      <c r="D3889">
        <v>0</v>
      </c>
      <c r="E3889">
        <v>0</v>
      </c>
      <c r="F3889">
        <v>34.406799999999997</v>
      </c>
    </row>
    <row r="3890" spans="1:6" x14ac:dyDescent="0.25">
      <c r="A3890">
        <v>3889</v>
      </c>
      <c r="B3890">
        <v>10</v>
      </c>
      <c r="C3890">
        <v>1</v>
      </c>
      <c r="D3890">
        <v>0</v>
      </c>
      <c r="E3890">
        <v>0</v>
      </c>
      <c r="F3890">
        <v>34715</v>
      </c>
    </row>
    <row r="3891" spans="1:6" x14ac:dyDescent="0.25">
      <c r="A3891">
        <v>3890</v>
      </c>
      <c r="B3891">
        <v>13</v>
      </c>
      <c r="C3891">
        <v>0</v>
      </c>
      <c r="D3891">
        <v>0</v>
      </c>
      <c r="E3891">
        <v>0</v>
      </c>
      <c r="F3891">
        <v>1602</v>
      </c>
    </row>
    <row r="3892" spans="1:6" x14ac:dyDescent="0.25">
      <c r="A3892">
        <v>3891</v>
      </c>
      <c r="B3892" t="s">
        <v>0</v>
      </c>
      <c r="C3892">
        <v>57</v>
      </c>
      <c r="D3892">
        <v>3483</v>
      </c>
      <c r="E3892">
        <v>79982439</v>
      </c>
    </row>
    <row r="3893" spans="1:6" x14ac:dyDescent="0.25">
      <c r="A3893">
        <v>3892</v>
      </c>
      <c r="B3893">
        <v>41</v>
      </c>
      <c r="C3893">
        <v>0</v>
      </c>
      <c r="D3893">
        <v>0</v>
      </c>
      <c r="E3893">
        <v>0</v>
      </c>
      <c r="F3893">
        <v>1</v>
      </c>
    </row>
    <row r="3894" spans="1:6" x14ac:dyDescent="0.25">
      <c r="A3894">
        <v>3893</v>
      </c>
      <c r="B3894">
        <v>42</v>
      </c>
      <c r="C3894">
        <v>0</v>
      </c>
      <c r="D3894">
        <v>0</v>
      </c>
      <c r="E3894">
        <v>0</v>
      </c>
      <c r="F3894">
        <v>0.2</v>
      </c>
    </row>
    <row r="3895" spans="1:6" x14ac:dyDescent="0.25">
      <c r="A3895">
        <v>3894</v>
      </c>
      <c r="B3895">
        <v>43</v>
      </c>
      <c r="C3895">
        <v>0</v>
      </c>
      <c r="D3895">
        <v>0</v>
      </c>
      <c r="E3895">
        <v>0</v>
      </c>
      <c r="F3895">
        <v>0</v>
      </c>
    </row>
    <row r="3896" spans="1:6" x14ac:dyDescent="0.25">
      <c r="A3896">
        <v>3895</v>
      </c>
      <c r="B3896">
        <v>44</v>
      </c>
      <c r="C3896">
        <v>0</v>
      </c>
      <c r="D3896">
        <v>0</v>
      </c>
      <c r="E3896">
        <v>0</v>
      </c>
      <c r="F3896">
        <v>31.726199999999999</v>
      </c>
    </row>
    <row r="3897" spans="1:6" x14ac:dyDescent="0.25">
      <c r="A3897">
        <v>3896</v>
      </c>
      <c r="B3897">
        <v>45</v>
      </c>
      <c r="C3897">
        <v>0</v>
      </c>
      <c r="D3897">
        <v>0</v>
      </c>
      <c r="E3897">
        <v>0</v>
      </c>
      <c r="F3897">
        <v>4400</v>
      </c>
    </row>
    <row r="3898" spans="1:6" x14ac:dyDescent="0.25">
      <c r="A3898">
        <v>3897</v>
      </c>
      <c r="B3898">
        <v>46</v>
      </c>
      <c r="C3898">
        <v>0</v>
      </c>
      <c r="D3898">
        <v>0</v>
      </c>
      <c r="E3898">
        <v>0</v>
      </c>
      <c r="F3898">
        <v>0</v>
      </c>
    </row>
    <row r="3899" spans="1:6" x14ac:dyDescent="0.25">
      <c r="A3899">
        <v>3898</v>
      </c>
      <c r="B3899">
        <v>2</v>
      </c>
      <c r="C3899">
        <v>0</v>
      </c>
      <c r="D3899">
        <v>0</v>
      </c>
      <c r="E3899">
        <v>0</v>
      </c>
      <c r="F3899">
        <v>34.4069</v>
      </c>
    </row>
    <row r="3900" spans="1:6" x14ac:dyDescent="0.25">
      <c r="A3900">
        <v>3899</v>
      </c>
      <c r="B3900">
        <v>10</v>
      </c>
      <c r="C3900">
        <v>1</v>
      </c>
      <c r="D3900">
        <v>0</v>
      </c>
      <c r="E3900">
        <v>0</v>
      </c>
      <c r="F3900">
        <v>34715</v>
      </c>
    </row>
    <row r="3901" spans="1:6" x14ac:dyDescent="0.25">
      <c r="A3901">
        <v>3900</v>
      </c>
      <c r="B3901">
        <v>13</v>
      </c>
      <c r="C3901">
        <v>0</v>
      </c>
      <c r="D3901">
        <v>0</v>
      </c>
      <c r="E3901">
        <v>0</v>
      </c>
      <c r="F3901">
        <v>1602</v>
      </c>
    </row>
    <row r="3902" spans="1:6" x14ac:dyDescent="0.25">
      <c r="A3902">
        <v>3901</v>
      </c>
      <c r="B3902">
        <v>41</v>
      </c>
      <c r="C3902">
        <v>0</v>
      </c>
      <c r="D3902">
        <v>0</v>
      </c>
      <c r="E3902">
        <v>0</v>
      </c>
      <c r="F3902">
        <v>1</v>
      </c>
    </row>
    <row r="3903" spans="1:6" x14ac:dyDescent="0.25">
      <c r="A3903">
        <v>3902</v>
      </c>
      <c r="B3903">
        <v>42</v>
      </c>
      <c r="C3903">
        <v>0</v>
      </c>
      <c r="D3903">
        <v>0</v>
      </c>
      <c r="E3903">
        <v>0</v>
      </c>
      <c r="F3903">
        <v>0.2</v>
      </c>
    </row>
    <row r="3904" spans="1:6" x14ac:dyDescent="0.25">
      <c r="A3904">
        <v>3903</v>
      </c>
      <c r="B3904">
        <v>43</v>
      </c>
      <c r="C3904">
        <v>0</v>
      </c>
      <c r="D3904">
        <v>0</v>
      </c>
      <c r="E3904">
        <v>0</v>
      </c>
      <c r="F3904">
        <v>0</v>
      </c>
    </row>
    <row r="3905" spans="1:6" x14ac:dyDescent="0.25">
      <c r="A3905">
        <v>3904</v>
      </c>
      <c r="B3905">
        <v>44</v>
      </c>
      <c r="C3905">
        <v>0</v>
      </c>
      <c r="D3905">
        <v>0</v>
      </c>
      <c r="E3905">
        <v>0</v>
      </c>
      <c r="F3905">
        <v>31.726199999999999</v>
      </c>
    </row>
    <row r="3906" spans="1:6" x14ac:dyDescent="0.25">
      <c r="A3906">
        <v>3905</v>
      </c>
      <c r="B3906">
        <v>45</v>
      </c>
      <c r="C3906">
        <v>0</v>
      </c>
      <c r="D3906">
        <v>0</v>
      </c>
      <c r="E3906">
        <v>0</v>
      </c>
      <c r="F3906">
        <v>4400</v>
      </c>
    </row>
    <row r="3907" spans="1:6" x14ac:dyDescent="0.25">
      <c r="A3907">
        <v>3906</v>
      </c>
      <c r="B3907">
        <v>46</v>
      </c>
      <c r="C3907">
        <v>0</v>
      </c>
      <c r="D3907">
        <v>0</v>
      </c>
      <c r="E3907">
        <v>0</v>
      </c>
      <c r="F3907">
        <v>0</v>
      </c>
    </row>
    <row r="3908" spans="1:6" x14ac:dyDescent="0.25">
      <c r="A3908">
        <v>3907</v>
      </c>
      <c r="B3908">
        <v>2</v>
      </c>
      <c r="C3908">
        <v>0</v>
      </c>
      <c r="D3908">
        <v>0</v>
      </c>
      <c r="E3908">
        <v>0</v>
      </c>
      <c r="F3908">
        <v>34.407299999999999</v>
      </c>
    </row>
    <row r="3909" spans="1:6" x14ac:dyDescent="0.25">
      <c r="A3909">
        <v>3908</v>
      </c>
      <c r="B3909">
        <v>10</v>
      </c>
      <c r="C3909">
        <v>1</v>
      </c>
      <c r="D3909">
        <v>0</v>
      </c>
      <c r="E3909">
        <v>0</v>
      </c>
      <c r="F3909">
        <v>34714</v>
      </c>
    </row>
    <row r="3910" spans="1:6" x14ac:dyDescent="0.25">
      <c r="A3910">
        <v>3909</v>
      </c>
      <c r="B3910">
        <v>13</v>
      </c>
      <c r="C3910">
        <v>0</v>
      </c>
      <c r="D3910">
        <v>0</v>
      </c>
      <c r="E3910">
        <v>0</v>
      </c>
      <c r="F3910">
        <v>1602</v>
      </c>
    </row>
    <row r="3911" spans="1:6" x14ac:dyDescent="0.25">
      <c r="A3911">
        <v>3910</v>
      </c>
      <c r="B3911">
        <v>41</v>
      </c>
      <c r="C3911">
        <v>0</v>
      </c>
      <c r="D3911">
        <v>0</v>
      </c>
      <c r="E3911">
        <v>0</v>
      </c>
      <c r="F3911">
        <v>1</v>
      </c>
    </row>
    <row r="3912" spans="1:6" x14ac:dyDescent="0.25">
      <c r="A3912">
        <v>3911</v>
      </c>
      <c r="B3912">
        <v>42</v>
      </c>
      <c r="C3912">
        <v>0</v>
      </c>
      <c r="D3912">
        <v>0</v>
      </c>
      <c r="E3912">
        <v>0</v>
      </c>
      <c r="F3912">
        <v>0.2</v>
      </c>
    </row>
    <row r="3913" spans="1:6" x14ac:dyDescent="0.25">
      <c r="A3913">
        <v>3912</v>
      </c>
      <c r="B3913">
        <v>43</v>
      </c>
      <c r="C3913">
        <v>0</v>
      </c>
      <c r="D3913">
        <v>0</v>
      </c>
      <c r="E3913">
        <v>0</v>
      </c>
      <c r="F3913">
        <v>0</v>
      </c>
    </row>
    <row r="3914" spans="1:6" x14ac:dyDescent="0.25">
      <c r="A3914">
        <v>3913</v>
      </c>
      <c r="B3914">
        <v>44</v>
      </c>
      <c r="C3914">
        <v>0</v>
      </c>
      <c r="D3914">
        <v>0</v>
      </c>
      <c r="E3914">
        <v>0</v>
      </c>
      <c r="F3914">
        <v>31.9758</v>
      </c>
    </row>
    <row r="3915" spans="1:6" x14ac:dyDescent="0.25">
      <c r="A3915">
        <v>3914</v>
      </c>
      <c r="B3915">
        <v>45</v>
      </c>
      <c r="C3915">
        <v>0</v>
      </c>
      <c r="D3915">
        <v>0</v>
      </c>
      <c r="E3915">
        <v>0</v>
      </c>
      <c r="F3915">
        <v>4400</v>
      </c>
    </row>
    <row r="3916" spans="1:6" x14ac:dyDescent="0.25">
      <c r="A3916">
        <v>3915</v>
      </c>
      <c r="B3916">
        <v>46</v>
      </c>
      <c r="C3916">
        <v>0</v>
      </c>
      <c r="D3916">
        <v>0</v>
      </c>
      <c r="E3916">
        <v>0</v>
      </c>
      <c r="F3916">
        <v>0</v>
      </c>
    </row>
    <row r="3917" spans="1:6" x14ac:dyDescent="0.25">
      <c r="A3917">
        <v>3916</v>
      </c>
      <c r="B3917">
        <v>2</v>
      </c>
      <c r="C3917">
        <v>0</v>
      </c>
      <c r="D3917">
        <v>0</v>
      </c>
      <c r="E3917">
        <v>0</v>
      </c>
      <c r="F3917">
        <v>34.407299999999999</v>
      </c>
    </row>
    <row r="3918" spans="1:6" x14ac:dyDescent="0.25">
      <c r="A3918">
        <v>3917</v>
      </c>
      <c r="B3918">
        <v>10</v>
      </c>
      <c r="C3918">
        <v>1</v>
      </c>
      <c r="D3918">
        <v>0</v>
      </c>
      <c r="E3918">
        <v>0</v>
      </c>
      <c r="F3918">
        <v>34714</v>
      </c>
    </row>
    <row r="3919" spans="1:6" x14ac:dyDescent="0.25">
      <c r="A3919">
        <v>3918</v>
      </c>
      <c r="B3919">
        <v>13</v>
      </c>
      <c r="C3919">
        <v>0</v>
      </c>
      <c r="D3919">
        <v>0</v>
      </c>
      <c r="E3919">
        <v>0</v>
      </c>
      <c r="F3919">
        <v>1602</v>
      </c>
    </row>
    <row r="3920" spans="1:6" x14ac:dyDescent="0.25">
      <c r="A3920">
        <v>3919</v>
      </c>
      <c r="B3920">
        <v>41</v>
      </c>
      <c r="C3920">
        <v>0</v>
      </c>
      <c r="D3920">
        <v>0</v>
      </c>
      <c r="E3920">
        <v>0</v>
      </c>
      <c r="F3920">
        <v>1</v>
      </c>
    </row>
    <row r="3921" spans="1:6" x14ac:dyDescent="0.25">
      <c r="A3921">
        <v>3920</v>
      </c>
      <c r="B3921">
        <v>42</v>
      </c>
      <c r="C3921">
        <v>0</v>
      </c>
      <c r="D3921">
        <v>0</v>
      </c>
      <c r="E3921">
        <v>0</v>
      </c>
      <c r="F3921">
        <v>0.2</v>
      </c>
    </row>
    <row r="3922" spans="1:6" x14ac:dyDescent="0.25">
      <c r="A3922">
        <v>3921</v>
      </c>
      <c r="B3922" t="s">
        <v>0</v>
      </c>
      <c r="C3922">
        <v>59</v>
      </c>
      <c r="D3922">
        <v>3483</v>
      </c>
      <c r="E3922">
        <v>79984374</v>
      </c>
    </row>
    <row r="3923" spans="1:6" x14ac:dyDescent="0.25">
      <c r="A3923">
        <v>3922</v>
      </c>
      <c r="B3923">
        <v>44</v>
      </c>
      <c r="C3923">
        <v>0</v>
      </c>
      <c r="D3923">
        <v>0</v>
      </c>
      <c r="E3923">
        <v>0</v>
      </c>
      <c r="F3923">
        <v>32.201500000000003</v>
      </c>
    </row>
    <row r="3924" spans="1:6" x14ac:dyDescent="0.25">
      <c r="A3924">
        <v>3923</v>
      </c>
      <c r="B3924">
        <v>45</v>
      </c>
      <c r="C3924">
        <v>0</v>
      </c>
      <c r="D3924">
        <v>0</v>
      </c>
      <c r="E3924">
        <v>0</v>
      </c>
      <c r="F3924">
        <v>4400</v>
      </c>
    </row>
    <row r="3925" spans="1:6" x14ac:dyDescent="0.25">
      <c r="A3925">
        <v>3924</v>
      </c>
      <c r="B3925">
        <v>46</v>
      </c>
      <c r="C3925">
        <v>0</v>
      </c>
      <c r="D3925">
        <v>0</v>
      </c>
      <c r="E3925">
        <v>0</v>
      </c>
      <c r="F3925">
        <v>0</v>
      </c>
    </row>
    <row r="3926" spans="1:6" x14ac:dyDescent="0.25">
      <c r="A3926">
        <v>3925</v>
      </c>
      <c r="B3926">
        <v>2</v>
      </c>
      <c r="C3926">
        <v>0</v>
      </c>
      <c r="D3926">
        <v>0</v>
      </c>
      <c r="E3926">
        <v>0</v>
      </c>
      <c r="F3926">
        <v>34.406599999999997</v>
      </c>
    </row>
    <row r="3927" spans="1:6" x14ac:dyDescent="0.25">
      <c r="A3927">
        <v>3926</v>
      </c>
      <c r="B3927">
        <v>10</v>
      </c>
      <c r="C3927">
        <v>1</v>
      </c>
      <c r="D3927">
        <v>0</v>
      </c>
      <c r="E3927">
        <v>0</v>
      </c>
      <c r="F3927">
        <v>34715</v>
      </c>
    </row>
    <row r="3928" spans="1:6" x14ac:dyDescent="0.25">
      <c r="A3928">
        <v>3927</v>
      </c>
      <c r="B3928">
        <v>13</v>
      </c>
      <c r="C3928">
        <v>0</v>
      </c>
      <c r="D3928">
        <v>0</v>
      </c>
      <c r="E3928">
        <v>0</v>
      </c>
      <c r="F3928">
        <v>1602</v>
      </c>
    </row>
    <row r="3929" spans="1:6" x14ac:dyDescent="0.25">
      <c r="A3929">
        <v>3928</v>
      </c>
      <c r="B3929">
        <v>41</v>
      </c>
      <c r="C3929">
        <v>0</v>
      </c>
      <c r="D3929">
        <v>0</v>
      </c>
      <c r="E3929">
        <v>0</v>
      </c>
      <c r="F3929">
        <v>1</v>
      </c>
    </row>
    <row r="3930" spans="1:6" x14ac:dyDescent="0.25">
      <c r="A3930">
        <v>3929</v>
      </c>
      <c r="B3930">
        <v>42</v>
      </c>
      <c r="C3930">
        <v>0</v>
      </c>
      <c r="D3930">
        <v>0</v>
      </c>
      <c r="E3930">
        <v>0</v>
      </c>
      <c r="F3930">
        <v>0.2</v>
      </c>
    </row>
    <row r="3931" spans="1:6" x14ac:dyDescent="0.25">
      <c r="A3931">
        <v>3930</v>
      </c>
      <c r="B3931">
        <v>43</v>
      </c>
      <c r="C3931">
        <v>0</v>
      </c>
      <c r="D3931">
        <v>0</v>
      </c>
      <c r="E3931">
        <v>0</v>
      </c>
      <c r="F3931">
        <v>0</v>
      </c>
    </row>
    <row r="3932" spans="1:6" x14ac:dyDescent="0.25">
      <c r="A3932">
        <v>3931</v>
      </c>
      <c r="B3932">
        <v>44</v>
      </c>
      <c r="C3932">
        <v>0</v>
      </c>
      <c r="D3932">
        <v>0</v>
      </c>
      <c r="E3932">
        <v>0</v>
      </c>
      <c r="F3932">
        <v>32.201500000000003</v>
      </c>
    </row>
    <row r="3933" spans="1:6" x14ac:dyDescent="0.25">
      <c r="A3933">
        <v>3932</v>
      </c>
      <c r="B3933">
        <v>45</v>
      </c>
      <c r="C3933">
        <v>0</v>
      </c>
      <c r="D3933">
        <v>0</v>
      </c>
      <c r="E3933">
        <v>0</v>
      </c>
      <c r="F3933">
        <v>4400</v>
      </c>
    </row>
    <row r="3934" spans="1:6" x14ac:dyDescent="0.25">
      <c r="A3934">
        <v>3933</v>
      </c>
      <c r="B3934">
        <v>46</v>
      </c>
      <c r="C3934">
        <v>0</v>
      </c>
      <c r="D3934">
        <v>0</v>
      </c>
      <c r="E3934">
        <v>0</v>
      </c>
      <c r="F3934">
        <v>0</v>
      </c>
    </row>
    <row r="3935" spans="1:6" x14ac:dyDescent="0.25">
      <c r="A3935">
        <v>3934</v>
      </c>
      <c r="B3935">
        <v>2</v>
      </c>
      <c r="C3935">
        <v>0</v>
      </c>
      <c r="D3935">
        <v>0</v>
      </c>
      <c r="E3935">
        <v>0</v>
      </c>
      <c r="F3935">
        <v>34.406599999999997</v>
      </c>
    </row>
    <row r="3936" spans="1:6" x14ac:dyDescent="0.25">
      <c r="A3936">
        <v>3935</v>
      </c>
      <c r="B3936">
        <v>10</v>
      </c>
      <c r="C3936">
        <v>1</v>
      </c>
      <c r="D3936">
        <v>0</v>
      </c>
      <c r="E3936">
        <v>0</v>
      </c>
      <c r="F3936">
        <v>34715</v>
      </c>
    </row>
    <row r="3937" spans="1:6" x14ac:dyDescent="0.25">
      <c r="A3937">
        <v>3936</v>
      </c>
      <c r="B3937" t="s">
        <v>0</v>
      </c>
      <c r="C3937">
        <v>60</v>
      </c>
      <c r="D3937">
        <v>3483</v>
      </c>
      <c r="E3937">
        <v>79985342</v>
      </c>
    </row>
    <row r="3938" spans="1:6" x14ac:dyDescent="0.25">
      <c r="A3938">
        <v>3937</v>
      </c>
      <c r="B3938">
        <v>13</v>
      </c>
      <c r="C3938">
        <v>0</v>
      </c>
      <c r="D3938">
        <v>0</v>
      </c>
      <c r="E3938">
        <v>0</v>
      </c>
      <c r="F3938">
        <v>1602</v>
      </c>
    </row>
    <row r="3939" spans="1:6" x14ac:dyDescent="0.25">
      <c r="A3939">
        <v>3938</v>
      </c>
      <c r="B3939">
        <v>41</v>
      </c>
      <c r="C3939">
        <v>0</v>
      </c>
      <c r="D3939">
        <v>0</v>
      </c>
      <c r="E3939">
        <v>0</v>
      </c>
      <c r="F3939">
        <v>1</v>
      </c>
    </row>
    <row r="3940" spans="1:6" x14ac:dyDescent="0.25">
      <c r="A3940">
        <v>3939</v>
      </c>
      <c r="B3940">
        <v>42</v>
      </c>
      <c r="C3940">
        <v>0</v>
      </c>
      <c r="D3940">
        <v>0</v>
      </c>
      <c r="E3940">
        <v>0</v>
      </c>
      <c r="F3940">
        <v>0.2</v>
      </c>
    </row>
    <row r="3941" spans="1:6" x14ac:dyDescent="0.25">
      <c r="A3941">
        <v>3940</v>
      </c>
      <c r="B3941">
        <v>43</v>
      </c>
      <c r="C3941">
        <v>0</v>
      </c>
      <c r="D3941">
        <v>0</v>
      </c>
      <c r="E3941">
        <v>0</v>
      </c>
      <c r="F3941">
        <v>0</v>
      </c>
    </row>
    <row r="3942" spans="1:6" x14ac:dyDescent="0.25">
      <c r="A3942">
        <v>3941</v>
      </c>
      <c r="B3942">
        <v>44</v>
      </c>
      <c r="C3942">
        <v>0</v>
      </c>
      <c r="D3942">
        <v>0</v>
      </c>
      <c r="E3942">
        <v>0</v>
      </c>
      <c r="F3942">
        <v>32.451799999999999</v>
      </c>
    </row>
    <row r="3943" spans="1:6" x14ac:dyDescent="0.25">
      <c r="A3943">
        <v>3942</v>
      </c>
      <c r="B3943">
        <v>45</v>
      </c>
      <c r="C3943">
        <v>0</v>
      </c>
      <c r="D3943">
        <v>0</v>
      </c>
      <c r="E3943">
        <v>0</v>
      </c>
      <c r="F3943">
        <v>4400</v>
      </c>
    </row>
    <row r="3944" spans="1:6" x14ac:dyDescent="0.25">
      <c r="A3944">
        <v>3943</v>
      </c>
      <c r="B3944">
        <v>46</v>
      </c>
      <c r="C3944">
        <v>0</v>
      </c>
      <c r="D3944">
        <v>0</v>
      </c>
      <c r="E3944">
        <v>0</v>
      </c>
      <c r="F3944">
        <v>0</v>
      </c>
    </row>
    <row r="3945" spans="1:6" x14ac:dyDescent="0.25">
      <c r="A3945">
        <v>3944</v>
      </c>
      <c r="B3945">
        <v>2</v>
      </c>
      <c r="C3945">
        <v>0</v>
      </c>
      <c r="D3945">
        <v>0</v>
      </c>
      <c r="E3945">
        <v>0</v>
      </c>
      <c r="F3945">
        <v>34.406300000000002</v>
      </c>
    </row>
    <row r="3946" spans="1:6" x14ac:dyDescent="0.25">
      <c r="A3946">
        <v>3945</v>
      </c>
      <c r="B3946">
        <v>10</v>
      </c>
      <c r="C3946">
        <v>1</v>
      </c>
      <c r="D3946">
        <v>0</v>
      </c>
      <c r="E3946">
        <v>0</v>
      </c>
      <c r="F3946">
        <v>34715</v>
      </c>
    </row>
    <row r="3947" spans="1:6" x14ac:dyDescent="0.25">
      <c r="A3947">
        <v>3946</v>
      </c>
      <c r="B3947">
        <v>13</v>
      </c>
      <c r="C3947">
        <v>0</v>
      </c>
      <c r="D3947">
        <v>0</v>
      </c>
      <c r="E3947">
        <v>0</v>
      </c>
      <c r="F3947">
        <v>1602</v>
      </c>
    </row>
    <row r="3948" spans="1:6" x14ac:dyDescent="0.25">
      <c r="A3948">
        <v>3947</v>
      </c>
      <c r="B3948">
        <v>41</v>
      </c>
      <c r="C3948">
        <v>0</v>
      </c>
      <c r="D3948">
        <v>0</v>
      </c>
      <c r="E3948">
        <v>0</v>
      </c>
      <c r="F3948">
        <v>1</v>
      </c>
    </row>
    <row r="3949" spans="1:6" x14ac:dyDescent="0.25">
      <c r="A3949">
        <v>3948</v>
      </c>
      <c r="B3949">
        <v>42</v>
      </c>
      <c r="C3949">
        <v>0</v>
      </c>
      <c r="D3949">
        <v>0</v>
      </c>
      <c r="E3949">
        <v>0</v>
      </c>
      <c r="F3949">
        <v>0.2</v>
      </c>
    </row>
    <row r="3950" spans="1:6" x14ac:dyDescent="0.25">
      <c r="A3950">
        <v>3949</v>
      </c>
      <c r="B3950">
        <v>43</v>
      </c>
      <c r="C3950">
        <v>0</v>
      </c>
      <c r="D3950">
        <v>0</v>
      </c>
      <c r="E3950">
        <v>0</v>
      </c>
      <c r="F3950">
        <v>0</v>
      </c>
    </row>
    <row r="3951" spans="1:6" x14ac:dyDescent="0.25">
      <c r="A3951">
        <v>3950</v>
      </c>
      <c r="B3951">
        <v>44</v>
      </c>
      <c r="C3951">
        <v>0</v>
      </c>
      <c r="D3951">
        <v>0</v>
      </c>
      <c r="E3951">
        <v>0</v>
      </c>
      <c r="F3951">
        <v>32.451799999999999</v>
      </c>
    </row>
    <row r="3952" spans="1:6" x14ac:dyDescent="0.25">
      <c r="A3952">
        <v>3951</v>
      </c>
      <c r="B3952">
        <v>45</v>
      </c>
      <c r="C3952">
        <v>0</v>
      </c>
      <c r="D3952">
        <v>0</v>
      </c>
      <c r="E3952">
        <v>0</v>
      </c>
      <c r="F3952">
        <v>4400</v>
      </c>
    </row>
    <row r="3953" spans="1:6" x14ac:dyDescent="0.25">
      <c r="A3953">
        <v>3952</v>
      </c>
      <c r="B3953">
        <v>46</v>
      </c>
      <c r="C3953">
        <v>0</v>
      </c>
      <c r="D3953">
        <v>0</v>
      </c>
      <c r="E3953">
        <v>0</v>
      </c>
      <c r="F3953">
        <v>0</v>
      </c>
    </row>
    <row r="3954" spans="1:6" x14ac:dyDescent="0.25">
      <c r="A3954">
        <v>3953</v>
      </c>
      <c r="B3954">
        <v>2</v>
      </c>
      <c r="C3954">
        <v>0</v>
      </c>
      <c r="D3954">
        <v>0</v>
      </c>
      <c r="E3954">
        <v>0</v>
      </c>
      <c r="F3954">
        <v>34.405900000000003</v>
      </c>
    </row>
    <row r="3955" spans="1:6" x14ac:dyDescent="0.25">
      <c r="A3955">
        <v>3954</v>
      </c>
      <c r="B3955">
        <v>10</v>
      </c>
      <c r="C3955">
        <v>1</v>
      </c>
      <c r="D3955">
        <v>0</v>
      </c>
      <c r="E3955">
        <v>0</v>
      </c>
      <c r="F3955">
        <v>34716</v>
      </c>
    </row>
    <row r="3956" spans="1:6" x14ac:dyDescent="0.25">
      <c r="A3956">
        <v>3955</v>
      </c>
      <c r="B3956">
        <v>13</v>
      </c>
      <c r="C3956">
        <v>0</v>
      </c>
      <c r="D3956">
        <v>0</v>
      </c>
      <c r="E3956">
        <v>0</v>
      </c>
      <c r="F3956">
        <v>1602</v>
      </c>
    </row>
    <row r="3957" spans="1:6" x14ac:dyDescent="0.25">
      <c r="A3957">
        <v>3956</v>
      </c>
      <c r="B3957">
        <v>41</v>
      </c>
      <c r="C3957">
        <v>0</v>
      </c>
      <c r="D3957">
        <v>0</v>
      </c>
      <c r="E3957">
        <v>0</v>
      </c>
      <c r="F3957">
        <v>1</v>
      </c>
    </row>
    <row r="3958" spans="1:6" x14ac:dyDescent="0.25">
      <c r="A3958">
        <v>3957</v>
      </c>
      <c r="B3958">
        <v>42</v>
      </c>
      <c r="C3958">
        <v>0</v>
      </c>
      <c r="D3958">
        <v>0</v>
      </c>
      <c r="E3958">
        <v>0</v>
      </c>
      <c r="F3958">
        <v>0.2</v>
      </c>
    </row>
    <row r="3959" spans="1:6" x14ac:dyDescent="0.25">
      <c r="A3959">
        <v>3958</v>
      </c>
      <c r="B3959">
        <v>43</v>
      </c>
      <c r="C3959">
        <v>0</v>
      </c>
      <c r="D3959">
        <v>0</v>
      </c>
      <c r="E3959">
        <v>0</v>
      </c>
      <c r="F3959">
        <v>0</v>
      </c>
    </row>
    <row r="3960" spans="1:6" x14ac:dyDescent="0.25">
      <c r="A3960">
        <v>3959</v>
      </c>
      <c r="B3960">
        <v>44</v>
      </c>
      <c r="C3960">
        <v>0</v>
      </c>
      <c r="D3960">
        <v>0</v>
      </c>
      <c r="E3960">
        <v>0</v>
      </c>
      <c r="F3960">
        <v>32.702300000000001</v>
      </c>
    </row>
    <row r="3961" spans="1:6" x14ac:dyDescent="0.25">
      <c r="A3961">
        <v>3960</v>
      </c>
      <c r="B3961">
        <v>45</v>
      </c>
      <c r="C3961">
        <v>0</v>
      </c>
      <c r="D3961">
        <v>0</v>
      </c>
      <c r="E3961">
        <v>0</v>
      </c>
      <c r="F3961">
        <v>4400</v>
      </c>
    </row>
    <row r="3962" spans="1:6" x14ac:dyDescent="0.25">
      <c r="A3962">
        <v>3961</v>
      </c>
      <c r="B3962">
        <v>46</v>
      </c>
      <c r="C3962">
        <v>0</v>
      </c>
      <c r="D3962">
        <v>0</v>
      </c>
      <c r="E3962">
        <v>0</v>
      </c>
      <c r="F3962">
        <v>0</v>
      </c>
    </row>
    <row r="3963" spans="1:6" x14ac:dyDescent="0.25">
      <c r="A3963">
        <v>3962</v>
      </c>
      <c r="B3963">
        <v>2</v>
      </c>
      <c r="C3963">
        <v>0</v>
      </c>
      <c r="D3963">
        <v>0</v>
      </c>
      <c r="E3963">
        <v>0</v>
      </c>
      <c r="F3963">
        <v>34.405900000000003</v>
      </c>
    </row>
    <row r="3964" spans="1:6" x14ac:dyDescent="0.25">
      <c r="A3964">
        <v>3963</v>
      </c>
      <c r="B3964">
        <v>10</v>
      </c>
      <c r="C3964">
        <v>1</v>
      </c>
      <c r="D3964">
        <v>0</v>
      </c>
      <c r="E3964">
        <v>0</v>
      </c>
      <c r="F3964">
        <v>34716</v>
      </c>
    </row>
    <row r="3965" spans="1:6" x14ac:dyDescent="0.25">
      <c r="A3965">
        <v>3964</v>
      </c>
      <c r="B3965">
        <v>13</v>
      </c>
      <c r="C3965">
        <v>0</v>
      </c>
      <c r="D3965">
        <v>0</v>
      </c>
      <c r="E3965">
        <v>0</v>
      </c>
      <c r="F3965">
        <v>1602</v>
      </c>
    </row>
    <row r="3966" spans="1:6" x14ac:dyDescent="0.25">
      <c r="A3966">
        <v>3965</v>
      </c>
      <c r="B3966">
        <v>41</v>
      </c>
      <c r="C3966">
        <v>0</v>
      </c>
      <c r="D3966">
        <v>0</v>
      </c>
      <c r="E3966">
        <v>0</v>
      </c>
      <c r="F3966">
        <v>1</v>
      </c>
    </row>
    <row r="3967" spans="1:6" x14ac:dyDescent="0.25">
      <c r="A3967">
        <v>3966</v>
      </c>
      <c r="B3967" t="s">
        <v>0</v>
      </c>
      <c r="C3967">
        <v>62</v>
      </c>
      <c r="D3967">
        <v>3483</v>
      </c>
      <c r="E3967">
        <v>79987279</v>
      </c>
    </row>
    <row r="3968" spans="1:6" x14ac:dyDescent="0.25">
      <c r="A3968">
        <v>3967</v>
      </c>
      <c r="B3968">
        <v>43</v>
      </c>
      <c r="C3968">
        <v>0</v>
      </c>
      <c r="D3968">
        <v>0</v>
      </c>
      <c r="E3968">
        <v>0</v>
      </c>
      <c r="F3968">
        <v>0</v>
      </c>
    </row>
    <row r="3969" spans="1:6" x14ac:dyDescent="0.25">
      <c r="A3969">
        <v>3968</v>
      </c>
      <c r="B3969">
        <v>44</v>
      </c>
      <c r="C3969">
        <v>0</v>
      </c>
      <c r="D3969">
        <v>0</v>
      </c>
      <c r="E3969">
        <v>0</v>
      </c>
      <c r="F3969">
        <v>32.927199999999999</v>
      </c>
    </row>
    <row r="3970" spans="1:6" x14ac:dyDescent="0.25">
      <c r="A3970">
        <v>3969</v>
      </c>
      <c r="B3970">
        <v>45</v>
      </c>
      <c r="C3970">
        <v>0</v>
      </c>
      <c r="D3970">
        <v>0</v>
      </c>
      <c r="E3970">
        <v>0</v>
      </c>
      <c r="F3970">
        <v>4400</v>
      </c>
    </row>
    <row r="3971" spans="1:6" x14ac:dyDescent="0.25">
      <c r="A3971">
        <v>3970</v>
      </c>
      <c r="B3971">
        <v>46</v>
      </c>
      <c r="C3971">
        <v>0</v>
      </c>
      <c r="D3971">
        <v>0</v>
      </c>
      <c r="E3971">
        <v>0</v>
      </c>
      <c r="F3971">
        <v>0</v>
      </c>
    </row>
    <row r="3972" spans="1:6" x14ac:dyDescent="0.25">
      <c r="A3972">
        <v>3971</v>
      </c>
      <c r="B3972">
        <v>2</v>
      </c>
      <c r="C3972">
        <v>0</v>
      </c>
      <c r="D3972">
        <v>0</v>
      </c>
      <c r="E3972">
        <v>0</v>
      </c>
      <c r="F3972">
        <v>34.405900000000003</v>
      </c>
    </row>
    <row r="3973" spans="1:6" x14ac:dyDescent="0.25">
      <c r="A3973">
        <v>3972</v>
      </c>
      <c r="B3973">
        <v>10</v>
      </c>
      <c r="C3973">
        <v>1</v>
      </c>
      <c r="D3973">
        <v>0</v>
      </c>
      <c r="E3973">
        <v>0</v>
      </c>
      <c r="F3973">
        <v>34716</v>
      </c>
    </row>
    <row r="3974" spans="1:6" x14ac:dyDescent="0.25">
      <c r="A3974">
        <v>3973</v>
      </c>
      <c r="B3974">
        <v>13</v>
      </c>
      <c r="C3974">
        <v>0</v>
      </c>
      <c r="D3974">
        <v>0</v>
      </c>
      <c r="E3974">
        <v>0</v>
      </c>
      <c r="F3974">
        <v>1602</v>
      </c>
    </row>
    <row r="3975" spans="1:6" x14ac:dyDescent="0.25">
      <c r="A3975">
        <v>3974</v>
      </c>
      <c r="B3975">
        <v>41</v>
      </c>
      <c r="C3975">
        <v>0</v>
      </c>
      <c r="D3975">
        <v>0</v>
      </c>
      <c r="E3975">
        <v>0</v>
      </c>
      <c r="F3975">
        <v>1</v>
      </c>
    </row>
    <row r="3976" spans="1:6" x14ac:dyDescent="0.25">
      <c r="A3976">
        <v>3975</v>
      </c>
      <c r="B3976">
        <v>42</v>
      </c>
      <c r="C3976">
        <v>0</v>
      </c>
      <c r="D3976">
        <v>0</v>
      </c>
      <c r="E3976">
        <v>0</v>
      </c>
      <c r="F3976">
        <v>0.2</v>
      </c>
    </row>
    <row r="3977" spans="1:6" x14ac:dyDescent="0.25">
      <c r="A3977">
        <v>3976</v>
      </c>
      <c r="B3977">
        <v>43</v>
      </c>
      <c r="C3977">
        <v>0</v>
      </c>
      <c r="D3977">
        <v>0</v>
      </c>
      <c r="E3977">
        <v>0</v>
      </c>
      <c r="F3977">
        <v>0</v>
      </c>
    </row>
    <row r="3978" spans="1:6" x14ac:dyDescent="0.25">
      <c r="A3978">
        <v>3977</v>
      </c>
      <c r="B3978">
        <v>44</v>
      </c>
      <c r="C3978">
        <v>0</v>
      </c>
      <c r="D3978">
        <v>0</v>
      </c>
      <c r="E3978">
        <v>0</v>
      </c>
      <c r="F3978">
        <v>32.927199999999999</v>
      </c>
    </row>
    <row r="3979" spans="1:6" x14ac:dyDescent="0.25">
      <c r="A3979">
        <v>3978</v>
      </c>
      <c r="B3979">
        <v>45</v>
      </c>
      <c r="C3979">
        <v>0</v>
      </c>
      <c r="D3979">
        <v>0</v>
      </c>
      <c r="E3979">
        <v>0</v>
      </c>
      <c r="F3979">
        <v>4400</v>
      </c>
    </row>
    <row r="3980" spans="1:6" x14ac:dyDescent="0.25">
      <c r="A3980">
        <v>3979</v>
      </c>
      <c r="B3980">
        <v>46</v>
      </c>
      <c r="C3980">
        <v>0</v>
      </c>
      <c r="D3980">
        <v>0</v>
      </c>
      <c r="E3980">
        <v>0</v>
      </c>
      <c r="F3980">
        <v>0</v>
      </c>
    </row>
    <row r="3981" spans="1:6" x14ac:dyDescent="0.25">
      <c r="A3981">
        <v>3980</v>
      </c>
      <c r="B3981">
        <v>2</v>
      </c>
      <c r="C3981">
        <v>0</v>
      </c>
      <c r="D3981">
        <v>0</v>
      </c>
      <c r="E3981">
        <v>0</v>
      </c>
      <c r="F3981">
        <v>34.405900000000003</v>
      </c>
    </row>
    <row r="3982" spans="1:6" x14ac:dyDescent="0.25">
      <c r="A3982">
        <v>3981</v>
      </c>
      <c r="B3982" t="s">
        <v>0</v>
      </c>
      <c r="C3982">
        <v>63</v>
      </c>
      <c r="D3982">
        <v>3483</v>
      </c>
      <c r="E3982">
        <v>79988247</v>
      </c>
    </row>
    <row r="3983" spans="1:6" x14ac:dyDescent="0.25">
      <c r="A3983">
        <v>3982</v>
      </c>
      <c r="B3983">
        <v>13</v>
      </c>
      <c r="C3983">
        <v>0</v>
      </c>
      <c r="D3983">
        <v>0</v>
      </c>
      <c r="E3983">
        <v>0</v>
      </c>
      <c r="F3983">
        <v>1602</v>
      </c>
    </row>
    <row r="3984" spans="1:6" x14ac:dyDescent="0.25">
      <c r="A3984">
        <v>3983</v>
      </c>
      <c r="B3984">
        <v>41</v>
      </c>
      <c r="C3984">
        <v>0</v>
      </c>
      <c r="D3984">
        <v>0</v>
      </c>
      <c r="E3984">
        <v>0</v>
      </c>
      <c r="F3984">
        <v>1</v>
      </c>
    </row>
    <row r="3985" spans="1:6" x14ac:dyDescent="0.25">
      <c r="A3985">
        <v>3984</v>
      </c>
      <c r="B3985">
        <v>42</v>
      </c>
      <c r="C3985">
        <v>0</v>
      </c>
      <c r="D3985">
        <v>0</v>
      </c>
      <c r="E3985">
        <v>0</v>
      </c>
      <c r="F3985">
        <v>0.2</v>
      </c>
    </row>
    <row r="3986" spans="1:6" x14ac:dyDescent="0.25">
      <c r="A3986">
        <v>3985</v>
      </c>
      <c r="B3986">
        <v>43</v>
      </c>
      <c r="C3986">
        <v>0</v>
      </c>
      <c r="D3986">
        <v>0</v>
      </c>
      <c r="E3986">
        <v>0</v>
      </c>
      <c r="F3986">
        <v>0</v>
      </c>
    </row>
    <row r="3987" spans="1:6" x14ac:dyDescent="0.25">
      <c r="A3987">
        <v>3986</v>
      </c>
      <c r="B3987">
        <v>44</v>
      </c>
      <c r="C3987">
        <v>0</v>
      </c>
      <c r="D3987">
        <v>0</v>
      </c>
      <c r="E3987">
        <v>0</v>
      </c>
      <c r="F3987">
        <v>33.177799999999998</v>
      </c>
    </row>
    <row r="3988" spans="1:6" x14ac:dyDescent="0.25">
      <c r="A3988">
        <v>3987</v>
      </c>
      <c r="B3988">
        <v>45</v>
      </c>
      <c r="C3988">
        <v>0</v>
      </c>
      <c r="D3988">
        <v>0</v>
      </c>
      <c r="E3988">
        <v>0</v>
      </c>
      <c r="F3988">
        <v>4400</v>
      </c>
    </row>
    <row r="3989" spans="1:6" x14ac:dyDescent="0.25">
      <c r="A3989">
        <v>3988</v>
      </c>
      <c r="B3989">
        <v>46</v>
      </c>
      <c r="C3989">
        <v>0</v>
      </c>
      <c r="D3989">
        <v>0</v>
      </c>
      <c r="E3989">
        <v>0</v>
      </c>
      <c r="F3989">
        <v>0</v>
      </c>
    </row>
    <row r="3990" spans="1:6" x14ac:dyDescent="0.25">
      <c r="A3990">
        <v>3989</v>
      </c>
      <c r="B3990">
        <v>2</v>
      </c>
      <c r="C3990">
        <v>0</v>
      </c>
      <c r="D3990">
        <v>0</v>
      </c>
      <c r="E3990">
        <v>0</v>
      </c>
      <c r="F3990">
        <v>34.4054</v>
      </c>
    </row>
    <row r="3991" spans="1:6" x14ac:dyDescent="0.25">
      <c r="A3991">
        <v>3990</v>
      </c>
      <c r="B3991">
        <v>10</v>
      </c>
      <c r="C3991">
        <v>1</v>
      </c>
      <c r="D3991">
        <v>0</v>
      </c>
      <c r="E3991">
        <v>0</v>
      </c>
      <c r="F3991">
        <v>34716</v>
      </c>
    </row>
    <row r="3992" spans="1:6" x14ac:dyDescent="0.25">
      <c r="A3992">
        <v>3991</v>
      </c>
      <c r="B3992">
        <v>13</v>
      </c>
      <c r="C3992">
        <v>0</v>
      </c>
      <c r="D3992">
        <v>0</v>
      </c>
      <c r="E3992">
        <v>0</v>
      </c>
      <c r="F3992">
        <v>1602</v>
      </c>
    </row>
    <row r="3993" spans="1:6" x14ac:dyDescent="0.25">
      <c r="A3993">
        <v>3992</v>
      </c>
      <c r="B3993">
        <v>41</v>
      </c>
      <c r="C3993">
        <v>0</v>
      </c>
      <c r="D3993">
        <v>0</v>
      </c>
      <c r="E3993">
        <v>0</v>
      </c>
      <c r="F3993">
        <v>1</v>
      </c>
    </row>
    <row r="3994" spans="1:6" x14ac:dyDescent="0.25">
      <c r="A3994">
        <v>3993</v>
      </c>
      <c r="B3994">
        <v>42</v>
      </c>
      <c r="C3994">
        <v>0</v>
      </c>
      <c r="D3994">
        <v>0</v>
      </c>
      <c r="E3994">
        <v>0</v>
      </c>
      <c r="F3994">
        <v>0.2</v>
      </c>
    </row>
    <row r="3995" spans="1:6" x14ac:dyDescent="0.25">
      <c r="A3995">
        <v>3994</v>
      </c>
      <c r="B3995">
        <v>43</v>
      </c>
      <c r="C3995">
        <v>0</v>
      </c>
      <c r="D3995">
        <v>0</v>
      </c>
      <c r="E3995">
        <v>0</v>
      </c>
      <c r="F3995">
        <v>0</v>
      </c>
    </row>
    <row r="3996" spans="1:6" x14ac:dyDescent="0.25">
      <c r="A3996">
        <v>3995</v>
      </c>
      <c r="B3996">
        <v>44</v>
      </c>
      <c r="C3996">
        <v>0</v>
      </c>
      <c r="D3996">
        <v>0</v>
      </c>
      <c r="E3996">
        <v>0</v>
      </c>
      <c r="F3996">
        <v>33.177799999999998</v>
      </c>
    </row>
    <row r="3997" spans="1:6" x14ac:dyDescent="0.25">
      <c r="A3997">
        <v>3996</v>
      </c>
      <c r="B3997" t="s">
        <v>0</v>
      </c>
      <c r="C3997">
        <v>64</v>
      </c>
      <c r="D3997">
        <v>3483</v>
      </c>
      <c r="E3997">
        <v>79989215</v>
      </c>
    </row>
    <row r="3998" spans="1:6" x14ac:dyDescent="0.25">
      <c r="A3998">
        <v>3997</v>
      </c>
      <c r="B3998">
        <v>45</v>
      </c>
      <c r="C3998">
        <v>0</v>
      </c>
      <c r="D3998">
        <v>0</v>
      </c>
      <c r="E3998">
        <v>0</v>
      </c>
      <c r="F3998">
        <v>4400</v>
      </c>
    </row>
    <row r="3999" spans="1:6" x14ac:dyDescent="0.25">
      <c r="A3999">
        <v>3998</v>
      </c>
      <c r="B3999">
        <v>46</v>
      </c>
      <c r="C3999">
        <v>0</v>
      </c>
      <c r="D3999">
        <v>0</v>
      </c>
      <c r="E3999">
        <v>0</v>
      </c>
      <c r="F3999">
        <v>0</v>
      </c>
    </row>
    <row r="4000" spans="1:6" x14ac:dyDescent="0.25">
      <c r="A4000">
        <v>3999</v>
      </c>
      <c r="B4000">
        <v>2</v>
      </c>
      <c r="C4000">
        <v>0</v>
      </c>
      <c r="D4000">
        <v>0</v>
      </c>
      <c r="E4000">
        <v>0</v>
      </c>
      <c r="F4000">
        <v>34.406199999999998</v>
      </c>
    </row>
    <row r="4001" spans="1:6" x14ac:dyDescent="0.25">
      <c r="A4001">
        <v>4000</v>
      </c>
      <c r="B4001">
        <v>10</v>
      </c>
      <c r="C4001">
        <v>1</v>
      </c>
      <c r="D4001">
        <v>0</v>
      </c>
      <c r="E4001">
        <v>0</v>
      </c>
      <c r="F4001">
        <v>34715</v>
      </c>
    </row>
    <row r="4002" spans="1:6" x14ac:dyDescent="0.25">
      <c r="A4002">
        <v>4001</v>
      </c>
      <c r="B4002">
        <v>13</v>
      </c>
      <c r="C4002">
        <v>0</v>
      </c>
      <c r="D4002">
        <v>0</v>
      </c>
      <c r="E4002">
        <v>0</v>
      </c>
      <c r="F4002">
        <v>1602</v>
      </c>
    </row>
    <row r="4003" spans="1:6" x14ac:dyDescent="0.25">
      <c r="A4003">
        <v>4002</v>
      </c>
      <c r="B4003">
        <v>41</v>
      </c>
      <c r="C4003">
        <v>0</v>
      </c>
      <c r="D4003">
        <v>0</v>
      </c>
      <c r="E4003">
        <v>0</v>
      </c>
      <c r="F4003">
        <v>1</v>
      </c>
    </row>
    <row r="4004" spans="1:6" x14ac:dyDescent="0.25">
      <c r="A4004">
        <v>4003</v>
      </c>
      <c r="B4004">
        <v>42</v>
      </c>
      <c r="C4004">
        <v>0</v>
      </c>
      <c r="D4004">
        <v>0</v>
      </c>
      <c r="E4004">
        <v>0</v>
      </c>
      <c r="F4004">
        <v>0.2</v>
      </c>
    </row>
    <row r="4005" spans="1:6" x14ac:dyDescent="0.25">
      <c r="A4005">
        <v>4004</v>
      </c>
      <c r="B4005">
        <v>43</v>
      </c>
      <c r="C4005">
        <v>0</v>
      </c>
      <c r="D4005">
        <v>0</v>
      </c>
      <c r="E4005">
        <v>0</v>
      </c>
      <c r="F4005">
        <v>0</v>
      </c>
    </row>
    <row r="4006" spans="1:6" x14ac:dyDescent="0.25">
      <c r="A4006">
        <v>4005</v>
      </c>
      <c r="B4006">
        <v>44</v>
      </c>
      <c r="C4006">
        <v>0</v>
      </c>
      <c r="D4006">
        <v>0</v>
      </c>
      <c r="E4006">
        <v>0</v>
      </c>
      <c r="F4006">
        <v>33.427</v>
      </c>
    </row>
    <row r="4007" spans="1:6" x14ac:dyDescent="0.25">
      <c r="A4007">
        <v>4006</v>
      </c>
      <c r="B4007">
        <v>45</v>
      </c>
      <c r="C4007">
        <v>0</v>
      </c>
      <c r="D4007">
        <v>0</v>
      </c>
      <c r="E4007">
        <v>0</v>
      </c>
      <c r="F4007">
        <v>4400</v>
      </c>
    </row>
    <row r="4008" spans="1:6" x14ac:dyDescent="0.25">
      <c r="A4008">
        <v>4007</v>
      </c>
      <c r="B4008">
        <v>46</v>
      </c>
      <c r="C4008">
        <v>0</v>
      </c>
      <c r="D4008">
        <v>0</v>
      </c>
      <c r="E4008">
        <v>0</v>
      </c>
      <c r="F4008">
        <v>0</v>
      </c>
    </row>
    <row r="4009" spans="1:6" x14ac:dyDescent="0.25">
      <c r="A4009">
        <v>4008</v>
      </c>
      <c r="B4009">
        <v>2</v>
      </c>
      <c r="C4009">
        <v>0</v>
      </c>
      <c r="D4009">
        <v>0</v>
      </c>
      <c r="E4009">
        <v>0</v>
      </c>
      <c r="F4009">
        <v>34.406199999999998</v>
      </c>
    </row>
    <row r="4010" spans="1:6" x14ac:dyDescent="0.25">
      <c r="A4010">
        <v>4009</v>
      </c>
      <c r="B4010">
        <v>10</v>
      </c>
      <c r="C4010">
        <v>1</v>
      </c>
      <c r="D4010">
        <v>0</v>
      </c>
      <c r="E4010">
        <v>0</v>
      </c>
      <c r="F4010">
        <v>34715</v>
      </c>
    </row>
    <row r="4011" spans="1:6" x14ac:dyDescent="0.25">
      <c r="A4011">
        <v>4010</v>
      </c>
      <c r="B4011">
        <v>13</v>
      </c>
      <c r="C4011">
        <v>0</v>
      </c>
      <c r="D4011">
        <v>0</v>
      </c>
      <c r="E4011">
        <v>0</v>
      </c>
      <c r="F4011">
        <v>1602</v>
      </c>
    </row>
    <row r="4012" spans="1:6" x14ac:dyDescent="0.25">
      <c r="A4012">
        <v>4011</v>
      </c>
      <c r="B4012">
        <v>41</v>
      </c>
      <c r="C4012">
        <v>0</v>
      </c>
      <c r="D4012">
        <v>0</v>
      </c>
      <c r="E4012">
        <v>0</v>
      </c>
      <c r="F4012">
        <v>1</v>
      </c>
    </row>
    <row r="4013" spans="1:6" x14ac:dyDescent="0.25">
      <c r="A4013">
        <v>4012</v>
      </c>
      <c r="B4013">
        <v>42</v>
      </c>
      <c r="C4013">
        <v>0</v>
      </c>
      <c r="D4013">
        <v>0</v>
      </c>
      <c r="E4013">
        <v>0</v>
      </c>
      <c r="F4013">
        <v>0.2</v>
      </c>
    </row>
    <row r="4014" spans="1:6" x14ac:dyDescent="0.25">
      <c r="A4014">
        <v>4013</v>
      </c>
      <c r="B4014">
        <v>43</v>
      </c>
      <c r="C4014">
        <v>0</v>
      </c>
      <c r="D4014">
        <v>0</v>
      </c>
      <c r="E4014">
        <v>0</v>
      </c>
      <c r="F4014">
        <v>0</v>
      </c>
    </row>
    <row r="4015" spans="1:6" x14ac:dyDescent="0.25">
      <c r="A4015">
        <v>4014</v>
      </c>
      <c r="B4015">
        <v>44</v>
      </c>
      <c r="C4015">
        <v>0</v>
      </c>
      <c r="D4015">
        <v>0</v>
      </c>
      <c r="E4015">
        <v>0</v>
      </c>
      <c r="F4015">
        <v>33.651699999999998</v>
      </c>
    </row>
    <row r="4016" spans="1:6" x14ac:dyDescent="0.25">
      <c r="A4016">
        <v>4015</v>
      </c>
      <c r="B4016">
        <v>45</v>
      </c>
      <c r="C4016">
        <v>0</v>
      </c>
      <c r="D4016">
        <v>0</v>
      </c>
      <c r="E4016">
        <v>0</v>
      </c>
      <c r="F4016">
        <v>4400</v>
      </c>
    </row>
    <row r="4017" spans="1:6" x14ac:dyDescent="0.25">
      <c r="A4017">
        <v>4016</v>
      </c>
      <c r="B4017">
        <v>46</v>
      </c>
      <c r="C4017">
        <v>0</v>
      </c>
      <c r="D4017">
        <v>0</v>
      </c>
      <c r="E4017">
        <v>0</v>
      </c>
      <c r="F4017">
        <v>0</v>
      </c>
    </row>
    <row r="4018" spans="1:6" x14ac:dyDescent="0.25">
      <c r="A4018">
        <v>4017</v>
      </c>
      <c r="B4018">
        <v>2</v>
      </c>
      <c r="C4018">
        <v>0</v>
      </c>
      <c r="D4018">
        <v>0</v>
      </c>
      <c r="E4018">
        <v>0</v>
      </c>
      <c r="F4018">
        <v>34.406500000000001</v>
      </c>
    </row>
    <row r="4019" spans="1:6" x14ac:dyDescent="0.25">
      <c r="A4019">
        <v>4018</v>
      </c>
      <c r="B4019">
        <v>10</v>
      </c>
      <c r="C4019">
        <v>1</v>
      </c>
      <c r="D4019">
        <v>0</v>
      </c>
      <c r="E4019">
        <v>0</v>
      </c>
      <c r="F4019">
        <v>34715</v>
      </c>
    </row>
    <row r="4020" spans="1:6" x14ac:dyDescent="0.25">
      <c r="A4020">
        <v>4019</v>
      </c>
      <c r="B4020">
        <v>13</v>
      </c>
      <c r="C4020">
        <v>0</v>
      </c>
      <c r="D4020">
        <v>0</v>
      </c>
      <c r="E4020">
        <v>0</v>
      </c>
      <c r="F4020">
        <v>1602</v>
      </c>
    </row>
    <row r="4021" spans="1:6" x14ac:dyDescent="0.25">
      <c r="A4021">
        <v>4020</v>
      </c>
      <c r="B4021">
        <v>41</v>
      </c>
      <c r="C4021">
        <v>0</v>
      </c>
      <c r="D4021">
        <v>0</v>
      </c>
      <c r="E4021">
        <v>0</v>
      </c>
      <c r="F4021">
        <v>1</v>
      </c>
    </row>
    <row r="4022" spans="1:6" x14ac:dyDescent="0.25">
      <c r="A4022">
        <v>4021</v>
      </c>
      <c r="B4022">
        <v>42</v>
      </c>
      <c r="C4022">
        <v>0</v>
      </c>
      <c r="D4022">
        <v>0</v>
      </c>
      <c r="E4022">
        <v>0</v>
      </c>
      <c r="F4022">
        <v>0.2</v>
      </c>
    </row>
    <row r="4023" spans="1:6" x14ac:dyDescent="0.25">
      <c r="A4023">
        <v>4022</v>
      </c>
      <c r="B4023">
        <v>43</v>
      </c>
      <c r="C4023">
        <v>0</v>
      </c>
      <c r="D4023">
        <v>0</v>
      </c>
      <c r="E4023">
        <v>0</v>
      </c>
      <c r="F4023">
        <v>0</v>
      </c>
    </row>
    <row r="4024" spans="1:6" x14ac:dyDescent="0.25">
      <c r="A4024">
        <v>4023</v>
      </c>
      <c r="B4024">
        <v>44</v>
      </c>
      <c r="C4024">
        <v>0</v>
      </c>
      <c r="D4024">
        <v>0</v>
      </c>
      <c r="E4024">
        <v>0</v>
      </c>
      <c r="F4024">
        <v>33.651699999999998</v>
      </c>
    </row>
    <row r="4025" spans="1:6" x14ac:dyDescent="0.25">
      <c r="A4025">
        <v>4024</v>
      </c>
      <c r="B4025">
        <v>45</v>
      </c>
      <c r="C4025">
        <v>0</v>
      </c>
      <c r="D4025">
        <v>0</v>
      </c>
      <c r="E4025">
        <v>0</v>
      </c>
      <c r="F4025">
        <v>4400</v>
      </c>
    </row>
    <row r="4026" spans="1:6" x14ac:dyDescent="0.25">
      <c r="A4026">
        <v>4025</v>
      </c>
      <c r="B4026">
        <v>46</v>
      </c>
      <c r="C4026">
        <v>0</v>
      </c>
      <c r="D4026">
        <v>0</v>
      </c>
      <c r="E4026">
        <v>0</v>
      </c>
      <c r="F4026">
        <v>0</v>
      </c>
    </row>
    <row r="4027" spans="1:6" x14ac:dyDescent="0.25">
      <c r="A4027">
        <v>4026</v>
      </c>
      <c r="B4027" t="s">
        <v>0</v>
      </c>
      <c r="C4027">
        <v>66</v>
      </c>
      <c r="D4027">
        <v>3483</v>
      </c>
      <c r="E4027">
        <v>79991150</v>
      </c>
    </row>
    <row r="4028" spans="1:6" x14ac:dyDescent="0.25">
      <c r="A4028">
        <v>4027</v>
      </c>
      <c r="B4028">
        <v>10</v>
      </c>
      <c r="C4028">
        <v>1</v>
      </c>
      <c r="D4028">
        <v>0</v>
      </c>
      <c r="E4028">
        <v>0</v>
      </c>
      <c r="F4028">
        <v>34715</v>
      </c>
    </row>
    <row r="4029" spans="1:6" x14ac:dyDescent="0.25">
      <c r="A4029">
        <v>4028</v>
      </c>
      <c r="B4029">
        <v>13</v>
      </c>
      <c r="C4029">
        <v>0</v>
      </c>
      <c r="D4029">
        <v>0</v>
      </c>
      <c r="E4029">
        <v>0</v>
      </c>
      <c r="F4029">
        <v>1602</v>
      </c>
    </row>
    <row r="4030" spans="1:6" x14ac:dyDescent="0.25">
      <c r="A4030">
        <v>4029</v>
      </c>
      <c r="B4030">
        <v>41</v>
      </c>
      <c r="C4030">
        <v>0</v>
      </c>
      <c r="D4030">
        <v>0</v>
      </c>
      <c r="E4030">
        <v>0</v>
      </c>
      <c r="F4030">
        <v>1</v>
      </c>
    </row>
    <row r="4031" spans="1:6" x14ac:dyDescent="0.25">
      <c r="A4031">
        <v>4030</v>
      </c>
      <c r="B4031">
        <v>42</v>
      </c>
      <c r="C4031">
        <v>0</v>
      </c>
      <c r="D4031">
        <v>0</v>
      </c>
      <c r="E4031">
        <v>0</v>
      </c>
      <c r="F4031">
        <v>0.2</v>
      </c>
    </row>
    <row r="4032" spans="1:6" x14ac:dyDescent="0.25">
      <c r="A4032">
        <v>4031</v>
      </c>
      <c r="B4032">
        <v>43</v>
      </c>
      <c r="C4032">
        <v>0</v>
      </c>
      <c r="D4032">
        <v>0</v>
      </c>
      <c r="E4032">
        <v>0</v>
      </c>
      <c r="F4032">
        <v>0</v>
      </c>
    </row>
    <row r="4033" spans="1:6" x14ac:dyDescent="0.25">
      <c r="A4033">
        <v>4032</v>
      </c>
      <c r="B4033">
        <v>44</v>
      </c>
      <c r="C4033">
        <v>0</v>
      </c>
      <c r="D4033">
        <v>0</v>
      </c>
      <c r="E4033">
        <v>0</v>
      </c>
      <c r="F4033">
        <v>33.902000000000001</v>
      </c>
    </row>
    <row r="4034" spans="1:6" x14ac:dyDescent="0.25">
      <c r="A4034">
        <v>4033</v>
      </c>
      <c r="B4034">
        <v>45</v>
      </c>
      <c r="C4034">
        <v>0</v>
      </c>
      <c r="D4034">
        <v>0</v>
      </c>
      <c r="E4034">
        <v>0</v>
      </c>
      <c r="F4034">
        <v>4400</v>
      </c>
    </row>
    <row r="4035" spans="1:6" x14ac:dyDescent="0.25">
      <c r="A4035">
        <v>4034</v>
      </c>
      <c r="B4035">
        <v>46</v>
      </c>
      <c r="C4035">
        <v>0</v>
      </c>
      <c r="D4035">
        <v>0</v>
      </c>
      <c r="E4035">
        <v>0</v>
      </c>
      <c r="F4035">
        <v>0</v>
      </c>
    </row>
    <row r="4036" spans="1:6" x14ac:dyDescent="0.25">
      <c r="A4036">
        <v>4035</v>
      </c>
      <c r="B4036">
        <v>2</v>
      </c>
      <c r="C4036">
        <v>0</v>
      </c>
      <c r="D4036">
        <v>0</v>
      </c>
      <c r="E4036">
        <v>0</v>
      </c>
      <c r="F4036">
        <v>34.406199999999998</v>
      </c>
    </row>
    <row r="4037" spans="1:6" x14ac:dyDescent="0.25">
      <c r="A4037">
        <v>4036</v>
      </c>
      <c r="B4037">
        <v>10</v>
      </c>
      <c r="C4037">
        <v>1</v>
      </c>
      <c r="D4037">
        <v>0</v>
      </c>
      <c r="E4037">
        <v>0</v>
      </c>
      <c r="F4037">
        <v>34715</v>
      </c>
    </row>
    <row r="4038" spans="1:6" x14ac:dyDescent="0.25">
      <c r="A4038">
        <v>4037</v>
      </c>
      <c r="B4038">
        <v>13</v>
      </c>
      <c r="C4038">
        <v>0</v>
      </c>
      <c r="D4038">
        <v>0</v>
      </c>
      <c r="E4038">
        <v>0</v>
      </c>
      <c r="F4038">
        <v>1602</v>
      </c>
    </row>
    <row r="4039" spans="1:6" x14ac:dyDescent="0.25">
      <c r="A4039">
        <v>4038</v>
      </c>
      <c r="B4039">
        <v>41</v>
      </c>
      <c r="C4039">
        <v>0</v>
      </c>
      <c r="D4039">
        <v>0</v>
      </c>
      <c r="E4039">
        <v>0</v>
      </c>
      <c r="F4039">
        <v>1</v>
      </c>
    </row>
    <row r="4040" spans="1:6" x14ac:dyDescent="0.25">
      <c r="A4040">
        <v>4039</v>
      </c>
      <c r="B4040">
        <v>42</v>
      </c>
      <c r="C4040">
        <v>0</v>
      </c>
      <c r="D4040">
        <v>0</v>
      </c>
      <c r="E4040">
        <v>0</v>
      </c>
      <c r="F4040">
        <v>0.2</v>
      </c>
    </row>
    <row r="4041" spans="1:6" x14ac:dyDescent="0.25">
      <c r="A4041">
        <v>4040</v>
      </c>
      <c r="B4041">
        <v>43</v>
      </c>
      <c r="C4041">
        <v>0</v>
      </c>
      <c r="D4041">
        <v>0</v>
      </c>
      <c r="E4041">
        <v>0</v>
      </c>
      <c r="F4041">
        <v>0</v>
      </c>
    </row>
    <row r="4042" spans="1:6" x14ac:dyDescent="0.25">
      <c r="A4042">
        <v>4041</v>
      </c>
      <c r="B4042" t="s">
        <v>0</v>
      </c>
      <c r="C4042">
        <v>67</v>
      </c>
      <c r="D4042">
        <v>3483</v>
      </c>
      <c r="E4042">
        <v>79992119</v>
      </c>
    </row>
    <row r="4043" spans="1:6" x14ac:dyDescent="0.25">
      <c r="A4043">
        <v>4042</v>
      </c>
      <c r="B4043">
        <v>44</v>
      </c>
      <c r="C4043">
        <v>0</v>
      </c>
      <c r="D4043">
        <v>0</v>
      </c>
      <c r="E4043">
        <v>0</v>
      </c>
      <c r="F4043">
        <v>34.152700000000003</v>
      </c>
    </row>
    <row r="4044" spans="1:6" x14ac:dyDescent="0.25">
      <c r="A4044">
        <v>4043</v>
      </c>
      <c r="B4044">
        <v>45</v>
      </c>
      <c r="C4044">
        <v>0</v>
      </c>
      <c r="D4044">
        <v>0</v>
      </c>
      <c r="E4044">
        <v>0</v>
      </c>
      <c r="F4044">
        <v>4400</v>
      </c>
    </row>
    <row r="4045" spans="1:6" x14ac:dyDescent="0.25">
      <c r="A4045">
        <v>4044</v>
      </c>
      <c r="B4045">
        <v>46</v>
      </c>
      <c r="C4045">
        <v>0</v>
      </c>
      <c r="D4045">
        <v>0</v>
      </c>
      <c r="E4045">
        <v>0</v>
      </c>
      <c r="F4045">
        <v>0</v>
      </c>
    </row>
    <row r="4046" spans="1:6" x14ac:dyDescent="0.25">
      <c r="A4046">
        <v>4045</v>
      </c>
      <c r="B4046">
        <v>2</v>
      </c>
      <c r="C4046">
        <v>0</v>
      </c>
      <c r="D4046">
        <v>0</v>
      </c>
      <c r="E4046">
        <v>0</v>
      </c>
      <c r="F4046">
        <v>34.4056</v>
      </c>
    </row>
    <row r="4047" spans="1:6" x14ac:dyDescent="0.25">
      <c r="A4047">
        <v>4046</v>
      </c>
      <c r="B4047">
        <v>10</v>
      </c>
      <c r="C4047">
        <v>1</v>
      </c>
      <c r="D4047">
        <v>0</v>
      </c>
      <c r="E4047">
        <v>0</v>
      </c>
      <c r="F4047">
        <v>34716</v>
      </c>
    </row>
    <row r="4048" spans="1:6" x14ac:dyDescent="0.25">
      <c r="A4048">
        <v>4047</v>
      </c>
      <c r="B4048">
        <v>13</v>
      </c>
      <c r="C4048">
        <v>0</v>
      </c>
      <c r="D4048">
        <v>0</v>
      </c>
      <c r="E4048">
        <v>0</v>
      </c>
      <c r="F4048">
        <v>1602</v>
      </c>
    </row>
    <row r="4049" spans="1:6" x14ac:dyDescent="0.25">
      <c r="A4049">
        <v>4048</v>
      </c>
      <c r="B4049">
        <v>41</v>
      </c>
      <c r="C4049">
        <v>0</v>
      </c>
      <c r="D4049">
        <v>0</v>
      </c>
      <c r="E4049">
        <v>0</v>
      </c>
      <c r="F4049">
        <v>1</v>
      </c>
    </row>
    <row r="4050" spans="1:6" x14ac:dyDescent="0.25">
      <c r="A4050">
        <v>4049</v>
      </c>
      <c r="B4050">
        <v>42</v>
      </c>
      <c r="C4050">
        <v>0</v>
      </c>
      <c r="D4050">
        <v>0</v>
      </c>
      <c r="E4050">
        <v>0</v>
      </c>
      <c r="F4050">
        <v>0.2</v>
      </c>
    </row>
    <row r="4051" spans="1:6" x14ac:dyDescent="0.25">
      <c r="A4051">
        <v>4050</v>
      </c>
      <c r="B4051">
        <v>43</v>
      </c>
      <c r="C4051">
        <v>0</v>
      </c>
      <c r="D4051">
        <v>0</v>
      </c>
      <c r="E4051">
        <v>0</v>
      </c>
      <c r="F4051">
        <v>0</v>
      </c>
    </row>
    <row r="4052" spans="1:6" x14ac:dyDescent="0.25">
      <c r="A4052">
        <v>4051</v>
      </c>
      <c r="B4052">
        <v>44</v>
      </c>
      <c r="C4052">
        <v>0</v>
      </c>
      <c r="D4052">
        <v>0</v>
      </c>
      <c r="E4052">
        <v>0</v>
      </c>
      <c r="F4052">
        <v>34.152700000000003</v>
      </c>
    </row>
    <row r="4053" spans="1:6" x14ac:dyDescent="0.25">
      <c r="A4053">
        <v>4052</v>
      </c>
      <c r="B4053">
        <v>45</v>
      </c>
      <c r="C4053">
        <v>0</v>
      </c>
      <c r="D4053">
        <v>0</v>
      </c>
      <c r="E4053">
        <v>0</v>
      </c>
      <c r="F4053">
        <v>4400</v>
      </c>
    </row>
    <row r="4054" spans="1:6" x14ac:dyDescent="0.25">
      <c r="A4054">
        <v>4053</v>
      </c>
      <c r="B4054">
        <v>46</v>
      </c>
      <c r="C4054">
        <v>0</v>
      </c>
      <c r="D4054">
        <v>0</v>
      </c>
      <c r="E4054">
        <v>0</v>
      </c>
      <c r="F4054">
        <v>0</v>
      </c>
    </row>
    <row r="4055" spans="1:6" x14ac:dyDescent="0.25">
      <c r="A4055">
        <v>4054</v>
      </c>
      <c r="B4055">
        <v>2</v>
      </c>
      <c r="C4055">
        <v>0</v>
      </c>
      <c r="D4055">
        <v>0</v>
      </c>
      <c r="E4055">
        <v>0</v>
      </c>
      <c r="F4055">
        <v>34.4056</v>
      </c>
    </row>
    <row r="4056" spans="1:6" x14ac:dyDescent="0.25">
      <c r="A4056">
        <v>4055</v>
      </c>
      <c r="B4056">
        <v>10</v>
      </c>
      <c r="C4056">
        <v>1</v>
      </c>
      <c r="D4056">
        <v>0</v>
      </c>
      <c r="E4056">
        <v>0</v>
      </c>
      <c r="F4056">
        <v>34716</v>
      </c>
    </row>
    <row r="4057" spans="1:6" x14ac:dyDescent="0.25">
      <c r="A4057">
        <v>4056</v>
      </c>
      <c r="B4057">
        <v>13</v>
      </c>
      <c r="C4057">
        <v>0</v>
      </c>
      <c r="D4057">
        <v>0</v>
      </c>
      <c r="E4057">
        <v>0</v>
      </c>
      <c r="F4057">
        <v>1602</v>
      </c>
    </row>
    <row r="4058" spans="1:6" x14ac:dyDescent="0.25">
      <c r="A4058">
        <v>4057</v>
      </c>
      <c r="B4058">
        <v>41</v>
      </c>
      <c r="C4058">
        <v>0</v>
      </c>
      <c r="D4058">
        <v>0</v>
      </c>
      <c r="E4058">
        <v>0</v>
      </c>
      <c r="F4058">
        <v>1</v>
      </c>
    </row>
    <row r="4059" spans="1:6" x14ac:dyDescent="0.25">
      <c r="A4059">
        <v>4058</v>
      </c>
      <c r="B4059">
        <v>42</v>
      </c>
      <c r="C4059">
        <v>0</v>
      </c>
      <c r="D4059">
        <v>0</v>
      </c>
      <c r="E4059">
        <v>0</v>
      </c>
      <c r="F4059">
        <v>0.2</v>
      </c>
    </row>
    <row r="4060" spans="1:6" x14ac:dyDescent="0.25">
      <c r="A4060">
        <v>4059</v>
      </c>
      <c r="B4060">
        <v>43</v>
      </c>
      <c r="C4060">
        <v>0</v>
      </c>
      <c r="D4060">
        <v>0</v>
      </c>
      <c r="E4060">
        <v>0</v>
      </c>
      <c r="F4060">
        <v>0</v>
      </c>
    </row>
    <row r="4061" spans="1:6" x14ac:dyDescent="0.25">
      <c r="A4061">
        <v>4060</v>
      </c>
      <c r="B4061">
        <v>44</v>
      </c>
      <c r="C4061">
        <v>0</v>
      </c>
      <c r="D4061">
        <v>0</v>
      </c>
      <c r="E4061">
        <v>0</v>
      </c>
      <c r="F4061">
        <v>34.377499999999998</v>
      </c>
    </row>
    <row r="4062" spans="1:6" x14ac:dyDescent="0.25">
      <c r="A4062">
        <v>4061</v>
      </c>
      <c r="B4062">
        <v>45</v>
      </c>
      <c r="C4062">
        <v>0</v>
      </c>
      <c r="D4062">
        <v>0</v>
      </c>
      <c r="E4062">
        <v>0</v>
      </c>
      <c r="F4062">
        <v>4400</v>
      </c>
    </row>
    <row r="4063" spans="1:6" x14ac:dyDescent="0.25">
      <c r="A4063">
        <v>4062</v>
      </c>
      <c r="B4063">
        <v>46</v>
      </c>
      <c r="C4063">
        <v>0</v>
      </c>
      <c r="D4063">
        <v>0</v>
      </c>
      <c r="E4063">
        <v>0</v>
      </c>
      <c r="F4063">
        <v>0</v>
      </c>
    </row>
    <row r="4064" spans="1:6" x14ac:dyDescent="0.25">
      <c r="A4064">
        <v>4063</v>
      </c>
      <c r="B4064">
        <v>2</v>
      </c>
      <c r="C4064">
        <v>0</v>
      </c>
      <c r="D4064">
        <v>0</v>
      </c>
      <c r="E4064">
        <v>0</v>
      </c>
      <c r="F4064">
        <v>34.405700000000003</v>
      </c>
    </row>
    <row r="4065" spans="1:6" x14ac:dyDescent="0.25">
      <c r="A4065">
        <v>4064</v>
      </c>
      <c r="B4065">
        <v>10</v>
      </c>
      <c r="C4065">
        <v>1</v>
      </c>
      <c r="D4065">
        <v>0</v>
      </c>
      <c r="E4065">
        <v>0</v>
      </c>
      <c r="F4065">
        <v>34716</v>
      </c>
    </row>
    <row r="4066" spans="1:6" x14ac:dyDescent="0.25">
      <c r="A4066">
        <v>4065</v>
      </c>
      <c r="B4066">
        <v>13</v>
      </c>
      <c r="C4066">
        <v>0</v>
      </c>
      <c r="D4066">
        <v>0</v>
      </c>
      <c r="E4066">
        <v>0</v>
      </c>
      <c r="F4066">
        <v>1602</v>
      </c>
    </row>
    <row r="4067" spans="1:6" x14ac:dyDescent="0.25">
      <c r="A4067">
        <v>4066</v>
      </c>
      <c r="B4067">
        <v>41</v>
      </c>
      <c r="C4067">
        <v>0</v>
      </c>
      <c r="D4067">
        <v>0</v>
      </c>
      <c r="E4067">
        <v>0</v>
      </c>
      <c r="F4067">
        <v>1</v>
      </c>
    </row>
    <row r="4068" spans="1:6" x14ac:dyDescent="0.25">
      <c r="A4068">
        <v>4067</v>
      </c>
      <c r="B4068">
        <v>42</v>
      </c>
      <c r="C4068">
        <v>0</v>
      </c>
      <c r="D4068">
        <v>0</v>
      </c>
      <c r="E4068">
        <v>0</v>
      </c>
      <c r="F4068">
        <v>0.2</v>
      </c>
    </row>
    <row r="4069" spans="1:6" x14ac:dyDescent="0.25">
      <c r="A4069">
        <v>4068</v>
      </c>
      <c r="B4069">
        <v>43</v>
      </c>
      <c r="C4069">
        <v>0</v>
      </c>
      <c r="D4069">
        <v>0</v>
      </c>
      <c r="E4069">
        <v>0</v>
      </c>
      <c r="F4069">
        <v>0</v>
      </c>
    </row>
    <row r="4070" spans="1:6" x14ac:dyDescent="0.25">
      <c r="A4070">
        <v>4069</v>
      </c>
      <c r="B4070">
        <v>44</v>
      </c>
      <c r="C4070">
        <v>0</v>
      </c>
      <c r="D4070">
        <v>0</v>
      </c>
      <c r="E4070">
        <v>0</v>
      </c>
      <c r="F4070">
        <v>34.377499999999998</v>
      </c>
    </row>
    <row r="4071" spans="1:6" x14ac:dyDescent="0.25">
      <c r="A4071">
        <v>4070</v>
      </c>
      <c r="B4071">
        <v>45</v>
      </c>
      <c r="C4071">
        <v>0</v>
      </c>
      <c r="D4071">
        <v>0</v>
      </c>
      <c r="E4071">
        <v>0</v>
      </c>
      <c r="F4071">
        <v>4400</v>
      </c>
    </row>
    <row r="4072" spans="1:6" x14ac:dyDescent="0.25">
      <c r="A4072">
        <v>4071</v>
      </c>
      <c r="B4072">
        <v>46</v>
      </c>
      <c r="C4072">
        <v>0</v>
      </c>
      <c r="D4072">
        <v>0</v>
      </c>
      <c r="E4072">
        <v>0</v>
      </c>
      <c r="F4072">
        <v>0</v>
      </c>
    </row>
    <row r="4073" spans="1:6" x14ac:dyDescent="0.25">
      <c r="A4073">
        <v>4072</v>
      </c>
      <c r="B4073">
        <v>2</v>
      </c>
      <c r="C4073">
        <v>0</v>
      </c>
      <c r="D4073">
        <v>0</v>
      </c>
      <c r="E4073">
        <v>0</v>
      </c>
      <c r="F4073">
        <v>34.406199999999998</v>
      </c>
    </row>
    <row r="4074" spans="1:6" x14ac:dyDescent="0.25">
      <c r="A4074">
        <v>4073</v>
      </c>
      <c r="B4074">
        <v>10</v>
      </c>
      <c r="C4074">
        <v>1</v>
      </c>
      <c r="D4074">
        <v>0</v>
      </c>
      <c r="E4074">
        <v>0</v>
      </c>
      <c r="F4074">
        <v>34716</v>
      </c>
    </row>
    <row r="4075" spans="1:6" x14ac:dyDescent="0.25">
      <c r="A4075">
        <v>4074</v>
      </c>
      <c r="B4075">
        <v>13</v>
      </c>
      <c r="C4075">
        <v>0</v>
      </c>
      <c r="D4075">
        <v>0</v>
      </c>
      <c r="E4075">
        <v>0</v>
      </c>
      <c r="F4075">
        <v>1602</v>
      </c>
    </row>
    <row r="4076" spans="1:6" x14ac:dyDescent="0.25">
      <c r="A4076">
        <v>4075</v>
      </c>
      <c r="B4076">
        <v>41</v>
      </c>
      <c r="C4076">
        <v>0</v>
      </c>
      <c r="D4076">
        <v>0</v>
      </c>
      <c r="E4076">
        <v>0</v>
      </c>
      <c r="F4076">
        <v>1</v>
      </c>
    </row>
    <row r="4077" spans="1:6" x14ac:dyDescent="0.25">
      <c r="A4077">
        <v>4076</v>
      </c>
      <c r="B4077">
        <v>42</v>
      </c>
      <c r="C4077">
        <v>0</v>
      </c>
      <c r="D4077">
        <v>0</v>
      </c>
      <c r="E4077">
        <v>0</v>
      </c>
      <c r="F4077">
        <v>0.2</v>
      </c>
    </row>
    <row r="4078" spans="1:6" x14ac:dyDescent="0.25">
      <c r="A4078">
        <v>4077</v>
      </c>
      <c r="B4078">
        <v>43</v>
      </c>
      <c r="C4078">
        <v>0</v>
      </c>
      <c r="D4078">
        <v>0</v>
      </c>
      <c r="E4078">
        <v>0</v>
      </c>
      <c r="F4078">
        <v>0</v>
      </c>
    </row>
    <row r="4079" spans="1:6" x14ac:dyDescent="0.25">
      <c r="A4079">
        <v>4078</v>
      </c>
      <c r="B4079">
        <v>44</v>
      </c>
      <c r="C4079">
        <v>0</v>
      </c>
      <c r="D4079">
        <v>0</v>
      </c>
      <c r="E4079">
        <v>0</v>
      </c>
      <c r="F4079">
        <v>34.627099999999999</v>
      </c>
    </row>
    <row r="4080" spans="1:6" x14ac:dyDescent="0.25">
      <c r="A4080">
        <v>4079</v>
      </c>
      <c r="B4080">
        <v>45</v>
      </c>
      <c r="C4080">
        <v>0</v>
      </c>
      <c r="D4080">
        <v>0</v>
      </c>
      <c r="E4080">
        <v>0</v>
      </c>
      <c r="F4080">
        <v>4400</v>
      </c>
    </row>
    <row r="4081" spans="1:6" x14ac:dyDescent="0.25">
      <c r="A4081">
        <v>4080</v>
      </c>
      <c r="B4081">
        <v>46</v>
      </c>
      <c r="C4081">
        <v>0</v>
      </c>
      <c r="D4081">
        <v>0</v>
      </c>
      <c r="E4081">
        <v>0</v>
      </c>
      <c r="F4081">
        <v>0</v>
      </c>
    </row>
    <row r="4082" spans="1:6" x14ac:dyDescent="0.25">
      <c r="A4082">
        <v>4081</v>
      </c>
      <c r="B4082">
        <v>2</v>
      </c>
      <c r="C4082">
        <v>0</v>
      </c>
      <c r="D4082">
        <v>0</v>
      </c>
      <c r="E4082">
        <v>0</v>
      </c>
      <c r="F4082">
        <v>34.406199999999998</v>
      </c>
    </row>
    <row r="4083" spans="1:6" x14ac:dyDescent="0.25">
      <c r="A4083">
        <v>4082</v>
      </c>
      <c r="B4083">
        <v>10</v>
      </c>
      <c r="C4083">
        <v>1</v>
      </c>
      <c r="D4083">
        <v>0</v>
      </c>
      <c r="E4083">
        <v>0</v>
      </c>
      <c r="F4083">
        <v>34716</v>
      </c>
    </row>
    <row r="4084" spans="1:6" x14ac:dyDescent="0.25">
      <c r="A4084">
        <v>4083</v>
      </c>
      <c r="B4084">
        <v>13</v>
      </c>
      <c r="C4084">
        <v>0</v>
      </c>
      <c r="D4084">
        <v>0</v>
      </c>
      <c r="E4084">
        <v>0</v>
      </c>
      <c r="F4084">
        <v>1602</v>
      </c>
    </row>
    <row r="4085" spans="1:6" x14ac:dyDescent="0.25">
      <c r="A4085">
        <v>4084</v>
      </c>
      <c r="B4085">
        <v>41</v>
      </c>
      <c r="C4085">
        <v>0</v>
      </c>
      <c r="D4085">
        <v>0</v>
      </c>
      <c r="E4085">
        <v>0</v>
      </c>
      <c r="F4085">
        <v>1</v>
      </c>
    </row>
    <row r="4086" spans="1:6" x14ac:dyDescent="0.25">
      <c r="A4086">
        <v>4085</v>
      </c>
      <c r="B4086">
        <v>42</v>
      </c>
      <c r="C4086">
        <v>0</v>
      </c>
      <c r="D4086">
        <v>0</v>
      </c>
      <c r="E4086">
        <v>0</v>
      </c>
      <c r="F4086">
        <v>0.2</v>
      </c>
    </row>
    <row r="4087" spans="1:6" x14ac:dyDescent="0.25">
      <c r="A4087">
        <v>4086</v>
      </c>
      <c r="B4087" t="s">
        <v>0</v>
      </c>
      <c r="C4087">
        <v>70</v>
      </c>
      <c r="D4087">
        <v>3483</v>
      </c>
      <c r="E4087">
        <v>79995023</v>
      </c>
    </row>
    <row r="4088" spans="1:6" x14ac:dyDescent="0.25">
      <c r="A4088">
        <v>4087</v>
      </c>
      <c r="B4088">
        <v>44</v>
      </c>
      <c r="C4088">
        <v>0</v>
      </c>
      <c r="D4088">
        <v>0</v>
      </c>
      <c r="E4088">
        <v>0</v>
      </c>
      <c r="F4088">
        <v>34.876800000000003</v>
      </c>
    </row>
    <row r="4089" spans="1:6" x14ac:dyDescent="0.25">
      <c r="A4089">
        <v>4088</v>
      </c>
      <c r="B4089">
        <v>45</v>
      </c>
      <c r="C4089">
        <v>0</v>
      </c>
      <c r="D4089">
        <v>0</v>
      </c>
      <c r="E4089">
        <v>0</v>
      </c>
      <c r="F4089">
        <v>4400</v>
      </c>
    </row>
    <row r="4090" spans="1:6" x14ac:dyDescent="0.25">
      <c r="A4090">
        <v>4089</v>
      </c>
      <c r="B4090">
        <v>46</v>
      </c>
      <c r="C4090">
        <v>0</v>
      </c>
      <c r="D4090">
        <v>0</v>
      </c>
      <c r="E4090">
        <v>0</v>
      </c>
      <c r="F4090">
        <v>0</v>
      </c>
    </row>
    <row r="4091" spans="1:6" x14ac:dyDescent="0.25">
      <c r="A4091">
        <v>4090</v>
      </c>
      <c r="B4091">
        <v>2</v>
      </c>
      <c r="C4091">
        <v>0</v>
      </c>
      <c r="D4091">
        <v>0</v>
      </c>
      <c r="E4091">
        <v>0</v>
      </c>
      <c r="F4091">
        <v>34.406399999999998</v>
      </c>
    </row>
    <row r="4092" spans="1:6" x14ac:dyDescent="0.25">
      <c r="A4092">
        <v>4091</v>
      </c>
      <c r="B4092">
        <v>10</v>
      </c>
      <c r="C4092">
        <v>1</v>
      </c>
      <c r="D4092">
        <v>0</v>
      </c>
      <c r="E4092">
        <v>0</v>
      </c>
      <c r="F4092">
        <v>34715</v>
      </c>
    </row>
    <row r="4093" spans="1:6" x14ac:dyDescent="0.25">
      <c r="A4093">
        <v>4092</v>
      </c>
      <c r="B4093">
        <v>13</v>
      </c>
      <c r="C4093">
        <v>0</v>
      </c>
      <c r="D4093">
        <v>0</v>
      </c>
      <c r="E4093">
        <v>0</v>
      </c>
      <c r="F4093">
        <v>1602</v>
      </c>
    </row>
    <row r="4094" spans="1:6" x14ac:dyDescent="0.25">
      <c r="A4094">
        <v>4093</v>
      </c>
      <c r="B4094">
        <v>41</v>
      </c>
      <c r="C4094">
        <v>0</v>
      </c>
      <c r="D4094">
        <v>0</v>
      </c>
      <c r="E4094">
        <v>0</v>
      </c>
      <c r="F4094">
        <v>1</v>
      </c>
    </row>
    <row r="4095" spans="1:6" x14ac:dyDescent="0.25">
      <c r="A4095">
        <v>4094</v>
      </c>
      <c r="B4095">
        <v>42</v>
      </c>
      <c r="C4095">
        <v>0</v>
      </c>
      <c r="D4095">
        <v>0</v>
      </c>
      <c r="E4095">
        <v>0</v>
      </c>
      <c r="F4095">
        <v>0.2</v>
      </c>
    </row>
    <row r="4096" spans="1:6" x14ac:dyDescent="0.25">
      <c r="A4096">
        <v>4095</v>
      </c>
      <c r="B4096">
        <v>43</v>
      </c>
      <c r="C4096">
        <v>0</v>
      </c>
      <c r="D4096">
        <v>0</v>
      </c>
      <c r="E4096">
        <v>0</v>
      </c>
      <c r="F4096">
        <v>0</v>
      </c>
    </row>
    <row r="4097" spans="1:6" x14ac:dyDescent="0.25">
      <c r="A4097">
        <v>4096</v>
      </c>
      <c r="B4097">
        <v>44</v>
      </c>
      <c r="C4097">
        <v>0</v>
      </c>
      <c r="D4097">
        <v>0</v>
      </c>
      <c r="E4097">
        <v>0</v>
      </c>
      <c r="F4097">
        <v>34.876800000000003</v>
      </c>
    </row>
    <row r="4098" spans="1:6" x14ac:dyDescent="0.25">
      <c r="A4098">
        <v>4097</v>
      </c>
      <c r="B4098">
        <v>45</v>
      </c>
      <c r="C4098">
        <v>0</v>
      </c>
      <c r="D4098">
        <v>0</v>
      </c>
      <c r="E4098">
        <v>0</v>
      </c>
      <c r="F4098">
        <v>4400</v>
      </c>
    </row>
    <row r="4099" spans="1:6" x14ac:dyDescent="0.25">
      <c r="A4099">
        <v>4098</v>
      </c>
      <c r="B4099">
        <v>46</v>
      </c>
      <c r="C4099">
        <v>0</v>
      </c>
      <c r="D4099">
        <v>0</v>
      </c>
      <c r="E4099">
        <v>0</v>
      </c>
      <c r="F4099">
        <v>0</v>
      </c>
    </row>
    <row r="4100" spans="1:6" x14ac:dyDescent="0.25">
      <c r="A4100">
        <v>4099</v>
      </c>
      <c r="B4100">
        <v>2</v>
      </c>
      <c r="C4100">
        <v>0</v>
      </c>
      <c r="D4100">
        <v>0</v>
      </c>
      <c r="E4100">
        <v>0</v>
      </c>
      <c r="F4100">
        <v>34.406399999999998</v>
      </c>
    </row>
    <row r="4101" spans="1:6" x14ac:dyDescent="0.25">
      <c r="A4101">
        <v>4100</v>
      </c>
      <c r="B4101">
        <v>10</v>
      </c>
      <c r="C4101">
        <v>1</v>
      </c>
      <c r="D4101">
        <v>0</v>
      </c>
      <c r="E4101">
        <v>0</v>
      </c>
      <c r="F4101">
        <v>34715</v>
      </c>
    </row>
    <row r="4102" spans="1:6" x14ac:dyDescent="0.25">
      <c r="A4102">
        <v>4101</v>
      </c>
      <c r="B4102" t="s">
        <v>0</v>
      </c>
      <c r="C4102">
        <v>71</v>
      </c>
      <c r="D4102">
        <v>3483</v>
      </c>
      <c r="E4102">
        <v>79995991</v>
      </c>
    </row>
    <row r="4103" spans="1:6" x14ac:dyDescent="0.25">
      <c r="A4103">
        <v>4102</v>
      </c>
      <c r="B4103">
        <v>13</v>
      </c>
      <c r="C4103">
        <v>0</v>
      </c>
      <c r="D4103">
        <v>0</v>
      </c>
      <c r="E4103">
        <v>0</v>
      </c>
      <c r="F4103">
        <v>1602</v>
      </c>
    </row>
    <row r="4104" spans="1:6" x14ac:dyDescent="0.25">
      <c r="A4104">
        <v>4103</v>
      </c>
      <c r="B4104">
        <v>41</v>
      </c>
      <c r="C4104">
        <v>0</v>
      </c>
      <c r="D4104">
        <v>0</v>
      </c>
      <c r="E4104">
        <v>0</v>
      </c>
      <c r="F4104">
        <v>1</v>
      </c>
    </row>
    <row r="4105" spans="1:6" x14ac:dyDescent="0.25">
      <c r="A4105">
        <v>4104</v>
      </c>
      <c r="B4105">
        <v>42</v>
      </c>
      <c r="C4105">
        <v>0</v>
      </c>
      <c r="D4105">
        <v>0</v>
      </c>
      <c r="E4105">
        <v>0</v>
      </c>
      <c r="F4105">
        <v>0.2</v>
      </c>
    </row>
    <row r="4106" spans="1:6" x14ac:dyDescent="0.25">
      <c r="A4106">
        <v>4105</v>
      </c>
      <c r="B4106">
        <v>43</v>
      </c>
      <c r="C4106">
        <v>0</v>
      </c>
      <c r="D4106">
        <v>0</v>
      </c>
      <c r="E4106">
        <v>0</v>
      </c>
      <c r="F4106">
        <v>0</v>
      </c>
    </row>
    <row r="4107" spans="1:6" x14ac:dyDescent="0.25">
      <c r="A4107">
        <v>4106</v>
      </c>
      <c r="B4107">
        <v>44</v>
      </c>
      <c r="C4107">
        <v>0</v>
      </c>
      <c r="D4107">
        <v>0</v>
      </c>
      <c r="E4107">
        <v>0</v>
      </c>
      <c r="F4107">
        <v>35.101999999999997</v>
      </c>
    </row>
    <row r="4108" spans="1:6" x14ac:dyDescent="0.25">
      <c r="A4108">
        <v>4107</v>
      </c>
      <c r="B4108">
        <v>45</v>
      </c>
      <c r="C4108">
        <v>0</v>
      </c>
      <c r="D4108">
        <v>0</v>
      </c>
      <c r="E4108">
        <v>0</v>
      </c>
      <c r="F4108">
        <v>4400</v>
      </c>
    </row>
    <row r="4109" spans="1:6" x14ac:dyDescent="0.25">
      <c r="A4109">
        <v>4108</v>
      </c>
      <c r="B4109">
        <v>46</v>
      </c>
      <c r="C4109">
        <v>0</v>
      </c>
      <c r="D4109">
        <v>0</v>
      </c>
      <c r="E4109">
        <v>0</v>
      </c>
      <c r="F4109">
        <v>0</v>
      </c>
    </row>
    <row r="4110" spans="1:6" x14ac:dyDescent="0.25">
      <c r="A4110">
        <v>4109</v>
      </c>
      <c r="B4110">
        <v>2</v>
      </c>
      <c r="C4110">
        <v>0</v>
      </c>
      <c r="D4110">
        <v>0</v>
      </c>
      <c r="E4110">
        <v>0</v>
      </c>
      <c r="F4110">
        <v>34.406300000000002</v>
      </c>
    </row>
    <row r="4111" spans="1:6" x14ac:dyDescent="0.25">
      <c r="A4111">
        <v>4110</v>
      </c>
      <c r="B4111">
        <v>10</v>
      </c>
      <c r="C4111">
        <v>1</v>
      </c>
      <c r="D4111">
        <v>0</v>
      </c>
      <c r="E4111">
        <v>0</v>
      </c>
      <c r="F4111">
        <v>34715</v>
      </c>
    </row>
    <row r="4112" spans="1:6" x14ac:dyDescent="0.25">
      <c r="A4112">
        <v>4111</v>
      </c>
      <c r="B4112">
        <v>13</v>
      </c>
      <c r="C4112">
        <v>0</v>
      </c>
      <c r="D4112">
        <v>0</v>
      </c>
      <c r="E4112">
        <v>0</v>
      </c>
      <c r="F4112">
        <v>1602</v>
      </c>
    </row>
    <row r="4113" spans="1:6" x14ac:dyDescent="0.25">
      <c r="A4113">
        <v>4112</v>
      </c>
      <c r="B4113">
        <v>41</v>
      </c>
      <c r="C4113">
        <v>0</v>
      </c>
      <c r="D4113">
        <v>0</v>
      </c>
      <c r="E4113">
        <v>0</v>
      </c>
      <c r="F4113">
        <v>1</v>
      </c>
    </row>
    <row r="4114" spans="1:6" x14ac:dyDescent="0.25">
      <c r="A4114">
        <v>4113</v>
      </c>
      <c r="B4114">
        <v>42</v>
      </c>
      <c r="C4114">
        <v>0</v>
      </c>
      <c r="D4114">
        <v>0</v>
      </c>
      <c r="E4114">
        <v>0</v>
      </c>
      <c r="F4114">
        <v>0.2</v>
      </c>
    </row>
    <row r="4115" spans="1:6" x14ac:dyDescent="0.25">
      <c r="A4115">
        <v>4114</v>
      </c>
      <c r="B4115">
        <v>43</v>
      </c>
      <c r="C4115">
        <v>0</v>
      </c>
      <c r="D4115">
        <v>0</v>
      </c>
      <c r="E4115">
        <v>0</v>
      </c>
      <c r="F4115">
        <v>0</v>
      </c>
    </row>
    <row r="4116" spans="1:6" x14ac:dyDescent="0.25">
      <c r="A4116">
        <v>4115</v>
      </c>
      <c r="B4116">
        <v>44</v>
      </c>
      <c r="C4116">
        <v>0</v>
      </c>
      <c r="D4116">
        <v>0</v>
      </c>
      <c r="E4116">
        <v>0</v>
      </c>
      <c r="F4116">
        <v>35.101999999999997</v>
      </c>
    </row>
    <row r="4117" spans="1:6" x14ac:dyDescent="0.25">
      <c r="A4117">
        <v>4116</v>
      </c>
      <c r="B4117">
        <v>45</v>
      </c>
      <c r="C4117">
        <v>0</v>
      </c>
      <c r="D4117">
        <v>0</v>
      </c>
      <c r="E4117">
        <v>0</v>
      </c>
      <c r="F4117">
        <v>4400</v>
      </c>
    </row>
    <row r="4118" spans="1:6" x14ac:dyDescent="0.25">
      <c r="A4118">
        <v>4117</v>
      </c>
      <c r="B4118">
        <v>46</v>
      </c>
      <c r="C4118">
        <v>0</v>
      </c>
      <c r="D4118">
        <v>0</v>
      </c>
      <c r="E4118">
        <v>0</v>
      </c>
      <c r="F4118">
        <v>0</v>
      </c>
    </row>
    <row r="4119" spans="1:6" x14ac:dyDescent="0.25">
      <c r="A4119">
        <v>4118</v>
      </c>
      <c r="B4119">
        <v>2</v>
      </c>
      <c r="C4119">
        <v>0</v>
      </c>
      <c r="D4119">
        <v>0</v>
      </c>
      <c r="E4119">
        <v>0</v>
      </c>
      <c r="F4119">
        <v>34.406399999999998</v>
      </c>
    </row>
    <row r="4120" spans="1:6" x14ac:dyDescent="0.25">
      <c r="A4120">
        <v>4119</v>
      </c>
      <c r="B4120">
        <v>10</v>
      </c>
      <c r="C4120">
        <v>1</v>
      </c>
      <c r="D4120">
        <v>0</v>
      </c>
      <c r="E4120">
        <v>0</v>
      </c>
      <c r="F4120">
        <v>34715</v>
      </c>
    </row>
    <row r="4121" spans="1:6" x14ac:dyDescent="0.25">
      <c r="A4121">
        <v>4120</v>
      </c>
      <c r="B4121">
        <v>13</v>
      </c>
      <c r="C4121">
        <v>0</v>
      </c>
      <c r="D4121">
        <v>0</v>
      </c>
      <c r="E4121">
        <v>0</v>
      </c>
      <c r="F4121">
        <v>1602</v>
      </c>
    </row>
    <row r="4122" spans="1:6" x14ac:dyDescent="0.25">
      <c r="A4122">
        <v>4121</v>
      </c>
      <c r="B4122">
        <v>41</v>
      </c>
      <c r="C4122">
        <v>0</v>
      </c>
      <c r="D4122">
        <v>0</v>
      </c>
      <c r="E4122">
        <v>0</v>
      </c>
      <c r="F4122">
        <v>1</v>
      </c>
    </row>
    <row r="4123" spans="1:6" x14ac:dyDescent="0.25">
      <c r="A4123">
        <v>4122</v>
      </c>
      <c r="B4123">
        <v>42</v>
      </c>
      <c r="C4123">
        <v>0</v>
      </c>
      <c r="D4123">
        <v>0</v>
      </c>
      <c r="E4123">
        <v>0</v>
      </c>
      <c r="F4123">
        <v>0.2</v>
      </c>
    </row>
    <row r="4124" spans="1:6" x14ac:dyDescent="0.25">
      <c r="A4124">
        <v>4123</v>
      </c>
      <c r="B4124">
        <v>43</v>
      </c>
      <c r="C4124">
        <v>0</v>
      </c>
      <c r="D4124">
        <v>0</v>
      </c>
      <c r="E4124">
        <v>0</v>
      </c>
      <c r="F4124">
        <v>0</v>
      </c>
    </row>
    <row r="4125" spans="1:6" x14ac:dyDescent="0.25">
      <c r="A4125">
        <v>4124</v>
      </c>
      <c r="B4125">
        <v>44</v>
      </c>
      <c r="C4125">
        <v>0</v>
      </c>
      <c r="D4125">
        <v>0</v>
      </c>
      <c r="E4125">
        <v>0</v>
      </c>
      <c r="F4125">
        <v>35.351900000000001</v>
      </c>
    </row>
    <row r="4126" spans="1:6" x14ac:dyDescent="0.25">
      <c r="A4126">
        <v>4125</v>
      </c>
      <c r="B4126">
        <v>45</v>
      </c>
      <c r="C4126">
        <v>0</v>
      </c>
      <c r="D4126">
        <v>0</v>
      </c>
      <c r="E4126">
        <v>0</v>
      </c>
      <c r="F4126">
        <v>4400</v>
      </c>
    </row>
    <row r="4127" spans="1:6" x14ac:dyDescent="0.25">
      <c r="A4127">
        <v>4126</v>
      </c>
      <c r="B4127">
        <v>46</v>
      </c>
      <c r="C4127">
        <v>0</v>
      </c>
      <c r="D4127">
        <v>0</v>
      </c>
      <c r="E4127">
        <v>0</v>
      </c>
      <c r="F4127">
        <v>0</v>
      </c>
    </row>
    <row r="4128" spans="1:6" x14ac:dyDescent="0.25">
      <c r="A4128">
        <v>4127</v>
      </c>
      <c r="B4128">
        <v>2</v>
      </c>
      <c r="C4128">
        <v>0</v>
      </c>
      <c r="D4128">
        <v>0</v>
      </c>
      <c r="E4128">
        <v>0</v>
      </c>
      <c r="F4128">
        <v>34.406399999999998</v>
      </c>
    </row>
    <row r="4129" spans="1:6" x14ac:dyDescent="0.25">
      <c r="A4129">
        <v>4128</v>
      </c>
      <c r="B4129">
        <v>10</v>
      </c>
      <c r="C4129">
        <v>1</v>
      </c>
      <c r="D4129">
        <v>0</v>
      </c>
      <c r="E4129">
        <v>0</v>
      </c>
      <c r="F4129">
        <v>34715</v>
      </c>
    </row>
    <row r="4130" spans="1:6" x14ac:dyDescent="0.25">
      <c r="A4130">
        <v>4129</v>
      </c>
      <c r="B4130">
        <v>13</v>
      </c>
      <c r="C4130">
        <v>0</v>
      </c>
      <c r="D4130">
        <v>0</v>
      </c>
      <c r="E4130">
        <v>0</v>
      </c>
      <c r="F4130">
        <v>1602</v>
      </c>
    </row>
    <row r="4131" spans="1:6" x14ac:dyDescent="0.25">
      <c r="A4131">
        <v>4130</v>
      </c>
      <c r="B4131">
        <v>41</v>
      </c>
      <c r="C4131">
        <v>0</v>
      </c>
      <c r="D4131">
        <v>0</v>
      </c>
      <c r="E4131">
        <v>0</v>
      </c>
      <c r="F4131">
        <v>1</v>
      </c>
    </row>
    <row r="4132" spans="1:6" x14ac:dyDescent="0.25">
      <c r="A4132">
        <v>4131</v>
      </c>
      <c r="B4132" t="s">
        <v>0</v>
      </c>
      <c r="C4132">
        <v>73</v>
      </c>
      <c r="D4132">
        <v>3483</v>
      </c>
      <c r="E4132">
        <v>79997926</v>
      </c>
    </row>
    <row r="4133" spans="1:6" x14ac:dyDescent="0.25">
      <c r="A4133">
        <v>4132</v>
      </c>
      <c r="B4133">
        <v>43</v>
      </c>
      <c r="C4133">
        <v>0</v>
      </c>
      <c r="D4133">
        <v>0</v>
      </c>
      <c r="E4133">
        <v>0</v>
      </c>
      <c r="F4133">
        <v>0</v>
      </c>
    </row>
    <row r="4134" spans="1:6" x14ac:dyDescent="0.25">
      <c r="A4134">
        <v>4133</v>
      </c>
      <c r="B4134">
        <v>44</v>
      </c>
      <c r="C4134">
        <v>0</v>
      </c>
      <c r="D4134">
        <v>0</v>
      </c>
      <c r="E4134">
        <v>0</v>
      </c>
      <c r="F4134">
        <v>35.602200000000003</v>
      </c>
    </row>
    <row r="4135" spans="1:6" x14ac:dyDescent="0.25">
      <c r="A4135">
        <v>4134</v>
      </c>
      <c r="B4135">
        <v>45</v>
      </c>
      <c r="C4135">
        <v>0</v>
      </c>
      <c r="D4135">
        <v>0</v>
      </c>
      <c r="E4135">
        <v>0</v>
      </c>
      <c r="F4135">
        <v>4400</v>
      </c>
    </row>
    <row r="4136" spans="1:6" x14ac:dyDescent="0.25">
      <c r="A4136">
        <v>4135</v>
      </c>
      <c r="B4136">
        <v>46</v>
      </c>
      <c r="C4136">
        <v>0</v>
      </c>
      <c r="D4136">
        <v>0</v>
      </c>
      <c r="E4136">
        <v>0</v>
      </c>
      <c r="F4136">
        <v>0</v>
      </c>
    </row>
    <row r="4137" spans="1:6" x14ac:dyDescent="0.25">
      <c r="A4137">
        <v>4136</v>
      </c>
      <c r="B4137">
        <v>2</v>
      </c>
      <c r="C4137">
        <v>0</v>
      </c>
      <c r="D4137">
        <v>0</v>
      </c>
      <c r="E4137">
        <v>0</v>
      </c>
      <c r="F4137">
        <v>34.406100000000002</v>
      </c>
    </row>
    <row r="4138" spans="1:6" x14ac:dyDescent="0.25">
      <c r="A4138">
        <v>4137</v>
      </c>
      <c r="B4138">
        <v>10</v>
      </c>
      <c r="C4138">
        <v>1</v>
      </c>
      <c r="D4138">
        <v>0</v>
      </c>
      <c r="E4138">
        <v>0</v>
      </c>
      <c r="F4138">
        <v>34716</v>
      </c>
    </row>
    <row r="4139" spans="1:6" x14ac:dyDescent="0.25">
      <c r="A4139">
        <v>4138</v>
      </c>
      <c r="B4139">
        <v>13</v>
      </c>
      <c r="C4139">
        <v>0</v>
      </c>
      <c r="D4139">
        <v>0</v>
      </c>
      <c r="E4139">
        <v>0</v>
      </c>
      <c r="F4139">
        <v>1602</v>
      </c>
    </row>
    <row r="4140" spans="1:6" x14ac:dyDescent="0.25">
      <c r="A4140">
        <v>4139</v>
      </c>
      <c r="B4140">
        <v>41</v>
      </c>
      <c r="C4140">
        <v>0</v>
      </c>
      <c r="D4140">
        <v>0</v>
      </c>
      <c r="E4140">
        <v>0</v>
      </c>
      <c r="F4140">
        <v>1</v>
      </c>
    </row>
    <row r="4141" spans="1:6" x14ac:dyDescent="0.25">
      <c r="A4141">
        <v>4140</v>
      </c>
      <c r="B4141">
        <v>42</v>
      </c>
      <c r="C4141">
        <v>0</v>
      </c>
      <c r="D4141">
        <v>0</v>
      </c>
      <c r="E4141">
        <v>0</v>
      </c>
      <c r="F4141">
        <v>0.2</v>
      </c>
    </row>
    <row r="4142" spans="1:6" x14ac:dyDescent="0.25">
      <c r="A4142">
        <v>4141</v>
      </c>
      <c r="B4142">
        <v>43</v>
      </c>
      <c r="C4142">
        <v>0</v>
      </c>
      <c r="D4142">
        <v>0</v>
      </c>
      <c r="E4142">
        <v>0</v>
      </c>
      <c r="F4142">
        <v>0</v>
      </c>
    </row>
    <row r="4143" spans="1:6" x14ac:dyDescent="0.25">
      <c r="A4143">
        <v>4142</v>
      </c>
      <c r="B4143">
        <v>44</v>
      </c>
      <c r="C4143">
        <v>0</v>
      </c>
      <c r="D4143">
        <v>0</v>
      </c>
      <c r="E4143">
        <v>0</v>
      </c>
      <c r="F4143">
        <v>35.602200000000003</v>
      </c>
    </row>
    <row r="4144" spans="1:6" x14ac:dyDescent="0.25">
      <c r="A4144">
        <v>4143</v>
      </c>
      <c r="B4144">
        <v>45</v>
      </c>
      <c r="C4144">
        <v>0</v>
      </c>
      <c r="D4144">
        <v>0</v>
      </c>
      <c r="E4144">
        <v>0</v>
      </c>
      <c r="F4144">
        <v>4400</v>
      </c>
    </row>
    <row r="4145" spans="1:6" x14ac:dyDescent="0.25">
      <c r="A4145">
        <v>4144</v>
      </c>
      <c r="B4145">
        <v>46</v>
      </c>
      <c r="C4145">
        <v>0</v>
      </c>
      <c r="D4145">
        <v>0</v>
      </c>
      <c r="E4145">
        <v>0</v>
      </c>
      <c r="F4145">
        <v>0</v>
      </c>
    </row>
    <row r="4146" spans="1:6" x14ac:dyDescent="0.25">
      <c r="A4146">
        <v>4145</v>
      </c>
      <c r="B4146">
        <v>2</v>
      </c>
      <c r="C4146">
        <v>0</v>
      </c>
      <c r="D4146">
        <v>0</v>
      </c>
      <c r="E4146">
        <v>0</v>
      </c>
      <c r="F4146">
        <v>34.406100000000002</v>
      </c>
    </row>
    <row r="4147" spans="1:6" x14ac:dyDescent="0.25">
      <c r="A4147">
        <v>4146</v>
      </c>
      <c r="B4147" t="s">
        <v>0</v>
      </c>
      <c r="C4147">
        <v>74</v>
      </c>
      <c r="D4147">
        <v>3483</v>
      </c>
      <c r="E4147">
        <v>79998893</v>
      </c>
    </row>
    <row r="4148" spans="1:6" x14ac:dyDescent="0.25">
      <c r="A4148">
        <v>4147</v>
      </c>
      <c r="B4148">
        <v>10</v>
      </c>
      <c r="C4148">
        <v>1</v>
      </c>
      <c r="D4148">
        <v>0</v>
      </c>
      <c r="E4148">
        <v>0</v>
      </c>
      <c r="F4148">
        <v>34716</v>
      </c>
    </row>
    <row r="4149" spans="1:6" x14ac:dyDescent="0.25">
      <c r="A4149">
        <v>4148</v>
      </c>
      <c r="B4149">
        <v>13</v>
      </c>
      <c r="C4149">
        <v>0</v>
      </c>
      <c r="D4149">
        <v>0</v>
      </c>
      <c r="E4149">
        <v>0</v>
      </c>
      <c r="F4149">
        <v>1602</v>
      </c>
    </row>
    <row r="4150" spans="1:6" x14ac:dyDescent="0.25">
      <c r="A4150">
        <v>4149</v>
      </c>
      <c r="B4150">
        <v>41</v>
      </c>
      <c r="C4150">
        <v>0</v>
      </c>
      <c r="D4150">
        <v>0</v>
      </c>
      <c r="E4150">
        <v>0</v>
      </c>
      <c r="F4150">
        <v>1</v>
      </c>
    </row>
    <row r="4151" spans="1:6" x14ac:dyDescent="0.25">
      <c r="A4151">
        <v>4150</v>
      </c>
      <c r="B4151">
        <v>42</v>
      </c>
      <c r="C4151">
        <v>0</v>
      </c>
      <c r="D4151">
        <v>0</v>
      </c>
      <c r="E4151">
        <v>0</v>
      </c>
      <c r="F4151">
        <v>0.2</v>
      </c>
    </row>
    <row r="4152" spans="1:6" x14ac:dyDescent="0.25">
      <c r="A4152">
        <v>4151</v>
      </c>
      <c r="B4152">
        <v>43</v>
      </c>
      <c r="C4152">
        <v>0</v>
      </c>
      <c r="D4152">
        <v>0</v>
      </c>
      <c r="E4152">
        <v>0</v>
      </c>
      <c r="F4152">
        <v>0</v>
      </c>
    </row>
    <row r="4153" spans="1:6" x14ac:dyDescent="0.25">
      <c r="A4153">
        <v>4152</v>
      </c>
      <c r="B4153">
        <v>44</v>
      </c>
      <c r="C4153">
        <v>0</v>
      </c>
      <c r="D4153">
        <v>0</v>
      </c>
      <c r="E4153">
        <v>0</v>
      </c>
      <c r="F4153">
        <v>35.827100000000002</v>
      </c>
    </row>
    <row r="4154" spans="1:6" x14ac:dyDescent="0.25">
      <c r="A4154">
        <v>4153</v>
      </c>
      <c r="B4154">
        <v>45</v>
      </c>
      <c r="C4154">
        <v>0</v>
      </c>
      <c r="D4154">
        <v>0</v>
      </c>
      <c r="E4154">
        <v>0</v>
      </c>
      <c r="F4154">
        <v>4400</v>
      </c>
    </row>
    <row r="4155" spans="1:6" x14ac:dyDescent="0.25">
      <c r="A4155">
        <v>4154</v>
      </c>
      <c r="B4155">
        <v>46</v>
      </c>
      <c r="C4155">
        <v>0</v>
      </c>
      <c r="D4155">
        <v>0</v>
      </c>
      <c r="E4155">
        <v>0</v>
      </c>
      <c r="F4155">
        <v>0</v>
      </c>
    </row>
    <row r="4156" spans="1:6" x14ac:dyDescent="0.25">
      <c r="A4156">
        <v>4155</v>
      </c>
      <c r="B4156">
        <v>2</v>
      </c>
      <c r="C4156">
        <v>0</v>
      </c>
      <c r="D4156">
        <v>0</v>
      </c>
      <c r="E4156">
        <v>0</v>
      </c>
      <c r="F4156">
        <v>34.406199999999998</v>
      </c>
    </row>
    <row r="4157" spans="1:6" x14ac:dyDescent="0.25">
      <c r="A4157">
        <v>4156</v>
      </c>
      <c r="B4157">
        <v>10</v>
      </c>
      <c r="C4157">
        <v>1</v>
      </c>
      <c r="D4157">
        <v>0</v>
      </c>
      <c r="E4157">
        <v>0</v>
      </c>
      <c r="F4157">
        <v>34715</v>
      </c>
    </row>
    <row r="4158" spans="1:6" x14ac:dyDescent="0.25">
      <c r="A4158">
        <v>4157</v>
      </c>
      <c r="B4158">
        <v>13</v>
      </c>
      <c r="C4158">
        <v>0</v>
      </c>
      <c r="D4158">
        <v>0</v>
      </c>
      <c r="E4158">
        <v>0</v>
      </c>
      <c r="F4158">
        <v>1602</v>
      </c>
    </row>
    <row r="4159" spans="1:6" x14ac:dyDescent="0.25">
      <c r="A4159">
        <v>4158</v>
      </c>
      <c r="B4159">
        <v>41</v>
      </c>
      <c r="C4159">
        <v>0</v>
      </c>
      <c r="D4159">
        <v>0</v>
      </c>
      <c r="E4159">
        <v>0</v>
      </c>
      <c r="F4159">
        <v>1</v>
      </c>
    </row>
    <row r="4160" spans="1:6" x14ac:dyDescent="0.25">
      <c r="A4160">
        <v>4159</v>
      </c>
      <c r="B4160">
        <v>42</v>
      </c>
      <c r="C4160">
        <v>0</v>
      </c>
      <c r="D4160">
        <v>0</v>
      </c>
      <c r="E4160">
        <v>0</v>
      </c>
      <c r="F4160">
        <v>0.2</v>
      </c>
    </row>
    <row r="4161" spans="1:6" x14ac:dyDescent="0.25">
      <c r="A4161">
        <v>4160</v>
      </c>
      <c r="B4161">
        <v>43</v>
      </c>
      <c r="C4161">
        <v>0</v>
      </c>
      <c r="D4161">
        <v>0</v>
      </c>
      <c r="E4161">
        <v>0</v>
      </c>
      <c r="F4161">
        <v>0</v>
      </c>
    </row>
    <row r="4162" spans="1:6" x14ac:dyDescent="0.25">
      <c r="A4162">
        <v>4161</v>
      </c>
      <c r="B4162">
        <v>44</v>
      </c>
      <c r="C4162">
        <v>0</v>
      </c>
      <c r="D4162">
        <v>0</v>
      </c>
      <c r="E4162">
        <v>0</v>
      </c>
      <c r="F4162">
        <v>35.827100000000002</v>
      </c>
    </row>
    <row r="4163" spans="1:6" x14ac:dyDescent="0.25">
      <c r="A4163">
        <v>4162</v>
      </c>
      <c r="B4163" t="s">
        <v>0</v>
      </c>
      <c r="C4163">
        <v>75</v>
      </c>
      <c r="D4163">
        <v>3483</v>
      </c>
      <c r="E4163">
        <v>79999860</v>
      </c>
    </row>
    <row r="4164" spans="1:6" x14ac:dyDescent="0.25">
      <c r="A4164">
        <v>4163</v>
      </c>
      <c r="B4164">
        <v>45</v>
      </c>
      <c r="C4164">
        <v>0</v>
      </c>
      <c r="D4164">
        <v>0</v>
      </c>
      <c r="E4164">
        <v>0</v>
      </c>
      <c r="F4164">
        <v>4400</v>
      </c>
    </row>
    <row r="4165" spans="1:6" x14ac:dyDescent="0.25">
      <c r="A4165">
        <v>4164</v>
      </c>
      <c r="B4165">
        <v>46</v>
      </c>
      <c r="C4165">
        <v>0</v>
      </c>
      <c r="D4165">
        <v>0</v>
      </c>
      <c r="E4165">
        <v>0</v>
      </c>
      <c r="F4165">
        <v>0</v>
      </c>
    </row>
    <row r="4166" spans="1:6" x14ac:dyDescent="0.25">
      <c r="A4166">
        <v>4165</v>
      </c>
      <c r="B4166">
        <v>2</v>
      </c>
      <c r="C4166">
        <v>0</v>
      </c>
      <c r="D4166">
        <v>0</v>
      </c>
      <c r="E4166">
        <v>0</v>
      </c>
      <c r="F4166">
        <v>34.406999999999996</v>
      </c>
    </row>
    <row r="4167" spans="1:6" x14ac:dyDescent="0.25">
      <c r="A4167">
        <v>4166</v>
      </c>
      <c r="B4167">
        <v>10</v>
      </c>
      <c r="C4167">
        <v>1</v>
      </c>
      <c r="D4167">
        <v>0</v>
      </c>
      <c r="E4167">
        <v>0</v>
      </c>
      <c r="F4167">
        <v>34715</v>
      </c>
    </row>
    <row r="4168" spans="1:6" x14ac:dyDescent="0.25">
      <c r="A4168">
        <v>4167</v>
      </c>
      <c r="B4168">
        <v>13</v>
      </c>
      <c r="C4168">
        <v>0</v>
      </c>
      <c r="D4168">
        <v>0</v>
      </c>
      <c r="E4168">
        <v>0</v>
      </c>
      <c r="F4168">
        <v>1602</v>
      </c>
    </row>
    <row r="4169" spans="1:6" x14ac:dyDescent="0.25">
      <c r="A4169">
        <v>4168</v>
      </c>
      <c r="B4169">
        <v>41</v>
      </c>
      <c r="C4169">
        <v>0</v>
      </c>
      <c r="D4169">
        <v>0</v>
      </c>
      <c r="E4169">
        <v>0</v>
      </c>
      <c r="F4169">
        <v>1</v>
      </c>
    </row>
    <row r="4170" spans="1:6" x14ac:dyDescent="0.25">
      <c r="A4170">
        <v>4169</v>
      </c>
      <c r="B4170">
        <v>42</v>
      </c>
      <c r="C4170">
        <v>0</v>
      </c>
      <c r="D4170">
        <v>0</v>
      </c>
      <c r="E4170">
        <v>0</v>
      </c>
      <c r="F4170">
        <v>0.2</v>
      </c>
    </row>
    <row r="4171" spans="1:6" x14ac:dyDescent="0.25">
      <c r="A4171">
        <v>4170</v>
      </c>
      <c r="B4171">
        <v>43</v>
      </c>
      <c r="C4171">
        <v>0</v>
      </c>
      <c r="D4171">
        <v>0</v>
      </c>
      <c r="E4171">
        <v>0</v>
      </c>
      <c r="F4171">
        <v>0</v>
      </c>
    </row>
    <row r="4172" spans="1:6" x14ac:dyDescent="0.25">
      <c r="A4172">
        <v>4171</v>
      </c>
      <c r="B4172">
        <v>44</v>
      </c>
      <c r="C4172">
        <v>0</v>
      </c>
      <c r="D4172">
        <v>0</v>
      </c>
      <c r="E4172">
        <v>0</v>
      </c>
      <c r="F4172">
        <v>36.076300000000003</v>
      </c>
    </row>
    <row r="4173" spans="1:6" x14ac:dyDescent="0.25">
      <c r="A4173">
        <v>4172</v>
      </c>
      <c r="B4173">
        <v>45</v>
      </c>
      <c r="C4173">
        <v>0</v>
      </c>
      <c r="D4173">
        <v>0</v>
      </c>
      <c r="E4173">
        <v>0</v>
      </c>
      <c r="F4173">
        <v>4400</v>
      </c>
    </row>
    <row r="4174" spans="1:6" x14ac:dyDescent="0.25">
      <c r="A4174">
        <v>4173</v>
      </c>
      <c r="B4174">
        <v>46</v>
      </c>
      <c r="C4174">
        <v>0</v>
      </c>
      <c r="D4174">
        <v>0</v>
      </c>
      <c r="E4174">
        <v>0</v>
      </c>
      <c r="F4174">
        <v>0</v>
      </c>
    </row>
    <row r="4175" spans="1:6" x14ac:dyDescent="0.25">
      <c r="A4175">
        <v>4174</v>
      </c>
      <c r="B4175">
        <v>2</v>
      </c>
      <c r="C4175">
        <v>0</v>
      </c>
      <c r="D4175">
        <v>0</v>
      </c>
      <c r="E4175">
        <v>0</v>
      </c>
      <c r="F4175">
        <v>34.406999999999996</v>
      </c>
    </row>
    <row r="4176" spans="1:6" x14ac:dyDescent="0.25">
      <c r="A4176">
        <v>4175</v>
      </c>
      <c r="B4176">
        <v>10</v>
      </c>
      <c r="C4176">
        <v>1</v>
      </c>
      <c r="D4176">
        <v>0</v>
      </c>
      <c r="E4176">
        <v>0</v>
      </c>
      <c r="F4176">
        <v>34715</v>
      </c>
    </row>
    <row r="4177" spans="1:6" x14ac:dyDescent="0.25">
      <c r="A4177">
        <v>4176</v>
      </c>
      <c r="B4177">
        <v>13</v>
      </c>
      <c r="C4177">
        <v>0</v>
      </c>
      <c r="D4177">
        <v>0</v>
      </c>
      <c r="E4177">
        <v>0</v>
      </c>
      <c r="F4177">
        <v>1602</v>
      </c>
    </row>
    <row r="4178" spans="1:6" x14ac:dyDescent="0.25">
      <c r="A4178">
        <v>4177</v>
      </c>
      <c r="B4178">
        <v>41</v>
      </c>
      <c r="C4178">
        <v>0</v>
      </c>
      <c r="D4178">
        <v>0</v>
      </c>
      <c r="E4178">
        <v>0</v>
      </c>
      <c r="F4178">
        <v>1</v>
      </c>
    </row>
    <row r="4179" spans="1:6" x14ac:dyDescent="0.25">
      <c r="A4179">
        <v>4178</v>
      </c>
      <c r="B4179">
        <v>42</v>
      </c>
      <c r="C4179">
        <v>0</v>
      </c>
      <c r="D4179">
        <v>0</v>
      </c>
      <c r="E4179">
        <v>0</v>
      </c>
      <c r="F4179">
        <v>0.2</v>
      </c>
    </row>
    <row r="4180" spans="1:6" x14ac:dyDescent="0.25">
      <c r="A4180">
        <v>4179</v>
      </c>
      <c r="B4180">
        <v>43</v>
      </c>
      <c r="C4180">
        <v>0</v>
      </c>
      <c r="D4180">
        <v>0</v>
      </c>
      <c r="E4180">
        <v>0</v>
      </c>
      <c r="F4180">
        <v>0</v>
      </c>
    </row>
    <row r="4181" spans="1:6" x14ac:dyDescent="0.25">
      <c r="A4181">
        <v>4180</v>
      </c>
      <c r="B4181">
        <v>44</v>
      </c>
      <c r="C4181">
        <v>0</v>
      </c>
      <c r="D4181">
        <v>0</v>
      </c>
      <c r="E4181">
        <v>0</v>
      </c>
      <c r="F4181">
        <v>36.326999999999998</v>
      </c>
    </row>
    <row r="4182" spans="1:6" x14ac:dyDescent="0.25">
      <c r="A4182">
        <v>4181</v>
      </c>
      <c r="B4182">
        <v>45</v>
      </c>
      <c r="C4182">
        <v>0</v>
      </c>
      <c r="D4182">
        <v>0</v>
      </c>
      <c r="E4182">
        <v>0</v>
      </c>
      <c r="F4182">
        <v>4400</v>
      </c>
    </row>
    <row r="4183" spans="1:6" x14ac:dyDescent="0.25">
      <c r="A4183">
        <v>4182</v>
      </c>
      <c r="B4183">
        <v>46</v>
      </c>
      <c r="C4183">
        <v>0</v>
      </c>
      <c r="D4183">
        <v>0</v>
      </c>
      <c r="E4183">
        <v>0</v>
      </c>
      <c r="F4183">
        <v>0</v>
      </c>
    </row>
    <row r="4184" spans="1:6" x14ac:dyDescent="0.25">
      <c r="A4184">
        <v>4183</v>
      </c>
      <c r="B4184">
        <v>2</v>
      </c>
      <c r="C4184">
        <v>0</v>
      </c>
      <c r="D4184">
        <v>0</v>
      </c>
      <c r="E4184">
        <v>0</v>
      </c>
      <c r="F4184">
        <v>34.406399999999998</v>
      </c>
    </row>
    <row r="4185" spans="1:6" x14ac:dyDescent="0.25">
      <c r="A4185">
        <v>4184</v>
      </c>
      <c r="B4185">
        <v>10</v>
      </c>
      <c r="C4185">
        <v>1</v>
      </c>
      <c r="D4185">
        <v>0</v>
      </c>
      <c r="E4185">
        <v>0</v>
      </c>
      <c r="F4185">
        <v>34715</v>
      </c>
    </row>
    <row r="4186" spans="1:6" x14ac:dyDescent="0.25">
      <c r="A4186">
        <v>4185</v>
      </c>
      <c r="B4186">
        <v>13</v>
      </c>
      <c r="C4186">
        <v>0</v>
      </c>
      <c r="D4186">
        <v>0</v>
      </c>
      <c r="E4186">
        <v>0</v>
      </c>
      <c r="F4186">
        <v>1602</v>
      </c>
    </row>
    <row r="4187" spans="1:6" x14ac:dyDescent="0.25">
      <c r="A4187">
        <v>4186</v>
      </c>
      <c r="B4187">
        <v>41</v>
      </c>
      <c r="C4187">
        <v>0</v>
      </c>
      <c r="D4187">
        <v>0</v>
      </c>
      <c r="E4187">
        <v>0</v>
      </c>
      <c r="F4187">
        <v>1</v>
      </c>
    </row>
    <row r="4188" spans="1:6" x14ac:dyDescent="0.25">
      <c r="A4188">
        <v>4187</v>
      </c>
      <c r="B4188">
        <v>42</v>
      </c>
      <c r="C4188">
        <v>0</v>
      </c>
      <c r="D4188">
        <v>0</v>
      </c>
      <c r="E4188">
        <v>0</v>
      </c>
      <c r="F4188">
        <v>0.2</v>
      </c>
    </row>
    <row r="4189" spans="1:6" x14ac:dyDescent="0.25">
      <c r="A4189">
        <v>4188</v>
      </c>
      <c r="B4189">
        <v>43</v>
      </c>
      <c r="C4189">
        <v>0</v>
      </c>
      <c r="D4189">
        <v>0</v>
      </c>
      <c r="E4189">
        <v>0</v>
      </c>
      <c r="F4189">
        <v>0</v>
      </c>
    </row>
    <row r="4190" spans="1:6" x14ac:dyDescent="0.25">
      <c r="A4190">
        <v>4189</v>
      </c>
      <c r="B4190">
        <v>44</v>
      </c>
      <c r="C4190">
        <v>0</v>
      </c>
      <c r="D4190">
        <v>0</v>
      </c>
      <c r="E4190">
        <v>0</v>
      </c>
      <c r="F4190">
        <v>36.326999999999998</v>
      </c>
    </row>
    <row r="4191" spans="1:6" x14ac:dyDescent="0.25">
      <c r="A4191">
        <v>4190</v>
      </c>
      <c r="B4191">
        <v>45</v>
      </c>
      <c r="C4191">
        <v>0</v>
      </c>
      <c r="D4191">
        <v>0</v>
      </c>
      <c r="E4191">
        <v>0</v>
      </c>
      <c r="F4191">
        <v>4400</v>
      </c>
    </row>
    <row r="4192" spans="1:6" x14ac:dyDescent="0.25">
      <c r="A4192">
        <v>4191</v>
      </c>
      <c r="B4192">
        <v>46</v>
      </c>
      <c r="C4192">
        <v>0</v>
      </c>
      <c r="D4192">
        <v>0</v>
      </c>
      <c r="E4192">
        <v>0</v>
      </c>
      <c r="F4192">
        <v>0</v>
      </c>
    </row>
    <row r="4193" spans="1:6" x14ac:dyDescent="0.25">
      <c r="A4193">
        <v>4192</v>
      </c>
      <c r="B4193" t="s">
        <v>0</v>
      </c>
      <c r="C4193">
        <v>77</v>
      </c>
      <c r="D4193">
        <v>3483</v>
      </c>
      <c r="E4193">
        <v>80001796</v>
      </c>
    </row>
    <row r="4194" spans="1:6" x14ac:dyDescent="0.25">
      <c r="A4194">
        <v>4193</v>
      </c>
      <c r="B4194">
        <v>10</v>
      </c>
      <c r="C4194">
        <v>1</v>
      </c>
      <c r="D4194">
        <v>0</v>
      </c>
      <c r="E4194">
        <v>0</v>
      </c>
      <c r="F4194">
        <v>34716</v>
      </c>
    </row>
    <row r="4195" spans="1:6" x14ac:dyDescent="0.25">
      <c r="A4195">
        <v>4194</v>
      </c>
      <c r="B4195">
        <v>13</v>
      </c>
      <c r="C4195">
        <v>0</v>
      </c>
      <c r="D4195">
        <v>0</v>
      </c>
      <c r="E4195">
        <v>0</v>
      </c>
      <c r="F4195">
        <v>1602</v>
      </c>
    </row>
    <row r="4196" spans="1:6" x14ac:dyDescent="0.25">
      <c r="A4196">
        <v>4195</v>
      </c>
      <c r="B4196">
        <v>41</v>
      </c>
      <c r="C4196">
        <v>0</v>
      </c>
      <c r="D4196">
        <v>0</v>
      </c>
      <c r="E4196">
        <v>0</v>
      </c>
      <c r="F4196">
        <v>1</v>
      </c>
    </row>
    <row r="4197" spans="1:6" x14ac:dyDescent="0.25">
      <c r="A4197">
        <v>4196</v>
      </c>
      <c r="B4197">
        <v>42</v>
      </c>
      <c r="C4197">
        <v>0</v>
      </c>
      <c r="D4197">
        <v>0</v>
      </c>
      <c r="E4197">
        <v>0</v>
      </c>
      <c r="F4197">
        <v>0.2</v>
      </c>
    </row>
    <row r="4198" spans="1:6" x14ac:dyDescent="0.25">
      <c r="A4198">
        <v>4197</v>
      </c>
      <c r="B4198">
        <v>43</v>
      </c>
      <c r="C4198">
        <v>0</v>
      </c>
      <c r="D4198">
        <v>0</v>
      </c>
      <c r="E4198">
        <v>0</v>
      </c>
      <c r="F4198">
        <v>0</v>
      </c>
    </row>
    <row r="4199" spans="1:6" x14ac:dyDescent="0.25">
      <c r="A4199">
        <v>4198</v>
      </c>
      <c r="B4199">
        <v>44</v>
      </c>
      <c r="C4199">
        <v>0</v>
      </c>
      <c r="D4199">
        <v>0</v>
      </c>
      <c r="E4199">
        <v>0</v>
      </c>
      <c r="F4199">
        <v>36.552599999999998</v>
      </c>
    </row>
    <row r="4200" spans="1:6" x14ac:dyDescent="0.25">
      <c r="A4200">
        <v>4199</v>
      </c>
      <c r="B4200">
        <v>45</v>
      </c>
      <c r="C4200">
        <v>0</v>
      </c>
      <c r="D4200">
        <v>0</v>
      </c>
      <c r="E4200">
        <v>0</v>
      </c>
      <c r="F4200">
        <v>4400</v>
      </c>
    </row>
    <row r="4201" spans="1:6" x14ac:dyDescent="0.25">
      <c r="A4201">
        <v>4200</v>
      </c>
      <c r="B4201">
        <v>46</v>
      </c>
      <c r="C4201">
        <v>0</v>
      </c>
      <c r="D4201">
        <v>0</v>
      </c>
      <c r="E4201">
        <v>0</v>
      </c>
      <c r="F4201">
        <v>0</v>
      </c>
    </row>
    <row r="4202" spans="1:6" x14ac:dyDescent="0.25">
      <c r="A4202">
        <v>4201</v>
      </c>
      <c r="B4202">
        <v>2</v>
      </c>
      <c r="C4202">
        <v>0</v>
      </c>
      <c r="D4202">
        <v>0</v>
      </c>
      <c r="E4202">
        <v>0</v>
      </c>
      <c r="F4202">
        <v>34.405700000000003</v>
      </c>
    </row>
    <row r="4203" spans="1:6" x14ac:dyDescent="0.25">
      <c r="A4203">
        <v>4202</v>
      </c>
      <c r="B4203">
        <v>10</v>
      </c>
      <c r="C4203">
        <v>1</v>
      </c>
      <c r="D4203">
        <v>0</v>
      </c>
      <c r="E4203">
        <v>0</v>
      </c>
      <c r="F4203">
        <v>34716</v>
      </c>
    </row>
    <row r="4204" spans="1:6" x14ac:dyDescent="0.25">
      <c r="A4204">
        <v>4203</v>
      </c>
      <c r="B4204">
        <v>13</v>
      </c>
      <c r="C4204">
        <v>0</v>
      </c>
      <c r="D4204">
        <v>0</v>
      </c>
      <c r="E4204">
        <v>0</v>
      </c>
      <c r="F4204">
        <v>1602</v>
      </c>
    </row>
    <row r="4205" spans="1:6" x14ac:dyDescent="0.25">
      <c r="A4205">
        <v>4204</v>
      </c>
      <c r="B4205">
        <v>41</v>
      </c>
      <c r="C4205">
        <v>0</v>
      </c>
      <c r="D4205">
        <v>0</v>
      </c>
      <c r="E4205">
        <v>0</v>
      </c>
      <c r="F4205">
        <v>1</v>
      </c>
    </row>
    <row r="4206" spans="1:6" x14ac:dyDescent="0.25">
      <c r="A4206">
        <v>4205</v>
      </c>
      <c r="B4206">
        <v>42</v>
      </c>
      <c r="C4206">
        <v>0</v>
      </c>
      <c r="D4206">
        <v>0</v>
      </c>
      <c r="E4206">
        <v>0</v>
      </c>
      <c r="F4206">
        <v>0.2</v>
      </c>
    </row>
    <row r="4207" spans="1:6" x14ac:dyDescent="0.25">
      <c r="A4207">
        <v>4206</v>
      </c>
      <c r="B4207">
        <v>43</v>
      </c>
      <c r="C4207">
        <v>0</v>
      </c>
      <c r="D4207">
        <v>0</v>
      </c>
      <c r="E4207">
        <v>0</v>
      </c>
      <c r="F4207">
        <v>0</v>
      </c>
    </row>
    <row r="4208" spans="1:6" x14ac:dyDescent="0.25">
      <c r="A4208">
        <v>4207</v>
      </c>
      <c r="B4208" t="s">
        <v>0</v>
      </c>
      <c r="C4208">
        <v>78</v>
      </c>
      <c r="D4208">
        <v>3483</v>
      </c>
      <c r="E4208">
        <v>80002763</v>
      </c>
    </row>
    <row r="4209" spans="1:6" x14ac:dyDescent="0.25">
      <c r="A4209">
        <v>4208</v>
      </c>
      <c r="B4209">
        <v>44</v>
      </c>
      <c r="C4209">
        <v>0</v>
      </c>
      <c r="D4209">
        <v>0</v>
      </c>
      <c r="E4209">
        <v>0</v>
      </c>
      <c r="F4209">
        <v>36.801499999999997</v>
      </c>
    </row>
    <row r="4210" spans="1:6" x14ac:dyDescent="0.25">
      <c r="A4210">
        <v>4209</v>
      </c>
      <c r="B4210">
        <v>45</v>
      </c>
      <c r="C4210">
        <v>0</v>
      </c>
      <c r="D4210">
        <v>0</v>
      </c>
      <c r="E4210">
        <v>0</v>
      </c>
      <c r="F4210">
        <v>4400</v>
      </c>
    </row>
    <row r="4211" spans="1:6" x14ac:dyDescent="0.25">
      <c r="A4211">
        <v>4210</v>
      </c>
      <c r="B4211">
        <v>46</v>
      </c>
      <c r="C4211">
        <v>0</v>
      </c>
      <c r="D4211">
        <v>0</v>
      </c>
      <c r="E4211">
        <v>0</v>
      </c>
      <c r="F4211">
        <v>0</v>
      </c>
    </row>
    <row r="4212" spans="1:6" x14ac:dyDescent="0.25">
      <c r="A4212">
        <v>4211</v>
      </c>
      <c r="B4212">
        <v>2</v>
      </c>
      <c r="C4212">
        <v>0</v>
      </c>
      <c r="D4212">
        <v>0</v>
      </c>
      <c r="E4212">
        <v>0</v>
      </c>
      <c r="F4212">
        <v>34.4069</v>
      </c>
    </row>
    <row r="4213" spans="1:6" x14ac:dyDescent="0.25">
      <c r="A4213">
        <v>4212</v>
      </c>
      <c r="B4213">
        <v>10</v>
      </c>
      <c r="C4213">
        <v>1</v>
      </c>
      <c r="D4213">
        <v>0</v>
      </c>
      <c r="E4213">
        <v>0</v>
      </c>
      <c r="F4213">
        <v>34715</v>
      </c>
    </row>
    <row r="4214" spans="1:6" x14ac:dyDescent="0.25">
      <c r="A4214">
        <v>4213</v>
      </c>
      <c r="B4214">
        <v>13</v>
      </c>
      <c r="C4214">
        <v>0</v>
      </c>
      <c r="D4214">
        <v>0</v>
      </c>
      <c r="E4214">
        <v>0</v>
      </c>
      <c r="F4214">
        <v>1602</v>
      </c>
    </row>
    <row r="4215" spans="1:6" x14ac:dyDescent="0.25">
      <c r="A4215">
        <v>4214</v>
      </c>
      <c r="B4215">
        <v>41</v>
      </c>
      <c r="C4215">
        <v>0</v>
      </c>
      <c r="D4215">
        <v>0</v>
      </c>
      <c r="E4215">
        <v>0</v>
      </c>
      <c r="F4215">
        <v>1</v>
      </c>
    </row>
    <row r="4216" spans="1:6" x14ac:dyDescent="0.25">
      <c r="A4216">
        <v>4215</v>
      </c>
      <c r="B4216">
        <v>42</v>
      </c>
      <c r="C4216">
        <v>0</v>
      </c>
      <c r="D4216">
        <v>0</v>
      </c>
      <c r="E4216">
        <v>0</v>
      </c>
      <c r="F4216">
        <v>0.2</v>
      </c>
    </row>
    <row r="4217" spans="1:6" x14ac:dyDescent="0.25">
      <c r="A4217">
        <v>4216</v>
      </c>
      <c r="B4217">
        <v>43</v>
      </c>
      <c r="C4217">
        <v>0</v>
      </c>
      <c r="D4217">
        <v>0</v>
      </c>
      <c r="E4217">
        <v>0</v>
      </c>
      <c r="F4217">
        <v>0</v>
      </c>
    </row>
    <row r="4218" spans="1:6" x14ac:dyDescent="0.25">
      <c r="A4218">
        <v>4217</v>
      </c>
      <c r="B4218">
        <v>44</v>
      </c>
      <c r="C4218">
        <v>0</v>
      </c>
      <c r="D4218">
        <v>0</v>
      </c>
      <c r="E4218">
        <v>0</v>
      </c>
      <c r="F4218">
        <v>36.801499999999997</v>
      </c>
    </row>
    <row r="4219" spans="1:6" x14ac:dyDescent="0.25">
      <c r="A4219">
        <v>4218</v>
      </c>
      <c r="B4219">
        <v>45</v>
      </c>
      <c r="C4219">
        <v>0</v>
      </c>
      <c r="D4219">
        <v>0</v>
      </c>
      <c r="E4219">
        <v>0</v>
      </c>
      <c r="F4219">
        <v>4400</v>
      </c>
    </row>
    <row r="4220" spans="1:6" x14ac:dyDescent="0.25">
      <c r="A4220">
        <v>4219</v>
      </c>
      <c r="B4220">
        <v>46</v>
      </c>
      <c r="C4220">
        <v>0</v>
      </c>
      <c r="D4220">
        <v>0</v>
      </c>
      <c r="E4220">
        <v>0</v>
      </c>
      <c r="F4220">
        <v>0</v>
      </c>
    </row>
    <row r="4221" spans="1:6" x14ac:dyDescent="0.25">
      <c r="A4221">
        <v>4220</v>
      </c>
      <c r="B4221">
        <v>2</v>
      </c>
      <c r="C4221">
        <v>0</v>
      </c>
      <c r="D4221">
        <v>0</v>
      </c>
      <c r="E4221">
        <v>0</v>
      </c>
      <c r="F4221">
        <v>34.4069</v>
      </c>
    </row>
    <row r="4222" spans="1:6" x14ac:dyDescent="0.25">
      <c r="A4222">
        <v>4221</v>
      </c>
      <c r="B4222">
        <v>10</v>
      </c>
      <c r="C4222">
        <v>1</v>
      </c>
      <c r="D4222">
        <v>0</v>
      </c>
      <c r="E4222">
        <v>0</v>
      </c>
      <c r="F4222">
        <v>34715</v>
      </c>
    </row>
    <row r="4223" spans="1:6" x14ac:dyDescent="0.25">
      <c r="A4223">
        <v>4222</v>
      </c>
      <c r="B4223">
        <v>13</v>
      </c>
      <c r="C4223">
        <v>0</v>
      </c>
      <c r="D4223">
        <v>0</v>
      </c>
      <c r="E4223">
        <v>0</v>
      </c>
      <c r="F4223">
        <v>1602</v>
      </c>
    </row>
    <row r="4224" spans="1:6" x14ac:dyDescent="0.25">
      <c r="A4224">
        <v>4223</v>
      </c>
      <c r="B4224">
        <v>41</v>
      </c>
      <c r="C4224">
        <v>0</v>
      </c>
      <c r="D4224">
        <v>0</v>
      </c>
      <c r="E4224">
        <v>0</v>
      </c>
      <c r="F4224">
        <v>1</v>
      </c>
    </row>
    <row r="4225" spans="1:6" x14ac:dyDescent="0.25">
      <c r="A4225">
        <v>4224</v>
      </c>
      <c r="B4225">
        <v>42</v>
      </c>
      <c r="C4225">
        <v>0</v>
      </c>
      <c r="D4225">
        <v>0</v>
      </c>
      <c r="E4225">
        <v>0</v>
      </c>
      <c r="F4225">
        <v>0.2</v>
      </c>
    </row>
    <row r="4226" spans="1:6" x14ac:dyDescent="0.25">
      <c r="A4226">
        <v>4225</v>
      </c>
      <c r="B4226">
        <v>43</v>
      </c>
      <c r="C4226">
        <v>0</v>
      </c>
      <c r="D4226">
        <v>0</v>
      </c>
      <c r="E4226">
        <v>0</v>
      </c>
      <c r="F4226">
        <v>0</v>
      </c>
    </row>
    <row r="4227" spans="1:6" x14ac:dyDescent="0.25">
      <c r="A4227">
        <v>4226</v>
      </c>
      <c r="B4227">
        <v>44</v>
      </c>
      <c r="C4227">
        <v>0</v>
      </c>
      <c r="D4227">
        <v>0</v>
      </c>
      <c r="E4227">
        <v>0</v>
      </c>
      <c r="F4227">
        <v>37.052199999999999</v>
      </c>
    </row>
    <row r="4228" spans="1:6" x14ac:dyDescent="0.25">
      <c r="A4228">
        <v>4227</v>
      </c>
      <c r="B4228">
        <v>45</v>
      </c>
      <c r="C4228">
        <v>0</v>
      </c>
      <c r="D4228">
        <v>0</v>
      </c>
      <c r="E4228">
        <v>0</v>
      </c>
      <c r="F4228">
        <v>4400</v>
      </c>
    </row>
    <row r="4229" spans="1:6" x14ac:dyDescent="0.25">
      <c r="A4229">
        <v>4228</v>
      </c>
      <c r="B4229">
        <v>46</v>
      </c>
      <c r="C4229">
        <v>0</v>
      </c>
      <c r="D4229">
        <v>0</v>
      </c>
      <c r="E4229">
        <v>0</v>
      </c>
      <c r="F4229">
        <v>0</v>
      </c>
    </row>
    <row r="4230" spans="1:6" x14ac:dyDescent="0.25">
      <c r="A4230">
        <v>4229</v>
      </c>
      <c r="B4230">
        <v>2</v>
      </c>
      <c r="C4230">
        <v>0</v>
      </c>
      <c r="D4230">
        <v>0</v>
      </c>
      <c r="E4230">
        <v>0</v>
      </c>
      <c r="F4230">
        <v>34.406300000000002</v>
      </c>
    </row>
    <row r="4231" spans="1:6" x14ac:dyDescent="0.25">
      <c r="A4231">
        <v>4230</v>
      </c>
      <c r="B4231">
        <v>10</v>
      </c>
      <c r="C4231">
        <v>1</v>
      </c>
      <c r="D4231">
        <v>0</v>
      </c>
      <c r="E4231">
        <v>0</v>
      </c>
      <c r="F4231">
        <v>34715</v>
      </c>
    </row>
    <row r="4232" spans="1:6" x14ac:dyDescent="0.25">
      <c r="A4232">
        <v>4231</v>
      </c>
      <c r="B4232">
        <v>13</v>
      </c>
      <c r="C4232">
        <v>0</v>
      </c>
      <c r="D4232">
        <v>0</v>
      </c>
      <c r="E4232">
        <v>0</v>
      </c>
      <c r="F4232">
        <v>1602</v>
      </c>
    </row>
    <row r="4233" spans="1:6" x14ac:dyDescent="0.25">
      <c r="A4233">
        <v>4232</v>
      </c>
      <c r="B4233">
        <v>41</v>
      </c>
      <c r="C4233">
        <v>0</v>
      </c>
      <c r="D4233">
        <v>0</v>
      </c>
      <c r="E4233">
        <v>0</v>
      </c>
      <c r="F4233">
        <v>1</v>
      </c>
    </row>
    <row r="4234" spans="1:6" x14ac:dyDescent="0.25">
      <c r="A4234">
        <v>4233</v>
      </c>
      <c r="B4234">
        <v>42</v>
      </c>
      <c r="C4234">
        <v>0</v>
      </c>
      <c r="D4234">
        <v>0</v>
      </c>
      <c r="E4234">
        <v>0</v>
      </c>
      <c r="F4234">
        <v>0.2</v>
      </c>
    </row>
    <row r="4235" spans="1:6" x14ac:dyDescent="0.25">
      <c r="A4235">
        <v>4234</v>
      </c>
      <c r="B4235">
        <v>43</v>
      </c>
      <c r="C4235">
        <v>0</v>
      </c>
      <c r="D4235">
        <v>0</v>
      </c>
      <c r="E4235">
        <v>0</v>
      </c>
      <c r="F4235">
        <v>0</v>
      </c>
    </row>
    <row r="4236" spans="1:6" x14ac:dyDescent="0.25">
      <c r="A4236">
        <v>4235</v>
      </c>
      <c r="B4236">
        <v>44</v>
      </c>
      <c r="C4236">
        <v>0</v>
      </c>
      <c r="D4236">
        <v>0</v>
      </c>
      <c r="E4236">
        <v>0</v>
      </c>
      <c r="F4236">
        <v>37.052199999999999</v>
      </c>
    </row>
    <row r="4237" spans="1:6" x14ac:dyDescent="0.25">
      <c r="A4237">
        <v>4236</v>
      </c>
      <c r="B4237">
        <v>45</v>
      </c>
      <c r="C4237">
        <v>0</v>
      </c>
      <c r="D4237">
        <v>0</v>
      </c>
      <c r="E4237">
        <v>0</v>
      </c>
      <c r="F4237">
        <v>4400</v>
      </c>
    </row>
    <row r="4238" spans="1:6" x14ac:dyDescent="0.25">
      <c r="A4238">
        <v>4237</v>
      </c>
      <c r="B4238" t="s">
        <v>0</v>
      </c>
      <c r="C4238">
        <v>80</v>
      </c>
      <c r="D4238">
        <v>3483</v>
      </c>
      <c r="E4238">
        <v>80004700</v>
      </c>
    </row>
    <row r="4239" spans="1:6" x14ac:dyDescent="0.25">
      <c r="A4239">
        <v>4238</v>
      </c>
      <c r="B4239">
        <v>2</v>
      </c>
      <c r="C4239">
        <v>0</v>
      </c>
      <c r="D4239">
        <v>0</v>
      </c>
      <c r="E4239">
        <v>0</v>
      </c>
      <c r="F4239">
        <v>34.406700000000001</v>
      </c>
    </row>
    <row r="4240" spans="1:6" x14ac:dyDescent="0.25">
      <c r="A4240">
        <v>4239</v>
      </c>
      <c r="B4240">
        <v>10</v>
      </c>
      <c r="C4240">
        <v>1</v>
      </c>
      <c r="D4240">
        <v>0</v>
      </c>
      <c r="E4240">
        <v>0</v>
      </c>
      <c r="F4240">
        <v>34715</v>
      </c>
    </row>
    <row r="4241" spans="1:6" x14ac:dyDescent="0.25">
      <c r="A4241">
        <v>4240</v>
      </c>
      <c r="B4241">
        <v>13</v>
      </c>
      <c r="C4241">
        <v>0</v>
      </c>
      <c r="D4241">
        <v>0</v>
      </c>
      <c r="E4241">
        <v>0</v>
      </c>
      <c r="F4241">
        <v>1602</v>
      </c>
    </row>
    <row r="4242" spans="1:6" x14ac:dyDescent="0.25">
      <c r="A4242">
        <v>4241</v>
      </c>
      <c r="B4242">
        <v>41</v>
      </c>
      <c r="C4242">
        <v>0</v>
      </c>
      <c r="D4242">
        <v>0</v>
      </c>
      <c r="E4242">
        <v>0</v>
      </c>
      <c r="F4242">
        <v>1</v>
      </c>
    </row>
    <row r="4243" spans="1:6" x14ac:dyDescent="0.25">
      <c r="A4243">
        <v>4242</v>
      </c>
      <c r="B4243">
        <v>42</v>
      </c>
      <c r="C4243">
        <v>0</v>
      </c>
      <c r="D4243">
        <v>0</v>
      </c>
      <c r="E4243">
        <v>0</v>
      </c>
      <c r="F4243">
        <v>0.2</v>
      </c>
    </row>
    <row r="4244" spans="1:6" x14ac:dyDescent="0.25">
      <c r="A4244">
        <v>4243</v>
      </c>
      <c r="B4244">
        <v>43</v>
      </c>
      <c r="C4244">
        <v>0</v>
      </c>
      <c r="D4244">
        <v>0</v>
      </c>
      <c r="E4244">
        <v>0</v>
      </c>
      <c r="F4244">
        <v>0</v>
      </c>
    </row>
    <row r="4245" spans="1:6" x14ac:dyDescent="0.25">
      <c r="A4245">
        <v>4244</v>
      </c>
      <c r="B4245">
        <v>44</v>
      </c>
      <c r="C4245">
        <v>0</v>
      </c>
      <c r="D4245">
        <v>0</v>
      </c>
      <c r="E4245">
        <v>0</v>
      </c>
      <c r="F4245">
        <v>37.301699999999997</v>
      </c>
    </row>
    <row r="4246" spans="1:6" x14ac:dyDescent="0.25">
      <c r="A4246">
        <v>4245</v>
      </c>
      <c r="B4246">
        <v>45</v>
      </c>
      <c r="C4246">
        <v>0</v>
      </c>
      <c r="D4246">
        <v>0</v>
      </c>
      <c r="E4246">
        <v>0</v>
      </c>
      <c r="F4246">
        <v>4400</v>
      </c>
    </row>
    <row r="4247" spans="1:6" x14ac:dyDescent="0.25">
      <c r="A4247">
        <v>4246</v>
      </c>
      <c r="B4247">
        <v>46</v>
      </c>
      <c r="C4247">
        <v>0</v>
      </c>
      <c r="D4247">
        <v>0</v>
      </c>
      <c r="E4247">
        <v>0</v>
      </c>
      <c r="F4247">
        <v>0</v>
      </c>
    </row>
    <row r="4248" spans="1:6" x14ac:dyDescent="0.25">
      <c r="A4248">
        <v>4247</v>
      </c>
      <c r="B4248">
        <v>2</v>
      </c>
      <c r="C4248">
        <v>0</v>
      </c>
      <c r="D4248">
        <v>0</v>
      </c>
      <c r="E4248">
        <v>0</v>
      </c>
      <c r="F4248">
        <v>34.406700000000001</v>
      </c>
    </row>
    <row r="4249" spans="1:6" x14ac:dyDescent="0.25">
      <c r="A4249">
        <v>4248</v>
      </c>
      <c r="B4249">
        <v>10</v>
      </c>
      <c r="C4249">
        <v>1</v>
      </c>
      <c r="D4249">
        <v>0</v>
      </c>
      <c r="E4249">
        <v>0</v>
      </c>
      <c r="F4249">
        <v>34715</v>
      </c>
    </row>
    <row r="4250" spans="1:6" x14ac:dyDescent="0.25">
      <c r="A4250">
        <v>4249</v>
      </c>
      <c r="B4250">
        <v>13</v>
      </c>
      <c r="C4250">
        <v>0</v>
      </c>
      <c r="D4250">
        <v>0</v>
      </c>
      <c r="E4250">
        <v>0</v>
      </c>
      <c r="F4250">
        <v>1602</v>
      </c>
    </row>
    <row r="4251" spans="1:6" x14ac:dyDescent="0.25">
      <c r="A4251">
        <v>4250</v>
      </c>
      <c r="B4251">
        <v>41</v>
      </c>
      <c r="C4251">
        <v>0</v>
      </c>
      <c r="D4251">
        <v>0</v>
      </c>
      <c r="E4251">
        <v>0</v>
      </c>
      <c r="F4251">
        <v>1</v>
      </c>
    </row>
    <row r="4252" spans="1:6" x14ac:dyDescent="0.25">
      <c r="A4252">
        <v>4251</v>
      </c>
      <c r="B4252">
        <v>42</v>
      </c>
      <c r="C4252">
        <v>0</v>
      </c>
      <c r="D4252">
        <v>0</v>
      </c>
      <c r="E4252">
        <v>0</v>
      </c>
      <c r="F4252">
        <v>0.2</v>
      </c>
    </row>
    <row r="4253" spans="1:6" x14ac:dyDescent="0.25">
      <c r="A4253">
        <v>4252</v>
      </c>
      <c r="B4253" t="s">
        <v>0</v>
      </c>
      <c r="C4253">
        <v>81</v>
      </c>
      <c r="D4253">
        <v>3483</v>
      </c>
      <c r="E4253">
        <v>80005668</v>
      </c>
    </row>
    <row r="4254" spans="1:6" x14ac:dyDescent="0.25">
      <c r="A4254">
        <v>4253</v>
      </c>
      <c r="B4254">
        <v>44</v>
      </c>
      <c r="C4254">
        <v>0</v>
      </c>
      <c r="D4254">
        <v>0</v>
      </c>
      <c r="E4254">
        <v>0</v>
      </c>
      <c r="F4254">
        <v>37.526499999999999</v>
      </c>
    </row>
    <row r="4255" spans="1:6" x14ac:dyDescent="0.25">
      <c r="A4255">
        <v>4254</v>
      </c>
      <c r="B4255">
        <v>45</v>
      </c>
      <c r="C4255">
        <v>0</v>
      </c>
      <c r="D4255">
        <v>0</v>
      </c>
      <c r="E4255">
        <v>0</v>
      </c>
      <c r="F4255">
        <v>4400</v>
      </c>
    </row>
    <row r="4256" spans="1:6" x14ac:dyDescent="0.25">
      <c r="A4256">
        <v>4255</v>
      </c>
      <c r="B4256">
        <v>46</v>
      </c>
      <c r="C4256">
        <v>0</v>
      </c>
      <c r="D4256">
        <v>0</v>
      </c>
      <c r="E4256">
        <v>0</v>
      </c>
      <c r="F4256">
        <v>0</v>
      </c>
    </row>
    <row r="4257" spans="1:6" x14ac:dyDescent="0.25">
      <c r="A4257">
        <v>4256</v>
      </c>
      <c r="B4257">
        <v>2</v>
      </c>
      <c r="C4257">
        <v>0</v>
      </c>
      <c r="D4257">
        <v>0</v>
      </c>
      <c r="E4257">
        <v>0</v>
      </c>
      <c r="F4257">
        <v>34.4069</v>
      </c>
    </row>
    <row r="4258" spans="1:6" x14ac:dyDescent="0.25">
      <c r="A4258">
        <v>4257</v>
      </c>
      <c r="B4258">
        <v>10</v>
      </c>
      <c r="C4258">
        <v>1</v>
      </c>
      <c r="D4258">
        <v>0</v>
      </c>
      <c r="E4258">
        <v>0</v>
      </c>
      <c r="F4258">
        <v>34715</v>
      </c>
    </row>
    <row r="4259" spans="1:6" x14ac:dyDescent="0.25">
      <c r="A4259">
        <v>4258</v>
      </c>
      <c r="B4259">
        <v>13</v>
      </c>
      <c r="C4259">
        <v>0</v>
      </c>
      <c r="D4259">
        <v>0</v>
      </c>
      <c r="E4259">
        <v>0</v>
      </c>
      <c r="F4259">
        <v>1602</v>
      </c>
    </row>
    <row r="4260" spans="1:6" x14ac:dyDescent="0.25">
      <c r="A4260">
        <v>4259</v>
      </c>
      <c r="B4260">
        <v>41</v>
      </c>
      <c r="C4260">
        <v>0</v>
      </c>
      <c r="D4260">
        <v>0</v>
      </c>
      <c r="E4260">
        <v>0</v>
      </c>
      <c r="F4260">
        <v>1</v>
      </c>
    </row>
    <row r="4261" spans="1:6" x14ac:dyDescent="0.25">
      <c r="A4261">
        <v>4260</v>
      </c>
      <c r="B4261">
        <v>42</v>
      </c>
      <c r="C4261">
        <v>0</v>
      </c>
      <c r="D4261">
        <v>0</v>
      </c>
      <c r="E4261">
        <v>0</v>
      </c>
      <c r="F4261">
        <v>0.2</v>
      </c>
    </row>
    <row r="4262" spans="1:6" x14ac:dyDescent="0.25">
      <c r="A4262">
        <v>4261</v>
      </c>
      <c r="B4262">
        <v>43</v>
      </c>
      <c r="C4262">
        <v>0</v>
      </c>
      <c r="D4262">
        <v>0</v>
      </c>
      <c r="E4262">
        <v>0</v>
      </c>
      <c r="F4262">
        <v>0</v>
      </c>
    </row>
    <row r="4263" spans="1:6" x14ac:dyDescent="0.25">
      <c r="A4263">
        <v>4262</v>
      </c>
      <c r="B4263">
        <v>44</v>
      </c>
      <c r="C4263">
        <v>0</v>
      </c>
      <c r="D4263">
        <v>0</v>
      </c>
      <c r="E4263">
        <v>0</v>
      </c>
      <c r="F4263">
        <v>37.526499999999999</v>
      </c>
    </row>
    <row r="4264" spans="1:6" x14ac:dyDescent="0.25">
      <c r="A4264">
        <v>4263</v>
      </c>
      <c r="B4264">
        <v>45</v>
      </c>
      <c r="C4264">
        <v>0</v>
      </c>
      <c r="D4264">
        <v>0</v>
      </c>
      <c r="E4264">
        <v>0</v>
      </c>
      <c r="F4264">
        <v>4400</v>
      </c>
    </row>
    <row r="4265" spans="1:6" x14ac:dyDescent="0.25">
      <c r="A4265">
        <v>4264</v>
      </c>
      <c r="B4265">
        <v>46</v>
      </c>
      <c r="C4265">
        <v>0</v>
      </c>
      <c r="D4265">
        <v>0</v>
      </c>
      <c r="E4265">
        <v>0</v>
      </c>
      <c r="F4265">
        <v>0</v>
      </c>
    </row>
    <row r="4266" spans="1:6" x14ac:dyDescent="0.25">
      <c r="A4266">
        <v>4265</v>
      </c>
      <c r="B4266">
        <v>2</v>
      </c>
      <c r="C4266">
        <v>0</v>
      </c>
      <c r="D4266">
        <v>0</v>
      </c>
      <c r="E4266">
        <v>0</v>
      </c>
      <c r="F4266">
        <v>34.4069</v>
      </c>
    </row>
    <row r="4267" spans="1:6" x14ac:dyDescent="0.25">
      <c r="A4267">
        <v>4266</v>
      </c>
      <c r="B4267">
        <v>10</v>
      </c>
      <c r="C4267">
        <v>1</v>
      </c>
      <c r="D4267">
        <v>0</v>
      </c>
      <c r="E4267">
        <v>0</v>
      </c>
      <c r="F4267">
        <v>34715</v>
      </c>
    </row>
    <row r="4268" spans="1:6" x14ac:dyDescent="0.25">
      <c r="A4268">
        <v>4267</v>
      </c>
      <c r="B4268" t="s">
        <v>0</v>
      </c>
      <c r="C4268">
        <v>82</v>
      </c>
      <c r="D4268">
        <v>3483</v>
      </c>
      <c r="E4268">
        <v>80006636</v>
      </c>
    </row>
    <row r="4269" spans="1:6" x14ac:dyDescent="0.25">
      <c r="A4269">
        <v>4268</v>
      </c>
      <c r="B4269">
        <v>13</v>
      </c>
      <c r="C4269">
        <v>0</v>
      </c>
      <c r="D4269">
        <v>0</v>
      </c>
      <c r="E4269">
        <v>0</v>
      </c>
      <c r="F4269">
        <v>1602</v>
      </c>
    </row>
    <row r="4270" spans="1:6" x14ac:dyDescent="0.25">
      <c r="A4270">
        <v>4269</v>
      </c>
      <c r="B4270">
        <v>41</v>
      </c>
      <c r="C4270">
        <v>0</v>
      </c>
      <c r="D4270">
        <v>0</v>
      </c>
      <c r="E4270">
        <v>0</v>
      </c>
      <c r="F4270">
        <v>1</v>
      </c>
    </row>
    <row r="4271" spans="1:6" x14ac:dyDescent="0.25">
      <c r="A4271">
        <v>4270</v>
      </c>
      <c r="B4271">
        <v>42</v>
      </c>
      <c r="C4271">
        <v>0</v>
      </c>
      <c r="D4271">
        <v>0</v>
      </c>
      <c r="E4271">
        <v>0</v>
      </c>
      <c r="F4271">
        <v>0.2</v>
      </c>
    </row>
    <row r="4272" spans="1:6" x14ac:dyDescent="0.25">
      <c r="A4272">
        <v>4271</v>
      </c>
      <c r="B4272">
        <v>43</v>
      </c>
      <c r="C4272">
        <v>0</v>
      </c>
      <c r="D4272">
        <v>0</v>
      </c>
      <c r="E4272">
        <v>0</v>
      </c>
      <c r="F4272">
        <v>0</v>
      </c>
    </row>
    <row r="4273" spans="1:6" x14ac:dyDescent="0.25">
      <c r="A4273">
        <v>4272</v>
      </c>
      <c r="B4273">
        <v>44</v>
      </c>
      <c r="C4273">
        <v>0</v>
      </c>
      <c r="D4273">
        <v>0</v>
      </c>
      <c r="E4273">
        <v>0</v>
      </c>
      <c r="F4273">
        <v>37.777200000000001</v>
      </c>
    </row>
    <row r="4274" spans="1:6" x14ac:dyDescent="0.25">
      <c r="A4274">
        <v>4273</v>
      </c>
      <c r="B4274">
        <v>45</v>
      </c>
      <c r="C4274">
        <v>0</v>
      </c>
      <c r="D4274">
        <v>0</v>
      </c>
      <c r="E4274">
        <v>0</v>
      </c>
      <c r="F4274">
        <v>4400</v>
      </c>
    </row>
    <row r="4275" spans="1:6" x14ac:dyDescent="0.25">
      <c r="A4275">
        <v>4274</v>
      </c>
      <c r="B4275">
        <v>46</v>
      </c>
      <c r="C4275">
        <v>0</v>
      </c>
      <c r="D4275">
        <v>0</v>
      </c>
      <c r="E4275">
        <v>0</v>
      </c>
      <c r="F4275">
        <v>0</v>
      </c>
    </row>
    <row r="4276" spans="1:6" x14ac:dyDescent="0.25">
      <c r="A4276">
        <v>4275</v>
      </c>
      <c r="B4276">
        <v>2</v>
      </c>
      <c r="C4276">
        <v>0</v>
      </c>
      <c r="D4276">
        <v>0</v>
      </c>
      <c r="E4276">
        <v>0</v>
      </c>
      <c r="F4276">
        <v>34.406300000000002</v>
      </c>
    </row>
    <row r="4277" spans="1:6" x14ac:dyDescent="0.25">
      <c r="A4277">
        <v>4276</v>
      </c>
      <c r="B4277">
        <v>10</v>
      </c>
      <c r="C4277">
        <v>1</v>
      </c>
      <c r="D4277">
        <v>0</v>
      </c>
      <c r="E4277">
        <v>0</v>
      </c>
      <c r="F4277">
        <v>34715</v>
      </c>
    </row>
    <row r="4278" spans="1:6" x14ac:dyDescent="0.25">
      <c r="A4278">
        <v>4277</v>
      </c>
      <c r="B4278">
        <v>13</v>
      </c>
      <c r="C4278">
        <v>0</v>
      </c>
      <c r="D4278">
        <v>0</v>
      </c>
      <c r="E4278">
        <v>0</v>
      </c>
      <c r="F4278">
        <v>1602</v>
      </c>
    </row>
    <row r="4279" spans="1:6" x14ac:dyDescent="0.25">
      <c r="A4279">
        <v>4278</v>
      </c>
      <c r="B4279">
        <v>41</v>
      </c>
      <c r="C4279">
        <v>0</v>
      </c>
      <c r="D4279">
        <v>0</v>
      </c>
      <c r="E4279">
        <v>0</v>
      </c>
      <c r="F4279">
        <v>1</v>
      </c>
    </row>
    <row r="4280" spans="1:6" x14ac:dyDescent="0.25">
      <c r="A4280">
        <v>4279</v>
      </c>
      <c r="B4280">
        <v>42</v>
      </c>
      <c r="C4280">
        <v>0</v>
      </c>
      <c r="D4280">
        <v>0</v>
      </c>
      <c r="E4280">
        <v>0</v>
      </c>
      <c r="F4280">
        <v>0.2</v>
      </c>
    </row>
    <row r="4281" spans="1:6" x14ac:dyDescent="0.25">
      <c r="A4281">
        <v>4280</v>
      </c>
      <c r="B4281">
        <v>43</v>
      </c>
      <c r="C4281">
        <v>0</v>
      </c>
      <c r="D4281">
        <v>0</v>
      </c>
      <c r="E4281">
        <v>0</v>
      </c>
      <c r="F4281">
        <v>0</v>
      </c>
    </row>
    <row r="4282" spans="1:6" x14ac:dyDescent="0.25">
      <c r="A4282">
        <v>4281</v>
      </c>
      <c r="B4282">
        <v>44</v>
      </c>
      <c r="C4282">
        <v>0</v>
      </c>
      <c r="D4282">
        <v>0</v>
      </c>
      <c r="E4282">
        <v>0</v>
      </c>
      <c r="F4282">
        <v>37.777200000000001</v>
      </c>
    </row>
    <row r="4283" spans="1:6" x14ac:dyDescent="0.25">
      <c r="A4283">
        <v>4282</v>
      </c>
      <c r="B4283">
        <v>45</v>
      </c>
      <c r="C4283">
        <v>0</v>
      </c>
      <c r="D4283">
        <v>0</v>
      </c>
      <c r="E4283">
        <v>0</v>
      </c>
      <c r="F4283">
        <v>4400</v>
      </c>
    </row>
    <row r="4284" spans="1:6" x14ac:dyDescent="0.25">
      <c r="A4284">
        <v>4283</v>
      </c>
      <c r="B4284">
        <v>46</v>
      </c>
      <c r="C4284">
        <v>0</v>
      </c>
      <c r="D4284">
        <v>0</v>
      </c>
      <c r="E4284">
        <v>0</v>
      </c>
      <c r="F4284">
        <v>0</v>
      </c>
    </row>
    <row r="4285" spans="1:6" x14ac:dyDescent="0.25">
      <c r="A4285">
        <v>4284</v>
      </c>
      <c r="B4285">
        <v>2</v>
      </c>
      <c r="C4285">
        <v>0</v>
      </c>
      <c r="D4285">
        <v>0</v>
      </c>
      <c r="E4285">
        <v>0</v>
      </c>
      <c r="F4285">
        <v>34.4071</v>
      </c>
    </row>
    <row r="4286" spans="1:6" x14ac:dyDescent="0.25">
      <c r="A4286">
        <v>4285</v>
      </c>
      <c r="B4286">
        <v>10</v>
      </c>
      <c r="C4286">
        <v>1</v>
      </c>
      <c r="D4286">
        <v>0</v>
      </c>
      <c r="E4286">
        <v>0</v>
      </c>
      <c r="F4286">
        <v>34715</v>
      </c>
    </row>
    <row r="4287" spans="1:6" x14ac:dyDescent="0.25">
      <c r="A4287">
        <v>4286</v>
      </c>
      <c r="B4287">
        <v>13</v>
      </c>
      <c r="C4287">
        <v>0</v>
      </c>
      <c r="D4287">
        <v>0</v>
      </c>
      <c r="E4287">
        <v>0</v>
      </c>
      <c r="F4287">
        <v>1602</v>
      </c>
    </row>
    <row r="4288" spans="1:6" x14ac:dyDescent="0.25">
      <c r="A4288">
        <v>4287</v>
      </c>
      <c r="B4288">
        <v>41</v>
      </c>
      <c r="C4288">
        <v>0</v>
      </c>
      <c r="D4288">
        <v>0</v>
      </c>
      <c r="E4288">
        <v>0</v>
      </c>
      <c r="F4288">
        <v>1</v>
      </c>
    </row>
    <row r="4289" spans="1:6" x14ac:dyDescent="0.25">
      <c r="A4289">
        <v>4288</v>
      </c>
      <c r="B4289">
        <v>42</v>
      </c>
      <c r="C4289">
        <v>0</v>
      </c>
      <c r="D4289">
        <v>0</v>
      </c>
      <c r="E4289">
        <v>0</v>
      </c>
      <c r="F4289">
        <v>0.2</v>
      </c>
    </row>
    <row r="4290" spans="1:6" x14ac:dyDescent="0.25">
      <c r="A4290">
        <v>4289</v>
      </c>
      <c r="B4290">
        <v>43</v>
      </c>
      <c r="C4290">
        <v>0</v>
      </c>
      <c r="D4290">
        <v>0</v>
      </c>
      <c r="E4290">
        <v>0</v>
      </c>
      <c r="F4290">
        <v>0</v>
      </c>
    </row>
    <row r="4291" spans="1:6" x14ac:dyDescent="0.25">
      <c r="A4291">
        <v>4290</v>
      </c>
      <c r="B4291">
        <v>44</v>
      </c>
      <c r="C4291">
        <v>0</v>
      </c>
      <c r="D4291">
        <v>0</v>
      </c>
      <c r="E4291">
        <v>0</v>
      </c>
      <c r="F4291">
        <v>38.026400000000002</v>
      </c>
    </row>
    <row r="4292" spans="1:6" x14ac:dyDescent="0.25">
      <c r="A4292">
        <v>4291</v>
      </c>
      <c r="B4292">
        <v>45</v>
      </c>
      <c r="C4292">
        <v>0</v>
      </c>
      <c r="D4292">
        <v>0</v>
      </c>
      <c r="E4292">
        <v>0</v>
      </c>
      <c r="F4292">
        <v>4400</v>
      </c>
    </row>
    <row r="4293" spans="1:6" x14ac:dyDescent="0.25">
      <c r="A4293">
        <v>4292</v>
      </c>
      <c r="B4293">
        <v>46</v>
      </c>
      <c r="C4293">
        <v>0</v>
      </c>
      <c r="D4293">
        <v>0</v>
      </c>
      <c r="E4293">
        <v>0</v>
      </c>
      <c r="F4293">
        <v>0</v>
      </c>
    </row>
    <row r="4294" spans="1:6" x14ac:dyDescent="0.25">
      <c r="A4294">
        <v>4293</v>
      </c>
      <c r="B4294">
        <v>2</v>
      </c>
      <c r="C4294">
        <v>0</v>
      </c>
      <c r="D4294">
        <v>0</v>
      </c>
      <c r="E4294">
        <v>0</v>
      </c>
      <c r="F4294">
        <v>34.4071</v>
      </c>
    </row>
    <row r="4295" spans="1:6" x14ac:dyDescent="0.25">
      <c r="A4295">
        <v>4294</v>
      </c>
      <c r="B4295">
        <v>10</v>
      </c>
      <c r="C4295">
        <v>1</v>
      </c>
      <c r="D4295">
        <v>0</v>
      </c>
      <c r="E4295">
        <v>0</v>
      </c>
      <c r="F4295">
        <v>34715</v>
      </c>
    </row>
    <row r="4296" spans="1:6" x14ac:dyDescent="0.25">
      <c r="A4296">
        <v>4295</v>
      </c>
      <c r="B4296">
        <v>13</v>
      </c>
      <c r="C4296">
        <v>0</v>
      </c>
      <c r="D4296">
        <v>0</v>
      </c>
      <c r="E4296">
        <v>0</v>
      </c>
      <c r="F4296">
        <v>1602</v>
      </c>
    </row>
    <row r="4297" spans="1:6" x14ac:dyDescent="0.25">
      <c r="A4297">
        <v>4296</v>
      </c>
      <c r="B4297">
        <v>41</v>
      </c>
      <c r="C4297">
        <v>0</v>
      </c>
      <c r="D4297">
        <v>0</v>
      </c>
      <c r="E4297">
        <v>0</v>
      </c>
      <c r="F4297">
        <v>1</v>
      </c>
    </row>
    <row r="4298" spans="1:6" x14ac:dyDescent="0.25">
      <c r="A4298">
        <v>4297</v>
      </c>
      <c r="B4298" t="s">
        <v>0</v>
      </c>
      <c r="C4298">
        <v>84</v>
      </c>
      <c r="D4298">
        <v>3483</v>
      </c>
      <c r="E4298">
        <v>80008571</v>
      </c>
    </row>
    <row r="4299" spans="1:6" x14ac:dyDescent="0.25">
      <c r="A4299">
        <v>4298</v>
      </c>
      <c r="B4299">
        <v>43</v>
      </c>
      <c r="C4299">
        <v>0</v>
      </c>
      <c r="D4299">
        <v>0</v>
      </c>
      <c r="E4299">
        <v>0</v>
      </c>
      <c r="F4299">
        <v>0</v>
      </c>
    </row>
    <row r="4300" spans="1:6" x14ac:dyDescent="0.25">
      <c r="A4300">
        <v>4299</v>
      </c>
      <c r="B4300">
        <v>44</v>
      </c>
      <c r="C4300">
        <v>0</v>
      </c>
      <c r="D4300">
        <v>0</v>
      </c>
      <c r="E4300">
        <v>0</v>
      </c>
      <c r="F4300">
        <v>38.251600000000003</v>
      </c>
    </row>
    <row r="4301" spans="1:6" x14ac:dyDescent="0.25">
      <c r="A4301">
        <v>4300</v>
      </c>
      <c r="B4301">
        <v>45</v>
      </c>
      <c r="C4301">
        <v>0</v>
      </c>
      <c r="D4301">
        <v>0</v>
      </c>
      <c r="E4301">
        <v>0</v>
      </c>
      <c r="F4301">
        <v>4400</v>
      </c>
    </row>
    <row r="4302" spans="1:6" x14ac:dyDescent="0.25">
      <c r="A4302">
        <v>4301</v>
      </c>
      <c r="B4302">
        <v>46</v>
      </c>
      <c r="C4302">
        <v>0</v>
      </c>
      <c r="D4302">
        <v>0</v>
      </c>
      <c r="E4302">
        <v>0</v>
      </c>
      <c r="F4302">
        <v>0</v>
      </c>
    </row>
    <row r="4303" spans="1:6" x14ac:dyDescent="0.25">
      <c r="A4303">
        <v>4302</v>
      </c>
      <c r="B4303">
        <v>2</v>
      </c>
      <c r="C4303">
        <v>0</v>
      </c>
      <c r="D4303">
        <v>0</v>
      </c>
      <c r="E4303">
        <v>0</v>
      </c>
      <c r="F4303">
        <v>34.406799999999997</v>
      </c>
    </row>
    <row r="4304" spans="1:6" x14ac:dyDescent="0.25">
      <c r="A4304">
        <v>4303</v>
      </c>
      <c r="B4304">
        <v>10</v>
      </c>
      <c r="C4304">
        <v>1</v>
      </c>
      <c r="D4304">
        <v>0</v>
      </c>
      <c r="E4304">
        <v>0</v>
      </c>
      <c r="F4304">
        <v>34715</v>
      </c>
    </row>
    <row r="4305" spans="1:6" x14ac:dyDescent="0.25">
      <c r="A4305">
        <v>4304</v>
      </c>
      <c r="B4305">
        <v>13</v>
      </c>
      <c r="C4305">
        <v>0</v>
      </c>
      <c r="D4305">
        <v>0</v>
      </c>
      <c r="E4305">
        <v>0</v>
      </c>
      <c r="F4305">
        <v>1602</v>
      </c>
    </row>
    <row r="4306" spans="1:6" x14ac:dyDescent="0.25">
      <c r="A4306">
        <v>4305</v>
      </c>
      <c r="B4306">
        <v>41</v>
      </c>
      <c r="C4306">
        <v>0</v>
      </c>
      <c r="D4306">
        <v>0</v>
      </c>
      <c r="E4306">
        <v>0</v>
      </c>
      <c r="F4306">
        <v>1</v>
      </c>
    </row>
    <row r="4307" spans="1:6" x14ac:dyDescent="0.25">
      <c r="A4307">
        <v>4306</v>
      </c>
      <c r="B4307">
        <v>42</v>
      </c>
      <c r="C4307">
        <v>0</v>
      </c>
      <c r="D4307">
        <v>0</v>
      </c>
      <c r="E4307">
        <v>0</v>
      </c>
      <c r="F4307">
        <v>0.2</v>
      </c>
    </row>
    <row r="4308" spans="1:6" x14ac:dyDescent="0.25">
      <c r="A4308">
        <v>4307</v>
      </c>
      <c r="B4308">
        <v>43</v>
      </c>
      <c r="C4308">
        <v>0</v>
      </c>
      <c r="D4308">
        <v>0</v>
      </c>
      <c r="E4308">
        <v>0</v>
      </c>
      <c r="F4308">
        <v>0</v>
      </c>
    </row>
    <row r="4309" spans="1:6" x14ac:dyDescent="0.25">
      <c r="A4309">
        <v>4308</v>
      </c>
      <c r="B4309">
        <v>44</v>
      </c>
      <c r="C4309">
        <v>0</v>
      </c>
      <c r="D4309">
        <v>0</v>
      </c>
      <c r="E4309">
        <v>0</v>
      </c>
      <c r="F4309">
        <v>38.251600000000003</v>
      </c>
    </row>
    <row r="4310" spans="1:6" x14ac:dyDescent="0.25">
      <c r="A4310">
        <v>4309</v>
      </c>
      <c r="B4310">
        <v>45</v>
      </c>
      <c r="C4310">
        <v>0</v>
      </c>
      <c r="D4310">
        <v>0</v>
      </c>
      <c r="E4310">
        <v>0</v>
      </c>
      <c r="F4310">
        <v>4400</v>
      </c>
    </row>
    <row r="4311" spans="1:6" x14ac:dyDescent="0.25">
      <c r="A4311">
        <v>4310</v>
      </c>
      <c r="B4311">
        <v>46</v>
      </c>
      <c r="C4311">
        <v>0</v>
      </c>
      <c r="D4311">
        <v>0</v>
      </c>
      <c r="E4311">
        <v>0</v>
      </c>
      <c r="F4311">
        <v>0</v>
      </c>
    </row>
    <row r="4312" spans="1:6" x14ac:dyDescent="0.25">
      <c r="A4312">
        <v>4311</v>
      </c>
      <c r="B4312">
        <v>2</v>
      </c>
      <c r="C4312">
        <v>0</v>
      </c>
      <c r="D4312">
        <v>0</v>
      </c>
      <c r="E4312">
        <v>0</v>
      </c>
      <c r="F4312">
        <v>34.406799999999997</v>
      </c>
    </row>
    <row r="4313" spans="1:6" x14ac:dyDescent="0.25">
      <c r="A4313">
        <v>4312</v>
      </c>
      <c r="B4313" t="s">
        <v>0</v>
      </c>
      <c r="C4313">
        <v>85</v>
      </c>
      <c r="D4313">
        <v>3483</v>
      </c>
      <c r="E4313">
        <v>80009539</v>
      </c>
    </row>
    <row r="4314" spans="1:6" x14ac:dyDescent="0.25">
      <c r="A4314">
        <v>4313</v>
      </c>
      <c r="B4314">
        <v>10</v>
      </c>
      <c r="C4314">
        <v>1</v>
      </c>
      <c r="D4314">
        <v>0</v>
      </c>
      <c r="E4314">
        <v>0</v>
      </c>
      <c r="F4314">
        <v>34715</v>
      </c>
    </row>
    <row r="4315" spans="1:6" x14ac:dyDescent="0.25">
      <c r="A4315">
        <v>4314</v>
      </c>
      <c r="B4315">
        <v>13</v>
      </c>
      <c r="C4315">
        <v>0</v>
      </c>
      <c r="D4315">
        <v>0</v>
      </c>
      <c r="E4315">
        <v>0</v>
      </c>
      <c r="F4315">
        <v>1602</v>
      </c>
    </row>
    <row r="4316" spans="1:6" x14ac:dyDescent="0.25">
      <c r="A4316">
        <v>4315</v>
      </c>
      <c r="B4316">
        <v>41</v>
      </c>
      <c r="C4316">
        <v>0</v>
      </c>
      <c r="D4316">
        <v>0</v>
      </c>
      <c r="E4316">
        <v>0</v>
      </c>
      <c r="F4316">
        <v>1</v>
      </c>
    </row>
    <row r="4317" spans="1:6" x14ac:dyDescent="0.25">
      <c r="A4317">
        <v>4316</v>
      </c>
      <c r="B4317">
        <v>42</v>
      </c>
      <c r="C4317">
        <v>0</v>
      </c>
      <c r="D4317">
        <v>0</v>
      </c>
      <c r="E4317">
        <v>0</v>
      </c>
      <c r="F4317">
        <v>0.2</v>
      </c>
    </row>
    <row r="4318" spans="1:6" x14ac:dyDescent="0.25">
      <c r="A4318">
        <v>4317</v>
      </c>
      <c r="B4318">
        <v>43</v>
      </c>
      <c r="C4318">
        <v>0</v>
      </c>
      <c r="D4318">
        <v>0</v>
      </c>
      <c r="E4318">
        <v>0</v>
      </c>
      <c r="F4318">
        <v>0</v>
      </c>
    </row>
    <row r="4319" spans="1:6" x14ac:dyDescent="0.25">
      <c r="A4319">
        <v>4318</v>
      </c>
      <c r="B4319">
        <v>44</v>
      </c>
      <c r="C4319">
        <v>0</v>
      </c>
      <c r="D4319">
        <v>0</v>
      </c>
      <c r="E4319">
        <v>0</v>
      </c>
      <c r="F4319">
        <v>38.5015</v>
      </c>
    </row>
    <row r="4320" spans="1:6" x14ac:dyDescent="0.25">
      <c r="A4320">
        <v>4319</v>
      </c>
      <c r="B4320">
        <v>45</v>
      </c>
      <c r="C4320">
        <v>0</v>
      </c>
      <c r="D4320">
        <v>0</v>
      </c>
      <c r="E4320">
        <v>0</v>
      </c>
      <c r="F4320">
        <v>4400</v>
      </c>
    </row>
    <row r="4321" spans="1:6" x14ac:dyDescent="0.25">
      <c r="A4321">
        <v>4320</v>
      </c>
      <c r="B4321">
        <v>46</v>
      </c>
      <c r="C4321">
        <v>0</v>
      </c>
      <c r="D4321">
        <v>0</v>
      </c>
      <c r="E4321">
        <v>0</v>
      </c>
      <c r="F4321">
        <v>0</v>
      </c>
    </row>
    <row r="4322" spans="1:6" x14ac:dyDescent="0.25">
      <c r="A4322">
        <v>4321</v>
      </c>
      <c r="B4322">
        <v>2</v>
      </c>
      <c r="C4322">
        <v>0</v>
      </c>
      <c r="D4322">
        <v>0</v>
      </c>
      <c r="E4322">
        <v>0</v>
      </c>
      <c r="F4322">
        <v>34.406999999999996</v>
      </c>
    </row>
    <row r="4323" spans="1:6" x14ac:dyDescent="0.25">
      <c r="A4323">
        <v>4322</v>
      </c>
      <c r="B4323">
        <v>10</v>
      </c>
      <c r="C4323">
        <v>1</v>
      </c>
      <c r="D4323">
        <v>0</v>
      </c>
      <c r="E4323">
        <v>0</v>
      </c>
      <c r="F4323">
        <v>34715</v>
      </c>
    </row>
    <row r="4324" spans="1:6" x14ac:dyDescent="0.25">
      <c r="A4324">
        <v>4323</v>
      </c>
      <c r="B4324">
        <v>13</v>
      </c>
      <c r="C4324">
        <v>0</v>
      </c>
      <c r="D4324">
        <v>0</v>
      </c>
      <c r="E4324">
        <v>0</v>
      </c>
      <c r="F4324">
        <v>1602</v>
      </c>
    </row>
    <row r="4325" spans="1:6" x14ac:dyDescent="0.25">
      <c r="A4325">
        <v>4324</v>
      </c>
      <c r="B4325">
        <v>41</v>
      </c>
      <c r="C4325">
        <v>0</v>
      </c>
      <c r="D4325">
        <v>0</v>
      </c>
      <c r="E4325">
        <v>0</v>
      </c>
      <c r="F4325">
        <v>1</v>
      </c>
    </row>
    <row r="4326" spans="1:6" x14ac:dyDescent="0.25">
      <c r="A4326">
        <v>4325</v>
      </c>
      <c r="B4326">
        <v>42</v>
      </c>
      <c r="C4326">
        <v>0</v>
      </c>
      <c r="D4326">
        <v>0</v>
      </c>
      <c r="E4326">
        <v>0</v>
      </c>
      <c r="F4326">
        <v>0.2</v>
      </c>
    </row>
    <row r="4327" spans="1:6" x14ac:dyDescent="0.25">
      <c r="A4327">
        <v>4326</v>
      </c>
      <c r="B4327">
        <v>43</v>
      </c>
      <c r="C4327">
        <v>0</v>
      </c>
      <c r="D4327">
        <v>0</v>
      </c>
      <c r="E4327">
        <v>0</v>
      </c>
      <c r="F4327">
        <v>0</v>
      </c>
    </row>
    <row r="4328" spans="1:6" x14ac:dyDescent="0.25">
      <c r="A4328">
        <v>4327</v>
      </c>
      <c r="B4328">
        <v>44</v>
      </c>
      <c r="C4328">
        <v>0</v>
      </c>
      <c r="D4328">
        <v>0</v>
      </c>
      <c r="E4328">
        <v>0</v>
      </c>
      <c r="F4328">
        <v>38.5015</v>
      </c>
    </row>
    <row r="4329" spans="1:6" x14ac:dyDescent="0.25">
      <c r="A4329">
        <v>4328</v>
      </c>
      <c r="B4329" t="s">
        <v>0</v>
      </c>
      <c r="C4329">
        <v>86</v>
      </c>
      <c r="D4329">
        <v>3483</v>
      </c>
      <c r="E4329">
        <v>80010507</v>
      </c>
    </row>
    <row r="4330" spans="1:6" x14ac:dyDescent="0.25">
      <c r="A4330">
        <v>4329</v>
      </c>
      <c r="B4330">
        <v>45</v>
      </c>
      <c r="C4330">
        <v>0</v>
      </c>
      <c r="D4330">
        <v>0</v>
      </c>
      <c r="E4330">
        <v>0</v>
      </c>
      <c r="F4330">
        <v>4400</v>
      </c>
    </row>
    <row r="4331" spans="1:6" x14ac:dyDescent="0.25">
      <c r="A4331">
        <v>4330</v>
      </c>
      <c r="B4331">
        <v>46</v>
      </c>
      <c r="C4331">
        <v>0</v>
      </c>
      <c r="D4331">
        <v>0</v>
      </c>
      <c r="E4331">
        <v>0</v>
      </c>
      <c r="F4331">
        <v>0</v>
      </c>
    </row>
    <row r="4332" spans="1:6" x14ac:dyDescent="0.25">
      <c r="A4332">
        <v>4331</v>
      </c>
      <c r="B4332">
        <v>2</v>
      </c>
      <c r="C4332">
        <v>0</v>
      </c>
      <c r="D4332">
        <v>0</v>
      </c>
      <c r="E4332">
        <v>0</v>
      </c>
      <c r="F4332">
        <v>34.4069</v>
      </c>
    </row>
    <row r="4333" spans="1:6" x14ac:dyDescent="0.25">
      <c r="A4333">
        <v>4332</v>
      </c>
      <c r="B4333">
        <v>10</v>
      </c>
      <c r="C4333">
        <v>1</v>
      </c>
      <c r="D4333">
        <v>0</v>
      </c>
      <c r="E4333">
        <v>0</v>
      </c>
      <c r="F4333">
        <v>34715</v>
      </c>
    </row>
    <row r="4334" spans="1:6" x14ac:dyDescent="0.25">
      <c r="A4334">
        <v>4333</v>
      </c>
      <c r="B4334">
        <v>13</v>
      </c>
      <c r="C4334">
        <v>0</v>
      </c>
      <c r="D4334">
        <v>0</v>
      </c>
      <c r="E4334">
        <v>0</v>
      </c>
      <c r="F4334">
        <v>1602</v>
      </c>
    </row>
    <row r="4335" spans="1:6" x14ac:dyDescent="0.25">
      <c r="A4335">
        <v>4334</v>
      </c>
      <c r="B4335">
        <v>41</v>
      </c>
      <c r="C4335">
        <v>0</v>
      </c>
      <c r="D4335">
        <v>0</v>
      </c>
      <c r="E4335">
        <v>0</v>
      </c>
      <c r="F4335">
        <v>1</v>
      </c>
    </row>
    <row r="4336" spans="1:6" x14ac:dyDescent="0.25">
      <c r="A4336">
        <v>4335</v>
      </c>
      <c r="B4336">
        <v>42</v>
      </c>
      <c r="C4336">
        <v>0</v>
      </c>
      <c r="D4336">
        <v>0</v>
      </c>
      <c r="E4336">
        <v>0</v>
      </c>
      <c r="F4336">
        <v>0.2</v>
      </c>
    </row>
    <row r="4337" spans="1:6" x14ac:dyDescent="0.25">
      <c r="A4337">
        <v>4336</v>
      </c>
      <c r="B4337">
        <v>43</v>
      </c>
      <c r="C4337">
        <v>0</v>
      </c>
      <c r="D4337">
        <v>0</v>
      </c>
      <c r="E4337">
        <v>0</v>
      </c>
      <c r="F4337">
        <v>0</v>
      </c>
    </row>
    <row r="4338" spans="1:6" x14ac:dyDescent="0.25">
      <c r="A4338">
        <v>4337</v>
      </c>
      <c r="B4338">
        <v>44</v>
      </c>
      <c r="C4338">
        <v>0</v>
      </c>
      <c r="D4338">
        <v>0</v>
      </c>
      <c r="E4338">
        <v>0</v>
      </c>
      <c r="F4338">
        <v>38.751600000000003</v>
      </c>
    </row>
    <row r="4339" spans="1:6" x14ac:dyDescent="0.25">
      <c r="A4339">
        <v>4338</v>
      </c>
      <c r="B4339">
        <v>45</v>
      </c>
      <c r="C4339">
        <v>0</v>
      </c>
      <c r="D4339">
        <v>0</v>
      </c>
      <c r="E4339">
        <v>0</v>
      </c>
      <c r="F4339">
        <v>4400</v>
      </c>
    </row>
    <row r="4340" spans="1:6" x14ac:dyDescent="0.25">
      <c r="A4340">
        <v>4339</v>
      </c>
      <c r="B4340">
        <v>46</v>
      </c>
      <c r="C4340">
        <v>0</v>
      </c>
      <c r="D4340">
        <v>0</v>
      </c>
      <c r="E4340">
        <v>0</v>
      </c>
      <c r="F4340">
        <v>0</v>
      </c>
    </row>
    <row r="4341" spans="1:6" x14ac:dyDescent="0.25">
      <c r="A4341">
        <v>4340</v>
      </c>
      <c r="B4341">
        <v>2</v>
      </c>
      <c r="C4341">
        <v>0</v>
      </c>
      <c r="D4341">
        <v>0</v>
      </c>
      <c r="E4341">
        <v>0</v>
      </c>
      <c r="F4341">
        <v>34.4069</v>
      </c>
    </row>
    <row r="4342" spans="1:6" x14ac:dyDescent="0.25">
      <c r="A4342">
        <v>4341</v>
      </c>
      <c r="B4342">
        <v>10</v>
      </c>
      <c r="C4342">
        <v>1</v>
      </c>
      <c r="D4342">
        <v>0</v>
      </c>
      <c r="E4342">
        <v>0</v>
      </c>
      <c r="F4342">
        <v>34715</v>
      </c>
    </row>
    <row r="4343" spans="1:6" x14ac:dyDescent="0.25">
      <c r="A4343">
        <v>4342</v>
      </c>
      <c r="B4343">
        <v>13</v>
      </c>
      <c r="C4343">
        <v>0</v>
      </c>
      <c r="D4343">
        <v>0</v>
      </c>
      <c r="E4343">
        <v>0</v>
      </c>
      <c r="F4343">
        <v>1602</v>
      </c>
    </row>
    <row r="4344" spans="1:6" x14ac:dyDescent="0.25">
      <c r="A4344">
        <v>4343</v>
      </c>
      <c r="B4344">
        <v>41</v>
      </c>
      <c r="C4344">
        <v>0</v>
      </c>
      <c r="D4344">
        <v>0</v>
      </c>
      <c r="E4344">
        <v>0</v>
      </c>
      <c r="F4344">
        <v>1</v>
      </c>
    </row>
    <row r="4345" spans="1:6" x14ac:dyDescent="0.25">
      <c r="A4345">
        <v>4344</v>
      </c>
      <c r="B4345">
        <v>42</v>
      </c>
      <c r="C4345">
        <v>0</v>
      </c>
      <c r="D4345">
        <v>0</v>
      </c>
      <c r="E4345">
        <v>0</v>
      </c>
      <c r="F4345">
        <v>0.2</v>
      </c>
    </row>
    <row r="4346" spans="1:6" x14ac:dyDescent="0.25">
      <c r="A4346">
        <v>4345</v>
      </c>
      <c r="B4346">
        <v>43</v>
      </c>
      <c r="C4346">
        <v>0</v>
      </c>
      <c r="D4346">
        <v>0</v>
      </c>
      <c r="E4346">
        <v>0</v>
      </c>
      <c r="F4346">
        <v>0</v>
      </c>
    </row>
    <row r="4347" spans="1:6" x14ac:dyDescent="0.25">
      <c r="A4347">
        <v>4346</v>
      </c>
      <c r="B4347">
        <v>44</v>
      </c>
      <c r="C4347">
        <v>0</v>
      </c>
      <c r="D4347">
        <v>0</v>
      </c>
      <c r="E4347">
        <v>0</v>
      </c>
      <c r="F4347">
        <v>38.976599999999998</v>
      </c>
    </row>
    <row r="4348" spans="1:6" x14ac:dyDescent="0.25">
      <c r="A4348">
        <v>4347</v>
      </c>
      <c r="B4348">
        <v>45</v>
      </c>
      <c r="C4348">
        <v>0</v>
      </c>
      <c r="D4348">
        <v>0</v>
      </c>
      <c r="E4348">
        <v>0</v>
      </c>
      <c r="F4348">
        <v>4400</v>
      </c>
    </row>
    <row r="4349" spans="1:6" x14ac:dyDescent="0.25">
      <c r="A4349">
        <v>4348</v>
      </c>
      <c r="B4349">
        <v>46</v>
      </c>
      <c r="C4349">
        <v>0</v>
      </c>
      <c r="D4349">
        <v>0</v>
      </c>
      <c r="E4349">
        <v>0</v>
      </c>
      <c r="F4349">
        <v>0</v>
      </c>
    </row>
    <row r="4350" spans="1:6" x14ac:dyDescent="0.25">
      <c r="A4350">
        <v>4349</v>
      </c>
      <c r="B4350">
        <v>2</v>
      </c>
      <c r="C4350">
        <v>0</v>
      </c>
      <c r="D4350">
        <v>0</v>
      </c>
      <c r="E4350">
        <v>0</v>
      </c>
      <c r="F4350">
        <v>34.4069</v>
      </c>
    </row>
    <row r="4351" spans="1:6" x14ac:dyDescent="0.25">
      <c r="A4351">
        <v>4350</v>
      </c>
      <c r="B4351">
        <v>10</v>
      </c>
      <c r="C4351">
        <v>1</v>
      </c>
      <c r="D4351">
        <v>0</v>
      </c>
      <c r="E4351">
        <v>0</v>
      </c>
      <c r="F4351">
        <v>34715</v>
      </c>
    </row>
    <row r="4352" spans="1:6" x14ac:dyDescent="0.25">
      <c r="A4352">
        <v>4351</v>
      </c>
      <c r="B4352">
        <v>13</v>
      </c>
      <c r="C4352">
        <v>0</v>
      </c>
      <c r="D4352">
        <v>0</v>
      </c>
      <c r="E4352">
        <v>0</v>
      </c>
      <c r="F4352">
        <v>1602</v>
      </c>
    </row>
    <row r="4353" spans="1:6" x14ac:dyDescent="0.25">
      <c r="A4353">
        <v>4352</v>
      </c>
      <c r="B4353">
        <v>41</v>
      </c>
      <c r="C4353">
        <v>0</v>
      </c>
      <c r="D4353">
        <v>0</v>
      </c>
      <c r="E4353">
        <v>0</v>
      </c>
      <c r="F4353">
        <v>1</v>
      </c>
    </row>
    <row r="4354" spans="1:6" x14ac:dyDescent="0.25">
      <c r="A4354">
        <v>4353</v>
      </c>
      <c r="B4354">
        <v>42</v>
      </c>
      <c r="C4354">
        <v>0</v>
      </c>
      <c r="D4354">
        <v>0</v>
      </c>
      <c r="E4354">
        <v>0</v>
      </c>
      <c r="F4354">
        <v>0.2</v>
      </c>
    </row>
    <row r="4355" spans="1:6" x14ac:dyDescent="0.25">
      <c r="A4355">
        <v>4354</v>
      </c>
      <c r="B4355">
        <v>43</v>
      </c>
      <c r="C4355">
        <v>0</v>
      </c>
      <c r="D4355">
        <v>0</v>
      </c>
      <c r="E4355">
        <v>0</v>
      </c>
      <c r="F4355">
        <v>0</v>
      </c>
    </row>
    <row r="4356" spans="1:6" x14ac:dyDescent="0.25">
      <c r="A4356">
        <v>4355</v>
      </c>
      <c r="B4356">
        <v>44</v>
      </c>
      <c r="C4356">
        <v>0</v>
      </c>
      <c r="D4356">
        <v>0</v>
      </c>
      <c r="E4356">
        <v>0</v>
      </c>
      <c r="F4356">
        <v>38.976599999999998</v>
      </c>
    </row>
    <row r="4357" spans="1:6" x14ac:dyDescent="0.25">
      <c r="A4357">
        <v>4356</v>
      </c>
      <c r="B4357">
        <v>45</v>
      </c>
      <c r="C4357">
        <v>0</v>
      </c>
      <c r="D4357">
        <v>0</v>
      </c>
      <c r="E4357">
        <v>0</v>
      </c>
      <c r="F4357">
        <v>4400</v>
      </c>
    </row>
    <row r="4358" spans="1:6" x14ac:dyDescent="0.25">
      <c r="A4358">
        <v>4357</v>
      </c>
      <c r="B4358">
        <v>46</v>
      </c>
      <c r="C4358">
        <v>0</v>
      </c>
      <c r="D4358">
        <v>0</v>
      </c>
      <c r="E4358">
        <v>0</v>
      </c>
      <c r="F4358">
        <v>0</v>
      </c>
    </row>
    <row r="4359" spans="1:6" x14ac:dyDescent="0.25">
      <c r="A4359">
        <v>4358</v>
      </c>
      <c r="B4359" t="s">
        <v>0</v>
      </c>
      <c r="C4359">
        <v>88</v>
      </c>
      <c r="D4359">
        <v>3483</v>
      </c>
      <c r="E4359">
        <v>80012443</v>
      </c>
    </row>
    <row r="4360" spans="1:6" x14ac:dyDescent="0.25">
      <c r="A4360">
        <v>4359</v>
      </c>
      <c r="B4360">
        <v>10</v>
      </c>
      <c r="C4360">
        <v>1</v>
      </c>
      <c r="D4360">
        <v>0</v>
      </c>
      <c r="E4360">
        <v>0</v>
      </c>
      <c r="F4360">
        <v>34714</v>
      </c>
    </row>
    <row r="4361" spans="1:6" x14ac:dyDescent="0.25">
      <c r="A4361">
        <v>4360</v>
      </c>
      <c r="B4361">
        <v>13</v>
      </c>
      <c r="C4361">
        <v>0</v>
      </c>
      <c r="D4361">
        <v>0</v>
      </c>
      <c r="E4361">
        <v>0</v>
      </c>
      <c r="F4361">
        <v>1602</v>
      </c>
    </row>
    <row r="4362" spans="1:6" x14ac:dyDescent="0.25">
      <c r="A4362">
        <v>4361</v>
      </c>
      <c r="B4362">
        <v>41</v>
      </c>
      <c r="C4362">
        <v>0</v>
      </c>
      <c r="D4362">
        <v>0</v>
      </c>
      <c r="E4362">
        <v>0</v>
      </c>
      <c r="F4362">
        <v>1</v>
      </c>
    </row>
    <row r="4363" spans="1:6" x14ac:dyDescent="0.25">
      <c r="A4363">
        <v>4362</v>
      </c>
      <c r="B4363">
        <v>42</v>
      </c>
      <c r="C4363">
        <v>0</v>
      </c>
      <c r="D4363">
        <v>0</v>
      </c>
      <c r="E4363">
        <v>0</v>
      </c>
      <c r="F4363">
        <v>0.2</v>
      </c>
    </row>
    <row r="4364" spans="1:6" x14ac:dyDescent="0.25">
      <c r="A4364">
        <v>4363</v>
      </c>
      <c r="B4364">
        <v>43</v>
      </c>
      <c r="C4364">
        <v>0</v>
      </c>
      <c r="D4364">
        <v>0</v>
      </c>
      <c r="E4364">
        <v>0</v>
      </c>
      <c r="F4364">
        <v>0</v>
      </c>
    </row>
    <row r="4365" spans="1:6" x14ac:dyDescent="0.25">
      <c r="A4365">
        <v>4364</v>
      </c>
      <c r="B4365">
        <v>44</v>
      </c>
      <c r="C4365">
        <v>0</v>
      </c>
      <c r="D4365">
        <v>0</v>
      </c>
      <c r="E4365">
        <v>0</v>
      </c>
      <c r="F4365">
        <v>39.226199999999999</v>
      </c>
    </row>
    <row r="4366" spans="1:6" x14ac:dyDescent="0.25">
      <c r="A4366">
        <v>4365</v>
      </c>
      <c r="B4366">
        <v>45</v>
      </c>
      <c r="C4366">
        <v>0</v>
      </c>
      <c r="D4366">
        <v>0</v>
      </c>
      <c r="E4366">
        <v>0</v>
      </c>
      <c r="F4366">
        <v>4400</v>
      </c>
    </row>
    <row r="4367" spans="1:6" x14ac:dyDescent="0.25">
      <c r="A4367">
        <v>4366</v>
      </c>
      <c r="B4367">
        <v>46</v>
      </c>
      <c r="C4367">
        <v>0</v>
      </c>
      <c r="D4367">
        <v>0</v>
      </c>
      <c r="E4367">
        <v>0</v>
      </c>
      <c r="F4367">
        <v>0</v>
      </c>
    </row>
    <row r="4368" spans="1:6" x14ac:dyDescent="0.25">
      <c r="A4368">
        <v>4367</v>
      </c>
      <c r="B4368">
        <v>2</v>
      </c>
      <c r="C4368">
        <v>0</v>
      </c>
      <c r="D4368">
        <v>0</v>
      </c>
      <c r="E4368">
        <v>0</v>
      </c>
      <c r="F4368">
        <v>34.407299999999999</v>
      </c>
    </row>
    <row r="4369" spans="1:6" x14ac:dyDescent="0.25">
      <c r="A4369">
        <v>4368</v>
      </c>
      <c r="B4369">
        <v>10</v>
      </c>
      <c r="C4369">
        <v>1</v>
      </c>
      <c r="D4369">
        <v>0</v>
      </c>
      <c r="E4369">
        <v>0</v>
      </c>
      <c r="F4369">
        <v>34714</v>
      </c>
    </row>
    <row r="4370" spans="1:6" x14ac:dyDescent="0.25">
      <c r="A4370">
        <v>4369</v>
      </c>
      <c r="B4370">
        <v>13</v>
      </c>
      <c r="C4370">
        <v>0</v>
      </c>
      <c r="D4370">
        <v>0</v>
      </c>
      <c r="E4370">
        <v>0</v>
      </c>
      <c r="F4370">
        <v>1602</v>
      </c>
    </row>
    <row r="4371" spans="1:6" x14ac:dyDescent="0.25">
      <c r="A4371">
        <v>4370</v>
      </c>
      <c r="B4371">
        <v>41</v>
      </c>
      <c r="C4371">
        <v>0</v>
      </c>
      <c r="D4371">
        <v>0</v>
      </c>
      <c r="E4371">
        <v>0</v>
      </c>
      <c r="F4371">
        <v>1</v>
      </c>
    </row>
    <row r="4372" spans="1:6" x14ac:dyDescent="0.25">
      <c r="A4372">
        <v>4371</v>
      </c>
      <c r="B4372">
        <v>42</v>
      </c>
      <c r="C4372">
        <v>0</v>
      </c>
      <c r="D4372">
        <v>0</v>
      </c>
      <c r="E4372">
        <v>0</v>
      </c>
      <c r="F4372">
        <v>0.2</v>
      </c>
    </row>
    <row r="4373" spans="1:6" x14ac:dyDescent="0.25">
      <c r="A4373">
        <v>4372</v>
      </c>
      <c r="B4373">
        <v>43</v>
      </c>
      <c r="C4373">
        <v>0</v>
      </c>
      <c r="D4373">
        <v>0</v>
      </c>
      <c r="E4373">
        <v>0</v>
      </c>
      <c r="F4373">
        <v>0</v>
      </c>
    </row>
    <row r="4374" spans="1:6" x14ac:dyDescent="0.25">
      <c r="A4374">
        <v>4373</v>
      </c>
      <c r="B4374" t="s">
        <v>0</v>
      </c>
      <c r="C4374">
        <v>89</v>
      </c>
      <c r="D4374">
        <v>3483</v>
      </c>
      <c r="E4374">
        <v>80013411</v>
      </c>
    </row>
    <row r="4375" spans="1:6" x14ac:dyDescent="0.25">
      <c r="A4375">
        <v>4374</v>
      </c>
      <c r="B4375">
        <v>44</v>
      </c>
      <c r="C4375">
        <v>0</v>
      </c>
      <c r="D4375">
        <v>0</v>
      </c>
      <c r="E4375">
        <v>0</v>
      </c>
      <c r="F4375">
        <v>39.476599999999998</v>
      </c>
    </row>
    <row r="4376" spans="1:6" x14ac:dyDescent="0.25">
      <c r="A4376">
        <v>4375</v>
      </c>
      <c r="B4376">
        <v>45</v>
      </c>
      <c r="C4376">
        <v>0</v>
      </c>
      <c r="D4376">
        <v>0</v>
      </c>
      <c r="E4376">
        <v>0</v>
      </c>
      <c r="F4376">
        <v>4400</v>
      </c>
    </row>
    <row r="4377" spans="1:6" x14ac:dyDescent="0.25">
      <c r="A4377">
        <v>4376</v>
      </c>
      <c r="B4377">
        <v>46</v>
      </c>
      <c r="C4377">
        <v>0</v>
      </c>
      <c r="D4377">
        <v>0</v>
      </c>
      <c r="E4377">
        <v>0</v>
      </c>
      <c r="F4377">
        <v>0</v>
      </c>
    </row>
    <row r="4378" spans="1:6" x14ac:dyDescent="0.25">
      <c r="A4378">
        <v>4377</v>
      </c>
      <c r="B4378">
        <v>2</v>
      </c>
      <c r="C4378">
        <v>0</v>
      </c>
      <c r="D4378">
        <v>0</v>
      </c>
      <c r="E4378">
        <v>0</v>
      </c>
      <c r="F4378">
        <v>34.406999999999996</v>
      </c>
    </row>
    <row r="4379" spans="1:6" x14ac:dyDescent="0.25">
      <c r="A4379">
        <v>4378</v>
      </c>
      <c r="B4379">
        <v>10</v>
      </c>
      <c r="C4379">
        <v>1</v>
      </c>
      <c r="D4379">
        <v>0</v>
      </c>
      <c r="E4379">
        <v>0</v>
      </c>
      <c r="F4379">
        <v>34715</v>
      </c>
    </row>
    <row r="4380" spans="1:6" x14ac:dyDescent="0.25">
      <c r="A4380">
        <v>4379</v>
      </c>
      <c r="B4380">
        <v>13</v>
      </c>
      <c r="C4380">
        <v>0</v>
      </c>
      <c r="D4380">
        <v>0</v>
      </c>
      <c r="E4380">
        <v>0</v>
      </c>
      <c r="F4380">
        <v>1602</v>
      </c>
    </row>
    <row r="4381" spans="1:6" x14ac:dyDescent="0.25">
      <c r="A4381">
        <v>4380</v>
      </c>
      <c r="B4381">
        <v>41</v>
      </c>
      <c r="C4381">
        <v>0</v>
      </c>
      <c r="D4381">
        <v>0</v>
      </c>
      <c r="E4381">
        <v>0</v>
      </c>
      <c r="F4381">
        <v>1</v>
      </c>
    </row>
    <row r="4382" spans="1:6" x14ac:dyDescent="0.25">
      <c r="A4382">
        <v>4381</v>
      </c>
      <c r="B4382">
        <v>42</v>
      </c>
      <c r="C4382">
        <v>0</v>
      </c>
      <c r="D4382">
        <v>0</v>
      </c>
      <c r="E4382">
        <v>0</v>
      </c>
      <c r="F4382">
        <v>0.2</v>
      </c>
    </row>
    <row r="4383" spans="1:6" x14ac:dyDescent="0.25">
      <c r="A4383">
        <v>4382</v>
      </c>
      <c r="B4383">
        <v>43</v>
      </c>
      <c r="C4383">
        <v>0</v>
      </c>
      <c r="D4383">
        <v>0</v>
      </c>
      <c r="E4383">
        <v>0</v>
      </c>
      <c r="F4383">
        <v>0</v>
      </c>
    </row>
    <row r="4384" spans="1:6" x14ac:dyDescent="0.25">
      <c r="A4384">
        <v>4383</v>
      </c>
      <c r="B4384">
        <v>44</v>
      </c>
      <c r="C4384">
        <v>0</v>
      </c>
      <c r="D4384">
        <v>0</v>
      </c>
      <c r="E4384">
        <v>0</v>
      </c>
      <c r="F4384">
        <v>39.476599999999998</v>
      </c>
    </row>
    <row r="4385" spans="1:6" x14ac:dyDescent="0.25">
      <c r="A4385">
        <v>4384</v>
      </c>
      <c r="B4385">
        <v>45</v>
      </c>
      <c r="C4385">
        <v>0</v>
      </c>
      <c r="D4385">
        <v>0</v>
      </c>
      <c r="E4385">
        <v>0</v>
      </c>
      <c r="F4385">
        <v>4400</v>
      </c>
    </row>
    <row r="4386" spans="1:6" x14ac:dyDescent="0.25">
      <c r="A4386">
        <v>4385</v>
      </c>
      <c r="B4386">
        <v>46</v>
      </c>
      <c r="C4386">
        <v>0</v>
      </c>
      <c r="D4386">
        <v>0</v>
      </c>
      <c r="E4386">
        <v>0</v>
      </c>
      <c r="F4386">
        <v>0</v>
      </c>
    </row>
    <row r="4387" spans="1:6" x14ac:dyDescent="0.25">
      <c r="A4387">
        <v>4386</v>
      </c>
      <c r="B4387">
        <v>2</v>
      </c>
      <c r="C4387">
        <v>0</v>
      </c>
      <c r="D4387">
        <v>0</v>
      </c>
      <c r="E4387">
        <v>0</v>
      </c>
      <c r="F4387">
        <v>34.406999999999996</v>
      </c>
    </row>
    <row r="4388" spans="1:6" x14ac:dyDescent="0.25">
      <c r="A4388">
        <v>4387</v>
      </c>
      <c r="B4388">
        <v>10</v>
      </c>
      <c r="C4388">
        <v>1</v>
      </c>
      <c r="D4388">
        <v>0</v>
      </c>
      <c r="E4388">
        <v>0</v>
      </c>
      <c r="F4388">
        <v>34715</v>
      </c>
    </row>
    <row r="4389" spans="1:6" x14ac:dyDescent="0.25">
      <c r="A4389">
        <v>4388</v>
      </c>
      <c r="B4389">
        <v>13</v>
      </c>
      <c r="C4389">
        <v>0</v>
      </c>
      <c r="D4389">
        <v>0</v>
      </c>
      <c r="E4389">
        <v>0</v>
      </c>
      <c r="F4389">
        <v>1602</v>
      </c>
    </row>
    <row r="4390" spans="1:6" x14ac:dyDescent="0.25">
      <c r="A4390">
        <v>4389</v>
      </c>
      <c r="B4390">
        <v>41</v>
      </c>
      <c r="C4390">
        <v>0</v>
      </c>
      <c r="D4390">
        <v>0</v>
      </c>
      <c r="E4390">
        <v>0</v>
      </c>
      <c r="F4390">
        <v>1</v>
      </c>
    </row>
    <row r="4391" spans="1:6" x14ac:dyDescent="0.25">
      <c r="A4391">
        <v>4390</v>
      </c>
      <c r="B4391">
        <v>42</v>
      </c>
      <c r="C4391">
        <v>0</v>
      </c>
      <c r="D4391">
        <v>0</v>
      </c>
      <c r="E4391">
        <v>0</v>
      </c>
      <c r="F4391">
        <v>0.2</v>
      </c>
    </row>
    <row r="4392" spans="1:6" x14ac:dyDescent="0.25">
      <c r="A4392">
        <v>4391</v>
      </c>
      <c r="B4392">
        <v>43</v>
      </c>
      <c r="C4392">
        <v>0</v>
      </c>
      <c r="D4392">
        <v>0</v>
      </c>
      <c r="E4392">
        <v>0</v>
      </c>
      <c r="F4392">
        <v>0</v>
      </c>
    </row>
    <row r="4393" spans="1:6" x14ac:dyDescent="0.25">
      <c r="A4393">
        <v>4392</v>
      </c>
      <c r="B4393">
        <v>44</v>
      </c>
      <c r="C4393">
        <v>0</v>
      </c>
      <c r="D4393">
        <v>0</v>
      </c>
      <c r="E4393">
        <v>0</v>
      </c>
      <c r="F4393">
        <v>39.701500000000003</v>
      </c>
    </row>
    <row r="4394" spans="1:6" x14ac:dyDescent="0.25">
      <c r="A4394">
        <v>4393</v>
      </c>
      <c r="B4394">
        <v>45</v>
      </c>
      <c r="C4394">
        <v>0</v>
      </c>
      <c r="D4394">
        <v>0</v>
      </c>
      <c r="E4394">
        <v>0</v>
      </c>
      <c r="F4394">
        <v>4400</v>
      </c>
    </row>
    <row r="4395" spans="1:6" x14ac:dyDescent="0.25">
      <c r="A4395">
        <v>4394</v>
      </c>
      <c r="B4395">
        <v>46</v>
      </c>
      <c r="C4395">
        <v>0</v>
      </c>
      <c r="D4395">
        <v>0</v>
      </c>
      <c r="E4395">
        <v>0</v>
      </c>
      <c r="F4395">
        <v>0</v>
      </c>
    </row>
    <row r="4396" spans="1:6" x14ac:dyDescent="0.25">
      <c r="A4396">
        <v>4395</v>
      </c>
      <c r="B4396">
        <v>2</v>
      </c>
      <c r="C4396">
        <v>0</v>
      </c>
      <c r="D4396">
        <v>0</v>
      </c>
      <c r="E4396">
        <v>0</v>
      </c>
      <c r="F4396">
        <v>34.406999999999996</v>
      </c>
    </row>
    <row r="4397" spans="1:6" x14ac:dyDescent="0.25">
      <c r="A4397">
        <v>4396</v>
      </c>
      <c r="B4397">
        <v>10</v>
      </c>
      <c r="C4397">
        <v>1</v>
      </c>
      <c r="D4397">
        <v>0</v>
      </c>
      <c r="E4397">
        <v>0</v>
      </c>
      <c r="F4397">
        <v>34715</v>
      </c>
    </row>
    <row r="4398" spans="1:6" x14ac:dyDescent="0.25">
      <c r="A4398">
        <v>4397</v>
      </c>
      <c r="B4398">
        <v>13</v>
      </c>
      <c r="C4398">
        <v>0</v>
      </c>
      <c r="D4398">
        <v>0</v>
      </c>
      <c r="E4398">
        <v>0</v>
      </c>
      <c r="F4398">
        <v>1602</v>
      </c>
    </row>
    <row r="4399" spans="1:6" x14ac:dyDescent="0.25">
      <c r="A4399">
        <v>4398</v>
      </c>
      <c r="B4399">
        <v>41</v>
      </c>
      <c r="C4399">
        <v>0</v>
      </c>
      <c r="D4399">
        <v>0</v>
      </c>
      <c r="E4399">
        <v>0</v>
      </c>
      <c r="F4399">
        <v>1</v>
      </c>
    </row>
    <row r="4400" spans="1:6" x14ac:dyDescent="0.25">
      <c r="A4400">
        <v>4399</v>
      </c>
      <c r="B4400">
        <v>42</v>
      </c>
      <c r="C4400">
        <v>0</v>
      </c>
      <c r="D4400">
        <v>0</v>
      </c>
      <c r="E4400">
        <v>0</v>
      </c>
      <c r="F4400">
        <v>0.2</v>
      </c>
    </row>
    <row r="4401" spans="1:6" x14ac:dyDescent="0.25">
      <c r="A4401">
        <v>4400</v>
      </c>
      <c r="B4401">
        <v>43</v>
      </c>
      <c r="C4401">
        <v>0</v>
      </c>
      <c r="D4401">
        <v>0</v>
      </c>
      <c r="E4401">
        <v>0</v>
      </c>
      <c r="F4401">
        <v>0</v>
      </c>
    </row>
    <row r="4402" spans="1:6" x14ac:dyDescent="0.25">
      <c r="A4402">
        <v>4401</v>
      </c>
      <c r="B4402">
        <v>44</v>
      </c>
      <c r="C4402">
        <v>0</v>
      </c>
      <c r="D4402">
        <v>0</v>
      </c>
      <c r="E4402">
        <v>0</v>
      </c>
      <c r="F4402">
        <v>39.701500000000003</v>
      </c>
    </row>
    <row r="4403" spans="1:6" x14ac:dyDescent="0.25">
      <c r="A4403">
        <v>4402</v>
      </c>
      <c r="B4403">
        <v>45</v>
      </c>
      <c r="C4403">
        <v>0</v>
      </c>
      <c r="D4403">
        <v>0</v>
      </c>
      <c r="E4403">
        <v>0</v>
      </c>
      <c r="F4403">
        <v>4400</v>
      </c>
    </row>
    <row r="4404" spans="1:6" x14ac:dyDescent="0.25">
      <c r="A4404">
        <v>4403</v>
      </c>
      <c r="B4404" t="s">
        <v>0</v>
      </c>
      <c r="C4404">
        <v>91</v>
      </c>
      <c r="D4404">
        <v>3483</v>
      </c>
      <c r="E4404">
        <v>80015346</v>
      </c>
    </row>
    <row r="4405" spans="1:6" x14ac:dyDescent="0.25">
      <c r="A4405">
        <v>4404</v>
      </c>
      <c r="B4405">
        <v>2</v>
      </c>
      <c r="C4405">
        <v>0</v>
      </c>
      <c r="D4405">
        <v>0</v>
      </c>
      <c r="E4405">
        <v>0</v>
      </c>
      <c r="F4405">
        <v>34.407800000000002</v>
      </c>
    </row>
    <row r="4406" spans="1:6" x14ac:dyDescent="0.25">
      <c r="A4406">
        <v>4405</v>
      </c>
      <c r="B4406">
        <v>10</v>
      </c>
      <c r="C4406">
        <v>1</v>
      </c>
      <c r="D4406">
        <v>0</v>
      </c>
      <c r="E4406">
        <v>0</v>
      </c>
      <c r="F4406">
        <v>34714</v>
      </c>
    </row>
    <row r="4407" spans="1:6" x14ac:dyDescent="0.25">
      <c r="A4407">
        <v>4406</v>
      </c>
      <c r="B4407">
        <v>13</v>
      </c>
      <c r="C4407">
        <v>0</v>
      </c>
      <c r="D4407">
        <v>0</v>
      </c>
      <c r="E4407">
        <v>0</v>
      </c>
      <c r="F4407">
        <v>1602</v>
      </c>
    </row>
    <row r="4408" spans="1:6" x14ac:dyDescent="0.25">
      <c r="A4408">
        <v>4407</v>
      </c>
      <c r="B4408">
        <v>41</v>
      </c>
      <c r="C4408">
        <v>0</v>
      </c>
      <c r="D4408">
        <v>0</v>
      </c>
      <c r="E4408">
        <v>0</v>
      </c>
      <c r="F4408">
        <v>1</v>
      </c>
    </row>
    <row r="4409" spans="1:6" x14ac:dyDescent="0.25">
      <c r="A4409">
        <v>4408</v>
      </c>
      <c r="B4409">
        <v>42</v>
      </c>
      <c r="C4409">
        <v>0</v>
      </c>
      <c r="D4409">
        <v>0</v>
      </c>
      <c r="E4409">
        <v>0</v>
      </c>
      <c r="F4409">
        <v>0.2</v>
      </c>
    </row>
    <row r="4410" spans="1:6" x14ac:dyDescent="0.25">
      <c r="A4410">
        <v>4409</v>
      </c>
      <c r="B4410">
        <v>43</v>
      </c>
      <c r="C4410">
        <v>0</v>
      </c>
      <c r="D4410">
        <v>0</v>
      </c>
      <c r="E4410">
        <v>0</v>
      </c>
      <c r="F4410">
        <v>0</v>
      </c>
    </row>
    <row r="4411" spans="1:6" x14ac:dyDescent="0.25">
      <c r="A4411">
        <v>4410</v>
      </c>
      <c r="B4411">
        <v>44</v>
      </c>
      <c r="C4411">
        <v>0</v>
      </c>
      <c r="D4411">
        <v>0</v>
      </c>
      <c r="E4411">
        <v>0</v>
      </c>
      <c r="F4411">
        <v>39.950800000000001</v>
      </c>
    </row>
    <row r="4412" spans="1:6" x14ac:dyDescent="0.25">
      <c r="A4412">
        <v>4411</v>
      </c>
      <c r="B4412">
        <v>45</v>
      </c>
      <c r="C4412">
        <v>0</v>
      </c>
      <c r="D4412">
        <v>0</v>
      </c>
      <c r="E4412">
        <v>0</v>
      </c>
      <c r="F4412">
        <v>4400</v>
      </c>
    </row>
    <row r="4413" spans="1:6" x14ac:dyDescent="0.25">
      <c r="A4413">
        <v>4412</v>
      </c>
      <c r="B4413">
        <v>46</v>
      </c>
      <c r="C4413">
        <v>0</v>
      </c>
      <c r="D4413">
        <v>0</v>
      </c>
      <c r="E4413">
        <v>0</v>
      </c>
      <c r="F4413">
        <v>0</v>
      </c>
    </row>
    <row r="4414" spans="1:6" x14ac:dyDescent="0.25">
      <c r="A4414">
        <v>4413</v>
      </c>
      <c r="B4414">
        <v>2</v>
      </c>
      <c r="C4414">
        <v>0</v>
      </c>
      <c r="D4414">
        <v>0</v>
      </c>
      <c r="E4414">
        <v>0</v>
      </c>
      <c r="F4414">
        <v>34.407800000000002</v>
      </c>
    </row>
    <row r="4415" spans="1:6" x14ac:dyDescent="0.25">
      <c r="A4415">
        <v>4414</v>
      </c>
      <c r="B4415">
        <v>10</v>
      </c>
      <c r="C4415">
        <v>1</v>
      </c>
      <c r="D4415">
        <v>0</v>
      </c>
      <c r="E4415">
        <v>0</v>
      </c>
      <c r="F4415">
        <v>34714</v>
      </c>
    </row>
    <row r="4416" spans="1:6" x14ac:dyDescent="0.25">
      <c r="A4416">
        <v>4415</v>
      </c>
      <c r="B4416">
        <v>13</v>
      </c>
      <c r="C4416">
        <v>0</v>
      </c>
      <c r="D4416">
        <v>0</v>
      </c>
      <c r="E4416">
        <v>0</v>
      </c>
      <c r="F4416">
        <v>1602</v>
      </c>
    </row>
    <row r="4417" spans="1:6" x14ac:dyDescent="0.25">
      <c r="A4417">
        <v>4416</v>
      </c>
      <c r="B4417">
        <v>41</v>
      </c>
      <c r="C4417">
        <v>0</v>
      </c>
      <c r="D4417">
        <v>0</v>
      </c>
      <c r="E4417">
        <v>0</v>
      </c>
      <c r="F4417">
        <v>1</v>
      </c>
    </row>
    <row r="4418" spans="1:6" x14ac:dyDescent="0.25">
      <c r="A4418">
        <v>4417</v>
      </c>
      <c r="B4418">
        <v>42</v>
      </c>
      <c r="C4418">
        <v>0</v>
      </c>
      <c r="D4418">
        <v>0</v>
      </c>
      <c r="E4418">
        <v>0</v>
      </c>
      <c r="F4418">
        <v>0.2</v>
      </c>
    </row>
    <row r="4419" spans="1:6" x14ac:dyDescent="0.25">
      <c r="A4419">
        <v>4418</v>
      </c>
      <c r="B4419" t="s">
        <v>0</v>
      </c>
      <c r="C4419">
        <v>92</v>
      </c>
      <c r="D4419">
        <v>3483</v>
      </c>
      <c r="E4419">
        <v>80016314</v>
      </c>
    </row>
    <row r="4420" spans="1:6" x14ac:dyDescent="0.25">
      <c r="A4420">
        <v>4419</v>
      </c>
      <c r="B4420">
        <v>43</v>
      </c>
      <c r="C4420">
        <v>0</v>
      </c>
      <c r="D4420">
        <v>0</v>
      </c>
      <c r="E4420">
        <v>0</v>
      </c>
      <c r="F4420">
        <v>0</v>
      </c>
    </row>
    <row r="4421" spans="1:6" x14ac:dyDescent="0.25">
      <c r="A4421">
        <v>4420</v>
      </c>
      <c r="B4421">
        <v>44</v>
      </c>
      <c r="C4421">
        <v>0</v>
      </c>
      <c r="D4421">
        <v>0</v>
      </c>
      <c r="E4421">
        <v>0</v>
      </c>
      <c r="F4421">
        <v>40.201500000000003</v>
      </c>
    </row>
    <row r="4422" spans="1:6" x14ac:dyDescent="0.25">
      <c r="A4422">
        <v>4421</v>
      </c>
      <c r="B4422">
        <v>45</v>
      </c>
      <c r="C4422">
        <v>0</v>
      </c>
      <c r="D4422">
        <v>0</v>
      </c>
      <c r="E4422">
        <v>0</v>
      </c>
      <c r="F4422">
        <v>4400</v>
      </c>
    </row>
    <row r="4423" spans="1:6" x14ac:dyDescent="0.25">
      <c r="A4423">
        <v>4422</v>
      </c>
      <c r="B4423">
        <v>46</v>
      </c>
      <c r="C4423">
        <v>0</v>
      </c>
      <c r="D4423">
        <v>0</v>
      </c>
      <c r="E4423">
        <v>0</v>
      </c>
      <c r="F4423">
        <v>0</v>
      </c>
    </row>
    <row r="4424" spans="1:6" x14ac:dyDescent="0.25">
      <c r="A4424">
        <v>4423</v>
      </c>
      <c r="B4424">
        <v>2</v>
      </c>
      <c r="C4424">
        <v>0</v>
      </c>
      <c r="D4424">
        <v>0</v>
      </c>
      <c r="E4424">
        <v>0</v>
      </c>
      <c r="F4424">
        <v>34.4071</v>
      </c>
    </row>
    <row r="4425" spans="1:6" x14ac:dyDescent="0.25">
      <c r="A4425">
        <v>4424</v>
      </c>
      <c r="B4425">
        <v>10</v>
      </c>
      <c r="C4425">
        <v>1</v>
      </c>
      <c r="D4425">
        <v>0</v>
      </c>
      <c r="E4425">
        <v>0</v>
      </c>
      <c r="F4425">
        <v>34715</v>
      </c>
    </row>
    <row r="4426" spans="1:6" x14ac:dyDescent="0.25">
      <c r="A4426">
        <v>4425</v>
      </c>
      <c r="B4426">
        <v>13</v>
      </c>
      <c r="C4426">
        <v>0</v>
      </c>
      <c r="D4426">
        <v>0</v>
      </c>
      <c r="E4426">
        <v>0</v>
      </c>
      <c r="F4426">
        <v>1602</v>
      </c>
    </row>
    <row r="4427" spans="1:6" x14ac:dyDescent="0.25">
      <c r="A4427">
        <v>4426</v>
      </c>
      <c r="B4427">
        <v>41</v>
      </c>
      <c r="C4427">
        <v>0</v>
      </c>
      <c r="D4427">
        <v>0</v>
      </c>
      <c r="E4427">
        <v>0</v>
      </c>
      <c r="F4427">
        <v>1</v>
      </c>
    </row>
    <row r="4428" spans="1:6" x14ac:dyDescent="0.25">
      <c r="A4428">
        <v>4427</v>
      </c>
      <c r="B4428">
        <v>42</v>
      </c>
      <c r="C4428">
        <v>0</v>
      </c>
      <c r="D4428">
        <v>0</v>
      </c>
      <c r="E4428">
        <v>0</v>
      </c>
      <c r="F4428">
        <v>0.2</v>
      </c>
    </row>
    <row r="4429" spans="1:6" x14ac:dyDescent="0.25">
      <c r="A4429">
        <v>4428</v>
      </c>
      <c r="B4429">
        <v>43</v>
      </c>
      <c r="C4429">
        <v>0</v>
      </c>
      <c r="D4429">
        <v>0</v>
      </c>
      <c r="E4429">
        <v>0</v>
      </c>
      <c r="F4429">
        <v>0</v>
      </c>
    </row>
    <row r="4430" spans="1:6" x14ac:dyDescent="0.25">
      <c r="A4430">
        <v>4429</v>
      </c>
      <c r="B4430">
        <v>44</v>
      </c>
      <c r="C4430">
        <v>0</v>
      </c>
      <c r="D4430">
        <v>0</v>
      </c>
      <c r="E4430">
        <v>0</v>
      </c>
      <c r="F4430">
        <v>40.201500000000003</v>
      </c>
    </row>
    <row r="4431" spans="1:6" x14ac:dyDescent="0.25">
      <c r="A4431">
        <v>4430</v>
      </c>
      <c r="B4431">
        <v>45</v>
      </c>
      <c r="C4431">
        <v>0</v>
      </c>
      <c r="D4431">
        <v>0</v>
      </c>
      <c r="E4431">
        <v>0</v>
      </c>
      <c r="F4431">
        <v>4400</v>
      </c>
    </row>
    <row r="4432" spans="1:6" x14ac:dyDescent="0.25">
      <c r="A4432">
        <v>4431</v>
      </c>
      <c r="B4432">
        <v>46</v>
      </c>
      <c r="C4432">
        <v>0</v>
      </c>
      <c r="D4432">
        <v>0</v>
      </c>
      <c r="E4432">
        <v>0</v>
      </c>
      <c r="F4432">
        <v>0</v>
      </c>
    </row>
    <row r="4433" spans="1:6" x14ac:dyDescent="0.25">
      <c r="A4433">
        <v>4432</v>
      </c>
      <c r="B4433">
        <v>2</v>
      </c>
      <c r="C4433">
        <v>0</v>
      </c>
      <c r="D4433">
        <v>0</v>
      </c>
      <c r="E4433">
        <v>0</v>
      </c>
      <c r="F4433">
        <v>34.4071</v>
      </c>
    </row>
    <row r="4434" spans="1:6" x14ac:dyDescent="0.25">
      <c r="A4434">
        <v>4433</v>
      </c>
      <c r="B4434">
        <v>10</v>
      </c>
      <c r="C4434">
        <v>1</v>
      </c>
      <c r="D4434">
        <v>0</v>
      </c>
      <c r="E4434">
        <v>0</v>
      </c>
      <c r="F4434">
        <v>34715</v>
      </c>
    </row>
    <row r="4435" spans="1:6" x14ac:dyDescent="0.25">
      <c r="A4435">
        <v>4434</v>
      </c>
      <c r="B4435" t="s">
        <v>0</v>
      </c>
      <c r="C4435">
        <v>93</v>
      </c>
      <c r="D4435">
        <v>3483</v>
      </c>
      <c r="E4435">
        <v>80017283</v>
      </c>
    </row>
    <row r="4436" spans="1:6" x14ac:dyDescent="0.25">
      <c r="A4436">
        <v>4435</v>
      </c>
      <c r="B4436">
        <v>13</v>
      </c>
      <c r="C4436">
        <v>0</v>
      </c>
      <c r="D4436">
        <v>0</v>
      </c>
      <c r="E4436">
        <v>0</v>
      </c>
      <c r="F4436">
        <v>1602</v>
      </c>
    </row>
    <row r="4437" spans="1:6" x14ac:dyDescent="0.25">
      <c r="A4437">
        <v>4436</v>
      </c>
      <c r="B4437">
        <v>41</v>
      </c>
      <c r="C4437">
        <v>0</v>
      </c>
      <c r="D4437">
        <v>0</v>
      </c>
      <c r="E4437">
        <v>0</v>
      </c>
      <c r="F4437">
        <v>1</v>
      </c>
    </row>
    <row r="4438" spans="1:6" x14ac:dyDescent="0.25">
      <c r="A4438">
        <v>4437</v>
      </c>
      <c r="B4438">
        <v>42</v>
      </c>
      <c r="C4438">
        <v>0</v>
      </c>
      <c r="D4438">
        <v>0</v>
      </c>
      <c r="E4438">
        <v>0</v>
      </c>
      <c r="F4438">
        <v>0.2</v>
      </c>
    </row>
    <row r="4439" spans="1:6" x14ac:dyDescent="0.25">
      <c r="A4439">
        <v>4438</v>
      </c>
      <c r="B4439">
        <v>43</v>
      </c>
      <c r="C4439">
        <v>0</v>
      </c>
      <c r="D4439">
        <v>0</v>
      </c>
      <c r="E4439">
        <v>0</v>
      </c>
      <c r="F4439">
        <v>0</v>
      </c>
    </row>
    <row r="4440" spans="1:6" x14ac:dyDescent="0.25">
      <c r="A4440">
        <v>4439</v>
      </c>
      <c r="B4440">
        <v>44</v>
      </c>
      <c r="C4440">
        <v>0</v>
      </c>
      <c r="D4440">
        <v>0</v>
      </c>
      <c r="E4440">
        <v>0</v>
      </c>
      <c r="F4440">
        <v>40.427500000000002</v>
      </c>
    </row>
    <row r="4441" spans="1:6" x14ac:dyDescent="0.25">
      <c r="A4441">
        <v>4440</v>
      </c>
      <c r="B4441">
        <v>45</v>
      </c>
      <c r="C4441">
        <v>0</v>
      </c>
      <c r="D4441">
        <v>0</v>
      </c>
      <c r="E4441">
        <v>0</v>
      </c>
      <c r="F4441">
        <v>4400</v>
      </c>
    </row>
    <row r="4442" spans="1:6" x14ac:dyDescent="0.25">
      <c r="A4442">
        <v>4441</v>
      </c>
      <c r="B4442">
        <v>46</v>
      </c>
      <c r="C4442">
        <v>0</v>
      </c>
      <c r="D4442">
        <v>0</v>
      </c>
      <c r="E4442">
        <v>0</v>
      </c>
      <c r="F4442">
        <v>0</v>
      </c>
    </row>
    <row r="4443" spans="1:6" x14ac:dyDescent="0.25">
      <c r="A4443">
        <v>4442</v>
      </c>
      <c r="B4443">
        <v>2</v>
      </c>
      <c r="C4443">
        <v>0</v>
      </c>
      <c r="D4443">
        <v>0</v>
      </c>
      <c r="E4443">
        <v>0</v>
      </c>
      <c r="F4443">
        <v>34.406100000000002</v>
      </c>
    </row>
    <row r="4444" spans="1:6" x14ac:dyDescent="0.25">
      <c r="A4444">
        <v>4443</v>
      </c>
      <c r="B4444">
        <v>10</v>
      </c>
      <c r="C4444">
        <v>1</v>
      </c>
      <c r="D4444">
        <v>0</v>
      </c>
      <c r="E4444">
        <v>0</v>
      </c>
      <c r="F4444">
        <v>34716</v>
      </c>
    </row>
    <row r="4445" spans="1:6" x14ac:dyDescent="0.25">
      <c r="A4445">
        <v>4444</v>
      </c>
      <c r="B4445">
        <v>13</v>
      </c>
      <c r="C4445">
        <v>0</v>
      </c>
      <c r="D4445">
        <v>0</v>
      </c>
      <c r="E4445">
        <v>0</v>
      </c>
      <c r="F4445">
        <v>1602</v>
      </c>
    </row>
    <row r="4446" spans="1:6" x14ac:dyDescent="0.25">
      <c r="A4446">
        <v>4445</v>
      </c>
      <c r="B4446">
        <v>41</v>
      </c>
      <c r="C4446">
        <v>0</v>
      </c>
      <c r="D4446">
        <v>0</v>
      </c>
      <c r="E4446">
        <v>0</v>
      </c>
      <c r="F4446">
        <v>1</v>
      </c>
    </row>
    <row r="4447" spans="1:6" x14ac:dyDescent="0.25">
      <c r="A4447">
        <v>4446</v>
      </c>
      <c r="B4447">
        <v>42</v>
      </c>
      <c r="C4447">
        <v>0</v>
      </c>
      <c r="D4447">
        <v>0</v>
      </c>
      <c r="E4447">
        <v>0</v>
      </c>
      <c r="F4447">
        <v>0.2</v>
      </c>
    </row>
    <row r="4448" spans="1:6" x14ac:dyDescent="0.25">
      <c r="A4448">
        <v>4447</v>
      </c>
      <c r="B4448">
        <v>43</v>
      </c>
      <c r="C4448">
        <v>0</v>
      </c>
      <c r="D4448">
        <v>0</v>
      </c>
      <c r="E4448">
        <v>0</v>
      </c>
      <c r="F4448">
        <v>0</v>
      </c>
    </row>
    <row r="4449" spans="1:6" x14ac:dyDescent="0.25">
      <c r="A4449">
        <v>4448</v>
      </c>
      <c r="B4449">
        <v>44</v>
      </c>
      <c r="C4449">
        <v>0</v>
      </c>
      <c r="D4449">
        <v>0</v>
      </c>
      <c r="E4449">
        <v>0</v>
      </c>
      <c r="F4449">
        <v>40.427500000000002</v>
      </c>
    </row>
    <row r="4450" spans="1:6" x14ac:dyDescent="0.25">
      <c r="A4450">
        <v>4449</v>
      </c>
      <c r="B4450">
        <v>45</v>
      </c>
      <c r="C4450">
        <v>0</v>
      </c>
      <c r="D4450">
        <v>0</v>
      </c>
      <c r="E4450">
        <v>0</v>
      </c>
      <c r="F4450">
        <v>4400</v>
      </c>
    </row>
    <row r="4451" spans="1:6" x14ac:dyDescent="0.25">
      <c r="A4451">
        <v>4450</v>
      </c>
      <c r="B4451">
        <v>46</v>
      </c>
      <c r="C4451">
        <v>0</v>
      </c>
      <c r="D4451">
        <v>0</v>
      </c>
      <c r="E4451">
        <v>0</v>
      </c>
      <c r="F4451">
        <v>0</v>
      </c>
    </row>
    <row r="4452" spans="1:6" x14ac:dyDescent="0.25">
      <c r="A4452">
        <v>4451</v>
      </c>
      <c r="B4452">
        <v>2</v>
      </c>
      <c r="C4452">
        <v>0</v>
      </c>
      <c r="D4452">
        <v>0</v>
      </c>
      <c r="E4452">
        <v>0</v>
      </c>
      <c r="F4452">
        <v>34.4069</v>
      </c>
    </row>
    <row r="4453" spans="1:6" x14ac:dyDescent="0.25">
      <c r="A4453">
        <v>4452</v>
      </c>
      <c r="B4453">
        <v>10</v>
      </c>
      <c r="C4453">
        <v>1</v>
      </c>
      <c r="D4453">
        <v>0</v>
      </c>
      <c r="E4453">
        <v>0</v>
      </c>
      <c r="F4453">
        <v>34715</v>
      </c>
    </row>
    <row r="4454" spans="1:6" x14ac:dyDescent="0.25">
      <c r="A4454">
        <v>4453</v>
      </c>
      <c r="B4454">
        <v>13</v>
      </c>
      <c r="C4454">
        <v>0</v>
      </c>
      <c r="D4454">
        <v>0</v>
      </c>
      <c r="E4454">
        <v>0</v>
      </c>
      <c r="F4454">
        <v>1602</v>
      </c>
    </row>
    <row r="4455" spans="1:6" x14ac:dyDescent="0.25">
      <c r="A4455">
        <v>4454</v>
      </c>
      <c r="B4455">
        <v>41</v>
      </c>
      <c r="C4455">
        <v>0</v>
      </c>
      <c r="D4455">
        <v>0</v>
      </c>
      <c r="E4455">
        <v>0</v>
      </c>
      <c r="F4455">
        <v>1</v>
      </c>
    </row>
    <row r="4456" spans="1:6" x14ac:dyDescent="0.25">
      <c r="A4456">
        <v>4455</v>
      </c>
      <c r="B4456">
        <v>42</v>
      </c>
      <c r="C4456">
        <v>0</v>
      </c>
      <c r="D4456">
        <v>0</v>
      </c>
      <c r="E4456">
        <v>0</v>
      </c>
      <c r="F4456">
        <v>0.2</v>
      </c>
    </row>
    <row r="4457" spans="1:6" x14ac:dyDescent="0.25">
      <c r="A4457">
        <v>4456</v>
      </c>
      <c r="B4457">
        <v>43</v>
      </c>
      <c r="C4457">
        <v>0</v>
      </c>
      <c r="D4457">
        <v>0</v>
      </c>
      <c r="E4457">
        <v>0</v>
      </c>
      <c r="F4457">
        <v>0</v>
      </c>
    </row>
    <row r="4458" spans="1:6" x14ac:dyDescent="0.25">
      <c r="A4458">
        <v>4457</v>
      </c>
      <c r="B4458">
        <v>44</v>
      </c>
      <c r="C4458">
        <v>0</v>
      </c>
      <c r="D4458">
        <v>0</v>
      </c>
      <c r="E4458">
        <v>0</v>
      </c>
      <c r="F4458">
        <v>40.676699999999997</v>
      </c>
    </row>
    <row r="4459" spans="1:6" x14ac:dyDescent="0.25">
      <c r="A4459">
        <v>4458</v>
      </c>
      <c r="B4459">
        <v>45</v>
      </c>
      <c r="C4459">
        <v>0</v>
      </c>
      <c r="D4459">
        <v>0</v>
      </c>
      <c r="E4459">
        <v>0</v>
      </c>
      <c r="F4459">
        <v>4400</v>
      </c>
    </row>
    <row r="4460" spans="1:6" x14ac:dyDescent="0.25">
      <c r="A4460">
        <v>4459</v>
      </c>
      <c r="B4460">
        <v>46</v>
      </c>
      <c r="C4460">
        <v>0</v>
      </c>
      <c r="D4460">
        <v>0</v>
      </c>
      <c r="E4460">
        <v>0</v>
      </c>
      <c r="F4460">
        <v>0</v>
      </c>
    </row>
    <row r="4461" spans="1:6" x14ac:dyDescent="0.25">
      <c r="A4461">
        <v>4460</v>
      </c>
      <c r="B4461">
        <v>2</v>
      </c>
      <c r="C4461">
        <v>0</v>
      </c>
      <c r="D4461">
        <v>0</v>
      </c>
      <c r="E4461">
        <v>0</v>
      </c>
      <c r="F4461">
        <v>34.4069</v>
      </c>
    </row>
    <row r="4462" spans="1:6" x14ac:dyDescent="0.25">
      <c r="A4462">
        <v>4461</v>
      </c>
      <c r="B4462">
        <v>10</v>
      </c>
      <c r="C4462">
        <v>1</v>
      </c>
      <c r="D4462">
        <v>0</v>
      </c>
      <c r="E4462">
        <v>0</v>
      </c>
      <c r="F4462">
        <v>34715</v>
      </c>
    </row>
    <row r="4463" spans="1:6" x14ac:dyDescent="0.25">
      <c r="A4463">
        <v>4462</v>
      </c>
      <c r="B4463">
        <v>13</v>
      </c>
      <c r="C4463">
        <v>0</v>
      </c>
      <c r="D4463">
        <v>0</v>
      </c>
      <c r="E4463">
        <v>0</v>
      </c>
      <c r="F4463">
        <v>1602</v>
      </c>
    </row>
    <row r="4464" spans="1:6" x14ac:dyDescent="0.25">
      <c r="A4464">
        <v>4463</v>
      </c>
      <c r="B4464">
        <v>41</v>
      </c>
      <c r="C4464">
        <v>0</v>
      </c>
      <c r="D4464">
        <v>0</v>
      </c>
      <c r="E4464">
        <v>0</v>
      </c>
      <c r="F4464">
        <v>1</v>
      </c>
    </row>
    <row r="4465" spans="1:6" x14ac:dyDescent="0.25">
      <c r="A4465">
        <v>4464</v>
      </c>
      <c r="B4465" t="s">
        <v>0</v>
      </c>
      <c r="C4465">
        <v>95</v>
      </c>
      <c r="D4465">
        <v>3483</v>
      </c>
      <c r="E4465">
        <v>80019219</v>
      </c>
    </row>
    <row r="4466" spans="1:6" x14ac:dyDescent="0.25">
      <c r="A4466">
        <v>4465</v>
      </c>
      <c r="B4466">
        <v>43</v>
      </c>
      <c r="C4466">
        <v>0</v>
      </c>
      <c r="D4466">
        <v>0</v>
      </c>
      <c r="E4466">
        <v>0</v>
      </c>
      <c r="F4466">
        <v>0</v>
      </c>
    </row>
    <row r="4467" spans="1:6" x14ac:dyDescent="0.25">
      <c r="A4467">
        <v>4466</v>
      </c>
      <c r="B4467">
        <v>44</v>
      </c>
      <c r="C4467">
        <v>0</v>
      </c>
      <c r="D4467">
        <v>0</v>
      </c>
      <c r="E4467">
        <v>0</v>
      </c>
      <c r="F4467">
        <v>40.926200000000001</v>
      </c>
    </row>
    <row r="4468" spans="1:6" x14ac:dyDescent="0.25">
      <c r="A4468">
        <v>4467</v>
      </c>
      <c r="B4468">
        <v>45</v>
      </c>
      <c r="C4468">
        <v>0</v>
      </c>
      <c r="D4468">
        <v>0</v>
      </c>
      <c r="E4468">
        <v>0</v>
      </c>
      <c r="F4468">
        <v>4400</v>
      </c>
    </row>
    <row r="4469" spans="1:6" x14ac:dyDescent="0.25">
      <c r="A4469">
        <v>4468</v>
      </c>
      <c r="B4469">
        <v>46</v>
      </c>
      <c r="C4469">
        <v>0</v>
      </c>
      <c r="D4469">
        <v>0</v>
      </c>
      <c r="E4469">
        <v>0</v>
      </c>
      <c r="F4469">
        <v>0</v>
      </c>
    </row>
    <row r="4470" spans="1:6" x14ac:dyDescent="0.25">
      <c r="A4470">
        <v>4469</v>
      </c>
      <c r="B4470">
        <v>2</v>
      </c>
      <c r="C4470">
        <v>0</v>
      </c>
      <c r="D4470">
        <v>0</v>
      </c>
      <c r="E4470">
        <v>0</v>
      </c>
      <c r="F4470">
        <v>34.407499999999999</v>
      </c>
    </row>
    <row r="4471" spans="1:6" x14ac:dyDescent="0.25">
      <c r="A4471">
        <v>4470</v>
      </c>
      <c r="B4471">
        <v>10</v>
      </c>
      <c r="C4471">
        <v>1</v>
      </c>
      <c r="D4471">
        <v>0</v>
      </c>
      <c r="E4471">
        <v>0</v>
      </c>
      <c r="F4471">
        <v>34714</v>
      </c>
    </row>
    <row r="4472" spans="1:6" x14ac:dyDescent="0.25">
      <c r="A4472">
        <v>4471</v>
      </c>
      <c r="B4472">
        <v>13</v>
      </c>
      <c r="C4472">
        <v>0</v>
      </c>
      <c r="D4472">
        <v>0</v>
      </c>
      <c r="E4472">
        <v>0</v>
      </c>
      <c r="F4472">
        <v>1602</v>
      </c>
    </row>
    <row r="4473" spans="1:6" x14ac:dyDescent="0.25">
      <c r="A4473">
        <v>4472</v>
      </c>
      <c r="B4473">
        <v>41</v>
      </c>
      <c r="C4473">
        <v>0</v>
      </c>
      <c r="D4473">
        <v>0</v>
      </c>
      <c r="E4473">
        <v>0</v>
      </c>
      <c r="F4473">
        <v>1</v>
      </c>
    </row>
    <row r="4474" spans="1:6" x14ac:dyDescent="0.25">
      <c r="A4474">
        <v>4473</v>
      </c>
      <c r="B4474">
        <v>42</v>
      </c>
      <c r="C4474">
        <v>0</v>
      </c>
      <c r="D4474">
        <v>0</v>
      </c>
      <c r="E4474">
        <v>0</v>
      </c>
      <c r="F4474">
        <v>0.2</v>
      </c>
    </row>
    <row r="4475" spans="1:6" x14ac:dyDescent="0.25">
      <c r="A4475">
        <v>4474</v>
      </c>
      <c r="B4475">
        <v>43</v>
      </c>
      <c r="C4475">
        <v>0</v>
      </c>
      <c r="D4475">
        <v>0</v>
      </c>
      <c r="E4475">
        <v>0</v>
      </c>
      <c r="F4475">
        <v>0</v>
      </c>
    </row>
    <row r="4476" spans="1:6" x14ac:dyDescent="0.25">
      <c r="A4476">
        <v>4475</v>
      </c>
      <c r="B4476">
        <v>44</v>
      </c>
      <c r="C4476">
        <v>0</v>
      </c>
      <c r="D4476">
        <v>0</v>
      </c>
      <c r="E4476">
        <v>0</v>
      </c>
      <c r="F4476">
        <v>40.926200000000001</v>
      </c>
    </row>
    <row r="4477" spans="1:6" x14ac:dyDescent="0.25">
      <c r="A4477">
        <v>4476</v>
      </c>
      <c r="B4477">
        <v>45</v>
      </c>
      <c r="C4477">
        <v>0</v>
      </c>
      <c r="D4477">
        <v>0</v>
      </c>
      <c r="E4477">
        <v>0</v>
      </c>
      <c r="F4477">
        <v>4400</v>
      </c>
    </row>
    <row r="4478" spans="1:6" x14ac:dyDescent="0.25">
      <c r="A4478">
        <v>4477</v>
      </c>
      <c r="B4478">
        <v>46</v>
      </c>
      <c r="C4478">
        <v>0</v>
      </c>
      <c r="D4478">
        <v>0</v>
      </c>
      <c r="E4478">
        <v>0</v>
      </c>
      <c r="F4478">
        <v>0</v>
      </c>
    </row>
    <row r="4479" spans="1:6" x14ac:dyDescent="0.25">
      <c r="A4479">
        <v>4478</v>
      </c>
      <c r="B4479">
        <v>2</v>
      </c>
      <c r="C4479">
        <v>0</v>
      </c>
      <c r="D4479">
        <v>0</v>
      </c>
      <c r="E4479">
        <v>0</v>
      </c>
      <c r="F4479">
        <v>34.407499999999999</v>
      </c>
    </row>
    <row r="4480" spans="1:6" x14ac:dyDescent="0.25">
      <c r="A4480">
        <v>4479</v>
      </c>
      <c r="B4480" t="s">
        <v>0</v>
      </c>
      <c r="C4480">
        <v>96</v>
      </c>
      <c r="D4480">
        <v>3483</v>
      </c>
      <c r="E4480">
        <v>80020186</v>
      </c>
    </row>
    <row r="4481" spans="1:6" x14ac:dyDescent="0.25">
      <c r="A4481">
        <v>4480</v>
      </c>
      <c r="B4481">
        <v>10</v>
      </c>
      <c r="C4481">
        <v>1</v>
      </c>
      <c r="D4481">
        <v>0</v>
      </c>
      <c r="E4481">
        <v>0</v>
      </c>
      <c r="F4481">
        <v>34714</v>
      </c>
    </row>
    <row r="4482" spans="1:6" x14ac:dyDescent="0.25">
      <c r="A4482">
        <v>4481</v>
      </c>
      <c r="B4482">
        <v>13</v>
      </c>
      <c r="C4482">
        <v>0</v>
      </c>
      <c r="D4482">
        <v>0</v>
      </c>
      <c r="E4482">
        <v>0</v>
      </c>
      <c r="F4482">
        <v>1602</v>
      </c>
    </row>
    <row r="4483" spans="1:6" x14ac:dyDescent="0.25">
      <c r="A4483">
        <v>4482</v>
      </c>
      <c r="B4483">
        <v>41</v>
      </c>
      <c r="C4483">
        <v>0</v>
      </c>
      <c r="D4483">
        <v>0</v>
      </c>
      <c r="E4483">
        <v>0</v>
      </c>
      <c r="F4483">
        <v>1</v>
      </c>
    </row>
    <row r="4484" spans="1:6" x14ac:dyDescent="0.25">
      <c r="A4484">
        <v>4483</v>
      </c>
      <c r="B4484">
        <v>42</v>
      </c>
      <c r="C4484">
        <v>0</v>
      </c>
      <c r="D4484">
        <v>0</v>
      </c>
      <c r="E4484">
        <v>0</v>
      </c>
      <c r="F4484">
        <v>0.2</v>
      </c>
    </row>
    <row r="4485" spans="1:6" x14ac:dyDescent="0.25">
      <c r="A4485">
        <v>4484</v>
      </c>
      <c r="B4485">
        <v>43</v>
      </c>
      <c r="C4485">
        <v>0</v>
      </c>
      <c r="D4485">
        <v>0</v>
      </c>
      <c r="E4485">
        <v>0</v>
      </c>
      <c r="F4485">
        <v>0</v>
      </c>
    </row>
    <row r="4486" spans="1:6" x14ac:dyDescent="0.25">
      <c r="A4486">
        <v>4485</v>
      </c>
      <c r="B4486">
        <v>44</v>
      </c>
      <c r="C4486">
        <v>0</v>
      </c>
      <c r="D4486">
        <v>0</v>
      </c>
      <c r="E4486">
        <v>0</v>
      </c>
      <c r="F4486">
        <v>41.151000000000003</v>
      </c>
    </row>
    <row r="4487" spans="1:6" x14ac:dyDescent="0.25">
      <c r="A4487">
        <v>4486</v>
      </c>
      <c r="B4487">
        <v>45</v>
      </c>
      <c r="C4487">
        <v>0</v>
      </c>
      <c r="D4487">
        <v>0</v>
      </c>
      <c r="E4487">
        <v>0</v>
      </c>
      <c r="F4487">
        <v>4400</v>
      </c>
    </row>
    <row r="4488" spans="1:6" x14ac:dyDescent="0.25">
      <c r="A4488">
        <v>4487</v>
      </c>
      <c r="B4488">
        <v>46</v>
      </c>
      <c r="C4488">
        <v>0</v>
      </c>
      <c r="D4488">
        <v>0</v>
      </c>
      <c r="E4488">
        <v>0</v>
      </c>
      <c r="F4488">
        <v>0</v>
      </c>
    </row>
    <row r="4489" spans="1:6" x14ac:dyDescent="0.25">
      <c r="A4489">
        <v>4488</v>
      </c>
      <c r="B4489">
        <v>2</v>
      </c>
      <c r="C4489">
        <v>0</v>
      </c>
      <c r="D4489">
        <v>0</v>
      </c>
      <c r="E4489">
        <v>0</v>
      </c>
      <c r="F4489">
        <v>34.407699999999998</v>
      </c>
    </row>
    <row r="4490" spans="1:6" x14ac:dyDescent="0.25">
      <c r="A4490">
        <v>4489</v>
      </c>
      <c r="B4490">
        <v>10</v>
      </c>
      <c r="C4490">
        <v>1</v>
      </c>
      <c r="D4490">
        <v>0</v>
      </c>
      <c r="E4490">
        <v>0</v>
      </c>
      <c r="F4490">
        <v>34714</v>
      </c>
    </row>
    <row r="4491" spans="1:6" x14ac:dyDescent="0.25">
      <c r="A4491">
        <v>4490</v>
      </c>
      <c r="B4491">
        <v>13</v>
      </c>
      <c r="C4491">
        <v>0</v>
      </c>
      <c r="D4491">
        <v>0</v>
      </c>
      <c r="E4491">
        <v>0</v>
      </c>
      <c r="F4491">
        <v>1602</v>
      </c>
    </row>
    <row r="4492" spans="1:6" x14ac:dyDescent="0.25">
      <c r="A4492">
        <v>4491</v>
      </c>
      <c r="B4492">
        <v>41</v>
      </c>
      <c r="C4492">
        <v>0</v>
      </c>
      <c r="D4492">
        <v>0</v>
      </c>
      <c r="E4492">
        <v>0</v>
      </c>
      <c r="F4492">
        <v>1</v>
      </c>
    </row>
    <row r="4493" spans="1:6" x14ac:dyDescent="0.25">
      <c r="A4493">
        <v>4492</v>
      </c>
      <c r="B4493">
        <v>42</v>
      </c>
      <c r="C4493">
        <v>0</v>
      </c>
      <c r="D4493">
        <v>0</v>
      </c>
      <c r="E4493">
        <v>0</v>
      </c>
      <c r="F4493">
        <v>0.2</v>
      </c>
    </row>
    <row r="4494" spans="1:6" x14ac:dyDescent="0.25">
      <c r="A4494">
        <v>4493</v>
      </c>
      <c r="B4494">
        <v>43</v>
      </c>
      <c r="C4494">
        <v>0</v>
      </c>
      <c r="D4494">
        <v>0</v>
      </c>
      <c r="E4494">
        <v>0</v>
      </c>
      <c r="F4494">
        <v>0</v>
      </c>
    </row>
    <row r="4495" spans="1:6" x14ac:dyDescent="0.25">
      <c r="A4495">
        <v>4494</v>
      </c>
      <c r="B4495">
        <v>44</v>
      </c>
      <c r="C4495">
        <v>0</v>
      </c>
      <c r="D4495">
        <v>0</v>
      </c>
      <c r="E4495">
        <v>0</v>
      </c>
      <c r="F4495">
        <v>41.151000000000003</v>
      </c>
    </row>
    <row r="4496" spans="1:6" x14ac:dyDescent="0.25">
      <c r="A4496">
        <v>4495</v>
      </c>
      <c r="B4496">
        <v>45</v>
      </c>
      <c r="C4496">
        <v>0</v>
      </c>
      <c r="D4496">
        <v>0</v>
      </c>
      <c r="E4496">
        <v>0</v>
      </c>
      <c r="F4496">
        <v>4400</v>
      </c>
    </row>
    <row r="4497" spans="1:6" x14ac:dyDescent="0.25">
      <c r="A4497">
        <v>4496</v>
      </c>
      <c r="B4497">
        <v>46</v>
      </c>
      <c r="C4497">
        <v>0</v>
      </c>
      <c r="D4497">
        <v>0</v>
      </c>
      <c r="E4497">
        <v>0</v>
      </c>
      <c r="F4497">
        <v>0</v>
      </c>
    </row>
    <row r="4498" spans="1:6" x14ac:dyDescent="0.25">
      <c r="A4498">
        <v>4497</v>
      </c>
      <c r="B4498">
        <v>2</v>
      </c>
      <c r="C4498">
        <v>0</v>
      </c>
      <c r="D4498">
        <v>0</v>
      </c>
      <c r="E4498">
        <v>0</v>
      </c>
      <c r="F4498">
        <v>34.407699999999998</v>
      </c>
    </row>
    <row r="4499" spans="1:6" x14ac:dyDescent="0.25">
      <c r="A4499">
        <v>4498</v>
      </c>
      <c r="B4499">
        <v>10</v>
      </c>
      <c r="C4499">
        <v>1</v>
      </c>
      <c r="D4499">
        <v>0</v>
      </c>
      <c r="E4499">
        <v>0</v>
      </c>
      <c r="F4499">
        <v>34714</v>
      </c>
    </row>
    <row r="4500" spans="1:6" x14ac:dyDescent="0.25">
      <c r="A4500">
        <v>4499</v>
      </c>
      <c r="B4500">
        <v>13</v>
      </c>
      <c r="C4500">
        <v>0</v>
      </c>
      <c r="D4500">
        <v>0</v>
      </c>
      <c r="E4500">
        <v>0</v>
      </c>
      <c r="F4500">
        <v>1602</v>
      </c>
    </row>
    <row r="4501" spans="1:6" x14ac:dyDescent="0.25">
      <c r="A4501">
        <v>4500</v>
      </c>
      <c r="B4501">
        <v>41</v>
      </c>
      <c r="C4501">
        <v>0</v>
      </c>
      <c r="D4501">
        <v>0</v>
      </c>
      <c r="E4501">
        <v>0</v>
      </c>
      <c r="F4501">
        <v>1</v>
      </c>
    </row>
    <row r="4502" spans="1:6" x14ac:dyDescent="0.25">
      <c r="A4502">
        <v>4501</v>
      </c>
      <c r="B4502">
        <v>42</v>
      </c>
      <c r="C4502">
        <v>0</v>
      </c>
      <c r="D4502">
        <v>0</v>
      </c>
      <c r="E4502">
        <v>0</v>
      </c>
      <c r="F4502">
        <v>0.2</v>
      </c>
    </row>
    <row r="4503" spans="1:6" x14ac:dyDescent="0.25">
      <c r="A4503">
        <v>4502</v>
      </c>
      <c r="B4503">
        <v>43</v>
      </c>
      <c r="C4503">
        <v>0</v>
      </c>
      <c r="D4503">
        <v>0</v>
      </c>
      <c r="E4503">
        <v>0</v>
      </c>
      <c r="F4503">
        <v>0</v>
      </c>
    </row>
    <row r="4504" spans="1:6" x14ac:dyDescent="0.25">
      <c r="A4504">
        <v>4503</v>
      </c>
      <c r="B4504">
        <v>44</v>
      </c>
      <c r="C4504">
        <v>0</v>
      </c>
      <c r="D4504">
        <v>0</v>
      </c>
      <c r="E4504">
        <v>0</v>
      </c>
      <c r="F4504">
        <v>41.401000000000003</v>
      </c>
    </row>
    <row r="4505" spans="1:6" x14ac:dyDescent="0.25">
      <c r="A4505">
        <v>4504</v>
      </c>
      <c r="B4505">
        <v>45</v>
      </c>
      <c r="C4505">
        <v>0</v>
      </c>
      <c r="D4505">
        <v>0</v>
      </c>
      <c r="E4505">
        <v>0</v>
      </c>
      <c r="F4505">
        <v>4400</v>
      </c>
    </row>
    <row r="4506" spans="1:6" x14ac:dyDescent="0.25">
      <c r="A4506">
        <v>4505</v>
      </c>
      <c r="B4506">
        <v>46</v>
      </c>
      <c r="C4506">
        <v>0</v>
      </c>
      <c r="D4506">
        <v>0</v>
      </c>
      <c r="E4506">
        <v>0</v>
      </c>
      <c r="F4506">
        <v>0</v>
      </c>
    </row>
    <row r="4507" spans="1:6" x14ac:dyDescent="0.25">
      <c r="A4507">
        <v>4506</v>
      </c>
      <c r="B4507">
        <v>2</v>
      </c>
      <c r="C4507">
        <v>0</v>
      </c>
      <c r="D4507">
        <v>0</v>
      </c>
      <c r="E4507">
        <v>0</v>
      </c>
      <c r="F4507">
        <v>34.407699999999998</v>
      </c>
    </row>
    <row r="4508" spans="1:6" x14ac:dyDescent="0.25">
      <c r="A4508">
        <v>4507</v>
      </c>
      <c r="B4508">
        <v>10</v>
      </c>
      <c r="C4508">
        <v>1</v>
      </c>
      <c r="D4508">
        <v>0</v>
      </c>
      <c r="E4508">
        <v>0</v>
      </c>
      <c r="F4508">
        <v>34714</v>
      </c>
    </row>
    <row r="4509" spans="1:6" x14ac:dyDescent="0.25">
      <c r="A4509">
        <v>4508</v>
      </c>
      <c r="B4509">
        <v>13</v>
      </c>
      <c r="C4509">
        <v>0</v>
      </c>
      <c r="D4509">
        <v>0</v>
      </c>
      <c r="E4509">
        <v>0</v>
      </c>
      <c r="F4509">
        <v>1602</v>
      </c>
    </row>
    <row r="4510" spans="1:6" x14ac:dyDescent="0.25">
      <c r="A4510">
        <v>4509</v>
      </c>
      <c r="B4510" t="s">
        <v>0</v>
      </c>
      <c r="C4510">
        <v>98</v>
      </c>
      <c r="D4510">
        <v>3483</v>
      </c>
      <c r="E4510">
        <v>80022123</v>
      </c>
    </row>
    <row r="4511" spans="1:6" x14ac:dyDescent="0.25">
      <c r="A4511">
        <v>4510</v>
      </c>
      <c r="B4511">
        <v>42</v>
      </c>
      <c r="C4511">
        <v>0</v>
      </c>
      <c r="D4511">
        <v>0</v>
      </c>
      <c r="E4511">
        <v>0</v>
      </c>
      <c r="F4511">
        <v>0.2</v>
      </c>
    </row>
    <row r="4512" spans="1:6" x14ac:dyDescent="0.25">
      <c r="A4512">
        <v>4511</v>
      </c>
      <c r="B4512">
        <v>43</v>
      </c>
      <c r="C4512">
        <v>0</v>
      </c>
      <c r="D4512">
        <v>0</v>
      </c>
      <c r="E4512">
        <v>0</v>
      </c>
      <c r="F4512">
        <v>0</v>
      </c>
    </row>
    <row r="4513" spans="1:6" x14ac:dyDescent="0.25">
      <c r="A4513">
        <v>4512</v>
      </c>
      <c r="B4513">
        <v>44</v>
      </c>
      <c r="C4513">
        <v>0</v>
      </c>
      <c r="D4513">
        <v>0</v>
      </c>
      <c r="E4513">
        <v>0</v>
      </c>
      <c r="F4513">
        <v>41.651899999999998</v>
      </c>
    </row>
    <row r="4514" spans="1:6" x14ac:dyDescent="0.25">
      <c r="A4514">
        <v>4513</v>
      </c>
      <c r="B4514">
        <v>45</v>
      </c>
      <c r="C4514">
        <v>0</v>
      </c>
      <c r="D4514">
        <v>0</v>
      </c>
      <c r="E4514">
        <v>0</v>
      </c>
      <c r="F4514">
        <v>4400</v>
      </c>
    </row>
    <row r="4515" spans="1:6" x14ac:dyDescent="0.25">
      <c r="A4515">
        <v>4514</v>
      </c>
      <c r="B4515">
        <v>46</v>
      </c>
      <c r="C4515">
        <v>0</v>
      </c>
      <c r="D4515">
        <v>0</v>
      </c>
      <c r="E4515">
        <v>0</v>
      </c>
      <c r="F4515">
        <v>0</v>
      </c>
    </row>
    <row r="4516" spans="1:6" x14ac:dyDescent="0.25">
      <c r="A4516">
        <v>4515</v>
      </c>
      <c r="B4516">
        <v>2</v>
      </c>
      <c r="C4516">
        <v>0</v>
      </c>
      <c r="D4516">
        <v>0</v>
      </c>
      <c r="E4516">
        <v>0</v>
      </c>
      <c r="F4516">
        <v>34.406799999999997</v>
      </c>
    </row>
    <row r="4517" spans="1:6" x14ac:dyDescent="0.25">
      <c r="A4517">
        <v>4516</v>
      </c>
      <c r="B4517">
        <v>10</v>
      </c>
      <c r="C4517">
        <v>1</v>
      </c>
      <c r="D4517">
        <v>0</v>
      </c>
      <c r="E4517">
        <v>0</v>
      </c>
      <c r="F4517">
        <v>34715</v>
      </c>
    </row>
    <row r="4518" spans="1:6" x14ac:dyDescent="0.25">
      <c r="A4518">
        <v>4517</v>
      </c>
      <c r="B4518">
        <v>13</v>
      </c>
      <c r="C4518">
        <v>0</v>
      </c>
      <c r="D4518">
        <v>0</v>
      </c>
      <c r="E4518">
        <v>0</v>
      </c>
      <c r="F4518">
        <v>1602</v>
      </c>
    </row>
    <row r="4519" spans="1:6" x14ac:dyDescent="0.25">
      <c r="A4519">
        <v>4518</v>
      </c>
      <c r="B4519">
        <v>41</v>
      </c>
      <c r="C4519">
        <v>0</v>
      </c>
      <c r="D4519">
        <v>0</v>
      </c>
      <c r="E4519">
        <v>0</v>
      </c>
      <c r="F4519">
        <v>1</v>
      </c>
    </row>
    <row r="4520" spans="1:6" x14ac:dyDescent="0.25">
      <c r="A4520">
        <v>4519</v>
      </c>
      <c r="B4520">
        <v>42</v>
      </c>
      <c r="C4520">
        <v>0</v>
      </c>
      <c r="D4520">
        <v>0</v>
      </c>
      <c r="E4520">
        <v>0</v>
      </c>
      <c r="F4520">
        <v>0.2</v>
      </c>
    </row>
    <row r="4521" spans="1:6" x14ac:dyDescent="0.25">
      <c r="A4521">
        <v>4520</v>
      </c>
      <c r="B4521">
        <v>43</v>
      </c>
      <c r="C4521">
        <v>0</v>
      </c>
      <c r="D4521">
        <v>0</v>
      </c>
      <c r="E4521">
        <v>0</v>
      </c>
      <c r="F4521">
        <v>0</v>
      </c>
    </row>
    <row r="4522" spans="1:6" x14ac:dyDescent="0.25">
      <c r="A4522">
        <v>4521</v>
      </c>
      <c r="B4522">
        <v>44</v>
      </c>
      <c r="C4522">
        <v>0</v>
      </c>
      <c r="D4522">
        <v>0</v>
      </c>
      <c r="E4522">
        <v>0</v>
      </c>
      <c r="F4522">
        <v>41.651899999999998</v>
      </c>
    </row>
    <row r="4523" spans="1:6" x14ac:dyDescent="0.25">
      <c r="A4523">
        <v>4522</v>
      </c>
      <c r="B4523">
        <v>45</v>
      </c>
      <c r="C4523">
        <v>0</v>
      </c>
      <c r="D4523">
        <v>0</v>
      </c>
      <c r="E4523">
        <v>0</v>
      </c>
      <c r="F4523">
        <v>4400</v>
      </c>
    </row>
    <row r="4524" spans="1:6" x14ac:dyDescent="0.25">
      <c r="A4524">
        <v>4523</v>
      </c>
      <c r="B4524">
        <v>46</v>
      </c>
      <c r="C4524">
        <v>0</v>
      </c>
      <c r="D4524">
        <v>0</v>
      </c>
      <c r="E4524">
        <v>0</v>
      </c>
      <c r="F4524">
        <v>0</v>
      </c>
    </row>
    <row r="4525" spans="1:6" x14ac:dyDescent="0.25">
      <c r="A4525">
        <v>4524</v>
      </c>
      <c r="B4525" t="s">
        <v>0</v>
      </c>
      <c r="C4525">
        <v>99</v>
      </c>
      <c r="D4525">
        <v>3483</v>
      </c>
      <c r="E4525">
        <v>80023091</v>
      </c>
    </row>
    <row r="4526" spans="1:6" x14ac:dyDescent="0.25">
      <c r="A4526">
        <v>4525</v>
      </c>
      <c r="B4526">
        <v>10</v>
      </c>
      <c r="C4526">
        <v>1</v>
      </c>
      <c r="D4526">
        <v>0</v>
      </c>
      <c r="E4526">
        <v>0</v>
      </c>
      <c r="F4526">
        <v>34714</v>
      </c>
    </row>
    <row r="4527" spans="1:6" x14ac:dyDescent="0.25">
      <c r="A4527">
        <v>4526</v>
      </c>
      <c r="B4527">
        <v>13</v>
      </c>
      <c r="C4527">
        <v>0</v>
      </c>
      <c r="D4527">
        <v>0</v>
      </c>
      <c r="E4527">
        <v>0</v>
      </c>
      <c r="F4527">
        <v>1602</v>
      </c>
    </row>
    <row r="4528" spans="1:6" x14ac:dyDescent="0.25">
      <c r="A4528">
        <v>4527</v>
      </c>
      <c r="B4528">
        <v>41</v>
      </c>
      <c r="C4528">
        <v>0</v>
      </c>
      <c r="D4528">
        <v>0</v>
      </c>
      <c r="E4528">
        <v>0</v>
      </c>
      <c r="F4528">
        <v>1</v>
      </c>
    </row>
    <row r="4529" spans="1:6" x14ac:dyDescent="0.25">
      <c r="A4529">
        <v>4528</v>
      </c>
      <c r="B4529">
        <v>42</v>
      </c>
      <c r="C4529">
        <v>0</v>
      </c>
      <c r="D4529">
        <v>0</v>
      </c>
      <c r="E4529">
        <v>0</v>
      </c>
      <c r="F4529">
        <v>0.2</v>
      </c>
    </row>
    <row r="4530" spans="1:6" x14ac:dyDescent="0.25">
      <c r="A4530">
        <v>4529</v>
      </c>
      <c r="B4530">
        <v>43</v>
      </c>
      <c r="C4530">
        <v>0</v>
      </c>
      <c r="D4530">
        <v>0</v>
      </c>
      <c r="E4530">
        <v>0</v>
      </c>
      <c r="F4530">
        <v>0</v>
      </c>
    </row>
    <row r="4531" spans="1:6" x14ac:dyDescent="0.25">
      <c r="A4531">
        <v>4530</v>
      </c>
      <c r="B4531">
        <v>44</v>
      </c>
      <c r="C4531">
        <v>0</v>
      </c>
      <c r="D4531">
        <v>0</v>
      </c>
      <c r="E4531">
        <v>0</v>
      </c>
      <c r="F4531">
        <v>41.8765</v>
      </c>
    </row>
    <row r="4532" spans="1:6" x14ac:dyDescent="0.25">
      <c r="A4532">
        <v>4531</v>
      </c>
      <c r="B4532">
        <v>45</v>
      </c>
      <c r="C4532">
        <v>0</v>
      </c>
      <c r="D4532">
        <v>0</v>
      </c>
      <c r="E4532">
        <v>0</v>
      </c>
      <c r="F4532">
        <v>4400</v>
      </c>
    </row>
    <row r="4533" spans="1:6" x14ac:dyDescent="0.25">
      <c r="A4533">
        <v>4532</v>
      </c>
      <c r="B4533">
        <v>46</v>
      </c>
      <c r="C4533">
        <v>0</v>
      </c>
      <c r="D4533">
        <v>0</v>
      </c>
      <c r="E4533">
        <v>0</v>
      </c>
      <c r="F4533">
        <v>0</v>
      </c>
    </row>
    <row r="4534" spans="1:6" x14ac:dyDescent="0.25">
      <c r="A4534">
        <v>4533</v>
      </c>
      <c r="B4534">
        <v>2</v>
      </c>
      <c r="C4534">
        <v>0</v>
      </c>
      <c r="D4534">
        <v>0</v>
      </c>
      <c r="E4534">
        <v>0</v>
      </c>
      <c r="F4534">
        <v>34.407200000000003</v>
      </c>
    </row>
    <row r="4535" spans="1:6" x14ac:dyDescent="0.25">
      <c r="A4535">
        <v>4534</v>
      </c>
      <c r="B4535">
        <v>10</v>
      </c>
      <c r="C4535">
        <v>1</v>
      </c>
      <c r="D4535">
        <v>0</v>
      </c>
      <c r="E4535">
        <v>0</v>
      </c>
      <c r="F4535">
        <v>34714</v>
      </c>
    </row>
    <row r="4536" spans="1:6" x14ac:dyDescent="0.25">
      <c r="A4536">
        <v>4535</v>
      </c>
      <c r="B4536">
        <v>13</v>
      </c>
      <c r="C4536">
        <v>0</v>
      </c>
      <c r="D4536">
        <v>0</v>
      </c>
      <c r="E4536">
        <v>0</v>
      </c>
      <c r="F4536">
        <v>1602</v>
      </c>
    </row>
    <row r="4537" spans="1:6" x14ac:dyDescent="0.25">
      <c r="A4537">
        <v>4536</v>
      </c>
      <c r="B4537">
        <v>41</v>
      </c>
      <c r="C4537">
        <v>0</v>
      </c>
      <c r="D4537">
        <v>0</v>
      </c>
      <c r="E4537">
        <v>0</v>
      </c>
      <c r="F4537">
        <v>1</v>
      </c>
    </row>
    <row r="4538" spans="1:6" x14ac:dyDescent="0.25">
      <c r="A4538">
        <v>4537</v>
      </c>
      <c r="B4538">
        <v>42</v>
      </c>
      <c r="C4538">
        <v>0</v>
      </c>
      <c r="D4538">
        <v>0</v>
      </c>
      <c r="E4538">
        <v>0</v>
      </c>
      <c r="F4538">
        <v>0.2</v>
      </c>
    </row>
    <row r="4539" spans="1:6" x14ac:dyDescent="0.25">
      <c r="A4539">
        <v>4538</v>
      </c>
      <c r="B4539">
        <v>43</v>
      </c>
      <c r="C4539">
        <v>0</v>
      </c>
      <c r="D4539">
        <v>0</v>
      </c>
      <c r="E4539">
        <v>0</v>
      </c>
      <c r="F4539">
        <v>0</v>
      </c>
    </row>
    <row r="4540" spans="1:6" x14ac:dyDescent="0.25">
      <c r="A4540">
        <v>4539</v>
      </c>
      <c r="B4540" t="s">
        <v>0</v>
      </c>
      <c r="C4540">
        <v>100</v>
      </c>
      <c r="D4540">
        <v>3483</v>
      </c>
      <c r="E4540">
        <v>80024058</v>
      </c>
    </row>
    <row r="4541" spans="1:6" x14ac:dyDescent="0.25">
      <c r="A4541">
        <v>4540</v>
      </c>
      <c r="B4541">
        <v>44</v>
      </c>
      <c r="C4541">
        <v>0</v>
      </c>
      <c r="D4541">
        <v>0</v>
      </c>
      <c r="E4541">
        <v>0</v>
      </c>
      <c r="F4541">
        <v>42.126300000000001</v>
      </c>
    </row>
    <row r="4542" spans="1:6" x14ac:dyDescent="0.25">
      <c r="A4542">
        <v>4541</v>
      </c>
      <c r="B4542">
        <v>45</v>
      </c>
      <c r="C4542">
        <v>0</v>
      </c>
      <c r="D4542">
        <v>0</v>
      </c>
      <c r="E4542">
        <v>0</v>
      </c>
      <c r="F4542">
        <v>4400</v>
      </c>
    </row>
    <row r="4543" spans="1:6" x14ac:dyDescent="0.25">
      <c r="A4543">
        <v>4542</v>
      </c>
      <c r="B4543">
        <v>46</v>
      </c>
      <c r="C4543">
        <v>0</v>
      </c>
      <c r="D4543">
        <v>0</v>
      </c>
      <c r="E4543">
        <v>0</v>
      </c>
      <c r="F4543">
        <v>0</v>
      </c>
    </row>
    <row r="4544" spans="1:6" x14ac:dyDescent="0.25">
      <c r="A4544">
        <v>4543</v>
      </c>
      <c r="B4544">
        <v>2</v>
      </c>
      <c r="C4544">
        <v>0</v>
      </c>
      <c r="D4544">
        <v>0</v>
      </c>
      <c r="E4544">
        <v>0</v>
      </c>
      <c r="F4544">
        <v>34.407400000000003</v>
      </c>
    </row>
    <row r="4545" spans="1:6" x14ac:dyDescent="0.25">
      <c r="A4545">
        <v>4544</v>
      </c>
      <c r="B4545">
        <v>10</v>
      </c>
      <c r="C4545">
        <v>1</v>
      </c>
      <c r="D4545">
        <v>0</v>
      </c>
      <c r="E4545">
        <v>0</v>
      </c>
      <c r="F4545">
        <v>34714</v>
      </c>
    </row>
    <row r="4546" spans="1:6" x14ac:dyDescent="0.25">
      <c r="A4546">
        <v>4545</v>
      </c>
      <c r="B4546">
        <v>13</v>
      </c>
      <c r="C4546">
        <v>0</v>
      </c>
      <c r="D4546">
        <v>0</v>
      </c>
      <c r="E4546">
        <v>0</v>
      </c>
      <c r="F4546">
        <v>1602</v>
      </c>
    </row>
    <row r="4547" spans="1:6" x14ac:dyDescent="0.25">
      <c r="A4547">
        <v>4546</v>
      </c>
      <c r="B4547">
        <v>41</v>
      </c>
      <c r="C4547">
        <v>0</v>
      </c>
      <c r="D4547">
        <v>0</v>
      </c>
      <c r="E4547">
        <v>0</v>
      </c>
      <c r="F4547">
        <v>1</v>
      </c>
    </row>
    <row r="4548" spans="1:6" x14ac:dyDescent="0.25">
      <c r="A4548">
        <v>4547</v>
      </c>
      <c r="B4548">
        <v>42</v>
      </c>
      <c r="C4548">
        <v>0</v>
      </c>
      <c r="D4548">
        <v>0</v>
      </c>
      <c r="E4548">
        <v>0</v>
      </c>
      <c r="F4548">
        <v>0.2</v>
      </c>
    </row>
    <row r="4549" spans="1:6" x14ac:dyDescent="0.25">
      <c r="A4549">
        <v>4548</v>
      </c>
      <c r="B4549">
        <v>43</v>
      </c>
      <c r="C4549">
        <v>0</v>
      </c>
      <c r="D4549">
        <v>0</v>
      </c>
      <c r="E4549">
        <v>0</v>
      </c>
      <c r="F4549">
        <v>0</v>
      </c>
    </row>
    <row r="4550" spans="1:6" x14ac:dyDescent="0.25">
      <c r="A4550">
        <v>4549</v>
      </c>
      <c r="B4550">
        <v>44</v>
      </c>
      <c r="C4550">
        <v>0</v>
      </c>
      <c r="D4550">
        <v>0</v>
      </c>
      <c r="E4550">
        <v>0</v>
      </c>
      <c r="F4550">
        <v>42.126300000000001</v>
      </c>
    </row>
    <row r="4551" spans="1:6" x14ac:dyDescent="0.25">
      <c r="A4551">
        <v>4550</v>
      </c>
      <c r="B4551">
        <v>45</v>
      </c>
      <c r="C4551">
        <v>0</v>
      </c>
      <c r="D4551">
        <v>0</v>
      </c>
      <c r="E4551">
        <v>0</v>
      </c>
      <c r="F4551">
        <v>4400</v>
      </c>
    </row>
    <row r="4552" spans="1:6" x14ac:dyDescent="0.25">
      <c r="A4552">
        <v>4551</v>
      </c>
      <c r="B4552">
        <v>46</v>
      </c>
      <c r="C4552">
        <v>0</v>
      </c>
      <c r="D4552">
        <v>0</v>
      </c>
      <c r="E4552">
        <v>0</v>
      </c>
      <c r="F4552">
        <v>0</v>
      </c>
    </row>
    <row r="4553" spans="1:6" x14ac:dyDescent="0.25">
      <c r="A4553">
        <v>4552</v>
      </c>
      <c r="B4553">
        <v>2</v>
      </c>
      <c r="C4553">
        <v>0</v>
      </c>
      <c r="D4553">
        <v>0</v>
      </c>
      <c r="E4553">
        <v>0</v>
      </c>
      <c r="F4553">
        <v>34.407400000000003</v>
      </c>
    </row>
    <row r="4554" spans="1:6" x14ac:dyDescent="0.25">
      <c r="A4554">
        <v>4553</v>
      </c>
      <c r="B4554">
        <v>10</v>
      </c>
      <c r="C4554">
        <v>1</v>
      </c>
      <c r="D4554">
        <v>0</v>
      </c>
      <c r="E4554">
        <v>0</v>
      </c>
      <c r="F4554">
        <v>34714</v>
      </c>
    </row>
    <row r="4555" spans="1:6" x14ac:dyDescent="0.25">
      <c r="A4555">
        <v>4554</v>
      </c>
      <c r="B4555">
        <v>13</v>
      </c>
      <c r="C4555">
        <v>0</v>
      </c>
      <c r="D4555">
        <v>0</v>
      </c>
      <c r="E4555">
        <v>0</v>
      </c>
      <c r="F4555">
        <v>1602</v>
      </c>
    </row>
    <row r="4556" spans="1:6" x14ac:dyDescent="0.25">
      <c r="A4556">
        <v>4555</v>
      </c>
      <c r="B4556">
        <v>41</v>
      </c>
      <c r="C4556">
        <v>0</v>
      </c>
      <c r="D4556">
        <v>0</v>
      </c>
      <c r="E4556">
        <v>0</v>
      </c>
      <c r="F4556">
        <v>1</v>
      </c>
    </row>
    <row r="4557" spans="1:6" x14ac:dyDescent="0.25">
      <c r="A4557">
        <v>4556</v>
      </c>
      <c r="B4557">
        <v>42</v>
      </c>
      <c r="C4557">
        <v>0</v>
      </c>
      <c r="D4557">
        <v>0</v>
      </c>
      <c r="E4557">
        <v>0</v>
      </c>
      <c r="F4557">
        <v>0.2</v>
      </c>
    </row>
    <row r="4558" spans="1:6" x14ac:dyDescent="0.25">
      <c r="A4558">
        <v>4557</v>
      </c>
      <c r="B4558">
        <v>43</v>
      </c>
      <c r="C4558">
        <v>0</v>
      </c>
      <c r="D4558">
        <v>0</v>
      </c>
      <c r="E4558">
        <v>0</v>
      </c>
      <c r="F4558">
        <v>0</v>
      </c>
    </row>
    <row r="4559" spans="1:6" x14ac:dyDescent="0.25">
      <c r="A4559">
        <v>4558</v>
      </c>
      <c r="B4559">
        <v>44</v>
      </c>
      <c r="C4559">
        <v>0</v>
      </c>
      <c r="D4559">
        <v>0</v>
      </c>
      <c r="E4559">
        <v>0</v>
      </c>
      <c r="F4559">
        <v>42.376399999999997</v>
      </c>
    </row>
    <row r="4560" spans="1:6" x14ac:dyDescent="0.25">
      <c r="A4560">
        <v>4559</v>
      </c>
      <c r="B4560">
        <v>45</v>
      </c>
      <c r="C4560">
        <v>0</v>
      </c>
      <c r="D4560">
        <v>0</v>
      </c>
      <c r="E4560">
        <v>0</v>
      </c>
      <c r="F4560">
        <v>4400</v>
      </c>
    </row>
    <row r="4561" spans="1:6" x14ac:dyDescent="0.25">
      <c r="A4561">
        <v>4560</v>
      </c>
      <c r="B4561">
        <v>46</v>
      </c>
      <c r="C4561">
        <v>0</v>
      </c>
      <c r="D4561">
        <v>0</v>
      </c>
      <c r="E4561">
        <v>0</v>
      </c>
      <c r="F4561">
        <v>0</v>
      </c>
    </row>
    <row r="4562" spans="1:6" x14ac:dyDescent="0.25">
      <c r="A4562">
        <v>4561</v>
      </c>
      <c r="B4562">
        <v>2</v>
      </c>
      <c r="C4562">
        <v>0</v>
      </c>
      <c r="D4562">
        <v>0</v>
      </c>
      <c r="E4562">
        <v>0</v>
      </c>
      <c r="F4562">
        <v>34.407299999999999</v>
      </c>
    </row>
    <row r="4563" spans="1:6" x14ac:dyDescent="0.25">
      <c r="A4563">
        <v>4562</v>
      </c>
      <c r="B4563">
        <v>10</v>
      </c>
      <c r="C4563">
        <v>1</v>
      </c>
      <c r="D4563">
        <v>0</v>
      </c>
      <c r="E4563">
        <v>0</v>
      </c>
      <c r="F4563">
        <v>34714</v>
      </c>
    </row>
    <row r="4564" spans="1:6" x14ac:dyDescent="0.25">
      <c r="A4564">
        <v>4563</v>
      </c>
      <c r="B4564">
        <v>13</v>
      </c>
      <c r="C4564">
        <v>0</v>
      </c>
      <c r="D4564">
        <v>0</v>
      </c>
      <c r="E4564">
        <v>0</v>
      </c>
      <c r="F4564">
        <v>1602</v>
      </c>
    </row>
    <row r="4565" spans="1:6" x14ac:dyDescent="0.25">
      <c r="A4565">
        <v>4564</v>
      </c>
      <c r="B4565">
        <v>41</v>
      </c>
      <c r="C4565">
        <v>0</v>
      </c>
      <c r="D4565">
        <v>0</v>
      </c>
      <c r="E4565">
        <v>0</v>
      </c>
      <c r="F4565">
        <v>1</v>
      </c>
    </row>
    <row r="4566" spans="1:6" x14ac:dyDescent="0.25">
      <c r="A4566">
        <v>4565</v>
      </c>
      <c r="B4566">
        <v>42</v>
      </c>
      <c r="C4566">
        <v>0</v>
      </c>
      <c r="D4566">
        <v>0</v>
      </c>
      <c r="E4566">
        <v>0</v>
      </c>
      <c r="F4566">
        <v>0.2</v>
      </c>
    </row>
    <row r="4567" spans="1:6" x14ac:dyDescent="0.25">
      <c r="A4567">
        <v>4566</v>
      </c>
      <c r="B4567">
        <v>43</v>
      </c>
      <c r="C4567">
        <v>0</v>
      </c>
      <c r="D4567">
        <v>0</v>
      </c>
      <c r="E4567">
        <v>0</v>
      </c>
      <c r="F4567">
        <v>0</v>
      </c>
    </row>
    <row r="4568" spans="1:6" x14ac:dyDescent="0.25">
      <c r="A4568">
        <v>4567</v>
      </c>
      <c r="B4568">
        <v>44</v>
      </c>
      <c r="C4568">
        <v>0</v>
      </c>
      <c r="D4568">
        <v>0</v>
      </c>
      <c r="E4568">
        <v>0</v>
      </c>
      <c r="F4568">
        <v>42.376399999999997</v>
      </c>
    </row>
    <row r="4569" spans="1:6" x14ac:dyDescent="0.25">
      <c r="A4569">
        <v>4568</v>
      </c>
      <c r="B4569">
        <v>45</v>
      </c>
      <c r="C4569">
        <v>0</v>
      </c>
      <c r="D4569">
        <v>0</v>
      </c>
      <c r="E4569">
        <v>0</v>
      </c>
      <c r="F4569">
        <v>4400</v>
      </c>
    </row>
    <row r="4570" spans="1:6" x14ac:dyDescent="0.25">
      <c r="A4570">
        <v>4569</v>
      </c>
      <c r="B4570" t="s">
        <v>0</v>
      </c>
      <c r="C4570">
        <v>102</v>
      </c>
      <c r="D4570">
        <v>3483</v>
      </c>
      <c r="E4570">
        <v>80025994</v>
      </c>
    </row>
    <row r="4571" spans="1:6" x14ac:dyDescent="0.25">
      <c r="A4571">
        <v>4570</v>
      </c>
      <c r="B4571">
        <v>2</v>
      </c>
      <c r="C4571">
        <v>0</v>
      </c>
      <c r="D4571">
        <v>0</v>
      </c>
      <c r="E4571">
        <v>0</v>
      </c>
      <c r="F4571">
        <v>34.406999999999996</v>
      </c>
    </row>
    <row r="4572" spans="1:6" x14ac:dyDescent="0.25">
      <c r="A4572">
        <v>4571</v>
      </c>
      <c r="B4572">
        <v>10</v>
      </c>
      <c r="C4572">
        <v>1</v>
      </c>
      <c r="D4572">
        <v>0</v>
      </c>
      <c r="E4572">
        <v>0</v>
      </c>
      <c r="F4572">
        <v>34715</v>
      </c>
    </row>
    <row r="4573" spans="1:6" x14ac:dyDescent="0.25">
      <c r="A4573">
        <v>4572</v>
      </c>
      <c r="B4573">
        <v>13</v>
      </c>
      <c r="C4573">
        <v>0</v>
      </c>
      <c r="D4573">
        <v>0</v>
      </c>
      <c r="E4573">
        <v>0</v>
      </c>
      <c r="F4573">
        <v>1602</v>
      </c>
    </row>
    <row r="4574" spans="1:6" x14ac:dyDescent="0.25">
      <c r="A4574">
        <v>4573</v>
      </c>
      <c r="B4574">
        <v>41</v>
      </c>
      <c r="C4574">
        <v>0</v>
      </c>
      <c r="D4574">
        <v>0</v>
      </c>
      <c r="E4574">
        <v>0</v>
      </c>
      <c r="F4574">
        <v>1</v>
      </c>
    </row>
    <row r="4575" spans="1:6" x14ac:dyDescent="0.25">
      <c r="A4575">
        <v>4574</v>
      </c>
      <c r="B4575">
        <v>42</v>
      </c>
      <c r="C4575">
        <v>0</v>
      </c>
      <c r="D4575">
        <v>0</v>
      </c>
      <c r="E4575">
        <v>0</v>
      </c>
      <c r="F4575">
        <v>0.2</v>
      </c>
    </row>
    <row r="4576" spans="1:6" x14ac:dyDescent="0.25">
      <c r="A4576">
        <v>4575</v>
      </c>
      <c r="B4576">
        <v>43</v>
      </c>
      <c r="C4576">
        <v>0</v>
      </c>
      <c r="D4576">
        <v>0</v>
      </c>
      <c r="E4576">
        <v>0</v>
      </c>
      <c r="F4576">
        <v>0</v>
      </c>
    </row>
    <row r="4577" spans="1:6" x14ac:dyDescent="0.25">
      <c r="A4577">
        <v>4576</v>
      </c>
      <c r="B4577">
        <v>44</v>
      </c>
      <c r="C4577">
        <v>0</v>
      </c>
      <c r="D4577">
        <v>0</v>
      </c>
      <c r="E4577">
        <v>0</v>
      </c>
      <c r="F4577">
        <v>42.601799999999997</v>
      </c>
    </row>
    <row r="4578" spans="1:6" x14ac:dyDescent="0.25">
      <c r="A4578">
        <v>4577</v>
      </c>
      <c r="B4578">
        <v>45</v>
      </c>
      <c r="C4578">
        <v>0</v>
      </c>
      <c r="D4578">
        <v>0</v>
      </c>
      <c r="E4578">
        <v>0</v>
      </c>
      <c r="F4578">
        <v>4400</v>
      </c>
    </row>
    <row r="4579" spans="1:6" x14ac:dyDescent="0.25">
      <c r="A4579">
        <v>4578</v>
      </c>
      <c r="B4579">
        <v>46</v>
      </c>
      <c r="C4579">
        <v>0</v>
      </c>
      <c r="D4579">
        <v>0</v>
      </c>
      <c r="E4579">
        <v>0</v>
      </c>
      <c r="F4579">
        <v>0</v>
      </c>
    </row>
    <row r="4580" spans="1:6" x14ac:dyDescent="0.25">
      <c r="A4580">
        <v>4579</v>
      </c>
      <c r="B4580">
        <v>2</v>
      </c>
      <c r="C4580">
        <v>0</v>
      </c>
      <c r="D4580">
        <v>0</v>
      </c>
      <c r="E4580">
        <v>0</v>
      </c>
      <c r="F4580">
        <v>34.406999999999996</v>
      </c>
    </row>
    <row r="4581" spans="1:6" x14ac:dyDescent="0.25">
      <c r="A4581">
        <v>4580</v>
      </c>
      <c r="B4581">
        <v>10</v>
      </c>
      <c r="C4581">
        <v>1</v>
      </c>
      <c r="D4581">
        <v>0</v>
      </c>
      <c r="E4581">
        <v>0</v>
      </c>
      <c r="F4581">
        <v>34715</v>
      </c>
    </row>
    <row r="4582" spans="1:6" x14ac:dyDescent="0.25">
      <c r="A4582">
        <v>4581</v>
      </c>
      <c r="B4582">
        <v>13</v>
      </c>
      <c r="C4582">
        <v>0</v>
      </c>
      <c r="D4582">
        <v>0</v>
      </c>
      <c r="E4582">
        <v>0</v>
      </c>
      <c r="F4582">
        <v>1602</v>
      </c>
    </row>
    <row r="4583" spans="1:6" x14ac:dyDescent="0.25">
      <c r="A4583">
        <v>4582</v>
      </c>
      <c r="B4583">
        <v>41</v>
      </c>
      <c r="C4583">
        <v>0</v>
      </c>
      <c r="D4583">
        <v>0</v>
      </c>
      <c r="E4583">
        <v>0</v>
      </c>
      <c r="F4583">
        <v>1</v>
      </c>
    </row>
    <row r="4584" spans="1:6" x14ac:dyDescent="0.25">
      <c r="A4584">
        <v>4583</v>
      </c>
      <c r="B4584">
        <v>42</v>
      </c>
      <c r="C4584">
        <v>0</v>
      </c>
      <c r="D4584">
        <v>0</v>
      </c>
      <c r="E4584">
        <v>0</v>
      </c>
      <c r="F4584">
        <v>0.2</v>
      </c>
    </row>
    <row r="4585" spans="1:6" x14ac:dyDescent="0.25">
      <c r="A4585">
        <v>4584</v>
      </c>
      <c r="B4585" t="s">
        <v>0</v>
      </c>
      <c r="C4585">
        <v>103</v>
      </c>
      <c r="D4585">
        <v>3483</v>
      </c>
      <c r="E4585">
        <v>80026962</v>
      </c>
    </row>
    <row r="4586" spans="1:6" x14ac:dyDescent="0.25">
      <c r="A4586">
        <v>4585</v>
      </c>
      <c r="B4586">
        <v>43</v>
      </c>
      <c r="C4586">
        <v>0</v>
      </c>
      <c r="D4586">
        <v>0</v>
      </c>
      <c r="E4586">
        <v>0</v>
      </c>
      <c r="F4586">
        <v>0</v>
      </c>
    </row>
    <row r="4587" spans="1:6" x14ac:dyDescent="0.25">
      <c r="A4587">
        <v>4586</v>
      </c>
      <c r="B4587">
        <v>44</v>
      </c>
      <c r="C4587">
        <v>0</v>
      </c>
      <c r="D4587">
        <v>0</v>
      </c>
      <c r="E4587">
        <v>0</v>
      </c>
      <c r="F4587">
        <v>42.851900000000001</v>
      </c>
    </row>
    <row r="4588" spans="1:6" x14ac:dyDescent="0.25">
      <c r="A4588">
        <v>4587</v>
      </c>
      <c r="B4588">
        <v>45</v>
      </c>
      <c r="C4588">
        <v>0</v>
      </c>
      <c r="D4588">
        <v>0</v>
      </c>
      <c r="E4588">
        <v>0</v>
      </c>
      <c r="F4588">
        <v>4400</v>
      </c>
    </row>
    <row r="4589" spans="1:6" x14ac:dyDescent="0.25">
      <c r="A4589">
        <v>4588</v>
      </c>
      <c r="B4589">
        <v>46</v>
      </c>
      <c r="C4589">
        <v>0</v>
      </c>
      <c r="D4589">
        <v>0</v>
      </c>
      <c r="E4589">
        <v>0</v>
      </c>
      <c r="F4589">
        <v>0</v>
      </c>
    </row>
    <row r="4590" spans="1:6" x14ac:dyDescent="0.25">
      <c r="A4590">
        <v>4589</v>
      </c>
      <c r="B4590">
        <v>2</v>
      </c>
      <c r="C4590">
        <v>0</v>
      </c>
      <c r="D4590">
        <v>0</v>
      </c>
      <c r="E4590">
        <v>0</v>
      </c>
      <c r="F4590">
        <v>34.406799999999997</v>
      </c>
    </row>
    <row r="4591" spans="1:6" x14ac:dyDescent="0.25">
      <c r="A4591">
        <v>4590</v>
      </c>
      <c r="B4591">
        <v>10</v>
      </c>
      <c r="C4591">
        <v>1</v>
      </c>
      <c r="D4591">
        <v>0</v>
      </c>
      <c r="E4591">
        <v>0</v>
      </c>
      <c r="F4591">
        <v>34715</v>
      </c>
    </row>
    <row r="4592" spans="1:6" x14ac:dyDescent="0.25">
      <c r="A4592">
        <v>4591</v>
      </c>
      <c r="B4592">
        <v>13</v>
      </c>
      <c r="C4592">
        <v>0</v>
      </c>
      <c r="D4592">
        <v>0</v>
      </c>
      <c r="E4592">
        <v>0</v>
      </c>
      <c r="F4592">
        <v>1602</v>
      </c>
    </row>
    <row r="4593" spans="1:6" x14ac:dyDescent="0.25">
      <c r="A4593">
        <v>4592</v>
      </c>
      <c r="B4593">
        <v>41</v>
      </c>
      <c r="C4593">
        <v>0</v>
      </c>
      <c r="D4593">
        <v>0</v>
      </c>
      <c r="E4593">
        <v>0</v>
      </c>
      <c r="F4593">
        <v>1</v>
      </c>
    </row>
    <row r="4594" spans="1:6" x14ac:dyDescent="0.25">
      <c r="A4594">
        <v>4593</v>
      </c>
      <c r="B4594">
        <v>42</v>
      </c>
      <c r="C4594">
        <v>0</v>
      </c>
      <c r="D4594">
        <v>0</v>
      </c>
      <c r="E4594">
        <v>0</v>
      </c>
      <c r="F4594">
        <v>0.2</v>
      </c>
    </row>
    <row r="4595" spans="1:6" x14ac:dyDescent="0.25">
      <c r="A4595">
        <v>4594</v>
      </c>
      <c r="B4595">
        <v>43</v>
      </c>
      <c r="C4595">
        <v>0</v>
      </c>
      <c r="D4595">
        <v>0</v>
      </c>
      <c r="E4595">
        <v>0</v>
      </c>
      <c r="F4595">
        <v>0</v>
      </c>
    </row>
    <row r="4596" spans="1:6" x14ac:dyDescent="0.25">
      <c r="A4596">
        <v>4595</v>
      </c>
      <c r="B4596">
        <v>44</v>
      </c>
      <c r="C4596">
        <v>0</v>
      </c>
      <c r="D4596">
        <v>0</v>
      </c>
      <c r="E4596">
        <v>0</v>
      </c>
      <c r="F4596">
        <v>42.851900000000001</v>
      </c>
    </row>
    <row r="4597" spans="1:6" x14ac:dyDescent="0.25">
      <c r="A4597">
        <v>4596</v>
      </c>
      <c r="B4597">
        <v>45</v>
      </c>
      <c r="C4597">
        <v>0</v>
      </c>
      <c r="D4597">
        <v>0</v>
      </c>
      <c r="E4597">
        <v>0</v>
      </c>
      <c r="F4597">
        <v>4400</v>
      </c>
    </row>
    <row r="4598" spans="1:6" x14ac:dyDescent="0.25">
      <c r="A4598">
        <v>4597</v>
      </c>
      <c r="B4598">
        <v>46</v>
      </c>
      <c r="C4598">
        <v>0</v>
      </c>
      <c r="D4598">
        <v>0</v>
      </c>
      <c r="E4598">
        <v>0</v>
      </c>
      <c r="F4598">
        <v>0</v>
      </c>
    </row>
    <row r="4599" spans="1:6" x14ac:dyDescent="0.25">
      <c r="A4599">
        <v>4598</v>
      </c>
      <c r="B4599">
        <v>2</v>
      </c>
      <c r="C4599">
        <v>0</v>
      </c>
      <c r="D4599">
        <v>0</v>
      </c>
      <c r="E4599">
        <v>0</v>
      </c>
      <c r="F4599">
        <v>34.406799999999997</v>
      </c>
    </row>
    <row r="4600" spans="1:6" x14ac:dyDescent="0.25">
      <c r="A4600">
        <v>4599</v>
      </c>
      <c r="B4600">
        <v>10</v>
      </c>
      <c r="C4600">
        <v>1</v>
      </c>
      <c r="D4600">
        <v>0</v>
      </c>
      <c r="E4600">
        <v>0</v>
      </c>
      <c r="F4600">
        <v>34715</v>
      </c>
    </row>
    <row r="4601" spans="1:6" x14ac:dyDescent="0.25">
      <c r="A4601">
        <v>4600</v>
      </c>
      <c r="B4601">
        <v>13</v>
      </c>
      <c r="C4601">
        <v>0</v>
      </c>
      <c r="D4601">
        <v>0</v>
      </c>
      <c r="E4601">
        <v>0</v>
      </c>
      <c r="F4601">
        <v>1602</v>
      </c>
    </row>
    <row r="4602" spans="1:6" x14ac:dyDescent="0.25">
      <c r="A4602">
        <v>4601</v>
      </c>
      <c r="B4602">
        <v>41</v>
      </c>
      <c r="C4602">
        <v>0</v>
      </c>
      <c r="D4602">
        <v>0</v>
      </c>
      <c r="E4602">
        <v>0</v>
      </c>
      <c r="F4602">
        <v>1</v>
      </c>
    </row>
    <row r="4603" spans="1:6" x14ac:dyDescent="0.25">
      <c r="A4603">
        <v>4602</v>
      </c>
      <c r="B4603">
        <v>42</v>
      </c>
      <c r="C4603">
        <v>0</v>
      </c>
      <c r="D4603">
        <v>0</v>
      </c>
      <c r="E4603">
        <v>0</v>
      </c>
      <c r="F4603">
        <v>0.2</v>
      </c>
    </row>
    <row r="4604" spans="1:6" x14ac:dyDescent="0.25">
      <c r="A4604">
        <v>4603</v>
      </c>
      <c r="B4604">
        <v>43</v>
      </c>
      <c r="C4604">
        <v>0</v>
      </c>
      <c r="D4604">
        <v>0</v>
      </c>
      <c r="E4604">
        <v>0</v>
      </c>
      <c r="F4604">
        <v>0</v>
      </c>
    </row>
    <row r="4605" spans="1:6" x14ac:dyDescent="0.25">
      <c r="A4605">
        <v>4604</v>
      </c>
      <c r="B4605">
        <v>44</v>
      </c>
      <c r="C4605">
        <v>0</v>
      </c>
      <c r="D4605">
        <v>0</v>
      </c>
      <c r="E4605">
        <v>0</v>
      </c>
      <c r="F4605">
        <v>43.101900000000001</v>
      </c>
    </row>
    <row r="4606" spans="1:6" x14ac:dyDescent="0.25">
      <c r="A4606">
        <v>4605</v>
      </c>
      <c r="B4606">
        <v>45</v>
      </c>
      <c r="C4606">
        <v>0</v>
      </c>
      <c r="D4606">
        <v>0</v>
      </c>
      <c r="E4606">
        <v>0</v>
      </c>
      <c r="F4606">
        <v>4400</v>
      </c>
    </row>
    <row r="4607" spans="1:6" x14ac:dyDescent="0.25">
      <c r="A4607">
        <v>4606</v>
      </c>
      <c r="B4607">
        <v>46</v>
      </c>
      <c r="C4607">
        <v>0</v>
      </c>
      <c r="D4607">
        <v>0</v>
      </c>
      <c r="E4607">
        <v>0</v>
      </c>
      <c r="F4607">
        <v>0</v>
      </c>
    </row>
    <row r="4608" spans="1:6" x14ac:dyDescent="0.25">
      <c r="A4608">
        <v>4607</v>
      </c>
      <c r="B4608">
        <v>2</v>
      </c>
      <c r="C4608">
        <v>0</v>
      </c>
      <c r="D4608">
        <v>0</v>
      </c>
      <c r="E4608">
        <v>0</v>
      </c>
      <c r="F4608">
        <v>34.4069</v>
      </c>
    </row>
    <row r="4609" spans="1:6" x14ac:dyDescent="0.25">
      <c r="A4609">
        <v>4608</v>
      </c>
      <c r="B4609">
        <v>10</v>
      </c>
      <c r="C4609">
        <v>1</v>
      </c>
      <c r="D4609">
        <v>0</v>
      </c>
      <c r="E4609">
        <v>0</v>
      </c>
      <c r="F4609">
        <v>34715</v>
      </c>
    </row>
    <row r="4610" spans="1:6" x14ac:dyDescent="0.25">
      <c r="A4610">
        <v>4609</v>
      </c>
      <c r="B4610">
        <v>13</v>
      </c>
      <c r="C4610">
        <v>0</v>
      </c>
      <c r="D4610">
        <v>0</v>
      </c>
      <c r="E4610">
        <v>0</v>
      </c>
      <c r="F4610">
        <v>1602</v>
      </c>
    </row>
    <row r="4611" spans="1:6" x14ac:dyDescent="0.25">
      <c r="A4611">
        <v>4610</v>
      </c>
      <c r="B4611">
        <v>41</v>
      </c>
      <c r="C4611">
        <v>0</v>
      </c>
      <c r="D4611">
        <v>0</v>
      </c>
      <c r="E4611">
        <v>0</v>
      </c>
      <c r="F4611">
        <v>1</v>
      </c>
    </row>
    <row r="4612" spans="1:6" x14ac:dyDescent="0.25">
      <c r="A4612">
        <v>4611</v>
      </c>
      <c r="B4612">
        <v>42</v>
      </c>
      <c r="C4612">
        <v>0</v>
      </c>
      <c r="D4612">
        <v>0</v>
      </c>
      <c r="E4612">
        <v>0</v>
      </c>
      <c r="F4612">
        <v>0.2</v>
      </c>
    </row>
    <row r="4613" spans="1:6" x14ac:dyDescent="0.25">
      <c r="A4613">
        <v>4612</v>
      </c>
      <c r="B4613">
        <v>43</v>
      </c>
      <c r="C4613">
        <v>0</v>
      </c>
      <c r="D4613">
        <v>0</v>
      </c>
      <c r="E4613">
        <v>0</v>
      </c>
      <c r="F4613">
        <v>0</v>
      </c>
    </row>
    <row r="4614" spans="1:6" x14ac:dyDescent="0.25">
      <c r="A4614">
        <v>4613</v>
      </c>
      <c r="B4614">
        <v>44</v>
      </c>
      <c r="C4614">
        <v>0</v>
      </c>
      <c r="D4614">
        <v>0</v>
      </c>
      <c r="E4614">
        <v>0</v>
      </c>
      <c r="F4614">
        <v>43.101900000000001</v>
      </c>
    </row>
    <row r="4615" spans="1:6" x14ac:dyDescent="0.25">
      <c r="A4615">
        <v>4614</v>
      </c>
      <c r="B4615">
        <v>45</v>
      </c>
      <c r="C4615">
        <v>0</v>
      </c>
      <c r="D4615">
        <v>0</v>
      </c>
      <c r="E4615">
        <v>0</v>
      </c>
      <c r="F4615">
        <v>4400</v>
      </c>
    </row>
    <row r="4616" spans="1:6" x14ac:dyDescent="0.25">
      <c r="A4616">
        <v>4615</v>
      </c>
      <c r="B4616">
        <v>46</v>
      </c>
      <c r="C4616">
        <v>0</v>
      </c>
      <c r="D4616">
        <v>0</v>
      </c>
      <c r="E4616">
        <v>0</v>
      </c>
      <c r="F4616">
        <v>0</v>
      </c>
    </row>
    <row r="4617" spans="1:6" x14ac:dyDescent="0.25">
      <c r="A4617">
        <v>4616</v>
      </c>
      <c r="B4617">
        <v>2</v>
      </c>
      <c r="C4617">
        <v>0</v>
      </c>
      <c r="D4617">
        <v>0</v>
      </c>
      <c r="E4617">
        <v>0</v>
      </c>
      <c r="F4617">
        <v>34.406199999999998</v>
      </c>
    </row>
    <row r="4618" spans="1:6" x14ac:dyDescent="0.25">
      <c r="A4618">
        <v>4617</v>
      </c>
      <c r="B4618">
        <v>10</v>
      </c>
      <c r="C4618">
        <v>1</v>
      </c>
      <c r="D4618">
        <v>0</v>
      </c>
      <c r="E4618">
        <v>0</v>
      </c>
      <c r="F4618">
        <v>34715</v>
      </c>
    </row>
    <row r="4619" spans="1:6" x14ac:dyDescent="0.25">
      <c r="A4619">
        <v>4618</v>
      </c>
      <c r="B4619">
        <v>13</v>
      </c>
      <c r="C4619">
        <v>0</v>
      </c>
      <c r="D4619">
        <v>0</v>
      </c>
      <c r="E4619">
        <v>0</v>
      </c>
      <c r="F4619">
        <v>1602</v>
      </c>
    </row>
    <row r="4620" spans="1:6" x14ac:dyDescent="0.25">
      <c r="A4620">
        <v>4619</v>
      </c>
      <c r="B4620">
        <v>41</v>
      </c>
      <c r="C4620">
        <v>0</v>
      </c>
      <c r="D4620">
        <v>0</v>
      </c>
      <c r="E4620">
        <v>0</v>
      </c>
      <c r="F4620">
        <v>1</v>
      </c>
    </row>
    <row r="4621" spans="1:6" x14ac:dyDescent="0.25">
      <c r="A4621">
        <v>4620</v>
      </c>
      <c r="B4621">
        <v>42</v>
      </c>
      <c r="C4621">
        <v>0</v>
      </c>
      <c r="D4621">
        <v>0</v>
      </c>
      <c r="E4621">
        <v>0</v>
      </c>
      <c r="F4621">
        <v>0.2</v>
      </c>
    </row>
    <row r="4622" spans="1:6" x14ac:dyDescent="0.25">
      <c r="A4622">
        <v>4621</v>
      </c>
      <c r="B4622">
        <v>43</v>
      </c>
      <c r="C4622">
        <v>0</v>
      </c>
      <c r="D4622">
        <v>0</v>
      </c>
      <c r="E4622">
        <v>0</v>
      </c>
      <c r="F4622">
        <v>0</v>
      </c>
    </row>
    <row r="4623" spans="1:6" x14ac:dyDescent="0.25">
      <c r="A4623">
        <v>4622</v>
      </c>
      <c r="B4623">
        <v>44</v>
      </c>
      <c r="C4623">
        <v>0</v>
      </c>
      <c r="D4623">
        <v>0</v>
      </c>
      <c r="E4623">
        <v>0</v>
      </c>
      <c r="F4623">
        <v>43.327599999999997</v>
      </c>
    </row>
    <row r="4624" spans="1:6" x14ac:dyDescent="0.25">
      <c r="A4624">
        <v>4623</v>
      </c>
      <c r="B4624">
        <v>45</v>
      </c>
      <c r="C4624">
        <v>0</v>
      </c>
      <c r="D4624">
        <v>0</v>
      </c>
      <c r="E4624">
        <v>0</v>
      </c>
      <c r="F4624">
        <v>4400</v>
      </c>
    </row>
    <row r="4625" spans="1:6" x14ac:dyDescent="0.25">
      <c r="A4625">
        <v>4624</v>
      </c>
      <c r="B4625">
        <v>46</v>
      </c>
      <c r="C4625">
        <v>0</v>
      </c>
      <c r="D4625">
        <v>0</v>
      </c>
      <c r="E4625">
        <v>0</v>
      </c>
      <c r="F4625">
        <v>0</v>
      </c>
    </row>
    <row r="4626" spans="1:6" x14ac:dyDescent="0.25">
      <c r="A4626">
        <v>4625</v>
      </c>
      <c r="B4626">
        <v>2</v>
      </c>
      <c r="C4626">
        <v>0</v>
      </c>
      <c r="D4626">
        <v>0</v>
      </c>
      <c r="E4626">
        <v>0</v>
      </c>
      <c r="F4626">
        <v>34.406199999999998</v>
      </c>
    </row>
    <row r="4627" spans="1:6" x14ac:dyDescent="0.25">
      <c r="A4627">
        <v>4626</v>
      </c>
      <c r="B4627">
        <v>10</v>
      </c>
      <c r="C4627">
        <v>1</v>
      </c>
      <c r="D4627">
        <v>0</v>
      </c>
      <c r="E4627">
        <v>0</v>
      </c>
      <c r="F4627">
        <v>34715</v>
      </c>
    </row>
    <row r="4628" spans="1:6" x14ac:dyDescent="0.25">
      <c r="A4628">
        <v>4627</v>
      </c>
      <c r="B4628">
        <v>13</v>
      </c>
      <c r="C4628">
        <v>0</v>
      </c>
      <c r="D4628">
        <v>0</v>
      </c>
      <c r="E4628">
        <v>0</v>
      </c>
      <c r="F4628">
        <v>1602</v>
      </c>
    </row>
    <row r="4629" spans="1:6" x14ac:dyDescent="0.25">
      <c r="A4629">
        <v>4628</v>
      </c>
      <c r="B4629">
        <v>41</v>
      </c>
      <c r="C4629">
        <v>0</v>
      </c>
      <c r="D4629">
        <v>0</v>
      </c>
      <c r="E4629">
        <v>0</v>
      </c>
      <c r="F4629">
        <v>1</v>
      </c>
    </row>
    <row r="4630" spans="1:6" x14ac:dyDescent="0.25">
      <c r="A4630">
        <v>4629</v>
      </c>
      <c r="B4630" t="s">
        <v>0</v>
      </c>
      <c r="C4630">
        <v>106</v>
      </c>
      <c r="D4630">
        <v>3483</v>
      </c>
      <c r="E4630">
        <v>80029867</v>
      </c>
    </row>
    <row r="4631" spans="1:6" x14ac:dyDescent="0.25">
      <c r="A4631">
        <v>4630</v>
      </c>
      <c r="B4631">
        <v>43</v>
      </c>
      <c r="C4631">
        <v>0</v>
      </c>
      <c r="D4631">
        <v>0</v>
      </c>
      <c r="E4631">
        <v>0</v>
      </c>
      <c r="F4631">
        <v>0</v>
      </c>
    </row>
    <row r="4632" spans="1:6" x14ac:dyDescent="0.25">
      <c r="A4632">
        <v>4631</v>
      </c>
      <c r="B4632">
        <v>44</v>
      </c>
      <c r="C4632">
        <v>0</v>
      </c>
      <c r="D4632">
        <v>0</v>
      </c>
      <c r="E4632">
        <v>0</v>
      </c>
      <c r="F4632">
        <v>43.577800000000003</v>
      </c>
    </row>
    <row r="4633" spans="1:6" x14ac:dyDescent="0.25">
      <c r="A4633">
        <v>4632</v>
      </c>
      <c r="B4633">
        <v>45</v>
      </c>
      <c r="C4633">
        <v>0</v>
      </c>
      <c r="D4633">
        <v>0</v>
      </c>
      <c r="E4633">
        <v>0</v>
      </c>
      <c r="F4633">
        <v>4400</v>
      </c>
    </row>
    <row r="4634" spans="1:6" x14ac:dyDescent="0.25">
      <c r="A4634">
        <v>4633</v>
      </c>
      <c r="B4634">
        <v>46</v>
      </c>
      <c r="C4634">
        <v>0</v>
      </c>
      <c r="D4634">
        <v>0</v>
      </c>
      <c r="E4634">
        <v>0</v>
      </c>
      <c r="F4634">
        <v>0</v>
      </c>
    </row>
    <row r="4635" spans="1:6" x14ac:dyDescent="0.25">
      <c r="A4635">
        <v>4634</v>
      </c>
      <c r="B4635">
        <v>2</v>
      </c>
      <c r="C4635">
        <v>0</v>
      </c>
      <c r="D4635">
        <v>0</v>
      </c>
      <c r="E4635">
        <v>0</v>
      </c>
      <c r="F4635">
        <v>34.405999999999999</v>
      </c>
    </row>
    <row r="4636" spans="1:6" x14ac:dyDescent="0.25">
      <c r="A4636">
        <v>4635</v>
      </c>
      <c r="B4636">
        <v>10</v>
      </c>
      <c r="C4636">
        <v>1</v>
      </c>
      <c r="D4636">
        <v>0</v>
      </c>
      <c r="E4636">
        <v>0</v>
      </c>
      <c r="F4636">
        <v>34716</v>
      </c>
    </row>
    <row r="4637" spans="1:6" x14ac:dyDescent="0.25">
      <c r="A4637">
        <v>4636</v>
      </c>
      <c r="B4637">
        <v>13</v>
      </c>
      <c r="C4637">
        <v>0</v>
      </c>
      <c r="D4637">
        <v>0</v>
      </c>
      <c r="E4637">
        <v>0</v>
      </c>
      <c r="F4637">
        <v>1602</v>
      </c>
    </row>
    <row r="4638" spans="1:6" x14ac:dyDescent="0.25">
      <c r="A4638">
        <v>4637</v>
      </c>
      <c r="B4638">
        <v>41</v>
      </c>
      <c r="C4638">
        <v>0</v>
      </c>
      <c r="D4638">
        <v>0</v>
      </c>
      <c r="E4638">
        <v>0</v>
      </c>
      <c r="F4638">
        <v>1</v>
      </c>
    </row>
    <row r="4639" spans="1:6" x14ac:dyDescent="0.25">
      <c r="A4639">
        <v>4638</v>
      </c>
      <c r="B4639">
        <v>42</v>
      </c>
      <c r="C4639">
        <v>0</v>
      </c>
      <c r="D4639">
        <v>0</v>
      </c>
      <c r="E4639">
        <v>0</v>
      </c>
      <c r="F4639">
        <v>0.2</v>
      </c>
    </row>
    <row r="4640" spans="1:6" x14ac:dyDescent="0.25">
      <c r="A4640">
        <v>4639</v>
      </c>
      <c r="B4640">
        <v>43</v>
      </c>
      <c r="C4640">
        <v>0</v>
      </c>
      <c r="D4640">
        <v>0</v>
      </c>
      <c r="E4640">
        <v>0</v>
      </c>
      <c r="F4640">
        <v>0</v>
      </c>
    </row>
    <row r="4641" spans="1:6" x14ac:dyDescent="0.25">
      <c r="A4641">
        <v>4640</v>
      </c>
      <c r="B4641">
        <v>44</v>
      </c>
      <c r="C4641">
        <v>0</v>
      </c>
      <c r="D4641">
        <v>0</v>
      </c>
      <c r="E4641">
        <v>0</v>
      </c>
      <c r="F4641">
        <v>43.577800000000003</v>
      </c>
    </row>
    <row r="4642" spans="1:6" x14ac:dyDescent="0.25">
      <c r="A4642">
        <v>4641</v>
      </c>
      <c r="B4642">
        <v>45</v>
      </c>
      <c r="C4642">
        <v>0</v>
      </c>
      <c r="D4642">
        <v>0</v>
      </c>
      <c r="E4642">
        <v>0</v>
      </c>
      <c r="F4642">
        <v>4400</v>
      </c>
    </row>
    <row r="4643" spans="1:6" x14ac:dyDescent="0.25">
      <c r="A4643">
        <v>4642</v>
      </c>
      <c r="B4643">
        <v>46</v>
      </c>
      <c r="C4643">
        <v>0</v>
      </c>
      <c r="D4643">
        <v>0</v>
      </c>
      <c r="E4643">
        <v>0</v>
      </c>
      <c r="F4643">
        <v>0</v>
      </c>
    </row>
    <row r="4644" spans="1:6" x14ac:dyDescent="0.25">
      <c r="A4644">
        <v>4643</v>
      </c>
      <c r="B4644">
        <v>2</v>
      </c>
      <c r="C4644">
        <v>0</v>
      </c>
      <c r="D4644">
        <v>0</v>
      </c>
      <c r="E4644">
        <v>0</v>
      </c>
      <c r="F4644">
        <v>34.405999999999999</v>
      </c>
    </row>
    <row r="4645" spans="1:6" x14ac:dyDescent="0.25">
      <c r="A4645">
        <v>4644</v>
      </c>
      <c r="B4645" t="s">
        <v>0</v>
      </c>
      <c r="C4645">
        <v>107</v>
      </c>
      <c r="D4645">
        <v>3483</v>
      </c>
      <c r="E4645">
        <v>80030835</v>
      </c>
    </row>
    <row r="4646" spans="1:6" x14ac:dyDescent="0.25">
      <c r="A4646">
        <v>4645</v>
      </c>
      <c r="B4646">
        <v>10</v>
      </c>
      <c r="C4646">
        <v>1</v>
      </c>
      <c r="D4646">
        <v>0</v>
      </c>
      <c r="E4646">
        <v>0</v>
      </c>
      <c r="F4646">
        <v>34716</v>
      </c>
    </row>
    <row r="4647" spans="1:6" x14ac:dyDescent="0.25">
      <c r="A4647">
        <v>4646</v>
      </c>
      <c r="B4647">
        <v>13</v>
      </c>
      <c r="C4647">
        <v>0</v>
      </c>
      <c r="D4647">
        <v>0</v>
      </c>
      <c r="E4647">
        <v>0</v>
      </c>
      <c r="F4647">
        <v>1602</v>
      </c>
    </row>
    <row r="4648" spans="1:6" x14ac:dyDescent="0.25">
      <c r="A4648">
        <v>4647</v>
      </c>
      <c r="B4648">
        <v>41</v>
      </c>
      <c r="C4648">
        <v>0</v>
      </c>
      <c r="D4648">
        <v>0</v>
      </c>
      <c r="E4648">
        <v>0</v>
      </c>
      <c r="F4648">
        <v>1</v>
      </c>
    </row>
    <row r="4649" spans="1:6" x14ac:dyDescent="0.25">
      <c r="A4649">
        <v>4648</v>
      </c>
      <c r="B4649">
        <v>42</v>
      </c>
      <c r="C4649">
        <v>0</v>
      </c>
      <c r="D4649">
        <v>0</v>
      </c>
      <c r="E4649">
        <v>0</v>
      </c>
      <c r="F4649">
        <v>0.2</v>
      </c>
    </row>
    <row r="4650" spans="1:6" x14ac:dyDescent="0.25">
      <c r="A4650">
        <v>4649</v>
      </c>
      <c r="B4650">
        <v>43</v>
      </c>
      <c r="C4650">
        <v>0</v>
      </c>
      <c r="D4650">
        <v>0</v>
      </c>
      <c r="E4650">
        <v>0</v>
      </c>
      <c r="F4650">
        <v>0</v>
      </c>
    </row>
    <row r="4651" spans="1:6" x14ac:dyDescent="0.25">
      <c r="A4651">
        <v>4650</v>
      </c>
      <c r="B4651">
        <v>44</v>
      </c>
      <c r="C4651">
        <v>0</v>
      </c>
      <c r="D4651">
        <v>0</v>
      </c>
      <c r="E4651">
        <v>0</v>
      </c>
      <c r="F4651">
        <v>43.827599999999997</v>
      </c>
    </row>
    <row r="4652" spans="1:6" x14ac:dyDescent="0.25">
      <c r="A4652">
        <v>4651</v>
      </c>
      <c r="B4652">
        <v>45</v>
      </c>
      <c r="C4652">
        <v>0</v>
      </c>
      <c r="D4652">
        <v>0</v>
      </c>
      <c r="E4652">
        <v>0</v>
      </c>
      <c r="F4652">
        <v>4400</v>
      </c>
    </row>
    <row r="4653" spans="1:6" x14ac:dyDescent="0.25">
      <c r="A4653">
        <v>4652</v>
      </c>
      <c r="B4653">
        <v>46</v>
      </c>
      <c r="C4653">
        <v>0</v>
      </c>
      <c r="D4653">
        <v>0</v>
      </c>
      <c r="E4653">
        <v>0</v>
      </c>
      <c r="F4653">
        <v>0</v>
      </c>
    </row>
    <row r="4654" spans="1:6" x14ac:dyDescent="0.25">
      <c r="A4654">
        <v>4653</v>
      </c>
      <c r="B4654">
        <v>2</v>
      </c>
      <c r="C4654">
        <v>0</v>
      </c>
      <c r="D4654">
        <v>0</v>
      </c>
      <c r="E4654">
        <v>0</v>
      </c>
      <c r="F4654">
        <v>34.406199999999998</v>
      </c>
    </row>
    <row r="4655" spans="1:6" x14ac:dyDescent="0.25">
      <c r="A4655">
        <v>4654</v>
      </c>
      <c r="B4655">
        <v>10</v>
      </c>
      <c r="C4655">
        <v>1</v>
      </c>
      <c r="D4655">
        <v>0</v>
      </c>
      <c r="E4655">
        <v>0</v>
      </c>
      <c r="F4655">
        <v>34715</v>
      </c>
    </row>
    <row r="4656" spans="1:6" x14ac:dyDescent="0.25">
      <c r="A4656">
        <v>4655</v>
      </c>
      <c r="B4656">
        <v>13</v>
      </c>
      <c r="C4656">
        <v>0</v>
      </c>
      <c r="D4656">
        <v>0</v>
      </c>
      <c r="E4656">
        <v>0</v>
      </c>
      <c r="F4656">
        <v>1602</v>
      </c>
    </row>
    <row r="4657" spans="1:6" x14ac:dyDescent="0.25">
      <c r="A4657">
        <v>4656</v>
      </c>
      <c r="B4657">
        <v>41</v>
      </c>
      <c r="C4657">
        <v>0</v>
      </c>
      <c r="D4657">
        <v>0</v>
      </c>
      <c r="E4657">
        <v>0</v>
      </c>
      <c r="F4657">
        <v>1</v>
      </c>
    </row>
    <row r="4658" spans="1:6" x14ac:dyDescent="0.25">
      <c r="A4658">
        <v>4657</v>
      </c>
      <c r="B4658">
        <v>42</v>
      </c>
      <c r="C4658">
        <v>0</v>
      </c>
      <c r="D4658">
        <v>0</v>
      </c>
      <c r="E4658">
        <v>0</v>
      </c>
      <c r="F4658">
        <v>0.2</v>
      </c>
    </row>
    <row r="4659" spans="1:6" x14ac:dyDescent="0.25">
      <c r="A4659">
        <v>4658</v>
      </c>
      <c r="B4659">
        <v>43</v>
      </c>
      <c r="C4659">
        <v>0</v>
      </c>
      <c r="D4659">
        <v>0</v>
      </c>
      <c r="E4659">
        <v>0</v>
      </c>
      <c r="F4659">
        <v>0</v>
      </c>
    </row>
    <row r="4660" spans="1:6" x14ac:dyDescent="0.25">
      <c r="A4660">
        <v>4659</v>
      </c>
      <c r="B4660">
        <v>44</v>
      </c>
      <c r="C4660">
        <v>0</v>
      </c>
      <c r="D4660">
        <v>0</v>
      </c>
      <c r="E4660">
        <v>0</v>
      </c>
      <c r="F4660">
        <v>43.827599999999997</v>
      </c>
    </row>
    <row r="4661" spans="1:6" x14ac:dyDescent="0.25">
      <c r="A4661">
        <v>4660</v>
      </c>
      <c r="B4661">
        <v>45</v>
      </c>
      <c r="C4661">
        <v>0</v>
      </c>
      <c r="D4661">
        <v>0</v>
      </c>
      <c r="E4661">
        <v>0</v>
      </c>
      <c r="F4661">
        <v>4400</v>
      </c>
    </row>
    <row r="4662" spans="1:6" x14ac:dyDescent="0.25">
      <c r="A4662">
        <v>4661</v>
      </c>
      <c r="B4662">
        <v>46</v>
      </c>
      <c r="C4662">
        <v>0</v>
      </c>
      <c r="D4662">
        <v>0</v>
      </c>
      <c r="E4662">
        <v>0</v>
      </c>
      <c r="F4662">
        <v>0</v>
      </c>
    </row>
    <row r="4663" spans="1:6" x14ac:dyDescent="0.25">
      <c r="A4663">
        <v>4662</v>
      </c>
      <c r="B4663">
        <v>2</v>
      </c>
      <c r="C4663">
        <v>0</v>
      </c>
      <c r="D4663">
        <v>0</v>
      </c>
      <c r="E4663">
        <v>0</v>
      </c>
      <c r="F4663">
        <v>34.4069</v>
      </c>
    </row>
    <row r="4664" spans="1:6" x14ac:dyDescent="0.25">
      <c r="A4664">
        <v>4663</v>
      </c>
      <c r="B4664">
        <v>10</v>
      </c>
      <c r="C4664">
        <v>1</v>
      </c>
      <c r="D4664">
        <v>0</v>
      </c>
      <c r="E4664">
        <v>0</v>
      </c>
      <c r="F4664">
        <v>34715</v>
      </c>
    </row>
    <row r="4665" spans="1:6" x14ac:dyDescent="0.25">
      <c r="A4665">
        <v>4664</v>
      </c>
      <c r="B4665">
        <v>13</v>
      </c>
      <c r="C4665">
        <v>0</v>
      </c>
      <c r="D4665">
        <v>0</v>
      </c>
      <c r="E4665">
        <v>0</v>
      </c>
      <c r="F4665">
        <v>1602</v>
      </c>
    </row>
    <row r="4666" spans="1:6" x14ac:dyDescent="0.25">
      <c r="A4666">
        <v>4665</v>
      </c>
      <c r="B4666">
        <v>41</v>
      </c>
      <c r="C4666">
        <v>0</v>
      </c>
      <c r="D4666">
        <v>0</v>
      </c>
      <c r="E4666">
        <v>0</v>
      </c>
      <c r="F4666">
        <v>1</v>
      </c>
    </row>
    <row r="4667" spans="1:6" x14ac:dyDescent="0.25">
      <c r="A4667">
        <v>4666</v>
      </c>
      <c r="B4667">
        <v>42</v>
      </c>
      <c r="C4667">
        <v>0</v>
      </c>
      <c r="D4667">
        <v>0</v>
      </c>
      <c r="E4667">
        <v>0</v>
      </c>
      <c r="F4667">
        <v>0.2</v>
      </c>
    </row>
    <row r="4668" spans="1:6" x14ac:dyDescent="0.25">
      <c r="A4668">
        <v>4667</v>
      </c>
      <c r="B4668">
        <v>43</v>
      </c>
      <c r="C4668">
        <v>0</v>
      </c>
      <c r="D4668">
        <v>0</v>
      </c>
      <c r="E4668">
        <v>0</v>
      </c>
      <c r="F4668">
        <v>0</v>
      </c>
    </row>
    <row r="4669" spans="1:6" x14ac:dyDescent="0.25">
      <c r="A4669">
        <v>4668</v>
      </c>
      <c r="B4669">
        <v>44</v>
      </c>
      <c r="C4669">
        <v>0</v>
      </c>
      <c r="D4669">
        <v>0</v>
      </c>
      <c r="E4669">
        <v>0</v>
      </c>
      <c r="F4669">
        <v>44.076999999999998</v>
      </c>
    </row>
    <row r="4670" spans="1:6" x14ac:dyDescent="0.25">
      <c r="A4670">
        <v>4669</v>
      </c>
      <c r="B4670">
        <v>45</v>
      </c>
      <c r="C4670">
        <v>0</v>
      </c>
      <c r="D4670">
        <v>0</v>
      </c>
      <c r="E4670">
        <v>0</v>
      </c>
      <c r="F4670">
        <v>4400</v>
      </c>
    </row>
    <row r="4671" spans="1:6" x14ac:dyDescent="0.25">
      <c r="A4671">
        <v>4670</v>
      </c>
      <c r="B4671">
        <v>46</v>
      </c>
      <c r="C4671">
        <v>0</v>
      </c>
      <c r="D4671">
        <v>0</v>
      </c>
      <c r="E4671">
        <v>0</v>
      </c>
      <c r="F4671">
        <v>0</v>
      </c>
    </row>
    <row r="4672" spans="1:6" x14ac:dyDescent="0.25">
      <c r="A4672">
        <v>4671</v>
      </c>
      <c r="B4672">
        <v>2</v>
      </c>
      <c r="C4672">
        <v>0</v>
      </c>
      <c r="D4672">
        <v>0</v>
      </c>
      <c r="E4672">
        <v>0</v>
      </c>
      <c r="F4672">
        <v>34.4069</v>
      </c>
    </row>
    <row r="4673" spans="1:6" x14ac:dyDescent="0.25">
      <c r="A4673">
        <v>4672</v>
      </c>
      <c r="B4673">
        <v>10</v>
      </c>
      <c r="C4673">
        <v>1</v>
      </c>
      <c r="D4673">
        <v>0</v>
      </c>
      <c r="E4673">
        <v>0</v>
      </c>
      <c r="F4673">
        <v>34715</v>
      </c>
    </row>
    <row r="4674" spans="1:6" x14ac:dyDescent="0.25">
      <c r="A4674">
        <v>4673</v>
      </c>
      <c r="B4674">
        <v>13</v>
      </c>
      <c r="C4674">
        <v>0</v>
      </c>
      <c r="D4674">
        <v>0</v>
      </c>
      <c r="E4674">
        <v>0</v>
      </c>
      <c r="F4674">
        <v>1602</v>
      </c>
    </row>
    <row r="4675" spans="1:6" x14ac:dyDescent="0.25">
      <c r="A4675">
        <v>4674</v>
      </c>
      <c r="B4675" t="s">
        <v>0</v>
      </c>
      <c r="C4675">
        <v>109</v>
      </c>
      <c r="D4675">
        <v>3483</v>
      </c>
      <c r="E4675">
        <v>80032771</v>
      </c>
    </row>
    <row r="4676" spans="1:6" x14ac:dyDescent="0.25">
      <c r="A4676">
        <v>4675</v>
      </c>
      <c r="B4676">
        <v>42</v>
      </c>
      <c r="C4676">
        <v>0</v>
      </c>
      <c r="D4676">
        <v>0</v>
      </c>
      <c r="E4676">
        <v>0</v>
      </c>
      <c r="F4676">
        <v>0.2</v>
      </c>
    </row>
    <row r="4677" spans="1:6" x14ac:dyDescent="0.25">
      <c r="A4677">
        <v>4676</v>
      </c>
      <c r="B4677">
        <v>43</v>
      </c>
      <c r="C4677">
        <v>0</v>
      </c>
      <c r="D4677">
        <v>0</v>
      </c>
      <c r="E4677">
        <v>0</v>
      </c>
      <c r="F4677">
        <v>0</v>
      </c>
    </row>
    <row r="4678" spans="1:6" x14ac:dyDescent="0.25">
      <c r="A4678">
        <v>4677</v>
      </c>
      <c r="B4678">
        <v>44</v>
      </c>
      <c r="C4678">
        <v>0</v>
      </c>
      <c r="D4678">
        <v>0</v>
      </c>
      <c r="E4678">
        <v>0</v>
      </c>
      <c r="F4678">
        <v>44.302599999999998</v>
      </c>
    </row>
    <row r="4679" spans="1:6" x14ac:dyDescent="0.25">
      <c r="A4679">
        <v>4678</v>
      </c>
      <c r="B4679">
        <v>45</v>
      </c>
      <c r="C4679">
        <v>0</v>
      </c>
      <c r="D4679">
        <v>0</v>
      </c>
      <c r="E4679">
        <v>0</v>
      </c>
      <c r="F4679">
        <v>4400</v>
      </c>
    </row>
    <row r="4680" spans="1:6" x14ac:dyDescent="0.25">
      <c r="A4680">
        <v>4679</v>
      </c>
      <c r="B4680">
        <v>46</v>
      </c>
      <c r="C4680">
        <v>0</v>
      </c>
      <c r="D4680">
        <v>0</v>
      </c>
      <c r="E4680">
        <v>0</v>
      </c>
      <c r="F4680">
        <v>0</v>
      </c>
    </row>
    <row r="4681" spans="1:6" x14ac:dyDescent="0.25">
      <c r="A4681">
        <v>4680</v>
      </c>
      <c r="B4681">
        <v>2</v>
      </c>
      <c r="C4681">
        <v>0</v>
      </c>
      <c r="D4681">
        <v>0</v>
      </c>
      <c r="E4681">
        <v>0</v>
      </c>
      <c r="F4681">
        <v>34.406199999999998</v>
      </c>
    </row>
    <row r="4682" spans="1:6" x14ac:dyDescent="0.25">
      <c r="A4682">
        <v>4681</v>
      </c>
      <c r="B4682">
        <v>10</v>
      </c>
      <c r="C4682">
        <v>1</v>
      </c>
      <c r="D4682">
        <v>0</v>
      </c>
      <c r="E4682">
        <v>0</v>
      </c>
      <c r="F4682">
        <v>34715</v>
      </c>
    </row>
    <row r="4683" spans="1:6" x14ac:dyDescent="0.25">
      <c r="A4683">
        <v>4682</v>
      </c>
      <c r="B4683">
        <v>13</v>
      </c>
      <c r="C4683">
        <v>0</v>
      </c>
      <c r="D4683">
        <v>0</v>
      </c>
      <c r="E4683">
        <v>0</v>
      </c>
      <c r="F4683">
        <v>1602</v>
      </c>
    </row>
    <row r="4684" spans="1:6" x14ac:dyDescent="0.25">
      <c r="A4684">
        <v>4683</v>
      </c>
      <c r="B4684">
        <v>41</v>
      </c>
      <c r="C4684">
        <v>0</v>
      </c>
      <c r="D4684">
        <v>0</v>
      </c>
      <c r="E4684">
        <v>0</v>
      </c>
      <c r="F4684">
        <v>1</v>
      </c>
    </row>
    <row r="4685" spans="1:6" x14ac:dyDescent="0.25">
      <c r="A4685">
        <v>4684</v>
      </c>
      <c r="B4685">
        <v>42</v>
      </c>
      <c r="C4685">
        <v>0</v>
      </c>
      <c r="D4685">
        <v>0</v>
      </c>
      <c r="E4685">
        <v>0</v>
      </c>
      <c r="F4685">
        <v>0.2</v>
      </c>
    </row>
    <row r="4686" spans="1:6" x14ac:dyDescent="0.25">
      <c r="A4686">
        <v>4685</v>
      </c>
      <c r="B4686">
        <v>43</v>
      </c>
      <c r="C4686">
        <v>0</v>
      </c>
      <c r="D4686">
        <v>0</v>
      </c>
      <c r="E4686">
        <v>0</v>
      </c>
      <c r="F4686">
        <v>0</v>
      </c>
    </row>
    <row r="4687" spans="1:6" x14ac:dyDescent="0.25">
      <c r="A4687">
        <v>4686</v>
      </c>
      <c r="B4687">
        <v>44</v>
      </c>
      <c r="C4687">
        <v>0</v>
      </c>
      <c r="D4687">
        <v>0</v>
      </c>
      <c r="E4687">
        <v>0</v>
      </c>
      <c r="F4687">
        <v>44.302599999999998</v>
      </c>
    </row>
    <row r="4688" spans="1:6" x14ac:dyDescent="0.25">
      <c r="A4688">
        <v>4687</v>
      </c>
      <c r="B4688">
        <v>45</v>
      </c>
      <c r="C4688">
        <v>0</v>
      </c>
      <c r="D4688">
        <v>0</v>
      </c>
      <c r="E4688">
        <v>0</v>
      </c>
      <c r="F4688">
        <v>4400</v>
      </c>
    </row>
    <row r="4689" spans="1:6" x14ac:dyDescent="0.25">
      <c r="A4689">
        <v>4688</v>
      </c>
      <c r="B4689">
        <v>46</v>
      </c>
      <c r="C4689">
        <v>0</v>
      </c>
      <c r="D4689">
        <v>0</v>
      </c>
      <c r="E4689">
        <v>0</v>
      </c>
      <c r="F4689">
        <v>0</v>
      </c>
    </row>
    <row r="4690" spans="1:6" x14ac:dyDescent="0.25">
      <c r="A4690">
        <v>4689</v>
      </c>
      <c r="B4690" t="s">
        <v>0</v>
      </c>
      <c r="C4690">
        <v>110</v>
      </c>
      <c r="D4690">
        <v>3483</v>
      </c>
      <c r="E4690">
        <v>80033739</v>
      </c>
    </row>
    <row r="4691" spans="1:6" x14ac:dyDescent="0.25">
      <c r="A4691">
        <v>4690</v>
      </c>
      <c r="B4691">
        <v>2</v>
      </c>
      <c r="C4691">
        <v>0</v>
      </c>
      <c r="D4691">
        <v>0</v>
      </c>
      <c r="E4691">
        <v>0</v>
      </c>
      <c r="F4691">
        <v>34.406599999999997</v>
      </c>
    </row>
    <row r="4692" spans="1:6" x14ac:dyDescent="0.25">
      <c r="A4692">
        <v>4691</v>
      </c>
      <c r="B4692">
        <v>10</v>
      </c>
      <c r="C4692">
        <v>1</v>
      </c>
      <c r="D4692">
        <v>0</v>
      </c>
      <c r="E4692">
        <v>0</v>
      </c>
      <c r="F4692">
        <v>34715</v>
      </c>
    </row>
    <row r="4693" spans="1:6" x14ac:dyDescent="0.25">
      <c r="A4693">
        <v>4692</v>
      </c>
      <c r="B4693">
        <v>13</v>
      </c>
      <c r="C4693">
        <v>0</v>
      </c>
      <c r="D4693">
        <v>0</v>
      </c>
      <c r="E4693">
        <v>0</v>
      </c>
      <c r="F4693">
        <v>1602</v>
      </c>
    </row>
    <row r="4694" spans="1:6" x14ac:dyDescent="0.25">
      <c r="A4694">
        <v>4693</v>
      </c>
      <c r="B4694">
        <v>41</v>
      </c>
      <c r="C4694">
        <v>0</v>
      </c>
      <c r="D4694">
        <v>0</v>
      </c>
      <c r="E4694">
        <v>0</v>
      </c>
      <c r="F4694">
        <v>1</v>
      </c>
    </row>
    <row r="4695" spans="1:6" x14ac:dyDescent="0.25">
      <c r="A4695">
        <v>4694</v>
      </c>
      <c r="B4695">
        <v>42</v>
      </c>
      <c r="C4695">
        <v>0</v>
      </c>
      <c r="D4695">
        <v>0</v>
      </c>
      <c r="E4695">
        <v>0</v>
      </c>
      <c r="F4695">
        <v>0.2</v>
      </c>
    </row>
    <row r="4696" spans="1:6" x14ac:dyDescent="0.25">
      <c r="A4696">
        <v>4695</v>
      </c>
      <c r="B4696">
        <v>43</v>
      </c>
      <c r="C4696">
        <v>0</v>
      </c>
      <c r="D4696">
        <v>0</v>
      </c>
      <c r="E4696">
        <v>0</v>
      </c>
      <c r="F4696">
        <v>0</v>
      </c>
    </row>
    <row r="4697" spans="1:6" x14ac:dyDescent="0.25">
      <c r="A4697">
        <v>4696</v>
      </c>
      <c r="B4697">
        <v>44</v>
      </c>
      <c r="C4697">
        <v>0</v>
      </c>
      <c r="D4697">
        <v>0</v>
      </c>
      <c r="E4697">
        <v>0</v>
      </c>
      <c r="F4697">
        <v>44.552199999999999</v>
      </c>
    </row>
    <row r="4698" spans="1:6" x14ac:dyDescent="0.25">
      <c r="A4698">
        <v>4697</v>
      </c>
      <c r="B4698">
        <v>45</v>
      </c>
      <c r="C4698">
        <v>0</v>
      </c>
      <c r="D4698">
        <v>0</v>
      </c>
      <c r="E4698">
        <v>0</v>
      </c>
      <c r="F4698">
        <v>4400</v>
      </c>
    </row>
    <row r="4699" spans="1:6" x14ac:dyDescent="0.25">
      <c r="A4699">
        <v>4698</v>
      </c>
      <c r="B4699">
        <v>46</v>
      </c>
      <c r="C4699">
        <v>0</v>
      </c>
      <c r="D4699">
        <v>0</v>
      </c>
      <c r="E4699">
        <v>0</v>
      </c>
      <c r="F4699">
        <v>0</v>
      </c>
    </row>
    <row r="4700" spans="1:6" x14ac:dyDescent="0.25">
      <c r="A4700">
        <v>4699</v>
      </c>
      <c r="B4700">
        <v>2</v>
      </c>
      <c r="C4700">
        <v>0</v>
      </c>
      <c r="D4700">
        <v>0</v>
      </c>
      <c r="E4700">
        <v>0</v>
      </c>
      <c r="F4700">
        <v>34.406599999999997</v>
      </c>
    </row>
    <row r="4701" spans="1:6" x14ac:dyDescent="0.25">
      <c r="A4701">
        <v>4700</v>
      </c>
      <c r="B4701">
        <v>10</v>
      </c>
      <c r="C4701">
        <v>1</v>
      </c>
      <c r="D4701">
        <v>0</v>
      </c>
      <c r="E4701">
        <v>0</v>
      </c>
      <c r="F4701">
        <v>34715</v>
      </c>
    </row>
    <row r="4702" spans="1:6" x14ac:dyDescent="0.25">
      <c r="A4702">
        <v>4701</v>
      </c>
      <c r="B4702">
        <v>13</v>
      </c>
      <c r="C4702">
        <v>0</v>
      </c>
      <c r="D4702">
        <v>0</v>
      </c>
      <c r="E4702">
        <v>0</v>
      </c>
      <c r="F4702">
        <v>1602</v>
      </c>
    </row>
    <row r="4703" spans="1:6" x14ac:dyDescent="0.25">
      <c r="A4703">
        <v>4702</v>
      </c>
      <c r="B4703">
        <v>41</v>
      </c>
      <c r="C4703">
        <v>0</v>
      </c>
      <c r="D4703">
        <v>0</v>
      </c>
      <c r="E4703">
        <v>0</v>
      </c>
      <c r="F4703">
        <v>1</v>
      </c>
    </row>
    <row r="4704" spans="1:6" x14ac:dyDescent="0.25">
      <c r="A4704">
        <v>4703</v>
      </c>
      <c r="B4704">
        <v>42</v>
      </c>
      <c r="C4704">
        <v>0</v>
      </c>
      <c r="D4704">
        <v>0</v>
      </c>
      <c r="E4704">
        <v>0</v>
      </c>
      <c r="F4704">
        <v>0.2</v>
      </c>
    </row>
    <row r="4705" spans="1:6" x14ac:dyDescent="0.25">
      <c r="A4705">
        <v>4704</v>
      </c>
      <c r="B4705">
        <v>43</v>
      </c>
      <c r="C4705">
        <v>0</v>
      </c>
      <c r="D4705">
        <v>0</v>
      </c>
      <c r="E4705">
        <v>0</v>
      </c>
      <c r="F4705">
        <v>0</v>
      </c>
    </row>
    <row r="4706" spans="1:6" x14ac:dyDescent="0.25">
      <c r="A4706">
        <v>4705</v>
      </c>
      <c r="B4706">
        <v>44</v>
      </c>
      <c r="C4706">
        <v>0</v>
      </c>
      <c r="D4706">
        <v>0</v>
      </c>
      <c r="E4706">
        <v>0</v>
      </c>
      <c r="F4706">
        <v>44.802</v>
      </c>
    </row>
    <row r="4707" spans="1:6" x14ac:dyDescent="0.25">
      <c r="A4707">
        <v>4706</v>
      </c>
      <c r="B4707">
        <v>45</v>
      </c>
      <c r="C4707">
        <v>0</v>
      </c>
      <c r="D4707">
        <v>0</v>
      </c>
      <c r="E4707">
        <v>0</v>
      </c>
      <c r="F4707">
        <v>4400</v>
      </c>
    </row>
    <row r="4708" spans="1:6" x14ac:dyDescent="0.25">
      <c r="A4708">
        <v>4707</v>
      </c>
      <c r="B4708">
        <v>46</v>
      </c>
      <c r="C4708">
        <v>0</v>
      </c>
      <c r="D4708">
        <v>0</v>
      </c>
      <c r="E4708">
        <v>0</v>
      </c>
      <c r="F4708">
        <v>0</v>
      </c>
    </row>
    <row r="4709" spans="1:6" x14ac:dyDescent="0.25">
      <c r="A4709">
        <v>4708</v>
      </c>
      <c r="B4709">
        <v>2</v>
      </c>
      <c r="C4709">
        <v>0</v>
      </c>
      <c r="D4709">
        <v>0</v>
      </c>
      <c r="E4709">
        <v>0</v>
      </c>
      <c r="F4709">
        <v>34.4069</v>
      </c>
    </row>
    <row r="4710" spans="1:6" x14ac:dyDescent="0.25">
      <c r="A4710">
        <v>4709</v>
      </c>
      <c r="B4710">
        <v>10</v>
      </c>
      <c r="C4710">
        <v>1</v>
      </c>
      <c r="D4710">
        <v>0</v>
      </c>
      <c r="E4710">
        <v>0</v>
      </c>
      <c r="F4710">
        <v>34715</v>
      </c>
    </row>
    <row r="4711" spans="1:6" x14ac:dyDescent="0.25">
      <c r="A4711">
        <v>4710</v>
      </c>
      <c r="B4711">
        <v>13</v>
      </c>
      <c r="C4711">
        <v>0</v>
      </c>
      <c r="D4711">
        <v>0</v>
      </c>
      <c r="E4711">
        <v>0</v>
      </c>
      <c r="F4711">
        <v>1602</v>
      </c>
    </row>
    <row r="4712" spans="1:6" x14ac:dyDescent="0.25">
      <c r="A4712">
        <v>4711</v>
      </c>
      <c r="B4712">
        <v>41</v>
      </c>
      <c r="C4712">
        <v>0</v>
      </c>
      <c r="D4712">
        <v>0</v>
      </c>
      <c r="E4712">
        <v>0</v>
      </c>
      <c r="F4712">
        <v>1</v>
      </c>
    </row>
    <row r="4713" spans="1:6" x14ac:dyDescent="0.25">
      <c r="A4713">
        <v>4712</v>
      </c>
      <c r="B4713">
        <v>42</v>
      </c>
      <c r="C4713">
        <v>0</v>
      </c>
      <c r="D4713">
        <v>0</v>
      </c>
      <c r="E4713">
        <v>0</v>
      </c>
      <c r="F4713">
        <v>0.2</v>
      </c>
    </row>
    <row r="4714" spans="1:6" x14ac:dyDescent="0.25">
      <c r="A4714">
        <v>4713</v>
      </c>
      <c r="B4714">
        <v>43</v>
      </c>
      <c r="C4714">
        <v>0</v>
      </c>
      <c r="D4714">
        <v>0</v>
      </c>
      <c r="E4714">
        <v>0</v>
      </c>
      <c r="F4714">
        <v>0</v>
      </c>
    </row>
    <row r="4715" spans="1:6" x14ac:dyDescent="0.25">
      <c r="A4715">
        <v>4714</v>
      </c>
      <c r="B4715">
        <v>44</v>
      </c>
      <c r="C4715">
        <v>0</v>
      </c>
      <c r="D4715">
        <v>0</v>
      </c>
      <c r="E4715">
        <v>0</v>
      </c>
      <c r="F4715">
        <v>44.802</v>
      </c>
    </row>
    <row r="4716" spans="1:6" x14ac:dyDescent="0.25">
      <c r="A4716">
        <v>4715</v>
      </c>
      <c r="B4716">
        <v>45</v>
      </c>
      <c r="C4716">
        <v>0</v>
      </c>
      <c r="D4716">
        <v>0</v>
      </c>
      <c r="E4716">
        <v>0</v>
      </c>
      <c r="F4716">
        <v>4400</v>
      </c>
    </row>
    <row r="4717" spans="1:6" x14ac:dyDescent="0.25">
      <c r="A4717">
        <v>4716</v>
      </c>
      <c r="B4717">
        <v>46</v>
      </c>
      <c r="C4717">
        <v>0</v>
      </c>
      <c r="D4717">
        <v>0</v>
      </c>
      <c r="E4717">
        <v>0</v>
      </c>
      <c r="F4717">
        <v>0</v>
      </c>
    </row>
    <row r="4718" spans="1:6" x14ac:dyDescent="0.25">
      <c r="A4718">
        <v>4717</v>
      </c>
      <c r="B4718">
        <v>2</v>
      </c>
      <c r="C4718">
        <v>0</v>
      </c>
      <c r="D4718">
        <v>0</v>
      </c>
      <c r="E4718">
        <v>0</v>
      </c>
      <c r="F4718">
        <v>34.4069</v>
      </c>
    </row>
    <row r="4719" spans="1:6" x14ac:dyDescent="0.25">
      <c r="A4719">
        <v>4718</v>
      </c>
      <c r="B4719">
        <v>10</v>
      </c>
      <c r="C4719">
        <v>1</v>
      </c>
      <c r="D4719">
        <v>0</v>
      </c>
      <c r="E4719">
        <v>0</v>
      </c>
      <c r="F4719">
        <v>34715</v>
      </c>
    </row>
    <row r="4720" spans="1:6" x14ac:dyDescent="0.25">
      <c r="A4720">
        <v>4719</v>
      </c>
      <c r="B4720">
        <v>13</v>
      </c>
      <c r="C4720">
        <v>0</v>
      </c>
      <c r="D4720">
        <v>0</v>
      </c>
      <c r="E4720">
        <v>0</v>
      </c>
      <c r="F4720">
        <v>1602</v>
      </c>
    </row>
    <row r="4721" spans="1:6" x14ac:dyDescent="0.25">
      <c r="A4721">
        <v>4720</v>
      </c>
      <c r="B4721">
        <v>41</v>
      </c>
      <c r="C4721">
        <v>0</v>
      </c>
      <c r="D4721">
        <v>0</v>
      </c>
      <c r="E4721">
        <v>0</v>
      </c>
      <c r="F4721">
        <v>1</v>
      </c>
    </row>
    <row r="4722" spans="1:6" x14ac:dyDescent="0.25">
      <c r="A4722">
        <v>4721</v>
      </c>
      <c r="B4722">
        <v>42</v>
      </c>
      <c r="C4722">
        <v>0</v>
      </c>
      <c r="D4722">
        <v>0</v>
      </c>
      <c r="E4722">
        <v>0</v>
      </c>
      <c r="F4722">
        <v>0.2</v>
      </c>
    </row>
    <row r="4723" spans="1:6" x14ac:dyDescent="0.25">
      <c r="A4723">
        <v>4722</v>
      </c>
      <c r="B4723">
        <v>43</v>
      </c>
      <c r="C4723">
        <v>0</v>
      </c>
      <c r="D4723">
        <v>0</v>
      </c>
      <c r="E4723">
        <v>0</v>
      </c>
      <c r="F4723">
        <v>0</v>
      </c>
    </row>
    <row r="4724" spans="1:6" x14ac:dyDescent="0.25">
      <c r="A4724">
        <v>4723</v>
      </c>
      <c r="B4724">
        <v>44</v>
      </c>
      <c r="C4724">
        <v>0</v>
      </c>
      <c r="D4724">
        <v>0</v>
      </c>
      <c r="E4724">
        <v>0</v>
      </c>
      <c r="F4724">
        <v>45.027000000000001</v>
      </c>
    </row>
    <row r="4725" spans="1:6" x14ac:dyDescent="0.25">
      <c r="A4725">
        <v>4724</v>
      </c>
      <c r="B4725">
        <v>45</v>
      </c>
      <c r="C4725">
        <v>0</v>
      </c>
      <c r="D4725">
        <v>0</v>
      </c>
      <c r="E4725">
        <v>0</v>
      </c>
      <c r="F4725">
        <v>4400</v>
      </c>
    </row>
    <row r="4726" spans="1:6" x14ac:dyDescent="0.25">
      <c r="A4726">
        <v>4725</v>
      </c>
      <c r="B4726">
        <v>46</v>
      </c>
      <c r="C4726">
        <v>0</v>
      </c>
      <c r="D4726">
        <v>0</v>
      </c>
      <c r="E4726">
        <v>0</v>
      </c>
      <c r="F4726">
        <v>0</v>
      </c>
    </row>
    <row r="4727" spans="1:6" x14ac:dyDescent="0.25">
      <c r="A4727">
        <v>4726</v>
      </c>
      <c r="B4727">
        <v>2</v>
      </c>
      <c r="C4727">
        <v>0</v>
      </c>
      <c r="D4727">
        <v>0</v>
      </c>
      <c r="E4727">
        <v>0</v>
      </c>
      <c r="F4727">
        <v>34.4069</v>
      </c>
    </row>
    <row r="4728" spans="1:6" x14ac:dyDescent="0.25">
      <c r="A4728">
        <v>4727</v>
      </c>
      <c r="B4728">
        <v>10</v>
      </c>
      <c r="C4728">
        <v>1</v>
      </c>
      <c r="D4728">
        <v>0</v>
      </c>
      <c r="E4728">
        <v>0</v>
      </c>
      <c r="F4728">
        <v>34715</v>
      </c>
    </row>
    <row r="4729" spans="1:6" x14ac:dyDescent="0.25">
      <c r="A4729">
        <v>4728</v>
      </c>
      <c r="B4729">
        <v>13</v>
      </c>
      <c r="C4729">
        <v>0</v>
      </c>
      <c r="D4729">
        <v>0</v>
      </c>
      <c r="E4729">
        <v>0</v>
      </c>
      <c r="F4729">
        <v>1602</v>
      </c>
    </row>
    <row r="4730" spans="1:6" x14ac:dyDescent="0.25">
      <c r="A4730">
        <v>4729</v>
      </c>
      <c r="B4730">
        <v>41</v>
      </c>
      <c r="C4730">
        <v>0</v>
      </c>
      <c r="D4730">
        <v>0</v>
      </c>
      <c r="E4730">
        <v>0</v>
      </c>
      <c r="F4730">
        <v>1</v>
      </c>
    </row>
    <row r="4731" spans="1:6" x14ac:dyDescent="0.25">
      <c r="A4731">
        <v>4730</v>
      </c>
      <c r="B4731">
        <v>42</v>
      </c>
      <c r="C4731">
        <v>0</v>
      </c>
      <c r="D4731">
        <v>0</v>
      </c>
      <c r="E4731">
        <v>0</v>
      </c>
      <c r="F4731">
        <v>0.2</v>
      </c>
    </row>
    <row r="4732" spans="1:6" x14ac:dyDescent="0.25">
      <c r="A4732">
        <v>4731</v>
      </c>
      <c r="B4732">
        <v>43</v>
      </c>
      <c r="C4732">
        <v>0</v>
      </c>
      <c r="D4732">
        <v>0</v>
      </c>
      <c r="E4732">
        <v>0</v>
      </c>
      <c r="F4732">
        <v>0</v>
      </c>
    </row>
    <row r="4733" spans="1:6" x14ac:dyDescent="0.25">
      <c r="A4733">
        <v>4732</v>
      </c>
      <c r="B4733">
        <v>44</v>
      </c>
      <c r="C4733">
        <v>0</v>
      </c>
      <c r="D4733">
        <v>0</v>
      </c>
      <c r="E4733">
        <v>0</v>
      </c>
      <c r="F4733">
        <v>45.027000000000001</v>
      </c>
    </row>
    <row r="4734" spans="1:6" x14ac:dyDescent="0.25">
      <c r="A4734">
        <v>4733</v>
      </c>
      <c r="B4734">
        <v>45</v>
      </c>
      <c r="C4734">
        <v>0</v>
      </c>
      <c r="D4734">
        <v>0</v>
      </c>
      <c r="E4734">
        <v>0</v>
      </c>
      <c r="F4734">
        <v>4400</v>
      </c>
    </row>
    <row r="4735" spans="1:6" x14ac:dyDescent="0.25">
      <c r="A4735">
        <v>4734</v>
      </c>
      <c r="B4735" t="s">
        <v>0</v>
      </c>
      <c r="C4735">
        <v>113</v>
      </c>
      <c r="D4735">
        <v>3483</v>
      </c>
      <c r="E4735">
        <v>80036642</v>
      </c>
    </row>
    <row r="4736" spans="1:6" x14ac:dyDescent="0.25">
      <c r="A4736">
        <v>4735</v>
      </c>
      <c r="B4736">
        <v>2</v>
      </c>
      <c r="C4736">
        <v>0</v>
      </c>
      <c r="D4736">
        <v>0</v>
      </c>
      <c r="E4736">
        <v>0</v>
      </c>
      <c r="F4736">
        <v>34.407299999999999</v>
      </c>
    </row>
    <row r="4737" spans="1:6" x14ac:dyDescent="0.25">
      <c r="A4737">
        <v>4736</v>
      </c>
      <c r="B4737">
        <v>10</v>
      </c>
      <c r="C4737">
        <v>1</v>
      </c>
      <c r="D4737">
        <v>0</v>
      </c>
      <c r="E4737">
        <v>0</v>
      </c>
      <c r="F4737">
        <v>34714</v>
      </c>
    </row>
    <row r="4738" spans="1:6" x14ac:dyDescent="0.25">
      <c r="A4738">
        <v>4737</v>
      </c>
      <c r="B4738">
        <v>13</v>
      </c>
      <c r="C4738">
        <v>0</v>
      </c>
      <c r="D4738">
        <v>0</v>
      </c>
      <c r="E4738">
        <v>0</v>
      </c>
      <c r="F4738">
        <v>1602</v>
      </c>
    </row>
    <row r="4739" spans="1:6" x14ac:dyDescent="0.25">
      <c r="A4739">
        <v>4738</v>
      </c>
      <c r="B4739">
        <v>41</v>
      </c>
      <c r="C4739">
        <v>0</v>
      </c>
      <c r="D4739">
        <v>0</v>
      </c>
      <c r="E4739">
        <v>0</v>
      </c>
      <c r="F4739">
        <v>1</v>
      </c>
    </row>
    <row r="4740" spans="1:6" x14ac:dyDescent="0.25">
      <c r="A4740">
        <v>4739</v>
      </c>
      <c r="B4740">
        <v>42</v>
      </c>
      <c r="C4740">
        <v>0</v>
      </c>
      <c r="D4740">
        <v>0</v>
      </c>
      <c r="E4740">
        <v>0</v>
      </c>
      <c r="F4740">
        <v>0.2</v>
      </c>
    </row>
    <row r="4741" spans="1:6" x14ac:dyDescent="0.25">
      <c r="A4741">
        <v>4740</v>
      </c>
      <c r="B4741">
        <v>43</v>
      </c>
      <c r="C4741">
        <v>0</v>
      </c>
      <c r="D4741">
        <v>0</v>
      </c>
      <c r="E4741">
        <v>0</v>
      </c>
      <c r="F4741">
        <v>0</v>
      </c>
    </row>
    <row r="4742" spans="1:6" x14ac:dyDescent="0.25">
      <c r="A4742">
        <v>4741</v>
      </c>
      <c r="B4742">
        <v>44</v>
      </c>
      <c r="C4742">
        <v>0</v>
      </c>
      <c r="D4742">
        <v>0</v>
      </c>
      <c r="E4742">
        <v>0</v>
      </c>
      <c r="F4742">
        <v>45.276600000000002</v>
      </c>
    </row>
    <row r="4743" spans="1:6" x14ac:dyDescent="0.25">
      <c r="A4743">
        <v>4742</v>
      </c>
      <c r="B4743">
        <v>45</v>
      </c>
      <c r="C4743">
        <v>0</v>
      </c>
      <c r="D4743">
        <v>0</v>
      </c>
      <c r="E4743">
        <v>0</v>
      </c>
      <c r="F4743">
        <v>4400</v>
      </c>
    </row>
    <row r="4744" spans="1:6" x14ac:dyDescent="0.25">
      <c r="A4744">
        <v>4743</v>
      </c>
      <c r="B4744">
        <v>46</v>
      </c>
      <c r="C4744">
        <v>0</v>
      </c>
      <c r="D4744">
        <v>0</v>
      </c>
      <c r="E4744">
        <v>0</v>
      </c>
      <c r="F4744">
        <v>0</v>
      </c>
    </row>
    <row r="4745" spans="1:6" x14ac:dyDescent="0.25">
      <c r="A4745">
        <v>4744</v>
      </c>
      <c r="B4745">
        <v>2</v>
      </c>
      <c r="C4745">
        <v>0</v>
      </c>
      <c r="D4745">
        <v>0</v>
      </c>
      <c r="E4745">
        <v>0</v>
      </c>
      <c r="F4745">
        <v>34.407299999999999</v>
      </c>
    </row>
    <row r="4746" spans="1:6" x14ac:dyDescent="0.25">
      <c r="A4746">
        <v>4745</v>
      </c>
      <c r="B4746">
        <v>10</v>
      </c>
      <c r="C4746">
        <v>1</v>
      </c>
      <c r="D4746">
        <v>0</v>
      </c>
      <c r="E4746">
        <v>0</v>
      </c>
      <c r="F4746">
        <v>34714</v>
      </c>
    </row>
    <row r="4747" spans="1:6" x14ac:dyDescent="0.25">
      <c r="A4747">
        <v>4746</v>
      </c>
      <c r="B4747">
        <v>13</v>
      </c>
      <c r="C4747">
        <v>0</v>
      </c>
      <c r="D4747">
        <v>0</v>
      </c>
      <c r="E4747">
        <v>0</v>
      </c>
      <c r="F4747">
        <v>1602</v>
      </c>
    </row>
    <row r="4748" spans="1:6" x14ac:dyDescent="0.25">
      <c r="A4748">
        <v>4747</v>
      </c>
      <c r="B4748">
        <v>41</v>
      </c>
      <c r="C4748">
        <v>0</v>
      </c>
      <c r="D4748">
        <v>0</v>
      </c>
      <c r="E4748">
        <v>0</v>
      </c>
      <c r="F4748">
        <v>1</v>
      </c>
    </row>
    <row r="4749" spans="1:6" x14ac:dyDescent="0.25">
      <c r="A4749">
        <v>4748</v>
      </c>
      <c r="B4749">
        <v>42</v>
      </c>
      <c r="C4749">
        <v>0</v>
      </c>
      <c r="D4749">
        <v>0</v>
      </c>
      <c r="E4749">
        <v>0</v>
      </c>
      <c r="F4749">
        <v>0.2</v>
      </c>
    </row>
    <row r="4750" spans="1:6" x14ac:dyDescent="0.25">
      <c r="A4750">
        <v>4749</v>
      </c>
      <c r="B4750" t="s">
        <v>0</v>
      </c>
      <c r="C4750">
        <v>114</v>
      </c>
      <c r="D4750">
        <v>3483</v>
      </c>
      <c r="E4750">
        <v>80037611</v>
      </c>
    </row>
    <row r="4751" spans="1:6" x14ac:dyDescent="0.25">
      <c r="A4751">
        <v>4750</v>
      </c>
      <c r="B4751">
        <v>43</v>
      </c>
      <c r="C4751">
        <v>0</v>
      </c>
      <c r="D4751">
        <v>0</v>
      </c>
      <c r="E4751">
        <v>0</v>
      </c>
      <c r="F4751">
        <v>0</v>
      </c>
    </row>
    <row r="4752" spans="1:6" x14ac:dyDescent="0.25">
      <c r="A4752">
        <v>4751</v>
      </c>
      <c r="B4752">
        <v>44</v>
      </c>
      <c r="C4752">
        <v>0</v>
      </c>
      <c r="D4752">
        <v>0</v>
      </c>
      <c r="E4752">
        <v>0</v>
      </c>
      <c r="F4752">
        <v>45.5274</v>
      </c>
    </row>
    <row r="4753" spans="1:6" x14ac:dyDescent="0.25">
      <c r="A4753">
        <v>4752</v>
      </c>
      <c r="B4753">
        <v>45</v>
      </c>
      <c r="C4753">
        <v>0</v>
      </c>
      <c r="D4753">
        <v>0</v>
      </c>
      <c r="E4753">
        <v>0</v>
      </c>
      <c r="F4753">
        <v>4400</v>
      </c>
    </row>
    <row r="4754" spans="1:6" x14ac:dyDescent="0.25">
      <c r="A4754">
        <v>4753</v>
      </c>
      <c r="B4754">
        <v>46</v>
      </c>
      <c r="C4754">
        <v>0</v>
      </c>
      <c r="D4754">
        <v>0</v>
      </c>
      <c r="E4754">
        <v>0</v>
      </c>
      <c r="F4754">
        <v>0</v>
      </c>
    </row>
    <row r="4755" spans="1:6" x14ac:dyDescent="0.25">
      <c r="A4755">
        <v>4754</v>
      </c>
      <c r="B4755">
        <v>2</v>
      </c>
      <c r="C4755">
        <v>0</v>
      </c>
      <c r="D4755">
        <v>0</v>
      </c>
      <c r="E4755">
        <v>0</v>
      </c>
      <c r="F4755">
        <v>34.406500000000001</v>
      </c>
    </row>
    <row r="4756" spans="1:6" x14ac:dyDescent="0.25">
      <c r="A4756">
        <v>4755</v>
      </c>
      <c r="B4756">
        <v>10</v>
      </c>
      <c r="C4756">
        <v>1</v>
      </c>
      <c r="D4756">
        <v>0</v>
      </c>
      <c r="E4756">
        <v>0</v>
      </c>
      <c r="F4756">
        <v>34715</v>
      </c>
    </row>
    <row r="4757" spans="1:6" x14ac:dyDescent="0.25">
      <c r="A4757">
        <v>4756</v>
      </c>
      <c r="B4757">
        <v>13</v>
      </c>
      <c r="C4757">
        <v>0</v>
      </c>
      <c r="D4757">
        <v>0</v>
      </c>
      <c r="E4757">
        <v>0</v>
      </c>
      <c r="F4757">
        <v>1602</v>
      </c>
    </row>
    <row r="4758" spans="1:6" x14ac:dyDescent="0.25">
      <c r="A4758">
        <v>4757</v>
      </c>
      <c r="B4758">
        <v>41</v>
      </c>
      <c r="C4758">
        <v>0</v>
      </c>
      <c r="D4758">
        <v>0</v>
      </c>
      <c r="E4758">
        <v>0</v>
      </c>
      <c r="F4758">
        <v>1</v>
      </c>
    </row>
    <row r="4759" spans="1:6" x14ac:dyDescent="0.25">
      <c r="A4759">
        <v>4758</v>
      </c>
      <c r="B4759">
        <v>42</v>
      </c>
      <c r="C4759">
        <v>0</v>
      </c>
      <c r="D4759">
        <v>0</v>
      </c>
      <c r="E4759">
        <v>0</v>
      </c>
      <c r="F4759">
        <v>0.2</v>
      </c>
    </row>
    <row r="4760" spans="1:6" x14ac:dyDescent="0.25">
      <c r="A4760">
        <v>4759</v>
      </c>
      <c r="B4760">
        <v>43</v>
      </c>
      <c r="C4760">
        <v>0</v>
      </c>
      <c r="D4760">
        <v>0</v>
      </c>
      <c r="E4760">
        <v>0</v>
      </c>
      <c r="F4760">
        <v>0</v>
      </c>
    </row>
    <row r="4761" spans="1:6" x14ac:dyDescent="0.25">
      <c r="A4761">
        <v>4760</v>
      </c>
      <c r="B4761">
        <v>44</v>
      </c>
      <c r="C4761">
        <v>0</v>
      </c>
      <c r="D4761">
        <v>0</v>
      </c>
      <c r="E4761">
        <v>0</v>
      </c>
      <c r="F4761">
        <v>45.5274</v>
      </c>
    </row>
    <row r="4762" spans="1:6" x14ac:dyDescent="0.25">
      <c r="A4762">
        <v>4761</v>
      </c>
      <c r="B4762">
        <v>45</v>
      </c>
      <c r="C4762">
        <v>0</v>
      </c>
      <c r="D4762">
        <v>0</v>
      </c>
      <c r="E4762">
        <v>0</v>
      </c>
      <c r="F4762">
        <v>4400</v>
      </c>
    </row>
    <row r="4763" spans="1:6" x14ac:dyDescent="0.25">
      <c r="A4763">
        <v>4762</v>
      </c>
      <c r="B4763">
        <v>46</v>
      </c>
      <c r="C4763">
        <v>0</v>
      </c>
      <c r="D4763">
        <v>0</v>
      </c>
      <c r="E4763">
        <v>0</v>
      </c>
      <c r="F4763">
        <v>0</v>
      </c>
    </row>
    <row r="4764" spans="1:6" x14ac:dyDescent="0.25">
      <c r="A4764">
        <v>4763</v>
      </c>
      <c r="B4764">
        <v>2</v>
      </c>
      <c r="C4764">
        <v>0</v>
      </c>
      <c r="D4764">
        <v>0</v>
      </c>
      <c r="E4764">
        <v>0</v>
      </c>
      <c r="F4764">
        <v>34.406500000000001</v>
      </c>
    </row>
    <row r="4765" spans="1:6" x14ac:dyDescent="0.25">
      <c r="A4765">
        <v>4764</v>
      </c>
      <c r="B4765">
        <v>10</v>
      </c>
      <c r="C4765">
        <v>1</v>
      </c>
      <c r="D4765">
        <v>0</v>
      </c>
      <c r="E4765">
        <v>0</v>
      </c>
      <c r="F4765">
        <v>34715</v>
      </c>
    </row>
    <row r="4766" spans="1:6" x14ac:dyDescent="0.25">
      <c r="A4766">
        <v>4765</v>
      </c>
      <c r="B4766">
        <v>13</v>
      </c>
      <c r="C4766">
        <v>0</v>
      </c>
      <c r="D4766">
        <v>0</v>
      </c>
      <c r="E4766">
        <v>0</v>
      </c>
      <c r="F4766">
        <v>1602</v>
      </c>
    </row>
    <row r="4767" spans="1:6" x14ac:dyDescent="0.25">
      <c r="A4767">
        <v>4766</v>
      </c>
      <c r="B4767">
        <v>41</v>
      </c>
      <c r="C4767">
        <v>0</v>
      </c>
      <c r="D4767">
        <v>0</v>
      </c>
      <c r="E4767">
        <v>0</v>
      </c>
      <c r="F4767">
        <v>1</v>
      </c>
    </row>
    <row r="4768" spans="1:6" x14ac:dyDescent="0.25">
      <c r="A4768">
        <v>4767</v>
      </c>
      <c r="B4768">
        <v>42</v>
      </c>
      <c r="C4768">
        <v>0</v>
      </c>
      <c r="D4768">
        <v>0</v>
      </c>
      <c r="E4768">
        <v>0</v>
      </c>
      <c r="F4768">
        <v>0.2</v>
      </c>
    </row>
    <row r="4769" spans="1:6" x14ac:dyDescent="0.25">
      <c r="A4769">
        <v>4768</v>
      </c>
      <c r="B4769">
        <v>43</v>
      </c>
      <c r="C4769">
        <v>0</v>
      </c>
      <c r="D4769">
        <v>0</v>
      </c>
      <c r="E4769">
        <v>0</v>
      </c>
      <c r="F4769">
        <v>0</v>
      </c>
    </row>
    <row r="4770" spans="1:6" x14ac:dyDescent="0.25">
      <c r="A4770">
        <v>4769</v>
      </c>
      <c r="B4770">
        <v>44</v>
      </c>
      <c r="C4770">
        <v>0</v>
      </c>
      <c r="D4770">
        <v>0</v>
      </c>
      <c r="E4770">
        <v>0</v>
      </c>
      <c r="F4770">
        <v>45.752000000000002</v>
      </c>
    </row>
    <row r="4771" spans="1:6" x14ac:dyDescent="0.25">
      <c r="A4771">
        <v>4770</v>
      </c>
      <c r="B4771">
        <v>45</v>
      </c>
      <c r="C4771">
        <v>0</v>
      </c>
      <c r="D4771">
        <v>0</v>
      </c>
      <c r="E4771">
        <v>0</v>
      </c>
      <c r="F4771">
        <v>4400</v>
      </c>
    </row>
    <row r="4772" spans="1:6" x14ac:dyDescent="0.25">
      <c r="A4772">
        <v>4771</v>
      </c>
      <c r="B4772">
        <v>46</v>
      </c>
      <c r="C4772">
        <v>0</v>
      </c>
      <c r="D4772">
        <v>0</v>
      </c>
      <c r="E4772">
        <v>0</v>
      </c>
      <c r="F4772">
        <v>0</v>
      </c>
    </row>
    <row r="4773" spans="1:6" x14ac:dyDescent="0.25">
      <c r="A4773">
        <v>4772</v>
      </c>
      <c r="B4773">
        <v>2</v>
      </c>
      <c r="C4773">
        <v>0</v>
      </c>
      <c r="D4773">
        <v>0</v>
      </c>
      <c r="E4773">
        <v>0</v>
      </c>
      <c r="F4773">
        <v>34.4069</v>
      </c>
    </row>
    <row r="4774" spans="1:6" x14ac:dyDescent="0.25">
      <c r="A4774">
        <v>4773</v>
      </c>
      <c r="B4774">
        <v>10</v>
      </c>
      <c r="C4774">
        <v>1</v>
      </c>
      <c r="D4774">
        <v>0</v>
      </c>
      <c r="E4774">
        <v>0</v>
      </c>
      <c r="F4774">
        <v>34715</v>
      </c>
    </row>
    <row r="4775" spans="1:6" x14ac:dyDescent="0.25">
      <c r="A4775">
        <v>4774</v>
      </c>
      <c r="B4775">
        <v>13</v>
      </c>
      <c r="C4775">
        <v>0</v>
      </c>
      <c r="D4775">
        <v>0</v>
      </c>
      <c r="E4775">
        <v>0</v>
      </c>
      <c r="F4775">
        <v>1602</v>
      </c>
    </row>
    <row r="4776" spans="1:6" x14ac:dyDescent="0.25">
      <c r="A4776">
        <v>4775</v>
      </c>
      <c r="B4776">
        <v>41</v>
      </c>
      <c r="C4776">
        <v>0</v>
      </c>
      <c r="D4776">
        <v>0</v>
      </c>
      <c r="E4776">
        <v>0</v>
      </c>
      <c r="F4776">
        <v>1</v>
      </c>
    </row>
    <row r="4777" spans="1:6" x14ac:dyDescent="0.25">
      <c r="A4777">
        <v>4776</v>
      </c>
      <c r="B4777">
        <v>42</v>
      </c>
      <c r="C4777">
        <v>0</v>
      </c>
      <c r="D4777">
        <v>0</v>
      </c>
      <c r="E4777">
        <v>0</v>
      </c>
      <c r="F4777">
        <v>0.2</v>
      </c>
    </row>
    <row r="4778" spans="1:6" x14ac:dyDescent="0.25">
      <c r="A4778">
        <v>4777</v>
      </c>
      <c r="B4778">
        <v>43</v>
      </c>
      <c r="C4778">
        <v>0</v>
      </c>
      <c r="D4778">
        <v>0</v>
      </c>
      <c r="E4778">
        <v>0</v>
      </c>
      <c r="F4778">
        <v>0</v>
      </c>
    </row>
    <row r="4779" spans="1:6" x14ac:dyDescent="0.25">
      <c r="A4779">
        <v>4778</v>
      </c>
      <c r="B4779">
        <v>44</v>
      </c>
      <c r="C4779">
        <v>0</v>
      </c>
      <c r="D4779">
        <v>0</v>
      </c>
      <c r="E4779">
        <v>0</v>
      </c>
      <c r="F4779">
        <v>45.752000000000002</v>
      </c>
    </row>
    <row r="4780" spans="1:6" x14ac:dyDescent="0.25">
      <c r="A4780">
        <v>4779</v>
      </c>
      <c r="B4780" t="s">
        <v>0</v>
      </c>
      <c r="C4780">
        <v>116</v>
      </c>
      <c r="D4780">
        <v>3483</v>
      </c>
      <c r="E4780">
        <v>80039546</v>
      </c>
    </row>
    <row r="4781" spans="1:6" x14ac:dyDescent="0.25">
      <c r="A4781">
        <v>4780</v>
      </c>
      <c r="B4781">
        <v>46</v>
      </c>
      <c r="C4781">
        <v>0</v>
      </c>
      <c r="D4781">
        <v>0</v>
      </c>
      <c r="E4781">
        <v>0</v>
      </c>
      <c r="F4781">
        <v>0</v>
      </c>
    </row>
    <row r="4782" spans="1:6" x14ac:dyDescent="0.25">
      <c r="A4782">
        <v>4781</v>
      </c>
      <c r="B4782">
        <v>2</v>
      </c>
      <c r="C4782">
        <v>0</v>
      </c>
      <c r="D4782">
        <v>0</v>
      </c>
      <c r="E4782">
        <v>0</v>
      </c>
      <c r="F4782">
        <v>34.406999999999996</v>
      </c>
    </row>
    <row r="4783" spans="1:6" x14ac:dyDescent="0.25">
      <c r="A4783">
        <v>4782</v>
      </c>
      <c r="B4783">
        <v>10</v>
      </c>
      <c r="C4783">
        <v>1</v>
      </c>
      <c r="D4783">
        <v>0</v>
      </c>
      <c r="E4783">
        <v>0</v>
      </c>
      <c r="F4783">
        <v>34715</v>
      </c>
    </row>
    <row r="4784" spans="1:6" x14ac:dyDescent="0.25">
      <c r="A4784">
        <v>4783</v>
      </c>
      <c r="B4784">
        <v>13</v>
      </c>
      <c r="C4784">
        <v>0</v>
      </c>
      <c r="D4784">
        <v>0</v>
      </c>
      <c r="E4784">
        <v>0</v>
      </c>
      <c r="F4784">
        <v>1602</v>
      </c>
    </row>
    <row r="4785" spans="1:6" x14ac:dyDescent="0.25">
      <c r="A4785">
        <v>4784</v>
      </c>
      <c r="B4785">
        <v>41</v>
      </c>
      <c r="C4785">
        <v>0</v>
      </c>
      <c r="D4785">
        <v>0</v>
      </c>
      <c r="E4785">
        <v>0</v>
      </c>
      <c r="F4785">
        <v>1</v>
      </c>
    </row>
    <row r="4786" spans="1:6" x14ac:dyDescent="0.25">
      <c r="A4786">
        <v>4785</v>
      </c>
      <c r="B4786">
        <v>42</v>
      </c>
      <c r="C4786">
        <v>0</v>
      </c>
      <c r="D4786">
        <v>0</v>
      </c>
      <c r="E4786">
        <v>0</v>
      </c>
      <c r="F4786">
        <v>0.2</v>
      </c>
    </row>
    <row r="4787" spans="1:6" x14ac:dyDescent="0.25">
      <c r="A4787">
        <v>4786</v>
      </c>
      <c r="B4787">
        <v>43</v>
      </c>
      <c r="C4787">
        <v>0</v>
      </c>
      <c r="D4787">
        <v>0</v>
      </c>
      <c r="E4787">
        <v>0</v>
      </c>
      <c r="F4787">
        <v>0</v>
      </c>
    </row>
    <row r="4788" spans="1:6" x14ac:dyDescent="0.25">
      <c r="A4788">
        <v>4787</v>
      </c>
      <c r="B4788">
        <v>44</v>
      </c>
      <c r="C4788">
        <v>0</v>
      </c>
      <c r="D4788">
        <v>0</v>
      </c>
      <c r="E4788">
        <v>0</v>
      </c>
      <c r="F4788">
        <v>46.002000000000002</v>
      </c>
    </row>
    <row r="4789" spans="1:6" x14ac:dyDescent="0.25">
      <c r="A4789">
        <v>4788</v>
      </c>
      <c r="B4789">
        <v>45</v>
      </c>
      <c r="C4789">
        <v>0</v>
      </c>
      <c r="D4789">
        <v>0</v>
      </c>
      <c r="E4789">
        <v>0</v>
      </c>
      <c r="F4789">
        <v>4400</v>
      </c>
    </row>
    <row r="4790" spans="1:6" x14ac:dyDescent="0.25">
      <c r="A4790">
        <v>4789</v>
      </c>
      <c r="B4790">
        <v>46</v>
      </c>
      <c r="C4790">
        <v>0</v>
      </c>
      <c r="D4790">
        <v>0</v>
      </c>
      <c r="E4790">
        <v>0</v>
      </c>
      <c r="F4790">
        <v>0</v>
      </c>
    </row>
    <row r="4791" spans="1:6" x14ac:dyDescent="0.25">
      <c r="A4791">
        <v>4790</v>
      </c>
      <c r="B4791">
        <v>2</v>
      </c>
      <c r="C4791">
        <v>0</v>
      </c>
      <c r="D4791">
        <v>0</v>
      </c>
      <c r="E4791">
        <v>0</v>
      </c>
      <c r="F4791">
        <v>34.406999999999996</v>
      </c>
    </row>
    <row r="4792" spans="1:6" x14ac:dyDescent="0.25">
      <c r="A4792">
        <v>4791</v>
      </c>
      <c r="B4792">
        <v>10</v>
      </c>
      <c r="C4792">
        <v>1</v>
      </c>
      <c r="D4792">
        <v>0</v>
      </c>
      <c r="E4792">
        <v>0</v>
      </c>
      <c r="F4792">
        <v>34715</v>
      </c>
    </row>
    <row r="4793" spans="1:6" x14ac:dyDescent="0.25">
      <c r="A4793">
        <v>4792</v>
      </c>
      <c r="B4793">
        <v>13</v>
      </c>
      <c r="C4793">
        <v>0</v>
      </c>
      <c r="D4793">
        <v>0</v>
      </c>
      <c r="E4793">
        <v>0</v>
      </c>
      <c r="F4793">
        <v>1602</v>
      </c>
    </row>
    <row r="4794" spans="1:6" x14ac:dyDescent="0.25">
      <c r="A4794">
        <v>4793</v>
      </c>
      <c r="B4794">
        <v>41</v>
      </c>
      <c r="C4794">
        <v>0</v>
      </c>
      <c r="D4794">
        <v>0</v>
      </c>
      <c r="E4794">
        <v>0</v>
      </c>
      <c r="F4794">
        <v>1</v>
      </c>
    </row>
    <row r="4795" spans="1:6" x14ac:dyDescent="0.25">
      <c r="A4795">
        <v>4794</v>
      </c>
      <c r="B4795" t="s">
        <v>0</v>
      </c>
      <c r="C4795">
        <v>117</v>
      </c>
      <c r="D4795">
        <v>3483</v>
      </c>
      <c r="E4795">
        <v>80040514</v>
      </c>
    </row>
    <row r="4796" spans="1:6" x14ac:dyDescent="0.25">
      <c r="A4796">
        <v>4795</v>
      </c>
      <c r="B4796">
        <v>42</v>
      </c>
      <c r="C4796">
        <v>0</v>
      </c>
      <c r="D4796">
        <v>0</v>
      </c>
      <c r="E4796">
        <v>0</v>
      </c>
      <c r="F4796">
        <v>0.2</v>
      </c>
    </row>
    <row r="4797" spans="1:6" x14ac:dyDescent="0.25">
      <c r="A4797">
        <v>4796</v>
      </c>
      <c r="B4797">
        <v>43</v>
      </c>
      <c r="C4797">
        <v>0</v>
      </c>
      <c r="D4797">
        <v>0</v>
      </c>
      <c r="E4797">
        <v>0</v>
      </c>
      <c r="F4797">
        <v>0</v>
      </c>
    </row>
    <row r="4798" spans="1:6" x14ac:dyDescent="0.25">
      <c r="A4798">
        <v>4797</v>
      </c>
      <c r="B4798">
        <v>44</v>
      </c>
      <c r="C4798">
        <v>0</v>
      </c>
      <c r="D4798">
        <v>0</v>
      </c>
      <c r="E4798">
        <v>0</v>
      </c>
      <c r="F4798">
        <v>46.252099999999999</v>
      </c>
    </row>
    <row r="4799" spans="1:6" x14ac:dyDescent="0.25">
      <c r="A4799">
        <v>4798</v>
      </c>
      <c r="B4799">
        <v>45</v>
      </c>
      <c r="C4799">
        <v>0</v>
      </c>
      <c r="D4799">
        <v>0</v>
      </c>
      <c r="E4799">
        <v>0</v>
      </c>
      <c r="F4799">
        <v>4400</v>
      </c>
    </row>
    <row r="4800" spans="1:6" x14ac:dyDescent="0.25">
      <c r="A4800">
        <v>4799</v>
      </c>
      <c r="B4800">
        <v>46</v>
      </c>
      <c r="C4800">
        <v>0</v>
      </c>
      <c r="D4800">
        <v>0</v>
      </c>
      <c r="E4800">
        <v>0</v>
      </c>
      <c r="F4800">
        <v>0</v>
      </c>
    </row>
    <row r="4801" spans="1:6" x14ac:dyDescent="0.25">
      <c r="A4801">
        <v>4800</v>
      </c>
      <c r="B4801">
        <v>2</v>
      </c>
      <c r="C4801">
        <v>0</v>
      </c>
      <c r="D4801">
        <v>0</v>
      </c>
      <c r="E4801">
        <v>0</v>
      </c>
      <c r="F4801">
        <v>34.406799999999997</v>
      </c>
    </row>
    <row r="4802" spans="1:6" x14ac:dyDescent="0.25">
      <c r="A4802">
        <v>4801</v>
      </c>
      <c r="B4802">
        <v>10</v>
      </c>
      <c r="C4802">
        <v>1</v>
      </c>
      <c r="D4802">
        <v>0</v>
      </c>
      <c r="E4802">
        <v>0</v>
      </c>
      <c r="F4802">
        <v>34715</v>
      </c>
    </row>
    <row r="4803" spans="1:6" x14ac:dyDescent="0.25">
      <c r="A4803">
        <v>4802</v>
      </c>
      <c r="B4803">
        <v>13</v>
      </c>
      <c r="C4803">
        <v>0</v>
      </c>
      <c r="D4803">
        <v>0</v>
      </c>
      <c r="E4803">
        <v>0</v>
      </c>
      <c r="F4803">
        <v>1602</v>
      </c>
    </row>
    <row r="4804" spans="1:6" x14ac:dyDescent="0.25">
      <c r="A4804">
        <v>4803</v>
      </c>
      <c r="B4804">
        <v>41</v>
      </c>
      <c r="C4804">
        <v>0</v>
      </c>
      <c r="D4804">
        <v>0</v>
      </c>
      <c r="E4804">
        <v>0</v>
      </c>
      <c r="F4804">
        <v>1</v>
      </c>
    </row>
    <row r="4805" spans="1:6" x14ac:dyDescent="0.25">
      <c r="A4805">
        <v>4804</v>
      </c>
      <c r="B4805">
        <v>42</v>
      </c>
      <c r="C4805">
        <v>0</v>
      </c>
      <c r="D4805">
        <v>0</v>
      </c>
      <c r="E4805">
        <v>0</v>
      </c>
      <c r="F4805">
        <v>0.2</v>
      </c>
    </row>
    <row r="4806" spans="1:6" x14ac:dyDescent="0.25">
      <c r="A4806">
        <v>4805</v>
      </c>
      <c r="B4806">
        <v>43</v>
      </c>
      <c r="C4806">
        <v>0</v>
      </c>
      <c r="D4806">
        <v>0</v>
      </c>
      <c r="E4806">
        <v>0</v>
      </c>
      <c r="F4806">
        <v>0</v>
      </c>
    </row>
    <row r="4807" spans="1:6" x14ac:dyDescent="0.25">
      <c r="A4807">
        <v>4806</v>
      </c>
      <c r="B4807">
        <v>44</v>
      </c>
      <c r="C4807">
        <v>0</v>
      </c>
      <c r="D4807">
        <v>0</v>
      </c>
      <c r="E4807">
        <v>0</v>
      </c>
      <c r="F4807">
        <v>46.252099999999999</v>
      </c>
    </row>
    <row r="4808" spans="1:6" x14ac:dyDescent="0.25">
      <c r="A4808">
        <v>4807</v>
      </c>
      <c r="B4808">
        <v>45</v>
      </c>
      <c r="C4808">
        <v>0</v>
      </c>
      <c r="D4808">
        <v>0</v>
      </c>
      <c r="E4808">
        <v>0</v>
      </c>
      <c r="F4808">
        <v>4400</v>
      </c>
    </row>
    <row r="4809" spans="1:6" x14ac:dyDescent="0.25">
      <c r="A4809">
        <v>4808</v>
      </c>
      <c r="B4809">
        <v>46</v>
      </c>
      <c r="C4809">
        <v>0</v>
      </c>
      <c r="D4809">
        <v>0</v>
      </c>
      <c r="E4809">
        <v>0</v>
      </c>
      <c r="F4809">
        <v>0</v>
      </c>
    </row>
    <row r="4810" spans="1:6" x14ac:dyDescent="0.25">
      <c r="A4810">
        <v>4809</v>
      </c>
      <c r="B4810">
        <v>2</v>
      </c>
      <c r="C4810">
        <v>0</v>
      </c>
      <c r="D4810">
        <v>0</v>
      </c>
      <c r="E4810">
        <v>0</v>
      </c>
      <c r="F4810">
        <v>34.406799999999997</v>
      </c>
    </row>
    <row r="4811" spans="1:6" x14ac:dyDescent="0.25">
      <c r="A4811">
        <v>4810</v>
      </c>
      <c r="B4811" t="s">
        <v>0</v>
      </c>
      <c r="C4811">
        <v>118</v>
      </c>
      <c r="D4811">
        <v>3483</v>
      </c>
      <c r="E4811">
        <v>80041482</v>
      </c>
    </row>
    <row r="4812" spans="1:6" x14ac:dyDescent="0.25">
      <c r="A4812">
        <v>4811</v>
      </c>
      <c r="B4812">
        <v>10</v>
      </c>
      <c r="C4812">
        <v>1</v>
      </c>
      <c r="D4812">
        <v>0</v>
      </c>
      <c r="E4812">
        <v>0</v>
      </c>
      <c r="F4812">
        <v>34715</v>
      </c>
    </row>
    <row r="4813" spans="1:6" x14ac:dyDescent="0.25">
      <c r="A4813">
        <v>4812</v>
      </c>
      <c r="B4813">
        <v>13</v>
      </c>
      <c r="C4813">
        <v>0</v>
      </c>
      <c r="D4813">
        <v>0</v>
      </c>
      <c r="E4813">
        <v>0</v>
      </c>
      <c r="F4813">
        <v>1602</v>
      </c>
    </row>
    <row r="4814" spans="1:6" x14ac:dyDescent="0.25">
      <c r="A4814">
        <v>4813</v>
      </c>
      <c r="B4814">
        <v>41</v>
      </c>
      <c r="C4814">
        <v>0</v>
      </c>
      <c r="D4814">
        <v>0</v>
      </c>
      <c r="E4814">
        <v>0</v>
      </c>
      <c r="F4814">
        <v>1</v>
      </c>
    </row>
    <row r="4815" spans="1:6" x14ac:dyDescent="0.25">
      <c r="A4815">
        <v>4814</v>
      </c>
      <c r="B4815">
        <v>42</v>
      </c>
      <c r="C4815">
        <v>0</v>
      </c>
      <c r="D4815">
        <v>0</v>
      </c>
      <c r="E4815">
        <v>0</v>
      </c>
      <c r="F4815">
        <v>0.2</v>
      </c>
    </row>
    <row r="4816" spans="1:6" x14ac:dyDescent="0.25">
      <c r="A4816">
        <v>4815</v>
      </c>
      <c r="B4816">
        <v>43</v>
      </c>
      <c r="C4816">
        <v>0</v>
      </c>
      <c r="D4816">
        <v>0</v>
      </c>
      <c r="E4816">
        <v>0</v>
      </c>
      <c r="F4816">
        <v>0</v>
      </c>
    </row>
    <row r="4817" spans="1:6" x14ac:dyDescent="0.25">
      <c r="A4817">
        <v>4816</v>
      </c>
      <c r="B4817">
        <v>44</v>
      </c>
      <c r="C4817">
        <v>0</v>
      </c>
      <c r="D4817">
        <v>0</v>
      </c>
      <c r="E4817">
        <v>0</v>
      </c>
      <c r="F4817">
        <v>46.477800000000002</v>
      </c>
    </row>
    <row r="4818" spans="1:6" x14ac:dyDescent="0.25">
      <c r="A4818">
        <v>4817</v>
      </c>
      <c r="B4818">
        <v>45</v>
      </c>
      <c r="C4818">
        <v>0</v>
      </c>
      <c r="D4818">
        <v>0</v>
      </c>
      <c r="E4818">
        <v>0</v>
      </c>
      <c r="F4818">
        <v>4400</v>
      </c>
    </row>
    <row r="4819" spans="1:6" x14ac:dyDescent="0.25">
      <c r="A4819">
        <v>4818</v>
      </c>
      <c r="B4819">
        <v>46</v>
      </c>
      <c r="C4819">
        <v>0</v>
      </c>
      <c r="D4819">
        <v>0</v>
      </c>
      <c r="E4819">
        <v>0</v>
      </c>
      <c r="F4819">
        <v>0</v>
      </c>
    </row>
    <row r="4820" spans="1:6" x14ac:dyDescent="0.25">
      <c r="A4820">
        <v>4819</v>
      </c>
      <c r="B4820">
        <v>2</v>
      </c>
      <c r="C4820">
        <v>0</v>
      </c>
      <c r="D4820">
        <v>0</v>
      </c>
      <c r="E4820">
        <v>0</v>
      </c>
      <c r="F4820">
        <v>34.406199999999998</v>
      </c>
    </row>
    <row r="4821" spans="1:6" x14ac:dyDescent="0.25">
      <c r="A4821">
        <v>4820</v>
      </c>
      <c r="B4821">
        <v>10</v>
      </c>
      <c r="C4821">
        <v>1</v>
      </c>
      <c r="D4821">
        <v>0</v>
      </c>
      <c r="E4821">
        <v>0</v>
      </c>
      <c r="F4821">
        <v>34715</v>
      </c>
    </row>
    <row r="4822" spans="1:6" x14ac:dyDescent="0.25">
      <c r="A4822">
        <v>4821</v>
      </c>
      <c r="B4822">
        <v>13</v>
      </c>
      <c r="C4822">
        <v>0</v>
      </c>
      <c r="D4822">
        <v>0</v>
      </c>
      <c r="E4822">
        <v>0</v>
      </c>
      <c r="F4822">
        <v>1602</v>
      </c>
    </row>
    <row r="4823" spans="1:6" x14ac:dyDescent="0.25">
      <c r="A4823">
        <v>4822</v>
      </c>
      <c r="B4823">
        <v>41</v>
      </c>
      <c r="C4823">
        <v>0</v>
      </c>
      <c r="D4823">
        <v>0</v>
      </c>
      <c r="E4823">
        <v>0</v>
      </c>
      <c r="F4823">
        <v>1</v>
      </c>
    </row>
    <row r="4824" spans="1:6" x14ac:dyDescent="0.25">
      <c r="A4824">
        <v>4823</v>
      </c>
      <c r="B4824">
        <v>42</v>
      </c>
      <c r="C4824">
        <v>0</v>
      </c>
      <c r="D4824">
        <v>0</v>
      </c>
      <c r="E4824">
        <v>0</v>
      </c>
      <c r="F4824">
        <v>0.2</v>
      </c>
    </row>
    <row r="4825" spans="1:6" x14ac:dyDescent="0.25">
      <c r="A4825">
        <v>4824</v>
      </c>
      <c r="B4825">
        <v>43</v>
      </c>
      <c r="C4825">
        <v>0</v>
      </c>
      <c r="D4825">
        <v>0</v>
      </c>
      <c r="E4825">
        <v>0</v>
      </c>
      <c r="F4825">
        <v>0</v>
      </c>
    </row>
    <row r="4826" spans="1:6" x14ac:dyDescent="0.25">
      <c r="A4826">
        <v>4825</v>
      </c>
      <c r="B4826">
        <v>44</v>
      </c>
      <c r="C4826">
        <v>0</v>
      </c>
      <c r="D4826">
        <v>0</v>
      </c>
      <c r="E4826">
        <v>0</v>
      </c>
      <c r="F4826">
        <v>46.477800000000002</v>
      </c>
    </row>
    <row r="4827" spans="1:6" x14ac:dyDescent="0.25">
      <c r="A4827">
        <v>4826</v>
      </c>
      <c r="B4827">
        <v>45</v>
      </c>
      <c r="C4827">
        <v>0</v>
      </c>
      <c r="D4827">
        <v>0</v>
      </c>
      <c r="E4827">
        <v>0</v>
      </c>
      <c r="F4827">
        <v>4400</v>
      </c>
    </row>
    <row r="4828" spans="1:6" x14ac:dyDescent="0.25">
      <c r="A4828">
        <v>4827</v>
      </c>
      <c r="B4828">
        <v>46</v>
      </c>
      <c r="C4828">
        <v>0</v>
      </c>
      <c r="D4828">
        <v>0</v>
      </c>
      <c r="E4828">
        <v>0</v>
      </c>
      <c r="F4828">
        <v>0</v>
      </c>
    </row>
    <row r="4829" spans="1:6" x14ac:dyDescent="0.25">
      <c r="A4829">
        <v>4828</v>
      </c>
      <c r="B4829">
        <v>2</v>
      </c>
      <c r="C4829">
        <v>0</v>
      </c>
      <c r="D4829">
        <v>0</v>
      </c>
      <c r="E4829">
        <v>0</v>
      </c>
      <c r="F4829">
        <v>34.405700000000003</v>
      </c>
    </row>
    <row r="4830" spans="1:6" x14ac:dyDescent="0.25">
      <c r="A4830">
        <v>4829</v>
      </c>
      <c r="B4830">
        <v>10</v>
      </c>
      <c r="C4830">
        <v>1</v>
      </c>
      <c r="D4830">
        <v>0</v>
      </c>
      <c r="E4830">
        <v>0</v>
      </c>
      <c r="F4830">
        <v>34716</v>
      </c>
    </row>
    <row r="4831" spans="1:6" x14ac:dyDescent="0.25">
      <c r="A4831">
        <v>4830</v>
      </c>
      <c r="B4831">
        <v>13</v>
      </c>
      <c r="C4831">
        <v>0</v>
      </c>
      <c r="D4831">
        <v>0</v>
      </c>
      <c r="E4831">
        <v>0</v>
      </c>
      <c r="F4831">
        <v>1602</v>
      </c>
    </row>
    <row r="4832" spans="1:6" x14ac:dyDescent="0.25">
      <c r="A4832">
        <v>4831</v>
      </c>
      <c r="B4832">
        <v>41</v>
      </c>
      <c r="C4832">
        <v>0</v>
      </c>
      <c r="D4832">
        <v>0</v>
      </c>
      <c r="E4832">
        <v>0</v>
      </c>
      <c r="F4832">
        <v>1</v>
      </c>
    </row>
    <row r="4833" spans="1:6" x14ac:dyDescent="0.25">
      <c r="A4833">
        <v>4832</v>
      </c>
      <c r="B4833">
        <v>42</v>
      </c>
      <c r="C4833">
        <v>0</v>
      </c>
      <c r="D4833">
        <v>0</v>
      </c>
      <c r="E4833">
        <v>0</v>
      </c>
      <c r="F4833">
        <v>0.2</v>
      </c>
    </row>
    <row r="4834" spans="1:6" x14ac:dyDescent="0.25">
      <c r="A4834">
        <v>4833</v>
      </c>
      <c r="B4834">
        <v>43</v>
      </c>
      <c r="C4834">
        <v>0</v>
      </c>
      <c r="D4834">
        <v>0</v>
      </c>
      <c r="E4834">
        <v>0</v>
      </c>
      <c r="F4834">
        <v>0</v>
      </c>
    </row>
    <row r="4835" spans="1:6" x14ac:dyDescent="0.25">
      <c r="A4835">
        <v>4834</v>
      </c>
      <c r="B4835">
        <v>44</v>
      </c>
      <c r="C4835">
        <v>0</v>
      </c>
      <c r="D4835">
        <v>0</v>
      </c>
      <c r="E4835">
        <v>0</v>
      </c>
      <c r="F4835">
        <v>46.728299999999997</v>
      </c>
    </row>
    <row r="4836" spans="1:6" x14ac:dyDescent="0.25">
      <c r="A4836">
        <v>4835</v>
      </c>
      <c r="B4836">
        <v>45</v>
      </c>
      <c r="C4836">
        <v>0</v>
      </c>
      <c r="D4836">
        <v>0</v>
      </c>
      <c r="E4836">
        <v>0</v>
      </c>
      <c r="F4836">
        <v>4400</v>
      </c>
    </row>
    <row r="4837" spans="1:6" x14ac:dyDescent="0.25">
      <c r="A4837">
        <v>4836</v>
      </c>
      <c r="B4837">
        <v>46</v>
      </c>
      <c r="C4837">
        <v>0</v>
      </c>
      <c r="D4837">
        <v>0</v>
      </c>
      <c r="E4837">
        <v>0</v>
      </c>
      <c r="F4837">
        <v>0</v>
      </c>
    </row>
    <row r="4838" spans="1:6" x14ac:dyDescent="0.25">
      <c r="A4838">
        <v>4837</v>
      </c>
      <c r="B4838">
        <v>2</v>
      </c>
      <c r="C4838">
        <v>0</v>
      </c>
      <c r="D4838">
        <v>0</v>
      </c>
      <c r="E4838">
        <v>0</v>
      </c>
      <c r="F4838">
        <v>34.405700000000003</v>
      </c>
    </row>
    <row r="4839" spans="1:6" x14ac:dyDescent="0.25">
      <c r="A4839">
        <v>4838</v>
      </c>
      <c r="B4839">
        <v>10</v>
      </c>
      <c r="C4839">
        <v>1</v>
      </c>
      <c r="D4839">
        <v>0</v>
      </c>
      <c r="E4839">
        <v>0</v>
      </c>
      <c r="F4839">
        <v>34716</v>
      </c>
    </row>
    <row r="4840" spans="1:6" x14ac:dyDescent="0.25">
      <c r="A4840">
        <v>4839</v>
      </c>
      <c r="B4840">
        <v>13</v>
      </c>
      <c r="C4840">
        <v>0</v>
      </c>
      <c r="D4840">
        <v>0</v>
      </c>
      <c r="E4840">
        <v>0</v>
      </c>
      <c r="F4840">
        <v>1602</v>
      </c>
    </row>
    <row r="4841" spans="1:6" x14ac:dyDescent="0.25">
      <c r="A4841">
        <v>4840</v>
      </c>
      <c r="B4841" t="s">
        <v>0</v>
      </c>
      <c r="C4841">
        <v>120</v>
      </c>
      <c r="D4841">
        <v>3483</v>
      </c>
      <c r="E4841">
        <v>80043419</v>
      </c>
    </row>
    <row r="4842" spans="1:6" x14ac:dyDescent="0.25">
      <c r="A4842">
        <v>4841</v>
      </c>
      <c r="B4842">
        <v>42</v>
      </c>
      <c r="C4842">
        <v>0</v>
      </c>
      <c r="D4842">
        <v>0</v>
      </c>
      <c r="E4842">
        <v>0</v>
      </c>
      <c r="F4842">
        <v>0.2</v>
      </c>
    </row>
    <row r="4843" spans="1:6" x14ac:dyDescent="0.25">
      <c r="A4843">
        <v>4842</v>
      </c>
      <c r="B4843">
        <v>43</v>
      </c>
      <c r="C4843">
        <v>0</v>
      </c>
      <c r="D4843">
        <v>0</v>
      </c>
      <c r="E4843">
        <v>0</v>
      </c>
      <c r="F4843">
        <v>0</v>
      </c>
    </row>
    <row r="4844" spans="1:6" x14ac:dyDescent="0.25">
      <c r="A4844">
        <v>4843</v>
      </c>
      <c r="B4844">
        <v>44</v>
      </c>
      <c r="C4844">
        <v>0</v>
      </c>
      <c r="D4844">
        <v>0</v>
      </c>
      <c r="E4844">
        <v>0</v>
      </c>
      <c r="F4844">
        <v>46.978200000000001</v>
      </c>
    </row>
    <row r="4845" spans="1:6" x14ac:dyDescent="0.25">
      <c r="A4845">
        <v>4844</v>
      </c>
      <c r="B4845">
        <v>45</v>
      </c>
      <c r="C4845">
        <v>0</v>
      </c>
      <c r="D4845">
        <v>0</v>
      </c>
      <c r="E4845">
        <v>0</v>
      </c>
      <c r="F4845">
        <v>4400</v>
      </c>
    </row>
    <row r="4846" spans="1:6" x14ac:dyDescent="0.25">
      <c r="A4846">
        <v>4845</v>
      </c>
      <c r="B4846">
        <v>46</v>
      </c>
      <c r="C4846">
        <v>0</v>
      </c>
      <c r="D4846">
        <v>0</v>
      </c>
      <c r="E4846">
        <v>0</v>
      </c>
      <c r="F4846">
        <v>0</v>
      </c>
    </row>
    <row r="4847" spans="1:6" x14ac:dyDescent="0.25">
      <c r="A4847">
        <v>4846</v>
      </c>
      <c r="B4847">
        <v>2</v>
      </c>
      <c r="C4847">
        <v>0</v>
      </c>
      <c r="D4847">
        <v>0</v>
      </c>
      <c r="E4847">
        <v>0</v>
      </c>
      <c r="F4847">
        <v>34.405900000000003</v>
      </c>
    </row>
    <row r="4848" spans="1:6" x14ac:dyDescent="0.25">
      <c r="A4848">
        <v>4847</v>
      </c>
      <c r="B4848">
        <v>10</v>
      </c>
      <c r="C4848">
        <v>1</v>
      </c>
      <c r="D4848">
        <v>0</v>
      </c>
      <c r="E4848">
        <v>0</v>
      </c>
      <c r="F4848">
        <v>34716</v>
      </c>
    </row>
    <row r="4849" spans="1:6" x14ac:dyDescent="0.25">
      <c r="A4849">
        <v>4848</v>
      </c>
      <c r="B4849">
        <v>13</v>
      </c>
      <c r="C4849">
        <v>0</v>
      </c>
      <c r="D4849">
        <v>0</v>
      </c>
      <c r="E4849">
        <v>0</v>
      </c>
      <c r="F4849">
        <v>1602</v>
      </c>
    </row>
    <row r="4850" spans="1:6" x14ac:dyDescent="0.25">
      <c r="A4850">
        <v>4849</v>
      </c>
      <c r="B4850">
        <v>41</v>
      </c>
      <c r="C4850">
        <v>0</v>
      </c>
      <c r="D4850">
        <v>0</v>
      </c>
      <c r="E4850">
        <v>0</v>
      </c>
      <c r="F4850">
        <v>1</v>
      </c>
    </row>
    <row r="4851" spans="1:6" x14ac:dyDescent="0.25">
      <c r="A4851">
        <v>4850</v>
      </c>
      <c r="B4851">
        <v>42</v>
      </c>
      <c r="C4851">
        <v>0</v>
      </c>
      <c r="D4851">
        <v>0</v>
      </c>
      <c r="E4851">
        <v>0</v>
      </c>
      <c r="F4851">
        <v>0.2</v>
      </c>
    </row>
    <row r="4852" spans="1:6" x14ac:dyDescent="0.25">
      <c r="A4852">
        <v>4851</v>
      </c>
      <c r="B4852">
        <v>43</v>
      </c>
      <c r="C4852">
        <v>0</v>
      </c>
      <c r="D4852">
        <v>0</v>
      </c>
      <c r="E4852">
        <v>0</v>
      </c>
      <c r="F4852">
        <v>0</v>
      </c>
    </row>
    <row r="4853" spans="1:6" x14ac:dyDescent="0.25">
      <c r="A4853">
        <v>4852</v>
      </c>
      <c r="B4853">
        <v>44</v>
      </c>
      <c r="C4853">
        <v>0</v>
      </c>
      <c r="D4853">
        <v>0</v>
      </c>
      <c r="E4853">
        <v>0</v>
      </c>
      <c r="F4853">
        <v>46.978200000000001</v>
      </c>
    </row>
    <row r="4854" spans="1:6" x14ac:dyDescent="0.25">
      <c r="A4854">
        <v>4853</v>
      </c>
      <c r="B4854">
        <v>45</v>
      </c>
      <c r="C4854">
        <v>0</v>
      </c>
      <c r="D4854">
        <v>0</v>
      </c>
      <c r="E4854">
        <v>0</v>
      </c>
      <c r="F4854">
        <v>4400</v>
      </c>
    </row>
    <row r="4855" spans="1:6" x14ac:dyDescent="0.25">
      <c r="A4855">
        <v>4854</v>
      </c>
      <c r="B4855">
        <v>46</v>
      </c>
      <c r="C4855">
        <v>0</v>
      </c>
      <c r="D4855">
        <v>0</v>
      </c>
      <c r="E4855">
        <v>0</v>
      </c>
      <c r="F4855">
        <v>0</v>
      </c>
    </row>
    <row r="4856" spans="1:6" x14ac:dyDescent="0.25">
      <c r="A4856">
        <v>4855</v>
      </c>
      <c r="B4856" t="s">
        <v>0</v>
      </c>
      <c r="C4856">
        <v>121</v>
      </c>
      <c r="D4856">
        <v>3483</v>
      </c>
      <c r="E4856">
        <v>80044387</v>
      </c>
    </row>
    <row r="4857" spans="1:6" x14ac:dyDescent="0.25">
      <c r="A4857">
        <v>4856</v>
      </c>
      <c r="B4857">
        <v>2</v>
      </c>
      <c r="C4857">
        <v>0</v>
      </c>
      <c r="D4857">
        <v>0</v>
      </c>
      <c r="E4857">
        <v>0</v>
      </c>
      <c r="F4857">
        <v>34.406700000000001</v>
      </c>
    </row>
    <row r="4858" spans="1:6" x14ac:dyDescent="0.25">
      <c r="A4858">
        <v>4857</v>
      </c>
      <c r="B4858">
        <v>10</v>
      </c>
      <c r="C4858">
        <v>1</v>
      </c>
      <c r="D4858">
        <v>0</v>
      </c>
      <c r="E4858">
        <v>0</v>
      </c>
      <c r="F4858">
        <v>34715</v>
      </c>
    </row>
    <row r="4859" spans="1:6" x14ac:dyDescent="0.25">
      <c r="A4859">
        <v>4858</v>
      </c>
      <c r="B4859">
        <v>13</v>
      </c>
      <c r="C4859">
        <v>0</v>
      </c>
      <c r="D4859">
        <v>0</v>
      </c>
      <c r="E4859">
        <v>0</v>
      </c>
      <c r="F4859">
        <v>1602</v>
      </c>
    </row>
    <row r="4860" spans="1:6" x14ac:dyDescent="0.25">
      <c r="A4860">
        <v>4859</v>
      </c>
      <c r="B4860">
        <v>41</v>
      </c>
      <c r="C4860">
        <v>0</v>
      </c>
      <c r="D4860">
        <v>0</v>
      </c>
      <c r="E4860">
        <v>0</v>
      </c>
      <c r="F4860">
        <v>1</v>
      </c>
    </row>
    <row r="4861" spans="1:6" x14ac:dyDescent="0.25">
      <c r="A4861">
        <v>4860</v>
      </c>
      <c r="B4861">
        <v>42</v>
      </c>
      <c r="C4861">
        <v>0</v>
      </c>
      <c r="D4861">
        <v>0</v>
      </c>
      <c r="E4861">
        <v>0</v>
      </c>
      <c r="F4861">
        <v>0.2</v>
      </c>
    </row>
    <row r="4862" spans="1:6" x14ac:dyDescent="0.25">
      <c r="A4862">
        <v>4861</v>
      </c>
      <c r="B4862">
        <v>43</v>
      </c>
      <c r="C4862">
        <v>0</v>
      </c>
      <c r="D4862">
        <v>0</v>
      </c>
      <c r="E4862">
        <v>0</v>
      </c>
      <c r="F4862">
        <v>0</v>
      </c>
    </row>
    <row r="4863" spans="1:6" x14ac:dyDescent="0.25">
      <c r="A4863">
        <v>4862</v>
      </c>
      <c r="B4863">
        <v>44</v>
      </c>
      <c r="C4863">
        <v>0</v>
      </c>
      <c r="D4863">
        <v>0</v>
      </c>
      <c r="E4863">
        <v>0</v>
      </c>
      <c r="F4863">
        <v>47.202399999999997</v>
      </c>
    </row>
    <row r="4864" spans="1:6" x14ac:dyDescent="0.25">
      <c r="A4864">
        <v>4863</v>
      </c>
      <c r="B4864">
        <v>45</v>
      </c>
      <c r="C4864">
        <v>0</v>
      </c>
      <c r="D4864">
        <v>0</v>
      </c>
      <c r="E4864">
        <v>0</v>
      </c>
      <c r="F4864">
        <v>4400</v>
      </c>
    </row>
    <row r="4865" spans="1:6" x14ac:dyDescent="0.25">
      <c r="A4865">
        <v>4864</v>
      </c>
      <c r="B4865">
        <v>46</v>
      </c>
      <c r="C4865">
        <v>0</v>
      </c>
      <c r="D4865">
        <v>0</v>
      </c>
      <c r="E4865">
        <v>0</v>
      </c>
      <c r="F4865">
        <v>0</v>
      </c>
    </row>
    <row r="4866" spans="1:6" x14ac:dyDescent="0.25">
      <c r="A4866">
        <v>4865</v>
      </c>
      <c r="B4866">
        <v>2</v>
      </c>
      <c r="C4866">
        <v>0</v>
      </c>
      <c r="D4866">
        <v>0</v>
      </c>
      <c r="E4866">
        <v>0</v>
      </c>
      <c r="F4866">
        <v>34.406700000000001</v>
      </c>
    </row>
    <row r="4867" spans="1:6" x14ac:dyDescent="0.25">
      <c r="A4867">
        <v>4866</v>
      </c>
      <c r="B4867">
        <v>10</v>
      </c>
      <c r="C4867">
        <v>1</v>
      </c>
      <c r="D4867">
        <v>0</v>
      </c>
      <c r="E4867">
        <v>0</v>
      </c>
      <c r="F4867">
        <v>34715</v>
      </c>
    </row>
    <row r="4868" spans="1:6" x14ac:dyDescent="0.25">
      <c r="A4868">
        <v>4867</v>
      </c>
      <c r="B4868">
        <v>13</v>
      </c>
      <c r="C4868">
        <v>0</v>
      </c>
      <c r="D4868">
        <v>0</v>
      </c>
      <c r="E4868">
        <v>0</v>
      </c>
      <c r="F4868">
        <v>1602</v>
      </c>
    </row>
    <row r="4869" spans="1:6" x14ac:dyDescent="0.25">
      <c r="A4869">
        <v>4868</v>
      </c>
      <c r="B4869">
        <v>41</v>
      </c>
      <c r="C4869">
        <v>0</v>
      </c>
      <c r="D4869">
        <v>0</v>
      </c>
      <c r="E4869">
        <v>0</v>
      </c>
      <c r="F4869">
        <v>1</v>
      </c>
    </row>
    <row r="4870" spans="1:6" x14ac:dyDescent="0.25">
      <c r="A4870">
        <v>4869</v>
      </c>
      <c r="B4870">
        <v>42</v>
      </c>
      <c r="C4870">
        <v>0</v>
      </c>
      <c r="D4870">
        <v>0</v>
      </c>
      <c r="E4870">
        <v>0</v>
      </c>
      <c r="F4870">
        <v>0.2</v>
      </c>
    </row>
    <row r="4871" spans="1:6" x14ac:dyDescent="0.25">
      <c r="A4871">
        <v>4870</v>
      </c>
      <c r="B4871">
        <v>43</v>
      </c>
      <c r="C4871">
        <v>0</v>
      </c>
      <c r="D4871">
        <v>0</v>
      </c>
      <c r="E4871">
        <v>0</v>
      </c>
      <c r="F4871">
        <v>0</v>
      </c>
    </row>
    <row r="4872" spans="1:6" x14ac:dyDescent="0.25">
      <c r="A4872">
        <v>4871</v>
      </c>
      <c r="B4872">
        <v>44</v>
      </c>
      <c r="C4872">
        <v>0</v>
      </c>
      <c r="D4872">
        <v>0</v>
      </c>
      <c r="E4872">
        <v>0</v>
      </c>
      <c r="F4872">
        <v>47.453000000000003</v>
      </c>
    </row>
    <row r="4873" spans="1:6" x14ac:dyDescent="0.25">
      <c r="A4873">
        <v>4872</v>
      </c>
      <c r="B4873">
        <v>45</v>
      </c>
      <c r="C4873">
        <v>0</v>
      </c>
      <c r="D4873">
        <v>0</v>
      </c>
      <c r="E4873">
        <v>0</v>
      </c>
      <c r="F4873">
        <v>4400</v>
      </c>
    </row>
    <row r="4874" spans="1:6" x14ac:dyDescent="0.25">
      <c r="A4874">
        <v>4873</v>
      </c>
      <c r="B4874">
        <v>46</v>
      </c>
      <c r="C4874">
        <v>0</v>
      </c>
      <c r="D4874">
        <v>0</v>
      </c>
      <c r="E4874">
        <v>0</v>
      </c>
      <c r="F4874">
        <v>0</v>
      </c>
    </row>
    <row r="4875" spans="1:6" x14ac:dyDescent="0.25">
      <c r="A4875">
        <v>4874</v>
      </c>
      <c r="B4875">
        <v>2</v>
      </c>
      <c r="C4875">
        <v>0</v>
      </c>
      <c r="D4875">
        <v>0</v>
      </c>
      <c r="E4875">
        <v>0</v>
      </c>
      <c r="F4875">
        <v>34.405999999999999</v>
      </c>
    </row>
    <row r="4876" spans="1:6" x14ac:dyDescent="0.25">
      <c r="A4876">
        <v>4875</v>
      </c>
      <c r="B4876">
        <v>10</v>
      </c>
      <c r="C4876">
        <v>1</v>
      </c>
      <c r="D4876">
        <v>0</v>
      </c>
      <c r="E4876">
        <v>0</v>
      </c>
      <c r="F4876">
        <v>34716</v>
      </c>
    </row>
    <row r="4877" spans="1:6" x14ac:dyDescent="0.25">
      <c r="A4877">
        <v>4876</v>
      </c>
      <c r="B4877">
        <v>13</v>
      </c>
      <c r="C4877">
        <v>0</v>
      </c>
      <c r="D4877">
        <v>0</v>
      </c>
      <c r="E4877">
        <v>0</v>
      </c>
      <c r="F4877">
        <v>1602</v>
      </c>
    </row>
    <row r="4878" spans="1:6" x14ac:dyDescent="0.25">
      <c r="A4878">
        <v>4877</v>
      </c>
      <c r="B4878">
        <v>41</v>
      </c>
      <c r="C4878">
        <v>0</v>
      </c>
      <c r="D4878">
        <v>0</v>
      </c>
      <c r="E4878">
        <v>0</v>
      </c>
      <c r="F4878">
        <v>1</v>
      </c>
    </row>
    <row r="4879" spans="1:6" x14ac:dyDescent="0.25">
      <c r="A4879">
        <v>4878</v>
      </c>
      <c r="B4879">
        <v>42</v>
      </c>
      <c r="C4879">
        <v>0</v>
      </c>
      <c r="D4879">
        <v>0</v>
      </c>
      <c r="E4879">
        <v>0</v>
      </c>
      <c r="F4879">
        <v>0.2</v>
      </c>
    </row>
    <row r="4880" spans="1:6" x14ac:dyDescent="0.25">
      <c r="A4880">
        <v>4879</v>
      </c>
      <c r="B4880">
        <v>43</v>
      </c>
      <c r="C4880">
        <v>0</v>
      </c>
      <c r="D4880">
        <v>0</v>
      </c>
      <c r="E4880">
        <v>0</v>
      </c>
      <c r="F4880">
        <v>0</v>
      </c>
    </row>
    <row r="4881" spans="1:6" x14ac:dyDescent="0.25">
      <c r="A4881">
        <v>4880</v>
      </c>
      <c r="B4881">
        <v>44</v>
      </c>
      <c r="C4881">
        <v>0</v>
      </c>
      <c r="D4881">
        <v>0</v>
      </c>
      <c r="E4881">
        <v>0</v>
      </c>
      <c r="F4881">
        <v>47.453000000000003</v>
      </c>
    </row>
    <row r="4882" spans="1:6" x14ac:dyDescent="0.25">
      <c r="A4882">
        <v>4881</v>
      </c>
      <c r="B4882">
        <v>45</v>
      </c>
      <c r="C4882">
        <v>0</v>
      </c>
      <c r="D4882">
        <v>0</v>
      </c>
      <c r="E4882">
        <v>0</v>
      </c>
      <c r="F4882">
        <v>4400</v>
      </c>
    </row>
    <row r="4883" spans="1:6" x14ac:dyDescent="0.25">
      <c r="A4883">
        <v>4882</v>
      </c>
      <c r="B4883">
        <v>46</v>
      </c>
      <c r="C4883">
        <v>0</v>
      </c>
      <c r="D4883">
        <v>0</v>
      </c>
      <c r="E4883">
        <v>0</v>
      </c>
      <c r="F4883">
        <v>0</v>
      </c>
    </row>
    <row r="4884" spans="1:6" x14ac:dyDescent="0.25">
      <c r="A4884">
        <v>4883</v>
      </c>
      <c r="B4884">
        <v>2</v>
      </c>
      <c r="C4884">
        <v>0</v>
      </c>
      <c r="D4884">
        <v>0</v>
      </c>
      <c r="E4884">
        <v>0</v>
      </c>
      <c r="F4884">
        <v>34.405999999999999</v>
      </c>
    </row>
    <row r="4885" spans="1:6" x14ac:dyDescent="0.25">
      <c r="A4885">
        <v>4884</v>
      </c>
      <c r="B4885">
        <v>10</v>
      </c>
      <c r="C4885">
        <v>1</v>
      </c>
      <c r="D4885">
        <v>0</v>
      </c>
      <c r="E4885">
        <v>0</v>
      </c>
      <c r="F4885">
        <v>34716</v>
      </c>
    </row>
    <row r="4886" spans="1:6" x14ac:dyDescent="0.25">
      <c r="A4886">
        <v>4885</v>
      </c>
      <c r="B4886" t="s">
        <v>0</v>
      </c>
      <c r="C4886">
        <v>123</v>
      </c>
      <c r="D4886">
        <v>3483</v>
      </c>
      <c r="E4886">
        <v>80046324</v>
      </c>
    </row>
    <row r="4887" spans="1:6" x14ac:dyDescent="0.25">
      <c r="A4887">
        <v>4886</v>
      </c>
      <c r="B4887">
        <v>13</v>
      </c>
      <c r="C4887">
        <v>0</v>
      </c>
      <c r="D4887">
        <v>0</v>
      </c>
      <c r="E4887">
        <v>0</v>
      </c>
      <c r="F4887">
        <v>1602</v>
      </c>
    </row>
    <row r="4888" spans="1:6" x14ac:dyDescent="0.25">
      <c r="A4888">
        <v>4887</v>
      </c>
      <c r="B4888">
        <v>41</v>
      </c>
      <c r="C4888">
        <v>0</v>
      </c>
      <c r="D4888">
        <v>0</v>
      </c>
      <c r="E4888">
        <v>0</v>
      </c>
      <c r="F4888">
        <v>1</v>
      </c>
    </row>
    <row r="4889" spans="1:6" x14ac:dyDescent="0.25">
      <c r="A4889">
        <v>4888</v>
      </c>
      <c r="B4889">
        <v>42</v>
      </c>
      <c r="C4889">
        <v>0</v>
      </c>
      <c r="D4889">
        <v>0</v>
      </c>
      <c r="E4889">
        <v>0</v>
      </c>
      <c r="F4889">
        <v>0.2</v>
      </c>
    </row>
    <row r="4890" spans="1:6" x14ac:dyDescent="0.25">
      <c r="A4890">
        <v>4889</v>
      </c>
      <c r="B4890">
        <v>43</v>
      </c>
      <c r="C4890">
        <v>0</v>
      </c>
      <c r="D4890">
        <v>0</v>
      </c>
      <c r="E4890">
        <v>0</v>
      </c>
      <c r="F4890">
        <v>0</v>
      </c>
    </row>
    <row r="4891" spans="1:6" x14ac:dyDescent="0.25">
      <c r="A4891">
        <v>4890</v>
      </c>
      <c r="B4891">
        <v>44</v>
      </c>
      <c r="C4891">
        <v>0</v>
      </c>
      <c r="D4891">
        <v>0</v>
      </c>
      <c r="E4891">
        <v>0</v>
      </c>
      <c r="F4891">
        <v>47.7029</v>
      </c>
    </row>
    <row r="4892" spans="1:6" x14ac:dyDescent="0.25">
      <c r="A4892">
        <v>4891</v>
      </c>
      <c r="B4892">
        <v>45</v>
      </c>
      <c r="C4892">
        <v>0</v>
      </c>
      <c r="D4892">
        <v>0</v>
      </c>
      <c r="E4892">
        <v>0</v>
      </c>
      <c r="F4892">
        <v>4400</v>
      </c>
    </row>
    <row r="4893" spans="1:6" x14ac:dyDescent="0.25">
      <c r="A4893">
        <v>4892</v>
      </c>
      <c r="B4893">
        <v>46</v>
      </c>
      <c r="C4893">
        <v>0</v>
      </c>
      <c r="D4893">
        <v>0</v>
      </c>
      <c r="E4893">
        <v>0</v>
      </c>
      <c r="F4893">
        <v>0</v>
      </c>
    </row>
    <row r="4894" spans="1:6" x14ac:dyDescent="0.25">
      <c r="A4894">
        <v>4893</v>
      </c>
      <c r="B4894">
        <v>2</v>
      </c>
      <c r="C4894">
        <v>0</v>
      </c>
      <c r="D4894">
        <v>0</v>
      </c>
      <c r="E4894">
        <v>0</v>
      </c>
      <c r="F4894">
        <v>34.406100000000002</v>
      </c>
    </row>
    <row r="4895" spans="1:6" x14ac:dyDescent="0.25">
      <c r="A4895">
        <v>4894</v>
      </c>
      <c r="B4895">
        <v>10</v>
      </c>
      <c r="C4895">
        <v>1</v>
      </c>
      <c r="D4895">
        <v>0</v>
      </c>
      <c r="E4895">
        <v>0</v>
      </c>
      <c r="F4895">
        <v>34716</v>
      </c>
    </row>
    <row r="4896" spans="1:6" x14ac:dyDescent="0.25">
      <c r="A4896">
        <v>4895</v>
      </c>
      <c r="B4896">
        <v>13</v>
      </c>
      <c r="C4896">
        <v>0</v>
      </c>
      <c r="D4896">
        <v>0</v>
      </c>
      <c r="E4896">
        <v>0</v>
      </c>
      <c r="F4896">
        <v>1602</v>
      </c>
    </row>
    <row r="4897" spans="1:6" x14ac:dyDescent="0.25">
      <c r="A4897">
        <v>4896</v>
      </c>
      <c r="B4897">
        <v>41</v>
      </c>
      <c r="C4897">
        <v>0</v>
      </c>
      <c r="D4897">
        <v>0</v>
      </c>
      <c r="E4897">
        <v>0</v>
      </c>
      <c r="F4897">
        <v>1</v>
      </c>
    </row>
    <row r="4898" spans="1:6" x14ac:dyDescent="0.25">
      <c r="A4898">
        <v>4897</v>
      </c>
      <c r="B4898">
        <v>42</v>
      </c>
      <c r="C4898">
        <v>0</v>
      </c>
      <c r="D4898">
        <v>0</v>
      </c>
      <c r="E4898">
        <v>0</v>
      </c>
      <c r="F4898">
        <v>0.2</v>
      </c>
    </row>
    <row r="4899" spans="1:6" x14ac:dyDescent="0.25">
      <c r="A4899">
        <v>4898</v>
      </c>
      <c r="B4899">
        <v>43</v>
      </c>
      <c r="C4899">
        <v>0</v>
      </c>
      <c r="D4899">
        <v>0</v>
      </c>
      <c r="E4899">
        <v>0</v>
      </c>
      <c r="F4899">
        <v>0</v>
      </c>
    </row>
    <row r="4900" spans="1:6" x14ac:dyDescent="0.25">
      <c r="A4900">
        <v>4899</v>
      </c>
      <c r="B4900">
        <v>44</v>
      </c>
      <c r="C4900">
        <v>0</v>
      </c>
      <c r="D4900">
        <v>0</v>
      </c>
      <c r="E4900">
        <v>0</v>
      </c>
      <c r="F4900">
        <v>47.7029</v>
      </c>
    </row>
    <row r="4901" spans="1:6" x14ac:dyDescent="0.25">
      <c r="A4901">
        <v>4900</v>
      </c>
      <c r="B4901" t="s">
        <v>0</v>
      </c>
      <c r="C4901">
        <v>124</v>
      </c>
      <c r="D4901">
        <v>3483</v>
      </c>
      <c r="E4901">
        <v>80047291</v>
      </c>
    </row>
    <row r="4902" spans="1:6" x14ac:dyDescent="0.25">
      <c r="A4902">
        <v>4901</v>
      </c>
      <c r="B4902">
        <v>46</v>
      </c>
      <c r="C4902">
        <v>0</v>
      </c>
      <c r="D4902">
        <v>0</v>
      </c>
      <c r="E4902">
        <v>0</v>
      </c>
      <c r="F4902">
        <v>0</v>
      </c>
    </row>
    <row r="4903" spans="1:6" x14ac:dyDescent="0.25">
      <c r="A4903">
        <v>4902</v>
      </c>
      <c r="B4903">
        <v>2</v>
      </c>
      <c r="C4903">
        <v>0</v>
      </c>
      <c r="D4903">
        <v>0</v>
      </c>
      <c r="E4903">
        <v>0</v>
      </c>
      <c r="F4903">
        <v>34.406599999999997</v>
      </c>
    </row>
    <row r="4904" spans="1:6" x14ac:dyDescent="0.25">
      <c r="A4904">
        <v>4903</v>
      </c>
      <c r="B4904">
        <v>10</v>
      </c>
      <c r="C4904">
        <v>1</v>
      </c>
      <c r="D4904">
        <v>0</v>
      </c>
      <c r="E4904">
        <v>0</v>
      </c>
      <c r="F4904">
        <v>34715</v>
      </c>
    </row>
    <row r="4905" spans="1:6" x14ac:dyDescent="0.25">
      <c r="A4905">
        <v>4904</v>
      </c>
      <c r="B4905">
        <v>13</v>
      </c>
      <c r="C4905">
        <v>0</v>
      </c>
      <c r="D4905">
        <v>0</v>
      </c>
      <c r="E4905">
        <v>0</v>
      </c>
      <c r="F4905">
        <v>1602</v>
      </c>
    </row>
    <row r="4906" spans="1:6" x14ac:dyDescent="0.25">
      <c r="A4906">
        <v>4905</v>
      </c>
      <c r="B4906">
        <v>41</v>
      </c>
      <c r="C4906">
        <v>0</v>
      </c>
      <c r="D4906">
        <v>0</v>
      </c>
      <c r="E4906">
        <v>0</v>
      </c>
      <c r="F4906">
        <v>1</v>
      </c>
    </row>
    <row r="4907" spans="1:6" x14ac:dyDescent="0.25">
      <c r="A4907">
        <v>4906</v>
      </c>
      <c r="B4907">
        <v>42</v>
      </c>
      <c r="C4907">
        <v>0</v>
      </c>
      <c r="D4907">
        <v>0</v>
      </c>
      <c r="E4907">
        <v>0</v>
      </c>
      <c r="F4907">
        <v>0.2</v>
      </c>
    </row>
    <row r="4908" spans="1:6" x14ac:dyDescent="0.25">
      <c r="A4908">
        <v>4907</v>
      </c>
      <c r="B4908">
        <v>43</v>
      </c>
      <c r="C4908">
        <v>0</v>
      </c>
      <c r="D4908">
        <v>0</v>
      </c>
      <c r="E4908">
        <v>0</v>
      </c>
      <c r="F4908">
        <v>0</v>
      </c>
    </row>
    <row r="4909" spans="1:6" x14ac:dyDescent="0.25">
      <c r="A4909">
        <v>4908</v>
      </c>
      <c r="B4909">
        <v>44</v>
      </c>
      <c r="C4909">
        <v>0</v>
      </c>
      <c r="D4909">
        <v>0</v>
      </c>
      <c r="E4909">
        <v>0</v>
      </c>
      <c r="F4909">
        <v>47.927500000000002</v>
      </c>
    </row>
    <row r="4910" spans="1:6" x14ac:dyDescent="0.25">
      <c r="A4910">
        <v>4909</v>
      </c>
      <c r="B4910">
        <v>45</v>
      </c>
      <c r="C4910">
        <v>0</v>
      </c>
      <c r="D4910">
        <v>0</v>
      </c>
      <c r="E4910">
        <v>0</v>
      </c>
      <c r="F4910">
        <v>4400</v>
      </c>
    </row>
    <row r="4911" spans="1:6" x14ac:dyDescent="0.25">
      <c r="A4911">
        <v>4910</v>
      </c>
      <c r="B4911">
        <v>46</v>
      </c>
      <c r="C4911">
        <v>0</v>
      </c>
      <c r="D4911">
        <v>0</v>
      </c>
      <c r="E4911">
        <v>0</v>
      </c>
      <c r="F4911">
        <v>0</v>
      </c>
    </row>
    <row r="4912" spans="1:6" x14ac:dyDescent="0.25">
      <c r="A4912">
        <v>4911</v>
      </c>
      <c r="B4912">
        <v>2</v>
      </c>
      <c r="C4912">
        <v>0</v>
      </c>
      <c r="D4912">
        <v>0</v>
      </c>
      <c r="E4912">
        <v>0</v>
      </c>
      <c r="F4912">
        <v>34.406599999999997</v>
      </c>
    </row>
    <row r="4913" spans="1:6" x14ac:dyDescent="0.25">
      <c r="A4913">
        <v>4912</v>
      </c>
      <c r="B4913">
        <v>10</v>
      </c>
      <c r="C4913">
        <v>1</v>
      </c>
      <c r="D4913">
        <v>0</v>
      </c>
      <c r="E4913">
        <v>0</v>
      </c>
      <c r="F4913">
        <v>34715</v>
      </c>
    </row>
    <row r="4914" spans="1:6" x14ac:dyDescent="0.25">
      <c r="A4914">
        <v>4913</v>
      </c>
      <c r="B4914">
        <v>13</v>
      </c>
      <c r="C4914">
        <v>0</v>
      </c>
      <c r="D4914">
        <v>0</v>
      </c>
      <c r="E4914">
        <v>0</v>
      </c>
      <c r="F4914">
        <v>1602</v>
      </c>
    </row>
    <row r="4915" spans="1:6" x14ac:dyDescent="0.25">
      <c r="A4915">
        <v>4914</v>
      </c>
      <c r="B4915">
        <v>41</v>
      </c>
      <c r="C4915">
        <v>0</v>
      </c>
      <c r="D4915">
        <v>0</v>
      </c>
      <c r="E4915">
        <v>0</v>
      </c>
      <c r="F4915">
        <v>1</v>
      </c>
    </row>
    <row r="4916" spans="1:6" x14ac:dyDescent="0.25">
      <c r="A4916">
        <v>4915</v>
      </c>
      <c r="B4916" t="s">
        <v>0</v>
      </c>
      <c r="C4916">
        <v>125</v>
      </c>
      <c r="D4916">
        <v>3483</v>
      </c>
      <c r="E4916">
        <v>80048259</v>
      </c>
    </row>
    <row r="4917" spans="1:6" x14ac:dyDescent="0.25">
      <c r="A4917">
        <v>4916</v>
      </c>
      <c r="B4917">
        <v>42</v>
      </c>
      <c r="C4917">
        <v>0</v>
      </c>
      <c r="D4917">
        <v>0</v>
      </c>
      <c r="E4917">
        <v>0</v>
      </c>
      <c r="F4917">
        <v>0.2</v>
      </c>
    </row>
    <row r="4918" spans="1:6" x14ac:dyDescent="0.25">
      <c r="A4918">
        <v>4917</v>
      </c>
      <c r="B4918">
        <v>43</v>
      </c>
      <c r="C4918">
        <v>0</v>
      </c>
      <c r="D4918">
        <v>0</v>
      </c>
      <c r="E4918">
        <v>0</v>
      </c>
      <c r="F4918">
        <v>0</v>
      </c>
    </row>
    <row r="4919" spans="1:6" x14ac:dyDescent="0.25">
      <c r="A4919">
        <v>4918</v>
      </c>
      <c r="B4919">
        <v>44</v>
      </c>
      <c r="C4919">
        <v>0</v>
      </c>
      <c r="D4919">
        <v>0</v>
      </c>
      <c r="E4919">
        <v>0</v>
      </c>
      <c r="F4919">
        <v>48.1783</v>
      </c>
    </row>
    <row r="4920" spans="1:6" x14ac:dyDescent="0.25">
      <c r="A4920">
        <v>4919</v>
      </c>
      <c r="B4920">
        <v>45</v>
      </c>
      <c r="C4920">
        <v>0</v>
      </c>
      <c r="D4920">
        <v>0</v>
      </c>
      <c r="E4920">
        <v>0</v>
      </c>
      <c r="F4920">
        <v>4400</v>
      </c>
    </row>
    <row r="4921" spans="1:6" x14ac:dyDescent="0.25">
      <c r="A4921">
        <v>4920</v>
      </c>
      <c r="B4921">
        <v>46</v>
      </c>
      <c r="C4921">
        <v>0</v>
      </c>
      <c r="D4921">
        <v>0</v>
      </c>
      <c r="E4921">
        <v>0</v>
      </c>
      <c r="F4921">
        <v>0</v>
      </c>
    </row>
    <row r="4922" spans="1:6" x14ac:dyDescent="0.25">
      <c r="A4922">
        <v>4921</v>
      </c>
      <c r="B4922">
        <v>2</v>
      </c>
      <c r="C4922">
        <v>0</v>
      </c>
      <c r="D4922">
        <v>0</v>
      </c>
      <c r="E4922">
        <v>0</v>
      </c>
      <c r="F4922">
        <v>34.405799999999999</v>
      </c>
    </row>
    <row r="4923" spans="1:6" x14ac:dyDescent="0.25">
      <c r="A4923">
        <v>4922</v>
      </c>
      <c r="B4923">
        <v>10</v>
      </c>
      <c r="C4923">
        <v>1</v>
      </c>
      <c r="D4923">
        <v>0</v>
      </c>
      <c r="E4923">
        <v>0</v>
      </c>
      <c r="F4923">
        <v>34716</v>
      </c>
    </row>
    <row r="4924" spans="1:6" x14ac:dyDescent="0.25">
      <c r="A4924">
        <v>4923</v>
      </c>
      <c r="B4924">
        <v>13</v>
      </c>
      <c r="C4924">
        <v>0</v>
      </c>
      <c r="D4924">
        <v>0</v>
      </c>
      <c r="E4924">
        <v>0</v>
      </c>
      <c r="F4924">
        <v>1602</v>
      </c>
    </row>
    <row r="4925" spans="1:6" x14ac:dyDescent="0.25">
      <c r="A4925">
        <v>4924</v>
      </c>
      <c r="B4925">
        <v>41</v>
      </c>
      <c r="C4925">
        <v>0</v>
      </c>
      <c r="D4925">
        <v>0</v>
      </c>
      <c r="E4925">
        <v>0</v>
      </c>
      <c r="F4925">
        <v>1</v>
      </c>
    </row>
    <row r="4926" spans="1:6" x14ac:dyDescent="0.25">
      <c r="A4926">
        <v>4925</v>
      </c>
      <c r="B4926">
        <v>42</v>
      </c>
      <c r="C4926">
        <v>0</v>
      </c>
      <c r="D4926">
        <v>0</v>
      </c>
      <c r="E4926">
        <v>0</v>
      </c>
      <c r="F4926">
        <v>0.2</v>
      </c>
    </row>
    <row r="4927" spans="1:6" x14ac:dyDescent="0.25">
      <c r="A4927">
        <v>4926</v>
      </c>
      <c r="B4927">
        <v>43</v>
      </c>
      <c r="C4927">
        <v>0</v>
      </c>
      <c r="D4927">
        <v>0</v>
      </c>
      <c r="E4927">
        <v>0</v>
      </c>
      <c r="F4927">
        <v>0</v>
      </c>
    </row>
    <row r="4928" spans="1:6" x14ac:dyDescent="0.25">
      <c r="A4928">
        <v>4927</v>
      </c>
      <c r="B4928">
        <v>44</v>
      </c>
      <c r="C4928">
        <v>0</v>
      </c>
      <c r="D4928">
        <v>0</v>
      </c>
      <c r="E4928">
        <v>0</v>
      </c>
      <c r="F4928">
        <v>48.1783</v>
      </c>
    </row>
    <row r="4929" spans="1:6" x14ac:dyDescent="0.25">
      <c r="A4929">
        <v>4928</v>
      </c>
      <c r="B4929">
        <v>45</v>
      </c>
      <c r="C4929">
        <v>0</v>
      </c>
      <c r="D4929">
        <v>0</v>
      </c>
      <c r="E4929">
        <v>0</v>
      </c>
      <c r="F4929">
        <v>4400</v>
      </c>
    </row>
    <row r="4930" spans="1:6" x14ac:dyDescent="0.25">
      <c r="A4930">
        <v>4929</v>
      </c>
      <c r="B4930">
        <v>46</v>
      </c>
      <c r="C4930">
        <v>0</v>
      </c>
      <c r="D4930">
        <v>0</v>
      </c>
      <c r="E4930">
        <v>0</v>
      </c>
      <c r="F4930">
        <v>0</v>
      </c>
    </row>
    <row r="4931" spans="1:6" x14ac:dyDescent="0.25">
      <c r="A4931">
        <v>4930</v>
      </c>
      <c r="B4931">
        <v>2</v>
      </c>
      <c r="C4931">
        <v>0</v>
      </c>
      <c r="D4931">
        <v>0</v>
      </c>
      <c r="E4931">
        <v>0</v>
      </c>
      <c r="F4931">
        <v>34.405799999999999</v>
      </c>
    </row>
    <row r="4932" spans="1:6" x14ac:dyDescent="0.25">
      <c r="A4932">
        <v>4931</v>
      </c>
      <c r="B4932">
        <v>10</v>
      </c>
      <c r="C4932">
        <v>1</v>
      </c>
      <c r="D4932">
        <v>0</v>
      </c>
      <c r="E4932">
        <v>0</v>
      </c>
      <c r="F4932">
        <v>34715</v>
      </c>
    </row>
    <row r="4933" spans="1:6" x14ac:dyDescent="0.25">
      <c r="A4933">
        <v>4932</v>
      </c>
      <c r="B4933">
        <v>13</v>
      </c>
      <c r="C4933">
        <v>0</v>
      </c>
      <c r="D4933">
        <v>0</v>
      </c>
      <c r="E4933">
        <v>0</v>
      </c>
      <c r="F4933">
        <v>1602</v>
      </c>
    </row>
    <row r="4934" spans="1:6" x14ac:dyDescent="0.25">
      <c r="A4934">
        <v>4933</v>
      </c>
      <c r="B4934">
        <v>41</v>
      </c>
      <c r="C4934">
        <v>0</v>
      </c>
      <c r="D4934">
        <v>0</v>
      </c>
      <c r="E4934">
        <v>0</v>
      </c>
      <c r="F4934">
        <v>1</v>
      </c>
    </row>
    <row r="4935" spans="1:6" x14ac:dyDescent="0.25">
      <c r="A4935">
        <v>4934</v>
      </c>
      <c r="B4935">
        <v>42</v>
      </c>
      <c r="C4935">
        <v>0</v>
      </c>
      <c r="D4935">
        <v>0</v>
      </c>
      <c r="E4935">
        <v>0</v>
      </c>
      <c r="F4935">
        <v>0.2</v>
      </c>
    </row>
    <row r="4936" spans="1:6" x14ac:dyDescent="0.25">
      <c r="A4936">
        <v>4935</v>
      </c>
      <c r="B4936">
        <v>43</v>
      </c>
      <c r="C4936">
        <v>0</v>
      </c>
      <c r="D4936">
        <v>0</v>
      </c>
      <c r="E4936">
        <v>0</v>
      </c>
      <c r="F4936">
        <v>0</v>
      </c>
    </row>
    <row r="4937" spans="1:6" x14ac:dyDescent="0.25">
      <c r="A4937">
        <v>4936</v>
      </c>
      <c r="B4937">
        <v>44</v>
      </c>
      <c r="C4937">
        <v>0</v>
      </c>
      <c r="D4937">
        <v>0</v>
      </c>
      <c r="E4937">
        <v>0</v>
      </c>
      <c r="F4937">
        <v>48.427900000000001</v>
      </c>
    </row>
    <row r="4938" spans="1:6" x14ac:dyDescent="0.25">
      <c r="A4938">
        <v>4937</v>
      </c>
      <c r="B4938">
        <v>45</v>
      </c>
      <c r="C4938">
        <v>0</v>
      </c>
      <c r="D4938">
        <v>0</v>
      </c>
      <c r="E4938">
        <v>0</v>
      </c>
      <c r="F4938">
        <v>4400</v>
      </c>
    </row>
    <row r="4939" spans="1:6" x14ac:dyDescent="0.25">
      <c r="A4939">
        <v>4938</v>
      </c>
      <c r="B4939">
        <v>46</v>
      </c>
      <c r="C4939">
        <v>0</v>
      </c>
      <c r="D4939">
        <v>0</v>
      </c>
      <c r="E4939">
        <v>0</v>
      </c>
      <c r="F4939">
        <v>0</v>
      </c>
    </row>
    <row r="4940" spans="1:6" x14ac:dyDescent="0.25">
      <c r="A4940">
        <v>4939</v>
      </c>
      <c r="B4940">
        <v>2</v>
      </c>
      <c r="C4940">
        <v>0</v>
      </c>
      <c r="D4940">
        <v>0</v>
      </c>
      <c r="E4940">
        <v>0</v>
      </c>
      <c r="F4940">
        <v>34.406199999999998</v>
      </c>
    </row>
    <row r="4941" spans="1:6" x14ac:dyDescent="0.25">
      <c r="A4941">
        <v>4940</v>
      </c>
      <c r="B4941">
        <v>10</v>
      </c>
      <c r="C4941">
        <v>1</v>
      </c>
      <c r="D4941">
        <v>0</v>
      </c>
      <c r="E4941">
        <v>0</v>
      </c>
      <c r="F4941">
        <v>34715</v>
      </c>
    </row>
    <row r="4942" spans="1:6" x14ac:dyDescent="0.25">
      <c r="A4942">
        <v>4941</v>
      </c>
      <c r="B4942">
        <v>13</v>
      </c>
      <c r="C4942">
        <v>0</v>
      </c>
      <c r="D4942">
        <v>0</v>
      </c>
      <c r="E4942">
        <v>0</v>
      </c>
      <c r="F4942">
        <v>1602</v>
      </c>
    </row>
    <row r="4943" spans="1:6" x14ac:dyDescent="0.25">
      <c r="A4943">
        <v>4942</v>
      </c>
      <c r="B4943">
        <v>41</v>
      </c>
      <c r="C4943">
        <v>0</v>
      </c>
      <c r="D4943">
        <v>0</v>
      </c>
      <c r="E4943">
        <v>0</v>
      </c>
      <c r="F4943">
        <v>1</v>
      </c>
    </row>
    <row r="4944" spans="1:6" x14ac:dyDescent="0.25">
      <c r="A4944">
        <v>4943</v>
      </c>
      <c r="B4944">
        <v>42</v>
      </c>
      <c r="C4944">
        <v>0</v>
      </c>
      <c r="D4944">
        <v>0</v>
      </c>
      <c r="E4944">
        <v>0</v>
      </c>
      <c r="F4944">
        <v>0.2</v>
      </c>
    </row>
    <row r="4945" spans="1:6" x14ac:dyDescent="0.25">
      <c r="A4945">
        <v>4944</v>
      </c>
      <c r="B4945">
        <v>43</v>
      </c>
      <c r="C4945">
        <v>0</v>
      </c>
      <c r="D4945">
        <v>0</v>
      </c>
      <c r="E4945">
        <v>0</v>
      </c>
      <c r="F4945">
        <v>0</v>
      </c>
    </row>
    <row r="4946" spans="1:6" x14ac:dyDescent="0.25">
      <c r="A4946">
        <v>4945</v>
      </c>
      <c r="B4946" t="s">
        <v>0</v>
      </c>
      <c r="C4946">
        <v>127</v>
      </c>
      <c r="D4946">
        <v>3483</v>
      </c>
      <c r="E4946">
        <v>80050194</v>
      </c>
    </row>
    <row r="4947" spans="1:6" x14ac:dyDescent="0.25">
      <c r="A4947">
        <v>4946</v>
      </c>
      <c r="B4947">
        <v>45</v>
      </c>
      <c r="C4947">
        <v>0</v>
      </c>
      <c r="D4947">
        <v>0</v>
      </c>
      <c r="E4947">
        <v>0</v>
      </c>
      <c r="F4947">
        <v>4400</v>
      </c>
    </row>
    <row r="4948" spans="1:6" x14ac:dyDescent="0.25">
      <c r="A4948">
        <v>4947</v>
      </c>
      <c r="B4948">
        <v>46</v>
      </c>
      <c r="C4948">
        <v>0</v>
      </c>
      <c r="D4948">
        <v>0</v>
      </c>
      <c r="E4948">
        <v>0</v>
      </c>
      <c r="F4948">
        <v>0</v>
      </c>
    </row>
    <row r="4949" spans="1:6" x14ac:dyDescent="0.25">
      <c r="A4949">
        <v>4948</v>
      </c>
      <c r="B4949">
        <v>2</v>
      </c>
      <c r="C4949">
        <v>0</v>
      </c>
      <c r="D4949">
        <v>0</v>
      </c>
      <c r="E4949">
        <v>0</v>
      </c>
      <c r="F4949">
        <v>34.406500000000001</v>
      </c>
    </row>
    <row r="4950" spans="1:6" x14ac:dyDescent="0.25">
      <c r="A4950">
        <v>4949</v>
      </c>
      <c r="B4950">
        <v>10</v>
      </c>
      <c r="C4950">
        <v>1</v>
      </c>
      <c r="D4950">
        <v>0</v>
      </c>
      <c r="E4950">
        <v>0</v>
      </c>
      <c r="F4950">
        <v>34715</v>
      </c>
    </row>
    <row r="4951" spans="1:6" x14ac:dyDescent="0.25">
      <c r="A4951">
        <v>4950</v>
      </c>
      <c r="B4951">
        <v>13</v>
      </c>
      <c r="C4951">
        <v>0</v>
      </c>
      <c r="D4951">
        <v>0</v>
      </c>
      <c r="E4951">
        <v>0</v>
      </c>
      <c r="F4951">
        <v>1602</v>
      </c>
    </row>
    <row r="4952" spans="1:6" x14ac:dyDescent="0.25">
      <c r="A4952">
        <v>4951</v>
      </c>
      <c r="B4952">
        <v>41</v>
      </c>
      <c r="C4952">
        <v>0</v>
      </c>
      <c r="D4952">
        <v>0</v>
      </c>
      <c r="E4952">
        <v>0</v>
      </c>
      <c r="F4952">
        <v>1</v>
      </c>
    </row>
    <row r="4953" spans="1:6" x14ac:dyDescent="0.25">
      <c r="A4953">
        <v>4952</v>
      </c>
      <c r="B4953">
        <v>42</v>
      </c>
      <c r="C4953">
        <v>0</v>
      </c>
      <c r="D4953">
        <v>0</v>
      </c>
      <c r="E4953">
        <v>0</v>
      </c>
      <c r="F4953">
        <v>0.2</v>
      </c>
    </row>
    <row r="4954" spans="1:6" x14ac:dyDescent="0.25">
      <c r="A4954">
        <v>4953</v>
      </c>
      <c r="B4954">
        <v>43</v>
      </c>
      <c r="C4954">
        <v>0</v>
      </c>
      <c r="D4954">
        <v>0</v>
      </c>
      <c r="E4954">
        <v>0</v>
      </c>
      <c r="F4954">
        <v>0</v>
      </c>
    </row>
    <row r="4955" spans="1:6" x14ac:dyDescent="0.25">
      <c r="A4955">
        <v>4954</v>
      </c>
      <c r="B4955">
        <v>44</v>
      </c>
      <c r="C4955">
        <v>0</v>
      </c>
      <c r="D4955">
        <v>0</v>
      </c>
      <c r="E4955">
        <v>0</v>
      </c>
      <c r="F4955">
        <v>48.6526</v>
      </c>
    </row>
    <row r="4956" spans="1:6" x14ac:dyDescent="0.25">
      <c r="A4956">
        <v>4955</v>
      </c>
      <c r="B4956">
        <v>45</v>
      </c>
      <c r="C4956">
        <v>0</v>
      </c>
      <c r="D4956">
        <v>0</v>
      </c>
      <c r="E4956">
        <v>0</v>
      </c>
      <c r="F4956">
        <v>4400</v>
      </c>
    </row>
    <row r="4957" spans="1:6" x14ac:dyDescent="0.25">
      <c r="A4957">
        <v>4956</v>
      </c>
      <c r="B4957">
        <v>46</v>
      </c>
      <c r="C4957">
        <v>0</v>
      </c>
      <c r="D4957">
        <v>0</v>
      </c>
      <c r="E4957">
        <v>0</v>
      </c>
      <c r="F4957">
        <v>0</v>
      </c>
    </row>
    <row r="4958" spans="1:6" x14ac:dyDescent="0.25">
      <c r="A4958">
        <v>4957</v>
      </c>
      <c r="B4958">
        <v>2</v>
      </c>
      <c r="C4958">
        <v>0</v>
      </c>
      <c r="D4958">
        <v>0</v>
      </c>
      <c r="E4958">
        <v>0</v>
      </c>
      <c r="F4958">
        <v>34.406500000000001</v>
      </c>
    </row>
    <row r="4959" spans="1:6" x14ac:dyDescent="0.25">
      <c r="A4959">
        <v>4958</v>
      </c>
      <c r="B4959">
        <v>10</v>
      </c>
      <c r="C4959">
        <v>1</v>
      </c>
      <c r="D4959">
        <v>0</v>
      </c>
      <c r="E4959">
        <v>0</v>
      </c>
      <c r="F4959">
        <v>34715</v>
      </c>
    </row>
    <row r="4960" spans="1:6" x14ac:dyDescent="0.25">
      <c r="A4960">
        <v>4959</v>
      </c>
      <c r="B4960">
        <v>13</v>
      </c>
      <c r="C4960">
        <v>0</v>
      </c>
      <c r="D4960">
        <v>0</v>
      </c>
      <c r="E4960">
        <v>0</v>
      </c>
      <c r="F4960">
        <v>1602</v>
      </c>
    </row>
    <row r="4961" spans="1:6" x14ac:dyDescent="0.25">
      <c r="A4961">
        <v>4960</v>
      </c>
      <c r="B4961" t="s">
        <v>0</v>
      </c>
      <c r="C4961">
        <v>128</v>
      </c>
      <c r="D4961">
        <v>3483</v>
      </c>
      <c r="E4961">
        <v>80051162</v>
      </c>
    </row>
    <row r="4962" spans="1:6" x14ac:dyDescent="0.25">
      <c r="A4962">
        <v>4961</v>
      </c>
      <c r="B4962">
        <v>41</v>
      </c>
      <c r="C4962">
        <v>0</v>
      </c>
      <c r="D4962">
        <v>0</v>
      </c>
      <c r="E4962">
        <v>0</v>
      </c>
      <c r="F4962">
        <v>1</v>
      </c>
    </row>
    <row r="4963" spans="1:6" x14ac:dyDescent="0.25">
      <c r="A4963">
        <v>4962</v>
      </c>
      <c r="B4963">
        <v>42</v>
      </c>
      <c r="C4963">
        <v>0</v>
      </c>
      <c r="D4963">
        <v>0</v>
      </c>
      <c r="E4963">
        <v>0</v>
      </c>
      <c r="F4963">
        <v>0.2</v>
      </c>
    </row>
    <row r="4964" spans="1:6" x14ac:dyDescent="0.25">
      <c r="A4964">
        <v>4963</v>
      </c>
      <c r="B4964">
        <v>43</v>
      </c>
      <c r="C4964">
        <v>0</v>
      </c>
      <c r="D4964">
        <v>0</v>
      </c>
      <c r="E4964">
        <v>0</v>
      </c>
      <c r="F4964">
        <v>0</v>
      </c>
    </row>
    <row r="4965" spans="1:6" x14ac:dyDescent="0.25">
      <c r="A4965">
        <v>4964</v>
      </c>
      <c r="B4965">
        <v>44</v>
      </c>
      <c r="C4965">
        <v>0</v>
      </c>
      <c r="D4965">
        <v>0</v>
      </c>
      <c r="E4965">
        <v>0</v>
      </c>
      <c r="F4965">
        <v>48.902799999999999</v>
      </c>
    </row>
    <row r="4966" spans="1:6" x14ac:dyDescent="0.25">
      <c r="A4966">
        <v>4965</v>
      </c>
      <c r="B4966">
        <v>45</v>
      </c>
      <c r="C4966">
        <v>0</v>
      </c>
      <c r="D4966">
        <v>0</v>
      </c>
      <c r="E4966">
        <v>0</v>
      </c>
      <c r="F4966">
        <v>4400</v>
      </c>
    </row>
    <row r="4967" spans="1:6" x14ac:dyDescent="0.25">
      <c r="A4967">
        <v>4966</v>
      </c>
      <c r="B4967">
        <v>46</v>
      </c>
      <c r="C4967">
        <v>0</v>
      </c>
      <c r="D4967">
        <v>0</v>
      </c>
      <c r="E4967">
        <v>0</v>
      </c>
      <c r="F4967">
        <v>0</v>
      </c>
    </row>
    <row r="4968" spans="1:6" x14ac:dyDescent="0.25">
      <c r="A4968">
        <v>4967</v>
      </c>
      <c r="B4968">
        <v>2</v>
      </c>
      <c r="C4968">
        <v>0</v>
      </c>
      <c r="D4968">
        <v>0</v>
      </c>
      <c r="E4968">
        <v>0</v>
      </c>
      <c r="F4968">
        <v>34.406399999999998</v>
      </c>
    </row>
    <row r="4969" spans="1:6" x14ac:dyDescent="0.25">
      <c r="A4969">
        <v>4968</v>
      </c>
      <c r="B4969">
        <v>10</v>
      </c>
      <c r="C4969">
        <v>1</v>
      </c>
      <c r="D4969">
        <v>0</v>
      </c>
      <c r="E4969">
        <v>0</v>
      </c>
      <c r="F4969">
        <v>34715</v>
      </c>
    </row>
    <row r="4970" spans="1:6" x14ac:dyDescent="0.25">
      <c r="A4970">
        <v>4969</v>
      </c>
      <c r="B4970">
        <v>13</v>
      </c>
      <c r="C4970">
        <v>0</v>
      </c>
      <c r="D4970">
        <v>0</v>
      </c>
      <c r="E4970">
        <v>0</v>
      </c>
      <c r="F4970">
        <v>1602</v>
      </c>
    </row>
    <row r="4971" spans="1:6" x14ac:dyDescent="0.25">
      <c r="A4971">
        <v>4970</v>
      </c>
      <c r="B4971">
        <v>41</v>
      </c>
      <c r="C4971">
        <v>0</v>
      </c>
      <c r="D4971">
        <v>0</v>
      </c>
      <c r="E4971">
        <v>0</v>
      </c>
      <c r="F4971">
        <v>1</v>
      </c>
    </row>
    <row r="4972" spans="1:6" x14ac:dyDescent="0.25">
      <c r="A4972">
        <v>4971</v>
      </c>
      <c r="B4972">
        <v>42</v>
      </c>
      <c r="C4972">
        <v>0</v>
      </c>
      <c r="D4972">
        <v>0</v>
      </c>
      <c r="E4972">
        <v>0</v>
      </c>
      <c r="F4972">
        <v>0.2</v>
      </c>
    </row>
    <row r="4973" spans="1:6" x14ac:dyDescent="0.25">
      <c r="A4973">
        <v>4972</v>
      </c>
      <c r="B4973">
        <v>43</v>
      </c>
      <c r="C4973">
        <v>0</v>
      </c>
      <c r="D4973">
        <v>0</v>
      </c>
      <c r="E4973">
        <v>0</v>
      </c>
      <c r="F4973">
        <v>0</v>
      </c>
    </row>
    <row r="4974" spans="1:6" x14ac:dyDescent="0.25">
      <c r="A4974">
        <v>4973</v>
      </c>
      <c r="B4974">
        <v>44</v>
      </c>
      <c r="C4974">
        <v>0</v>
      </c>
      <c r="D4974">
        <v>0</v>
      </c>
      <c r="E4974">
        <v>0</v>
      </c>
      <c r="F4974">
        <v>48.902799999999999</v>
      </c>
    </row>
    <row r="4975" spans="1:6" x14ac:dyDescent="0.25">
      <c r="A4975">
        <v>4974</v>
      </c>
      <c r="B4975">
        <v>45</v>
      </c>
      <c r="C4975">
        <v>0</v>
      </c>
      <c r="D4975">
        <v>0</v>
      </c>
      <c r="E4975">
        <v>0</v>
      </c>
      <c r="F4975">
        <v>4400</v>
      </c>
    </row>
    <row r="4976" spans="1:6" x14ac:dyDescent="0.25">
      <c r="A4976">
        <v>4975</v>
      </c>
      <c r="B4976">
        <v>46</v>
      </c>
      <c r="C4976">
        <v>0</v>
      </c>
      <c r="D4976">
        <v>0</v>
      </c>
      <c r="E4976">
        <v>0</v>
      </c>
      <c r="F4976">
        <v>0</v>
      </c>
    </row>
    <row r="4977" spans="1:6" x14ac:dyDescent="0.25">
      <c r="A4977">
        <v>4976</v>
      </c>
      <c r="B4977">
        <v>2</v>
      </c>
      <c r="C4977">
        <v>0</v>
      </c>
      <c r="D4977">
        <v>0</v>
      </c>
      <c r="E4977">
        <v>0</v>
      </c>
      <c r="F4977">
        <v>34.406500000000001</v>
      </c>
    </row>
    <row r="4978" spans="1:6" x14ac:dyDescent="0.25">
      <c r="A4978">
        <v>4977</v>
      </c>
      <c r="B4978">
        <v>10</v>
      </c>
      <c r="C4978">
        <v>1</v>
      </c>
      <c r="D4978">
        <v>0</v>
      </c>
      <c r="E4978">
        <v>0</v>
      </c>
      <c r="F4978">
        <v>34715</v>
      </c>
    </row>
    <row r="4979" spans="1:6" x14ac:dyDescent="0.25">
      <c r="A4979">
        <v>4978</v>
      </c>
      <c r="B4979">
        <v>13</v>
      </c>
      <c r="C4979">
        <v>0</v>
      </c>
      <c r="D4979">
        <v>0</v>
      </c>
      <c r="E4979">
        <v>0</v>
      </c>
      <c r="F4979">
        <v>1602</v>
      </c>
    </row>
    <row r="4980" spans="1:6" x14ac:dyDescent="0.25">
      <c r="A4980">
        <v>4979</v>
      </c>
      <c r="B4980">
        <v>41</v>
      </c>
      <c r="C4980">
        <v>0</v>
      </c>
      <c r="D4980">
        <v>0</v>
      </c>
      <c r="E4980">
        <v>0</v>
      </c>
      <c r="F4980">
        <v>1</v>
      </c>
    </row>
    <row r="4981" spans="1:6" x14ac:dyDescent="0.25">
      <c r="A4981">
        <v>4980</v>
      </c>
      <c r="B4981">
        <v>42</v>
      </c>
      <c r="C4981">
        <v>0</v>
      </c>
      <c r="D4981">
        <v>0</v>
      </c>
      <c r="E4981">
        <v>0</v>
      </c>
      <c r="F4981">
        <v>0.2</v>
      </c>
    </row>
    <row r="4982" spans="1:6" x14ac:dyDescent="0.25">
      <c r="A4982">
        <v>4981</v>
      </c>
      <c r="B4982">
        <v>43</v>
      </c>
      <c r="C4982">
        <v>0</v>
      </c>
      <c r="D4982">
        <v>0</v>
      </c>
      <c r="E4982">
        <v>0</v>
      </c>
      <c r="F4982">
        <v>0</v>
      </c>
    </row>
    <row r="4983" spans="1:6" x14ac:dyDescent="0.25">
      <c r="A4983">
        <v>4982</v>
      </c>
      <c r="B4983">
        <v>44</v>
      </c>
      <c r="C4983">
        <v>0</v>
      </c>
      <c r="D4983">
        <v>0</v>
      </c>
      <c r="E4983">
        <v>0</v>
      </c>
      <c r="F4983">
        <v>49.152700000000003</v>
      </c>
    </row>
    <row r="4984" spans="1:6" x14ac:dyDescent="0.25">
      <c r="A4984">
        <v>4983</v>
      </c>
      <c r="B4984">
        <v>45</v>
      </c>
      <c r="C4984">
        <v>0</v>
      </c>
      <c r="D4984">
        <v>0</v>
      </c>
      <c r="E4984">
        <v>0</v>
      </c>
      <c r="F4984">
        <v>4400</v>
      </c>
    </row>
    <row r="4985" spans="1:6" x14ac:dyDescent="0.25">
      <c r="A4985">
        <v>4984</v>
      </c>
      <c r="B4985">
        <v>46</v>
      </c>
      <c r="C4985">
        <v>0</v>
      </c>
      <c r="D4985">
        <v>0</v>
      </c>
      <c r="E4985">
        <v>0</v>
      </c>
      <c r="F4985">
        <v>0</v>
      </c>
    </row>
    <row r="4986" spans="1:6" x14ac:dyDescent="0.25">
      <c r="A4986">
        <v>4985</v>
      </c>
      <c r="B4986">
        <v>2</v>
      </c>
      <c r="C4986">
        <v>0</v>
      </c>
      <c r="D4986">
        <v>0</v>
      </c>
      <c r="E4986">
        <v>0</v>
      </c>
      <c r="F4986">
        <v>34.406500000000001</v>
      </c>
    </row>
    <row r="4987" spans="1:6" x14ac:dyDescent="0.25">
      <c r="A4987">
        <v>4986</v>
      </c>
      <c r="B4987">
        <v>10</v>
      </c>
      <c r="C4987">
        <v>1</v>
      </c>
      <c r="D4987">
        <v>0</v>
      </c>
      <c r="E4987">
        <v>0</v>
      </c>
      <c r="F4987">
        <v>34715</v>
      </c>
    </row>
    <row r="4988" spans="1:6" x14ac:dyDescent="0.25">
      <c r="A4988">
        <v>4987</v>
      </c>
      <c r="B4988">
        <v>13</v>
      </c>
      <c r="C4988">
        <v>0</v>
      </c>
      <c r="D4988">
        <v>0</v>
      </c>
      <c r="E4988">
        <v>0</v>
      </c>
      <c r="F4988">
        <v>1602</v>
      </c>
    </row>
    <row r="4989" spans="1:6" x14ac:dyDescent="0.25">
      <c r="A4989">
        <v>4988</v>
      </c>
      <c r="B4989">
        <v>41</v>
      </c>
      <c r="C4989">
        <v>0</v>
      </c>
      <c r="D4989">
        <v>0</v>
      </c>
      <c r="E4989">
        <v>0</v>
      </c>
      <c r="F4989">
        <v>1</v>
      </c>
    </row>
    <row r="4990" spans="1:6" x14ac:dyDescent="0.25">
      <c r="A4990">
        <v>4989</v>
      </c>
      <c r="B4990">
        <v>42</v>
      </c>
      <c r="C4990">
        <v>0</v>
      </c>
      <c r="D4990">
        <v>0</v>
      </c>
      <c r="E4990">
        <v>0</v>
      </c>
      <c r="F4990">
        <v>0.2</v>
      </c>
    </row>
    <row r="4991" spans="1:6" x14ac:dyDescent="0.25">
      <c r="A4991">
        <v>4990</v>
      </c>
      <c r="B4991">
        <v>43</v>
      </c>
      <c r="C4991">
        <v>0</v>
      </c>
      <c r="D4991">
        <v>0</v>
      </c>
      <c r="E4991">
        <v>0</v>
      </c>
      <c r="F4991">
        <v>0</v>
      </c>
    </row>
    <row r="4992" spans="1:6" x14ac:dyDescent="0.25">
      <c r="A4992">
        <v>4991</v>
      </c>
      <c r="B4992">
        <v>44</v>
      </c>
      <c r="C4992">
        <v>0</v>
      </c>
      <c r="D4992">
        <v>0</v>
      </c>
      <c r="E4992">
        <v>0</v>
      </c>
      <c r="F4992">
        <v>49.378900000000002</v>
      </c>
    </row>
    <row r="4993" spans="1:6" x14ac:dyDescent="0.25">
      <c r="A4993">
        <v>4992</v>
      </c>
      <c r="B4993">
        <v>45</v>
      </c>
      <c r="C4993">
        <v>0</v>
      </c>
      <c r="D4993">
        <v>0</v>
      </c>
      <c r="E4993">
        <v>0</v>
      </c>
      <c r="F4993">
        <v>4400</v>
      </c>
    </row>
    <row r="4994" spans="1:6" x14ac:dyDescent="0.25">
      <c r="A4994">
        <v>4993</v>
      </c>
      <c r="B4994">
        <v>46</v>
      </c>
      <c r="C4994">
        <v>0</v>
      </c>
      <c r="D4994">
        <v>0</v>
      </c>
      <c r="E4994">
        <v>0</v>
      </c>
      <c r="F4994">
        <v>0</v>
      </c>
    </row>
    <row r="4995" spans="1:6" x14ac:dyDescent="0.25">
      <c r="A4995">
        <v>4994</v>
      </c>
      <c r="B4995">
        <v>2</v>
      </c>
      <c r="C4995">
        <v>0</v>
      </c>
      <c r="D4995">
        <v>0</v>
      </c>
      <c r="E4995">
        <v>0</v>
      </c>
      <c r="F4995">
        <v>34.405299999999997</v>
      </c>
    </row>
    <row r="4996" spans="1:6" x14ac:dyDescent="0.25">
      <c r="A4996">
        <v>4995</v>
      </c>
      <c r="B4996">
        <v>10</v>
      </c>
      <c r="C4996">
        <v>1</v>
      </c>
      <c r="D4996">
        <v>0</v>
      </c>
      <c r="E4996">
        <v>0</v>
      </c>
      <c r="F4996">
        <v>34716</v>
      </c>
    </row>
    <row r="4997" spans="1:6" x14ac:dyDescent="0.25">
      <c r="A4997">
        <v>4996</v>
      </c>
      <c r="B4997">
        <v>13</v>
      </c>
      <c r="C4997">
        <v>0</v>
      </c>
      <c r="D4997">
        <v>0</v>
      </c>
      <c r="E4997">
        <v>0</v>
      </c>
      <c r="F4997">
        <v>1602</v>
      </c>
    </row>
    <row r="4998" spans="1:6" x14ac:dyDescent="0.25">
      <c r="A4998">
        <v>4997</v>
      </c>
      <c r="B4998">
        <v>41</v>
      </c>
      <c r="C4998">
        <v>0</v>
      </c>
      <c r="D4998">
        <v>0</v>
      </c>
      <c r="E4998">
        <v>0</v>
      </c>
      <c r="F4998">
        <v>1</v>
      </c>
    </row>
    <row r="4999" spans="1:6" x14ac:dyDescent="0.25">
      <c r="A4999">
        <v>4998</v>
      </c>
      <c r="B4999">
        <v>42</v>
      </c>
      <c r="C4999">
        <v>0</v>
      </c>
      <c r="D4999">
        <v>0</v>
      </c>
      <c r="E4999">
        <v>0</v>
      </c>
      <c r="F4999">
        <v>0.2</v>
      </c>
    </row>
    <row r="5000" spans="1:6" x14ac:dyDescent="0.25">
      <c r="A5000">
        <v>4999</v>
      </c>
      <c r="B5000">
        <v>43</v>
      </c>
      <c r="C5000">
        <v>0</v>
      </c>
      <c r="D5000">
        <v>0</v>
      </c>
      <c r="E5000">
        <v>0</v>
      </c>
      <c r="F5000">
        <v>0</v>
      </c>
    </row>
    <row r="5001" spans="1:6" x14ac:dyDescent="0.25">
      <c r="A5001">
        <v>5000</v>
      </c>
      <c r="B5001">
        <v>44</v>
      </c>
      <c r="C5001">
        <v>0</v>
      </c>
      <c r="D5001">
        <v>0</v>
      </c>
      <c r="E5001">
        <v>0</v>
      </c>
      <c r="F5001">
        <v>49.378900000000002</v>
      </c>
    </row>
    <row r="5002" spans="1:6" x14ac:dyDescent="0.25">
      <c r="A5002">
        <v>5001</v>
      </c>
      <c r="B5002">
        <v>45</v>
      </c>
      <c r="C5002">
        <v>0</v>
      </c>
      <c r="D5002">
        <v>0</v>
      </c>
      <c r="E5002">
        <v>0</v>
      </c>
      <c r="F5002">
        <v>4400</v>
      </c>
    </row>
    <row r="5003" spans="1:6" x14ac:dyDescent="0.25">
      <c r="A5003">
        <v>5002</v>
      </c>
      <c r="B5003">
        <v>46</v>
      </c>
      <c r="C5003">
        <v>0</v>
      </c>
      <c r="D5003">
        <v>0</v>
      </c>
      <c r="E5003">
        <v>0</v>
      </c>
      <c r="F5003">
        <v>0</v>
      </c>
    </row>
    <row r="5004" spans="1:6" x14ac:dyDescent="0.25">
      <c r="A5004">
        <v>5003</v>
      </c>
      <c r="B5004">
        <v>2</v>
      </c>
      <c r="C5004">
        <v>0</v>
      </c>
      <c r="D5004">
        <v>0</v>
      </c>
      <c r="E5004">
        <v>0</v>
      </c>
      <c r="F5004">
        <v>34.405299999999997</v>
      </c>
    </row>
    <row r="5005" spans="1:6" x14ac:dyDescent="0.25">
      <c r="A5005">
        <v>5004</v>
      </c>
      <c r="B5005">
        <v>10</v>
      </c>
      <c r="C5005">
        <v>1</v>
      </c>
      <c r="D5005">
        <v>0</v>
      </c>
      <c r="E5005">
        <v>0</v>
      </c>
      <c r="F5005">
        <v>34716</v>
      </c>
    </row>
    <row r="5006" spans="1:6" x14ac:dyDescent="0.25">
      <c r="A5006">
        <v>5005</v>
      </c>
      <c r="B5006" t="s">
        <v>0</v>
      </c>
      <c r="C5006">
        <v>131</v>
      </c>
      <c r="D5006">
        <v>3483</v>
      </c>
      <c r="E5006">
        <v>80054067</v>
      </c>
    </row>
    <row r="5007" spans="1:6" x14ac:dyDescent="0.25">
      <c r="A5007">
        <v>5006</v>
      </c>
      <c r="B5007">
        <v>41</v>
      </c>
      <c r="C5007">
        <v>0</v>
      </c>
      <c r="D5007">
        <v>0</v>
      </c>
      <c r="E5007">
        <v>0</v>
      </c>
      <c r="F5007">
        <v>1</v>
      </c>
    </row>
    <row r="5008" spans="1:6" x14ac:dyDescent="0.25">
      <c r="A5008">
        <v>5007</v>
      </c>
      <c r="B5008">
        <v>42</v>
      </c>
      <c r="C5008">
        <v>0</v>
      </c>
      <c r="D5008">
        <v>0</v>
      </c>
      <c r="E5008">
        <v>0</v>
      </c>
      <c r="F5008">
        <v>0.2</v>
      </c>
    </row>
    <row r="5009" spans="1:6" x14ac:dyDescent="0.25">
      <c r="A5009">
        <v>5008</v>
      </c>
      <c r="B5009">
        <v>43</v>
      </c>
      <c r="C5009">
        <v>0</v>
      </c>
      <c r="D5009">
        <v>0</v>
      </c>
      <c r="E5009">
        <v>0</v>
      </c>
      <c r="F5009">
        <v>0</v>
      </c>
    </row>
    <row r="5010" spans="1:6" x14ac:dyDescent="0.25">
      <c r="A5010">
        <v>5009</v>
      </c>
      <c r="B5010">
        <v>44</v>
      </c>
      <c r="C5010">
        <v>0</v>
      </c>
      <c r="D5010">
        <v>0</v>
      </c>
      <c r="E5010">
        <v>0</v>
      </c>
      <c r="F5010">
        <v>49.628799999999998</v>
      </c>
    </row>
    <row r="5011" spans="1:6" x14ac:dyDescent="0.25">
      <c r="A5011">
        <v>5010</v>
      </c>
      <c r="B5011">
        <v>45</v>
      </c>
      <c r="C5011">
        <v>0</v>
      </c>
      <c r="D5011">
        <v>0</v>
      </c>
      <c r="E5011">
        <v>0</v>
      </c>
      <c r="F5011">
        <v>4400</v>
      </c>
    </row>
    <row r="5012" spans="1:6" x14ac:dyDescent="0.25">
      <c r="A5012">
        <v>5011</v>
      </c>
      <c r="B5012">
        <v>46</v>
      </c>
      <c r="C5012">
        <v>0</v>
      </c>
      <c r="D5012">
        <v>0</v>
      </c>
      <c r="E5012">
        <v>0</v>
      </c>
      <c r="F5012">
        <v>0</v>
      </c>
    </row>
    <row r="5013" spans="1:6" x14ac:dyDescent="0.25">
      <c r="A5013">
        <v>5012</v>
      </c>
      <c r="B5013">
        <v>2</v>
      </c>
      <c r="C5013">
        <v>0</v>
      </c>
      <c r="D5013">
        <v>0</v>
      </c>
      <c r="E5013">
        <v>0</v>
      </c>
      <c r="F5013">
        <v>34.4054</v>
      </c>
    </row>
    <row r="5014" spans="1:6" x14ac:dyDescent="0.25">
      <c r="A5014">
        <v>5013</v>
      </c>
      <c r="B5014">
        <v>10</v>
      </c>
      <c r="C5014">
        <v>1</v>
      </c>
      <c r="D5014">
        <v>0</v>
      </c>
      <c r="E5014">
        <v>0</v>
      </c>
      <c r="F5014">
        <v>34716</v>
      </c>
    </row>
    <row r="5015" spans="1:6" x14ac:dyDescent="0.25">
      <c r="A5015">
        <v>5014</v>
      </c>
      <c r="B5015">
        <v>13</v>
      </c>
      <c r="C5015">
        <v>0</v>
      </c>
      <c r="D5015">
        <v>0</v>
      </c>
      <c r="E5015">
        <v>0</v>
      </c>
      <c r="F5015">
        <v>1602</v>
      </c>
    </row>
    <row r="5016" spans="1:6" x14ac:dyDescent="0.25">
      <c r="A5016">
        <v>5015</v>
      </c>
      <c r="B5016">
        <v>41</v>
      </c>
      <c r="C5016">
        <v>0</v>
      </c>
      <c r="D5016">
        <v>0</v>
      </c>
      <c r="E5016">
        <v>0</v>
      </c>
      <c r="F5016">
        <v>1</v>
      </c>
    </row>
    <row r="5017" spans="1:6" x14ac:dyDescent="0.25">
      <c r="A5017">
        <v>5016</v>
      </c>
      <c r="B5017">
        <v>42</v>
      </c>
      <c r="C5017">
        <v>0</v>
      </c>
      <c r="D5017">
        <v>0</v>
      </c>
      <c r="E5017">
        <v>0</v>
      </c>
      <c r="F5017">
        <v>0.2</v>
      </c>
    </row>
    <row r="5018" spans="1:6" x14ac:dyDescent="0.25">
      <c r="A5018">
        <v>5017</v>
      </c>
      <c r="B5018">
        <v>43</v>
      </c>
      <c r="C5018">
        <v>0</v>
      </c>
      <c r="D5018">
        <v>0</v>
      </c>
      <c r="E5018">
        <v>0</v>
      </c>
      <c r="F5018">
        <v>0</v>
      </c>
    </row>
    <row r="5019" spans="1:6" x14ac:dyDescent="0.25">
      <c r="A5019">
        <v>5018</v>
      </c>
      <c r="B5019">
        <v>44</v>
      </c>
      <c r="C5019">
        <v>0</v>
      </c>
      <c r="D5019">
        <v>0</v>
      </c>
      <c r="E5019">
        <v>0</v>
      </c>
      <c r="F5019">
        <v>49.628799999999998</v>
      </c>
    </row>
    <row r="5020" spans="1:6" x14ac:dyDescent="0.25">
      <c r="A5020">
        <v>5019</v>
      </c>
      <c r="B5020">
        <v>45</v>
      </c>
      <c r="C5020">
        <v>0</v>
      </c>
      <c r="D5020">
        <v>0</v>
      </c>
      <c r="E5020">
        <v>0</v>
      </c>
      <c r="F5020">
        <v>4400</v>
      </c>
    </row>
    <row r="5021" spans="1:6" x14ac:dyDescent="0.25">
      <c r="A5021">
        <v>5020</v>
      </c>
      <c r="B5021" t="s">
        <v>0</v>
      </c>
      <c r="C5021">
        <v>132</v>
      </c>
      <c r="D5021">
        <v>3483</v>
      </c>
      <c r="E5021">
        <v>80055035</v>
      </c>
    </row>
    <row r="5022" spans="1:6" x14ac:dyDescent="0.25">
      <c r="A5022">
        <v>5021</v>
      </c>
      <c r="B5022">
        <v>46</v>
      </c>
      <c r="C5022">
        <v>0</v>
      </c>
      <c r="D5022">
        <v>0</v>
      </c>
      <c r="E5022">
        <v>0</v>
      </c>
      <c r="F5022">
        <v>0</v>
      </c>
    </row>
    <row r="5023" spans="1:6" x14ac:dyDescent="0.25">
      <c r="A5023">
        <v>5022</v>
      </c>
      <c r="B5023">
        <v>2</v>
      </c>
      <c r="C5023">
        <v>0</v>
      </c>
      <c r="D5023">
        <v>0</v>
      </c>
      <c r="E5023">
        <v>0</v>
      </c>
      <c r="F5023">
        <v>34.4054</v>
      </c>
    </row>
    <row r="5024" spans="1:6" x14ac:dyDescent="0.25">
      <c r="A5024">
        <v>5023</v>
      </c>
      <c r="B5024">
        <v>10</v>
      </c>
      <c r="C5024">
        <v>1</v>
      </c>
      <c r="D5024">
        <v>0</v>
      </c>
      <c r="E5024">
        <v>0</v>
      </c>
      <c r="F5024">
        <v>34716</v>
      </c>
    </row>
    <row r="5025" spans="1:6" x14ac:dyDescent="0.25">
      <c r="A5025">
        <v>5024</v>
      </c>
      <c r="B5025">
        <v>13</v>
      </c>
      <c r="C5025">
        <v>0</v>
      </c>
      <c r="D5025">
        <v>0</v>
      </c>
      <c r="E5025">
        <v>0</v>
      </c>
      <c r="F5025">
        <v>1602</v>
      </c>
    </row>
    <row r="5026" spans="1:6" x14ac:dyDescent="0.25">
      <c r="A5026">
        <v>5025</v>
      </c>
      <c r="B5026">
        <v>41</v>
      </c>
      <c r="C5026">
        <v>0</v>
      </c>
      <c r="D5026">
        <v>0</v>
      </c>
      <c r="E5026">
        <v>0</v>
      </c>
      <c r="F5026">
        <v>1</v>
      </c>
    </row>
    <row r="5027" spans="1:6" x14ac:dyDescent="0.25">
      <c r="A5027">
        <v>5026</v>
      </c>
      <c r="B5027">
        <v>42</v>
      </c>
      <c r="C5027">
        <v>0</v>
      </c>
      <c r="D5027">
        <v>0</v>
      </c>
      <c r="E5027">
        <v>0</v>
      </c>
      <c r="F5027">
        <v>0.2</v>
      </c>
    </row>
    <row r="5028" spans="1:6" x14ac:dyDescent="0.25">
      <c r="A5028">
        <v>5027</v>
      </c>
      <c r="B5028">
        <v>43</v>
      </c>
      <c r="C5028">
        <v>0</v>
      </c>
      <c r="D5028">
        <v>0</v>
      </c>
      <c r="E5028">
        <v>0</v>
      </c>
      <c r="F5028">
        <v>0</v>
      </c>
    </row>
    <row r="5029" spans="1:6" x14ac:dyDescent="0.25">
      <c r="A5029">
        <v>5028</v>
      </c>
      <c r="B5029">
        <v>44</v>
      </c>
      <c r="C5029">
        <v>0</v>
      </c>
      <c r="D5029">
        <v>0</v>
      </c>
      <c r="E5029">
        <v>0</v>
      </c>
      <c r="F5029">
        <v>49.878799999999998</v>
      </c>
    </row>
    <row r="5030" spans="1:6" x14ac:dyDescent="0.25">
      <c r="A5030">
        <v>5029</v>
      </c>
      <c r="B5030">
        <v>45</v>
      </c>
      <c r="C5030">
        <v>0</v>
      </c>
      <c r="D5030">
        <v>0</v>
      </c>
      <c r="E5030">
        <v>0</v>
      </c>
      <c r="F5030">
        <v>4400</v>
      </c>
    </row>
    <row r="5031" spans="1:6" x14ac:dyDescent="0.25">
      <c r="A5031">
        <v>5030</v>
      </c>
      <c r="B5031">
        <v>46</v>
      </c>
      <c r="C5031">
        <v>0</v>
      </c>
      <c r="D5031">
        <v>0</v>
      </c>
      <c r="E5031">
        <v>0</v>
      </c>
      <c r="F5031">
        <v>0</v>
      </c>
    </row>
    <row r="5032" spans="1:6" x14ac:dyDescent="0.25">
      <c r="A5032">
        <v>5031</v>
      </c>
      <c r="B5032">
        <v>2</v>
      </c>
      <c r="C5032">
        <v>0</v>
      </c>
      <c r="D5032">
        <v>0</v>
      </c>
      <c r="E5032">
        <v>0</v>
      </c>
      <c r="F5032">
        <v>34.4054</v>
      </c>
    </row>
    <row r="5033" spans="1:6" x14ac:dyDescent="0.25">
      <c r="A5033">
        <v>5032</v>
      </c>
      <c r="B5033">
        <v>10</v>
      </c>
      <c r="C5033">
        <v>1</v>
      </c>
      <c r="D5033">
        <v>0</v>
      </c>
      <c r="E5033">
        <v>0</v>
      </c>
      <c r="F5033">
        <v>34716</v>
      </c>
    </row>
    <row r="5034" spans="1:6" x14ac:dyDescent="0.25">
      <c r="A5034">
        <v>5033</v>
      </c>
      <c r="B5034">
        <v>13</v>
      </c>
      <c r="C5034">
        <v>0</v>
      </c>
      <c r="D5034">
        <v>0</v>
      </c>
      <c r="E5034">
        <v>0</v>
      </c>
      <c r="F5034">
        <v>1602</v>
      </c>
    </row>
    <row r="5035" spans="1:6" x14ac:dyDescent="0.25">
      <c r="A5035">
        <v>5034</v>
      </c>
      <c r="B5035">
        <v>41</v>
      </c>
      <c r="C5035">
        <v>0</v>
      </c>
      <c r="D5035">
        <v>0</v>
      </c>
      <c r="E5035">
        <v>0</v>
      </c>
      <c r="F5035">
        <v>1</v>
      </c>
    </row>
    <row r="5036" spans="1:6" x14ac:dyDescent="0.25">
      <c r="A5036">
        <v>5035</v>
      </c>
      <c r="B5036">
        <v>42</v>
      </c>
      <c r="C5036">
        <v>0</v>
      </c>
      <c r="D5036">
        <v>0</v>
      </c>
      <c r="E5036">
        <v>0</v>
      </c>
      <c r="F5036">
        <v>0.2</v>
      </c>
    </row>
    <row r="5037" spans="1:6" x14ac:dyDescent="0.25">
      <c r="A5037">
        <v>5036</v>
      </c>
      <c r="B5037">
        <v>43</v>
      </c>
      <c r="C5037">
        <v>0</v>
      </c>
      <c r="D5037">
        <v>0</v>
      </c>
      <c r="E5037">
        <v>0</v>
      </c>
      <c r="F5037">
        <v>0</v>
      </c>
    </row>
    <row r="5038" spans="1:6" x14ac:dyDescent="0.25">
      <c r="A5038">
        <v>5037</v>
      </c>
      <c r="B5038">
        <v>44</v>
      </c>
      <c r="C5038">
        <v>0</v>
      </c>
      <c r="D5038">
        <v>0</v>
      </c>
      <c r="E5038">
        <v>0</v>
      </c>
      <c r="F5038">
        <v>50.127600000000001</v>
      </c>
    </row>
    <row r="5039" spans="1:6" x14ac:dyDescent="0.25">
      <c r="A5039">
        <v>5038</v>
      </c>
      <c r="B5039">
        <v>45</v>
      </c>
      <c r="C5039">
        <v>0</v>
      </c>
      <c r="D5039">
        <v>0</v>
      </c>
      <c r="E5039">
        <v>0</v>
      </c>
      <c r="F5039">
        <v>4400</v>
      </c>
    </row>
    <row r="5040" spans="1:6" x14ac:dyDescent="0.25">
      <c r="A5040">
        <v>5039</v>
      </c>
      <c r="B5040">
        <v>46</v>
      </c>
      <c r="C5040">
        <v>0</v>
      </c>
      <c r="D5040">
        <v>0</v>
      </c>
      <c r="E5040">
        <v>0</v>
      </c>
      <c r="F5040">
        <v>0</v>
      </c>
    </row>
    <row r="5041" spans="1:6" x14ac:dyDescent="0.25">
      <c r="A5041">
        <v>5040</v>
      </c>
      <c r="B5041">
        <v>2</v>
      </c>
      <c r="C5041">
        <v>0</v>
      </c>
      <c r="D5041">
        <v>0</v>
      </c>
      <c r="E5041">
        <v>0</v>
      </c>
      <c r="F5041">
        <v>34.406599999999997</v>
      </c>
    </row>
    <row r="5042" spans="1:6" x14ac:dyDescent="0.25">
      <c r="A5042">
        <v>5041</v>
      </c>
      <c r="B5042">
        <v>10</v>
      </c>
      <c r="C5042">
        <v>1</v>
      </c>
      <c r="D5042">
        <v>0</v>
      </c>
      <c r="E5042">
        <v>0</v>
      </c>
      <c r="F5042">
        <v>34715</v>
      </c>
    </row>
    <row r="5043" spans="1:6" x14ac:dyDescent="0.25">
      <c r="A5043">
        <v>5042</v>
      </c>
      <c r="B5043">
        <v>13</v>
      </c>
      <c r="C5043">
        <v>0</v>
      </c>
      <c r="D5043">
        <v>0</v>
      </c>
      <c r="E5043">
        <v>0</v>
      </c>
      <c r="F5043">
        <v>1602</v>
      </c>
    </row>
    <row r="5044" spans="1:6" x14ac:dyDescent="0.25">
      <c r="A5044">
        <v>5043</v>
      </c>
      <c r="B5044">
        <v>41</v>
      </c>
      <c r="C5044">
        <v>0</v>
      </c>
      <c r="D5044">
        <v>0</v>
      </c>
      <c r="E5044">
        <v>0</v>
      </c>
      <c r="F5044">
        <v>1</v>
      </c>
    </row>
    <row r="5045" spans="1:6" x14ac:dyDescent="0.25">
      <c r="A5045">
        <v>5044</v>
      </c>
      <c r="B5045">
        <v>42</v>
      </c>
      <c r="C5045">
        <v>0</v>
      </c>
      <c r="D5045">
        <v>0</v>
      </c>
      <c r="E5045">
        <v>0</v>
      </c>
      <c r="F5045">
        <v>0.2</v>
      </c>
    </row>
    <row r="5046" spans="1:6" x14ac:dyDescent="0.25">
      <c r="A5046">
        <v>5045</v>
      </c>
      <c r="B5046">
        <v>43</v>
      </c>
      <c r="C5046">
        <v>0</v>
      </c>
      <c r="D5046">
        <v>0</v>
      </c>
      <c r="E5046">
        <v>0</v>
      </c>
      <c r="F5046">
        <v>0</v>
      </c>
    </row>
    <row r="5047" spans="1:6" x14ac:dyDescent="0.25">
      <c r="A5047">
        <v>5046</v>
      </c>
      <c r="B5047">
        <v>44</v>
      </c>
      <c r="C5047">
        <v>0</v>
      </c>
      <c r="D5047">
        <v>0</v>
      </c>
      <c r="E5047">
        <v>0</v>
      </c>
      <c r="F5047">
        <v>50.127600000000001</v>
      </c>
    </row>
    <row r="5048" spans="1:6" x14ac:dyDescent="0.25">
      <c r="A5048">
        <v>5047</v>
      </c>
      <c r="B5048">
        <v>45</v>
      </c>
      <c r="C5048">
        <v>0</v>
      </c>
      <c r="D5048">
        <v>0</v>
      </c>
      <c r="E5048">
        <v>0</v>
      </c>
      <c r="F5048">
        <v>4400</v>
      </c>
    </row>
    <row r="5049" spans="1:6" x14ac:dyDescent="0.25">
      <c r="A5049">
        <v>5048</v>
      </c>
      <c r="B5049">
        <v>46</v>
      </c>
      <c r="C5049">
        <v>0</v>
      </c>
      <c r="D5049">
        <v>0</v>
      </c>
      <c r="E5049">
        <v>0</v>
      </c>
      <c r="F5049">
        <v>0</v>
      </c>
    </row>
    <row r="5050" spans="1:6" x14ac:dyDescent="0.25">
      <c r="A5050">
        <v>5049</v>
      </c>
      <c r="B5050">
        <v>2</v>
      </c>
      <c r="C5050">
        <v>0</v>
      </c>
      <c r="D5050">
        <v>0</v>
      </c>
      <c r="E5050">
        <v>0</v>
      </c>
      <c r="F5050">
        <v>34.406599999999997</v>
      </c>
    </row>
    <row r="5051" spans="1:6" x14ac:dyDescent="0.25">
      <c r="A5051">
        <v>5050</v>
      </c>
      <c r="B5051" t="s">
        <v>0</v>
      </c>
      <c r="C5051">
        <v>134</v>
      </c>
      <c r="D5051">
        <v>3483</v>
      </c>
      <c r="E5051">
        <v>80056971</v>
      </c>
    </row>
    <row r="5052" spans="1:6" x14ac:dyDescent="0.25">
      <c r="A5052">
        <v>5051</v>
      </c>
      <c r="B5052">
        <v>13</v>
      </c>
      <c r="C5052">
        <v>0</v>
      </c>
      <c r="D5052">
        <v>0</v>
      </c>
      <c r="E5052">
        <v>0</v>
      </c>
      <c r="F5052">
        <v>1602</v>
      </c>
    </row>
    <row r="5053" spans="1:6" x14ac:dyDescent="0.25">
      <c r="A5053">
        <v>5052</v>
      </c>
      <c r="B5053">
        <v>41</v>
      </c>
      <c r="C5053">
        <v>0</v>
      </c>
      <c r="D5053">
        <v>0</v>
      </c>
      <c r="E5053">
        <v>0</v>
      </c>
      <c r="F5053">
        <v>1</v>
      </c>
    </row>
    <row r="5054" spans="1:6" x14ac:dyDescent="0.25">
      <c r="A5054">
        <v>5053</v>
      </c>
      <c r="B5054">
        <v>42</v>
      </c>
      <c r="C5054">
        <v>0</v>
      </c>
      <c r="D5054">
        <v>0</v>
      </c>
      <c r="E5054">
        <v>0</v>
      </c>
      <c r="F5054">
        <v>0.2</v>
      </c>
    </row>
    <row r="5055" spans="1:6" x14ac:dyDescent="0.25">
      <c r="A5055">
        <v>5054</v>
      </c>
      <c r="B5055">
        <v>43</v>
      </c>
      <c r="C5055">
        <v>0</v>
      </c>
      <c r="D5055">
        <v>0</v>
      </c>
      <c r="E5055">
        <v>0</v>
      </c>
      <c r="F5055">
        <v>0</v>
      </c>
    </row>
    <row r="5056" spans="1:6" x14ac:dyDescent="0.25">
      <c r="A5056">
        <v>5055</v>
      </c>
      <c r="B5056">
        <v>44</v>
      </c>
      <c r="C5056">
        <v>0</v>
      </c>
      <c r="D5056">
        <v>0</v>
      </c>
      <c r="E5056">
        <v>0</v>
      </c>
      <c r="F5056">
        <v>50.353299999999997</v>
      </c>
    </row>
    <row r="5057" spans="1:6" x14ac:dyDescent="0.25">
      <c r="A5057">
        <v>5056</v>
      </c>
      <c r="B5057">
        <v>45</v>
      </c>
      <c r="C5057">
        <v>0</v>
      </c>
      <c r="D5057">
        <v>0</v>
      </c>
      <c r="E5057">
        <v>0</v>
      </c>
      <c r="F5057">
        <v>4400</v>
      </c>
    </row>
    <row r="5058" spans="1:6" x14ac:dyDescent="0.25">
      <c r="A5058">
        <v>5057</v>
      </c>
      <c r="B5058">
        <v>46</v>
      </c>
      <c r="C5058">
        <v>0</v>
      </c>
      <c r="D5058">
        <v>0</v>
      </c>
      <c r="E5058">
        <v>0</v>
      </c>
      <c r="F5058">
        <v>0</v>
      </c>
    </row>
    <row r="5059" spans="1:6" x14ac:dyDescent="0.25">
      <c r="A5059">
        <v>5058</v>
      </c>
      <c r="B5059">
        <v>2</v>
      </c>
      <c r="C5059">
        <v>0</v>
      </c>
      <c r="D5059">
        <v>0</v>
      </c>
      <c r="E5059">
        <v>0</v>
      </c>
      <c r="F5059">
        <v>34.405900000000003</v>
      </c>
    </row>
    <row r="5060" spans="1:6" x14ac:dyDescent="0.25">
      <c r="A5060">
        <v>5059</v>
      </c>
      <c r="B5060">
        <v>10</v>
      </c>
      <c r="C5060">
        <v>1</v>
      </c>
      <c r="D5060">
        <v>0</v>
      </c>
      <c r="E5060">
        <v>0</v>
      </c>
      <c r="F5060">
        <v>34716</v>
      </c>
    </row>
    <row r="5061" spans="1:6" x14ac:dyDescent="0.25">
      <c r="A5061">
        <v>5060</v>
      </c>
      <c r="B5061">
        <v>13</v>
      </c>
      <c r="C5061">
        <v>0</v>
      </c>
      <c r="D5061">
        <v>0</v>
      </c>
      <c r="E5061">
        <v>0</v>
      </c>
      <c r="F5061">
        <v>1602</v>
      </c>
    </row>
    <row r="5062" spans="1:6" x14ac:dyDescent="0.25">
      <c r="A5062">
        <v>5061</v>
      </c>
      <c r="B5062">
        <v>41</v>
      </c>
      <c r="C5062">
        <v>0</v>
      </c>
      <c r="D5062">
        <v>0</v>
      </c>
      <c r="E5062">
        <v>0</v>
      </c>
      <c r="F5062">
        <v>1</v>
      </c>
    </row>
    <row r="5063" spans="1:6" x14ac:dyDescent="0.25">
      <c r="A5063">
        <v>5062</v>
      </c>
      <c r="B5063">
        <v>42</v>
      </c>
      <c r="C5063">
        <v>0</v>
      </c>
      <c r="D5063">
        <v>0</v>
      </c>
      <c r="E5063">
        <v>0</v>
      </c>
      <c r="F5063">
        <v>0.2</v>
      </c>
    </row>
    <row r="5064" spans="1:6" x14ac:dyDescent="0.25">
      <c r="A5064">
        <v>5063</v>
      </c>
      <c r="B5064">
        <v>43</v>
      </c>
      <c r="C5064">
        <v>0</v>
      </c>
      <c r="D5064">
        <v>0</v>
      </c>
      <c r="E5064">
        <v>0</v>
      </c>
      <c r="F5064">
        <v>0</v>
      </c>
    </row>
    <row r="5065" spans="1:6" x14ac:dyDescent="0.25">
      <c r="A5065">
        <v>5064</v>
      </c>
      <c r="B5065">
        <v>44</v>
      </c>
      <c r="C5065">
        <v>0</v>
      </c>
      <c r="D5065">
        <v>0</v>
      </c>
      <c r="E5065">
        <v>0</v>
      </c>
      <c r="F5065">
        <v>50.353299999999997</v>
      </c>
    </row>
    <row r="5066" spans="1:6" x14ac:dyDescent="0.25">
      <c r="A5066">
        <v>5065</v>
      </c>
      <c r="B5066" t="s">
        <v>0</v>
      </c>
      <c r="C5066">
        <v>135</v>
      </c>
      <c r="D5066">
        <v>3483</v>
      </c>
      <c r="E5066">
        <v>80057939</v>
      </c>
    </row>
    <row r="5067" spans="1:6" x14ac:dyDescent="0.25">
      <c r="A5067">
        <v>5066</v>
      </c>
      <c r="B5067">
        <v>45</v>
      </c>
      <c r="C5067">
        <v>0</v>
      </c>
      <c r="D5067">
        <v>0</v>
      </c>
      <c r="E5067">
        <v>0</v>
      </c>
      <c r="F5067">
        <v>4400</v>
      </c>
    </row>
    <row r="5068" spans="1:6" x14ac:dyDescent="0.25">
      <c r="A5068">
        <v>5067</v>
      </c>
      <c r="B5068">
        <v>46</v>
      </c>
      <c r="C5068">
        <v>0</v>
      </c>
      <c r="D5068">
        <v>0</v>
      </c>
      <c r="E5068">
        <v>0</v>
      </c>
      <c r="F5068">
        <v>0</v>
      </c>
    </row>
    <row r="5069" spans="1:6" x14ac:dyDescent="0.25">
      <c r="A5069">
        <v>5068</v>
      </c>
      <c r="B5069">
        <v>2</v>
      </c>
      <c r="C5069">
        <v>0</v>
      </c>
      <c r="D5069">
        <v>0</v>
      </c>
      <c r="E5069">
        <v>0</v>
      </c>
      <c r="F5069">
        <v>34.405500000000004</v>
      </c>
    </row>
    <row r="5070" spans="1:6" x14ac:dyDescent="0.25">
      <c r="A5070">
        <v>5069</v>
      </c>
      <c r="B5070">
        <v>10</v>
      </c>
      <c r="C5070">
        <v>1</v>
      </c>
      <c r="D5070">
        <v>0</v>
      </c>
      <c r="E5070">
        <v>0</v>
      </c>
      <c r="F5070">
        <v>34716</v>
      </c>
    </row>
    <row r="5071" spans="1:6" x14ac:dyDescent="0.25">
      <c r="A5071">
        <v>5070</v>
      </c>
      <c r="B5071">
        <v>13</v>
      </c>
      <c r="C5071">
        <v>0</v>
      </c>
      <c r="D5071">
        <v>0</v>
      </c>
      <c r="E5071">
        <v>0</v>
      </c>
      <c r="F5071">
        <v>1602</v>
      </c>
    </row>
    <row r="5072" spans="1:6" x14ac:dyDescent="0.25">
      <c r="A5072">
        <v>5071</v>
      </c>
      <c r="B5072">
        <v>41</v>
      </c>
      <c r="C5072">
        <v>0</v>
      </c>
      <c r="D5072">
        <v>0</v>
      </c>
      <c r="E5072">
        <v>0</v>
      </c>
      <c r="F5072">
        <v>1</v>
      </c>
    </row>
    <row r="5073" spans="1:6" x14ac:dyDescent="0.25">
      <c r="A5073">
        <v>5072</v>
      </c>
      <c r="B5073">
        <v>42</v>
      </c>
      <c r="C5073">
        <v>0</v>
      </c>
      <c r="D5073">
        <v>0</v>
      </c>
      <c r="E5073">
        <v>0</v>
      </c>
      <c r="F5073">
        <v>0.2</v>
      </c>
    </row>
    <row r="5074" spans="1:6" x14ac:dyDescent="0.25">
      <c r="A5074">
        <v>5073</v>
      </c>
      <c r="B5074">
        <v>43</v>
      </c>
      <c r="C5074">
        <v>0</v>
      </c>
      <c r="D5074">
        <v>0</v>
      </c>
      <c r="E5074">
        <v>0</v>
      </c>
      <c r="F5074">
        <v>0</v>
      </c>
    </row>
    <row r="5075" spans="1:6" x14ac:dyDescent="0.25">
      <c r="A5075">
        <v>5074</v>
      </c>
      <c r="B5075">
        <v>44</v>
      </c>
      <c r="C5075">
        <v>0</v>
      </c>
      <c r="D5075">
        <v>0</v>
      </c>
      <c r="E5075">
        <v>0</v>
      </c>
      <c r="F5075">
        <v>50.603700000000003</v>
      </c>
    </row>
    <row r="5076" spans="1:6" x14ac:dyDescent="0.25">
      <c r="A5076">
        <v>5075</v>
      </c>
      <c r="B5076">
        <v>45</v>
      </c>
      <c r="C5076">
        <v>0</v>
      </c>
      <c r="D5076">
        <v>0</v>
      </c>
      <c r="E5076">
        <v>0</v>
      </c>
      <c r="F5076">
        <v>4400</v>
      </c>
    </row>
    <row r="5077" spans="1:6" x14ac:dyDescent="0.25">
      <c r="A5077">
        <v>5076</v>
      </c>
      <c r="B5077">
        <v>46</v>
      </c>
      <c r="C5077">
        <v>0</v>
      </c>
      <c r="D5077">
        <v>0</v>
      </c>
      <c r="E5077">
        <v>0</v>
      </c>
      <c r="F5077">
        <v>0</v>
      </c>
    </row>
    <row r="5078" spans="1:6" x14ac:dyDescent="0.25">
      <c r="A5078">
        <v>5077</v>
      </c>
      <c r="B5078">
        <v>2</v>
      </c>
      <c r="C5078">
        <v>0</v>
      </c>
      <c r="D5078">
        <v>0</v>
      </c>
      <c r="E5078">
        <v>0</v>
      </c>
      <c r="F5078">
        <v>34.405500000000004</v>
      </c>
    </row>
    <row r="5079" spans="1:6" x14ac:dyDescent="0.25">
      <c r="A5079">
        <v>5078</v>
      </c>
      <c r="B5079">
        <v>10</v>
      </c>
      <c r="C5079">
        <v>1</v>
      </c>
      <c r="D5079">
        <v>0</v>
      </c>
      <c r="E5079">
        <v>0</v>
      </c>
      <c r="F5079">
        <v>34716</v>
      </c>
    </row>
    <row r="5080" spans="1:6" x14ac:dyDescent="0.25">
      <c r="A5080">
        <v>5079</v>
      </c>
      <c r="B5080">
        <v>13</v>
      </c>
      <c r="C5080">
        <v>0</v>
      </c>
      <c r="D5080">
        <v>0</v>
      </c>
      <c r="E5080">
        <v>0</v>
      </c>
      <c r="F5080">
        <v>1602</v>
      </c>
    </row>
    <row r="5081" spans="1:6" x14ac:dyDescent="0.25">
      <c r="A5081">
        <v>5080</v>
      </c>
      <c r="B5081">
        <v>41</v>
      </c>
      <c r="C5081">
        <v>0</v>
      </c>
      <c r="D5081">
        <v>0</v>
      </c>
      <c r="E5081">
        <v>0</v>
      </c>
      <c r="F5081">
        <v>1</v>
      </c>
    </row>
    <row r="5082" spans="1:6" x14ac:dyDescent="0.25">
      <c r="A5082">
        <v>5081</v>
      </c>
      <c r="B5082" t="s">
        <v>0</v>
      </c>
      <c r="C5082">
        <v>136</v>
      </c>
      <c r="D5082">
        <v>3483</v>
      </c>
      <c r="E5082">
        <v>80058907</v>
      </c>
    </row>
    <row r="5083" spans="1:6" x14ac:dyDescent="0.25">
      <c r="A5083">
        <v>5082</v>
      </c>
      <c r="B5083">
        <v>42</v>
      </c>
      <c r="C5083">
        <v>0</v>
      </c>
      <c r="D5083">
        <v>0</v>
      </c>
      <c r="E5083">
        <v>0</v>
      </c>
      <c r="F5083">
        <v>0.2</v>
      </c>
    </row>
    <row r="5084" spans="1:6" x14ac:dyDescent="0.25">
      <c r="A5084">
        <v>5083</v>
      </c>
      <c r="B5084">
        <v>43</v>
      </c>
      <c r="C5084">
        <v>0</v>
      </c>
      <c r="D5084">
        <v>0</v>
      </c>
      <c r="E5084">
        <v>0</v>
      </c>
      <c r="F5084">
        <v>0</v>
      </c>
    </row>
    <row r="5085" spans="1:6" x14ac:dyDescent="0.25">
      <c r="A5085">
        <v>5084</v>
      </c>
      <c r="B5085">
        <v>44</v>
      </c>
      <c r="C5085">
        <v>0</v>
      </c>
      <c r="D5085">
        <v>0</v>
      </c>
      <c r="E5085">
        <v>0</v>
      </c>
      <c r="F5085">
        <v>50.8538</v>
      </c>
    </row>
    <row r="5086" spans="1:6" x14ac:dyDescent="0.25">
      <c r="A5086">
        <v>5085</v>
      </c>
      <c r="B5086">
        <v>45</v>
      </c>
      <c r="C5086">
        <v>0</v>
      </c>
      <c r="D5086">
        <v>0</v>
      </c>
      <c r="E5086">
        <v>0</v>
      </c>
      <c r="F5086">
        <v>4400</v>
      </c>
    </row>
    <row r="5087" spans="1:6" x14ac:dyDescent="0.25">
      <c r="A5087">
        <v>5086</v>
      </c>
      <c r="B5087">
        <v>46</v>
      </c>
      <c r="C5087">
        <v>0</v>
      </c>
      <c r="D5087">
        <v>0</v>
      </c>
      <c r="E5087">
        <v>0</v>
      </c>
      <c r="F5087">
        <v>0</v>
      </c>
    </row>
    <row r="5088" spans="1:6" x14ac:dyDescent="0.25">
      <c r="A5088">
        <v>5087</v>
      </c>
      <c r="B5088">
        <v>2</v>
      </c>
      <c r="C5088">
        <v>0</v>
      </c>
      <c r="D5088">
        <v>0</v>
      </c>
      <c r="E5088">
        <v>0</v>
      </c>
      <c r="F5088">
        <v>34.4054</v>
      </c>
    </row>
    <row r="5089" spans="1:6" x14ac:dyDescent="0.25">
      <c r="A5089">
        <v>5088</v>
      </c>
      <c r="B5089">
        <v>10</v>
      </c>
      <c r="C5089">
        <v>1</v>
      </c>
      <c r="D5089">
        <v>0</v>
      </c>
      <c r="E5089">
        <v>0</v>
      </c>
      <c r="F5089">
        <v>34716</v>
      </c>
    </row>
    <row r="5090" spans="1:6" x14ac:dyDescent="0.25">
      <c r="A5090">
        <v>5089</v>
      </c>
      <c r="B5090">
        <v>13</v>
      </c>
      <c r="C5090">
        <v>0</v>
      </c>
      <c r="D5090">
        <v>0</v>
      </c>
      <c r="E5090">
        <v>0</v>
      </c>
      <c r="F5090">
        <v>1602</v>
      </c>
    </row>
    <row r="5091" spans="1:6" x14ac:dyDescent="0.25">
      <c r="A5091">
        <v>5090</v>
      </c>
      <c r="B5091">
        <v>41</v>
      </c>
      <c r="C5091">
        <v>0</v>
      </c>
      <c r="D5091">
        <v>0</v>
      </c>
      <c r="E5091">
        <v>0</v>
      </c>
      <c r="F5091">
        <v>1</v>
      </c>
    </row>
    <row r="5092" spans="1:6" x14ac:dyDescent="0.25">
      <c r="A5092">
        <v>5091</v>
      </c>
      <c r="B5092">
        <v>42</v>
      </c>
      <c r="C5092">
        <v>0</v>
      </c>
      <c r="D5092">
        <v>0</v>
      </c>
      <c r="E5092">
        <v>0</v>
      </c>
      <c r="F5092">
        <v>0.2</v>
      </c>
    </row>
    <row r="5093" spans="1:6" x14ac:dyDescent="0.25">
      <c r="A5093">
        <v>5092</v>
      </c>
      <c r="B5093">
        <v>43</v>
      </c>
      <c r="C5093">
        <v>0</v>
      </c>
      <c r="D5093">
        <v>0</v>
      </c>
      <c r="E5093">
        <v>0</v>
      </c>
      <c r="F5093">
        <v>0</v>
      </c>
    </row>
    <row r="5094" spans="1:6" x14ac:dyDescent="0.25">
      <c r="A5094">
        <v>5093</v>
      </c>
      <c r="B5094">
        <v>44</v>
      </c>
      <c r="C5094">
        <v>0</v>
      </c>
      <c r="D5094">
        <v>0</v>
      </c>
      <c r="E5094">
        <v>0</v>
      </c>
      <c r="F5094">
        <v>50.8538</v>
      </c>
    </row>
    <row r="5095" spans="1:6" x14ac:dyDescent="0.25">
      <c r="A5095">
        <v>5094</v>
      </c>
      <c r="B5095">
        <v>45</v>
      </c>
      <c r="C5095">
        <v>0</v>
      </c>
      <c r="D5095">
        <v>0</v>
      </c>
      <c r="E5095">
        <v>0</v>
      </c>
      <c r="F5095">
        <v>4400</v>
      </c>
    </row>
    <row r="5096" spans="1:6" x14ac:dyDescent="0.25">
      <c r="A5096">
        <v>5095</v>
      </c>
      <c r="B5096">
        <v>46</v>
      </c>
      <c r="C5096">
        <v>0</v>
      </c>
      <c r="D5096">
        <v>0</v>
      </c>
      <c r="E5096">
        <v>0</v>
      </c>
      <c r="F5096">
        <v>0</v>
      </c>
    </row>
    <row r="5097" spans="1:6" x14ac:dyDescent="0.25">
      <c r="A5097">
        <v>5096</v>
      </c>
      <c r="B5097">
        <v>2</v>
      </c>
      <c r="C5097">
        <v>0</v>
      </c>
      <c r="D5097">
        <v>0</v>
      </c>
      <c r="E5097">
        <v>0</v>
      </c>
      <c r="F5097">
        <v>34.4054</v>
      </c>
    </row>
    <row r="5098" spans="1:6" x14ac:dyDescent="0.25">
      <c r="A5098">
        <v>5097</v>
      </c>
      <c r="B5098">
        <v>10</v>
      </c>
      <c r="C5098">
        <v>1</v>
      </c>
      <c r="D5098">
        <v>0</v>
      </c>
      <c r="E5098">
        <v>0</v>
      </c>
      <c r="F5098">
        <v>34716</v>
      </c>
    </row>
    <row r="5099" spans="1:6" x14ac:dyDescent="0.25">
      <c r="A5099">
        <v>5098</v>
      </c>
      <c r="B5099">
        <v>13</v>
      </c>
      <c r="C5099">
        <v>0</v>
      </c>
      <c r="D5099">
        <v>0</v>
      </c>
      <c r="E5099">
        <v>0</v>
      </c>
      <c r="F5099">
        <v>1602</v>
      </c>
    </row>
    <row r="5100" spans="1:6" x14ac:dyDescent="0.25">
      <c r="A5100">
        <v>5099</v>
      </c>
      <c r="B5100">
        <v>41</v>
      </c>
      <c r="C5100">
        <v>0</v>
      </c>
      <c r="D5100">
        <v>0</v>
      </c>
      <c r="E5100">
        <v>0</v>
      </c>
      <c r="F5100">
        <v>1</v>
      </c>
    </row>
    <row r="5101" spans="1:6" x14ac:dyDescent="0.25">
      <c r="A5101">
        <v>5100</v>
      </c>
      <c r="B5101">
        <v>42</v>
      </c>
      <c r="C5101">
        <v>0</v>
      </c>
      <c r="D5101">
        <v>0</v>
      </c>
      <c r="E5101">
        <v>0</v>
      </c>
      <c r="F5101">
        <v>0.2</v>
      </c>
    </row>
    <row r="5102" spans="1:6" x14ac:dyDescent="0.25">
      <c r="A5102">
        <v>5101</v>
      </c>
      <c r="B5102">
        <v>43</v>
      </c>
      <c r="C5102">
        <v>0</v>
      </c>
      <c r="D5102">
        <v>0</v>
      </c>
      <c r="E5102">
        <v>0</v>
      </c>
      <c r="F5102">
        <v>0</v>
      </c>
    </row>
    <row r="5103" spans="1:6" x14ac:dyDescent="0.25">
      <c r="A5103">
        <v>5102</v>
      </c>
      <c r="B5103">
        <v>44</v>
      </c>
      <c r="C5103">
        <v>0</v>
      </c>
      <c r="D5103">
        <v>0</v>
      </c>
      <c r="E5103">
        <v>0</v>
      </c>
      <c r="F5103">
        <v>51.078200000000002</v>
      </c>
    </row>
    <row r="5104" spans="1:6" x14ac:dyDescent="0.25">
      <c r="A5104">
        <v>5103</v>
      </c>
      <c r="B5104">
        <v>45</v>
      </c>
      <c r="C5104">
        <v>0</v>
      </c>
      <c r="D5104">
        <v>0</v>
      </c>
      <c r="E5104">
        <v>0</v>
      </c>
      <c r="F5104">
        <v>4400</v>
      </c>
    </row>
    <row r="5105" spans="1:6" x14ac:dyDescent="0.25">
      <c r="A5105">
        <v>5104</v>
      </c>
      <c r="B5105">
        <v>46</v>
      </c>
      <c r="C5105">
        <v>0</v>
      </c>
      <c r="D5105">
        <v>0</v>
      </c>
      <c r="E5105">
        <v>0</v>
      </c>
      <c r="F5105">
        <v>0</v>
      </c>
    </row>
    <row r="5106" spans="1:6" x14ac:dyDescent="0.25">
      <c r="A5106">
        <v>5105</v>
      </c>
      <c r="B5106">
        <v>2</v>
      </c>
      <c r="C5106">
        <v>0</v>
      </c>
      <c r="D5106">
        <v>0</v>
      </c>
      <c r="E5106">
        <v>0</v>
      </c>
      <c r="F5106">
        <v>34.406100000000002</v>
      </c>
    </row>
    <row r="5107" spans="1:6" x14ac:dyDescent="0.25">
      <c r="A5107">
        <v>5106</v>
      </c>
      <c r="B5107">
        <v>10</v>
      </c>
      <c r="C5107">
        <v>1</v>
      </c>
      <c r="D5107">
        <v>0</v>
      </c>
      <c r="E5107">
        <v>0</v>
      </c>
      <c r="F5107">
        <v>34716</v>
      </c>
    </row>
    <row r="5108" spans="1:6" x14ac:dyDescent="0.25">
      <c r="A5108">
        <v>5107</v>
      </c>
      <c r="B5108">
        <v>13</v>
      </c>
      <c r="C5108">
        <v>0</v>
      </c>
      <c r="D5108">
        <v>0</v>
      </c>
      <c r="E5108">
        <v>0</v>
      </c>
      <c r="F5108">
        <v>1602</v>
      </c>
    </row>
    <row r="5109" spans="1:6" x14ac:dyDescent="0.25">
      <c r="A5109">
        <v>5108</v>
      </c>
      <c r="B5109">
        <v>41</v>
      </c>
      <c r="C5109">
        <v>0</v>
      </c>
      <c r="D5109">
        <v>0</v>
      </c>
      <c r="E5109">
        <v>0</v>
      </c>
      <c r="F5109">
        <v>1</v>
      </c>
    </row>
    <row r="5110" spans="1:6" x14ac:dyDescent="0.25">
      <c r="A5110">
        <v>5109</v>
      </c>
      <c r="B5110">
        <v>42</v>
      </c>
      <c r="C5110">
        <v>0</v>
      </c>
      <c r="D5110">
        <v>0</v>
      </c>
      <c r="E5110">
        <v>0</v>
      </c>
      <c r="F5110">
        <v>0.2</v>
      </c>
    </row>
    <row r="5111" spans="1:6" x14ac:dyDescent="0.25">
      <c r="A5111">
        <v>5110</v>
      </c>
      <c r="B5111">
        <v>43</v>
      </c>
      <c r="C5111">
        <v>0</v>
      </c>
      <c r="D5111">
        <v>0</v>
      </c>
      <c r="E5111">
        <v>0</v>
      </c>
      <c r="F5111">
        <v>0</v>
      </c>
    </row>
    <row r="5112" spans="1:6" x14ac:dyDescent="0.25">
      <c r="A5112">
        <v>5111</v>
      </c>
      <c r="B5112" t="s">
        <v>0</v>
      </c>
      <c r="C5112">
        <v>138</v>
      </c>
      <c r="D5112">
        <v>3483</v>
      </c>
      <c r="E5112">
        <v>80060843</v>
      </c>
    </row>
    <row r="5113" spans="1:6" x14ac:dyDescent="0.25">
      <c r="A5113">
        <v>5112</v>
      </c>
      <c r="B5113">
        <v>45</v>
      </c>
      <c r="C5113">
        <v>0</v>
      </c>
      <c r="D5113">
        <v>0</v>
      </c>
      <c r="E5113">
        <v>0</v>
      </c>
      <c r="F5113">
        <v>4400</v>
      </c>
    </row>
    <row r="5114" spans="1:6" x14ac:dyDescent="0.25">
      <c r="A5114">
        <v>5113</v>
      </c>
      <c r="B5114">
        <v>46</v>
      </c>
      <c r="C5114">
        <v>0</v>
      </c>
      <c r="D5114">
        <v>0</v>
      </c>
      <c r="E5114">
        <v>0</v>
      </c>
      <c r="F5114">
        <v>0</v>
      </c>
    </row>
    <row r="5115" spans="1:6" x14ac:dyDescent="0.25">
      <c r="A5115">
        <v>5114</v>
      </c>
      <c r="B5115">
        <v>2</v>
      </c>
      <c r="C5115">
        <v>0</v>
      </c>
      <c r="D5115">
        <v>0</v>
      </c>
      <c r="E5115">
        <v>0</v>
      </c>
      <c r="F5115">
        <v>34.405500000000004</v>
      </c>
    </row>
    <row r="5116" spans="1:6" x14ac:dyDescent="0.25">
      <c r="A5116">
        <v>5115</v>
      </c>
      <c r="B5116">
        <v>10</v>
      </c>
      <c r="C5116">
        <v>1</v>
      </c>
      <c r="D5116">
        <v>0</v>
      </c>
      <c r="E5116">
        <v>0</v>
      </c>
      <c r="F5116">
        <v>34716</v>
      </c>
    </row>
    <row r="5117" spans="1:6" x14ac:dyDescent="0.25">
      <c r="A5117">
        <v>5116</v>
      </c>
      <c r="B5117">
        <v>13</v>
      </c>
      <c r="C5117">
        <v>0</v>
      </c>
      <c r="D5117">
        <v>0</v>
      </c>
      <c r="E5117">
        <v>0</v>
      </c>
      <c r="F5117">
        <v>1602</v>
      </c>
    </row>
    <row r="5118" spans="1:6" x14ac:dyDescent="0.25">
      <c r="A5118">
        <v>5117</v>
      </c>
      <c r="B5118">
        <v>41</v>
      </c>
      <c r="C5118">
        <v>0</v>
      </c>
      <c r="D5118">
        <v>0</v>
      </c>
      <c r="E5118">
        <v>0</v>
      </c>
      <c r="F5118">
        <v>1</v>
      </c>
    </row>
    <row r="5119" spans="1:6" x14ac:dyDescent="0.25">
      <c r="A5119">
        <v>5118</v>
      </c>
      <c r="B5119">
        <v>42</v>
      </c>
      <c r="C5119">
        <v>0</v>
      </c>
      <c r="D5119">
        <v>0</v>
      </c>
      <c r="E5119">
        <v>0</v>
      </c>
      <c r="F5119">
        <v>0.2</v>
      </c>
    </row>
    <row r="5120" spans="1:6" x14ac:dyDescent="0.25">
      <c r="A5120">
        <v>5119</v>
      </c>
      <c r="B5120">
        <v>43</v>
      </c>
      <c r="C5120">
        <v>0</v>
      </c>
      <c r="D5120">
        <v>0</v>
      </c>
      <c r="E5120">
        <v>0</v>
      </c>
      <c r="F5120">
        <v>0</v>
      </c>
    </row>
    <row r="5121" spans="1:6" x14ac:dyDescent="0.25">
      <c r="A5121">
        <v>5120</v>
      </c>
      <c r="B5121">
        <v>44</v>
      </c>
      <c r="C5121">
        <v>0</v>
      </c>
      <c r="D5121">
        <v>0</v>
      </c>
      <c r="E5121">
        <v>0</v>
      </c>
      <c r="F5121">
        <v>51.328800000000001</v>
      </c>
    </row>
    <row r="5122" spans="1:6" x14ac:dyDescent="0.25">
      <c r="A5122">
        <v>5121</v>
      </c>
      <c r="B5122">
        <v>45</v>
      </c>
      <c r="C5122">
        <v>0</v>
      </c>
      <c r="D5122">
        <v>0</v>
      </c>
      <c r="E5122">
        <v>0</v>
      </c>
      <c r="F5122">
        <v>4400</v>
      </c>
    </row>
    <row r="5123" spans="1:6" x14ac:dyDescent="0.25">
      <c r="A5123">
        <v>5122</v>
      </c>
      <c r="B5123">
        <v>46</v>
      </c>
      <c r="C5123">
        <v>0</v>
      </c>
      <c r="D5123">
        <v>0</v>
      </c>
      <c r="E5123">
        <v>0</v>
      </c>
      <c r="F5123">
        <v>0</v>
      </c>
    </row>
    <row r="5124" spans="1:6" x14ac:dyDescent="0.25">
      <c r="A5124">
        <v>5123</v>
      </c>
      <c r="B5124">
        <v>2</v>
      </c>
      <c r="C5124">
        <v>0</v>
      </c>
      <c r="D5124">
        <v>0</v>
      </c>
      <c r="E5124">
        <v>0</v>
      </c>
      <c r="F5124">
        <v>34.405500000000004</v>
      </c>
    </row>
    <row r="5125" spans="1:6" x14ac:dyDescent="0.25">
      <c r="A5125">
        <v>5124</v>
      </c>
      <c r="B5125">
        <v>10</v>
      </c>
      <c r="C5125">
        <v>1</v>
      </c>
      <c r="D5125">
        <v>0</v>
      </c>
      <c r="E5125">
        <v>0</v>
      </c>
      <c r="F5125">
        <v>34716</v>
      </c>
    </row>
    <row r="5126" spans="1:6" x14ac:dyDescent="0.25">
      <c r="A5126">
        <v>5125</v>
      </c>
      <c r="B5126">
        <v>13</v>
      </c>
      <c r="C5126">
        <v>0</v>
      </c>
      <c r="D5126">
        <v>0</v>
      </c>
      <c r="E5126">
        <v>0</v>
      </c>
      <c r="F5126">
        <v>1602</v>
      </c>
    </row>
    <row r="5127" spans="1:6" x14ac:dyDescent="0.25">
      <c r="A5127">
        <v>5126</v>
      </c>
      <c r="B5127" t="s">
        <v>0</v>
      </c>
      <c r="C5127">
        <v>139</v>
      </c>
      <c r="D5127">
        <v>3483</v>
      </c>
      <c r="E5127">
        <v>80061811</v>
      </c>
    </row>
    <row r="5128" spans="1:6" x14ac:dyDescent="0.25">
      <c r="A5128">
        <v>5127</v>
      </c>
      <c r="B5128">
        <v>41</v>
      </c>
      <c r="C5128">
        <v>0</v>
      </c>
      <c r="D5128">
        <v>0</v>
      </c>
      <c r="E5128">
        <v>0</v>
      </c>
      <c r="F5128">
        <v>1</v>
      </c>
    </row>
    <row r="5129" spans="1:6" x14ac:dyDescent="0.25">
      <c r="A5129">
        <v>5128</v>
      </c>
      <c r="B5129">
        <v>42</v>
      </c>
      <c r="C5129">
        <v>0</v>
      </c>
      <c r="D5129">
        <v>0</v>
      </c>
      <c r="E5129">
        <v>0</v>
      </c>
      <c r="F5129">
        <v>0.2</v>
      </c>
    </row>
    <row r="5130" spans="1:6" x14ac:dyDescent="0.25">
      <c r="A5130">
        <v>5129</v>
      </c>
      <c r="B5130">
        <v>43</v>
      </c>
      <c r="C5130">
        <v>0</v>
      </c>
      <c r="D5130">
        <v>0</v>
      </c>
      <c r="E5130">
        <v>0</v>
      </c>
      <c r="F5130">
        <v>0</v>
      </c>
    </row>
    <row r="5131" spans="1:6" x14ac:dyDescent="0.25">
      <c r="A5131">
        <v>5130</v>
      </c>
      <c r="B5131">
        <v>44</v>
      </c>
      <c r="C5131">
        <v>0</v>
      </c>
      <c r="D5131">
        <v>0</v>
      </c>
      <c r="E5131">
        <v>0</v>
      </c>
      <c r="F5131">
        <v>51.578899999999997</v>
      </c>
    </row>
    <row r="5132" spans="1:6" x14ac:dyDescent="0.25">
      <c r="A5132">
        <v>5131</v>
      </c>
      <c r="B5132">
        <v>45</v>
      </c>
      <c r="C5132">
        <v>0</v>
      </c>
      <c r="D5132">
        <v>0</v>
      </c>
      <c r="E5132">
        <v>0</v>
      </c>
      <c r="F5132">
        <v>4400</v>
      </c>
    </row>
    <row r="5133" spans="1:6" x14ac:dyDescent="0.25">
      <c r="A5133">
        <v>5132</v>
      </c>
      <c r="B5133">
        <v>46</v>
      </c>
      <c r="C5133">
        <v>0</v>
      </c>
      <c r="D5133">
        <v>0</v>
      </c>
      <c r="E5133">
        <v>0</v>
      </c>
      <c r="F5133">
        <v>0</v>
      </c>
    </row>
    <row r="5134" spans="1:6" x14ac:dyDescent="0.25">
      <c r="A5134">
        <v>5133</v>
      </c>
      <c r="B5134">
        <v>2</v>
      </c>
      <c r="C5134">
        <v>0</v>
      </c>
      <c r="D5134">
        <v>0</v>
      </c>
      <c r="E5134">
        <v>0</v>
      </c>
      <c r="F5134">
        <v>34.4054</v>
      </c>
    </row>
    <row r="5135" spans="1:6" x14ac:dyDescent="0.25">
      <c r="A5135">
        <v>5134</v>
      </c>
      <c r="B5135">
        <v>10</v>
      </c>
      <c r="C5135">
        <v>1</v>
      </c>
      <c r="D5135">
        <v>0</v>
      </c>
      <c r="E5135">
        <v>0</v>
      </c>
      <c r="F5135">
        <v>34716</v>
      </c>
    </row>
    <row r="5136" spans="1:6" x14ac:dyDescent="0.25">
      <c r="A5136">
        <v>5135</v>
      </c>
      <c r="B5136">
        <v>13</v>
      </c>
      <c r="C5136">
        <v>0</v>
      </c>
      <c r="D5136">
        <v>0</v>
      </c>
      <c r="E5136">
        <v>0</v>
      </c>
      <c r="F5136">
        <v>1602</v>
      </c>
    </row>
    <row r="5137" spans="1:6" x14ac:dyDescent="0.25">
      <c r="A5137">
        <v>5136</v>
      </c>
      <c r="B5137">
        <v>41</v>
      </c>
      <c r="C5137">
        <v>0</v>
      </c>
      <c r="D5137">
        <v>0</v>
      </c>
      <c r="E5137">
        <v>0</v>
      </c>
      <c r="F5137">
        <v>1</v>
      </c>
    </row>
    <row r="5138" spans="1:6" x14ac:dyDescent="0.25">
      <c r="A5138">
        <v>5137</v>
      </c>
      <c r="B5138">
        <v>42</v>
      </c>
      <c r="C5138">
        <v>0</v>
      </c>
      <c r="D5138">
        <v>0</v>
      </c>
      <c r="E5138">
        <v>0</v>
      </c>
      <c r="F5138">
        <v>0.2</v>
      </c>
    </row>
    <row r="5139" spans="1:6" x14ac:dyDescent="0.25">
      <c r="A5139">
        <v>5138</v>
      </c>
      <c r="B5139">
        <v>43</v>
      </c>
      <c r="C5139">
        <v>0</v>
      </c>
      <c r="D5139">
        <v>0</v>
      </c>
      <c r="E5139">
        <v>0</v>
      </c>
      <c r="F5139">
        <v>0</v>
      </c>
    </row>
    <row r="5140" spans="1:6" x14ac:dyDescent="0.25">
      <c r="A5140">
        <v>5139</v>
      </c>
      <c r="B5140">
        <v>44</v>
      </c>
      <c r="C5140">
        <v>0</v>
      </c>
      <c r="D5140">
        <v>0</v>
      </c>
      <c r="E5140">
        <v>0</v>
      </c>
      <c r="F5140">
        <v>51.578899999999997</v>
      </c>
    </row>
    <row r="5141" spans="1:6" x14ac:dyDescent="0.25">
      <c r="A5141">
        <v>5140</v>
      </c>
      <c r="B5141">
        <v>45</v>
      </c>
      <c r="C5141">
        <v>0</v>
      </c>
      <c r="D5141">
        <v>0</v>
      </c>
      <c r="E5141">
        <v>0</v>
      </c>
      <c r="F5141">
        <v>4400</v>
      </c>
    </row>
    <row r="5142" spans="1:6" x14ac:dyDescent="0.25">
      <c r="A5142">
        <v>5141</v>
      </c>
      <c r="B5142">
        <v>46</v>
      </c>
      <c r="C5142">
        <v>0</v>
      </c>
      <c r="D5142">
        <v>0</v>
      </c>
      <c r="E5142">
        <v>0</v>
      </c>
      <c r="F5142">
        <v>0</v>
      </c>
    </row>
    <row r="5143" spans="1:6" x14ac:dyDescent="0.25">
      <c r="A5143">
        <v>5142</v>
      </c>
      <c r="B5143">
        <v>2</v>
      </c>
      <c r="C5143">
        <v>0</v>
      </c>
      <c r="D5143">
        <v>0</v>
      </c>
      <c r="E5143">
        <v>0</v>
      </c>
      <c r="F5143">
        <v>34.405700000000003</v>
      </c>
    </row>
    <row r="5144" spans="1:6" x14ac:dyDescent="0.25">
      <c r="A5144">
        <v>5143</v>
      </c>
      <c r="B5144">
        <v>10</v>
      </c>
      <c r="C5144">
        <v>1</v>
      </c>
      <c r="D5144">
        <v>0</v>
      </c>
      <c r="E5144">
        <v>0</v>
      </c>
      <c r="F5144">
        <v>34716</v>
      </c>
    </row>
    <row r="5145" spans="1:6" x14ac:dyDescent="0.25">
      <c r="A5145">
        <v>5144</v>
      </c>
      <c r="B5145">
        <v>13</v>
      </c>
      <c r="C5145">
        <v>0</v>
      </c>
      <c r="D5145">
        <v>0</v>
      </c>
      <c r="E5145">
        <v>0</v>
      </c>
      <c r="F5145">
        <v>1602</v>
      </c>
    </row>
    <row r="5146" spans="1:6" x14ac:dyDescent="0.25">
      <c r="A5146">
        <v>5145</v>
      </c>
      <c r="B5146">
        <v>41</v>
      </c>
      <c r="C5146">
        <v>0</v>
      </c>
      <c r="D5146">
        <v>0</v>
      </c>
      <c r="E5146">
        <v>0</v>
      </c>
      <c r="F5146">
        <v>1</v>
      </c>
    </row>
    <row r="5147" spans="1:6" x14ac:dyDescent="0.25">
      <c r="A5147">
        <v>5146</v>
      </c>
      <c r="B5147">
        <v>42</v>
      </c>
      <c r="C5147">
        <v>0</v>
      </c>
      <c r="D5147">
        <v>0</v>
      </c>
      <c r="E5147">
        <v>0</v>
      </c>
      <c r="F5147">
        <v>0.2</v>
      </c>
    </row>
    <row r="5148" spans="1:6" x14ac:dyDescent="0.25">
      <c r="A5148">
        <v>5147</v>
      </c>
      <c r="B5148">
        <v>43</v>
      </c>
      <c r="C5148">
        <v>0</v>
      </c>
      <c r="D5148">
        <v>0</v>
      </c>
      <c r="E5148">
        <v>0</v>
      </c>
      <c r="F5148">
        <v>0</v>
      </c>
    </row>
    <row r="5149" spans="1:6" x14ac:dyDescent="0.25">
      <c r="A5149">
        <v>5148</v>
      </c>
      <c r="B5149">
        <v>44</v>
      </c>
      <c r="C5149">
        <v>0</v>
      </c>
      <c r="D5149">
        <v>0</v>
      </c>
      <c r="E5149">
        <v>0</v>
      </c>
      <c r="F5149">
        <v>51.803600000000003</v>
      </c>
    </row>
    <row r="5150" spans="1:6" x14ac:dyDescent="0.25">
      <c r="A5150">
        <v>5149</v>
      </c>
      <c r="B5150">
        <v>45</v>
      </c>
      <c r="C5150">
        <v>0</v>
      </c>
      <c r="D5150">
        <v>0</v>
      </c>
      <c r="E5150">
        <v>0</v>
      </c>
      <c r="F5150">
        <v>4400</v>
      </c>
    </row>
    <row r="5151" spans="1:6" x14ac:dyDescent="0.25">
      <c r="A5151">
        <v>5150</v>
      </c>
      <c r="B5151">
        <v>46</v>
      </c>
      <c r="C5151">
        <v>0</v>
      </c>
      <c r="D5151">
        <v>0</v>
      </c>
      <c r="E5151">
        <v>0</v>
      </c>
      <c r="F5151">
        <v>0</v>
      </c>
    </row>
    <row r="5152" spans="1:6" x14ac:dyDescent="0.25">
      <c r="A5152">
        <v>5151</v>
      </c>
      <c r="B5152">
        <v>2</v>
      </c>
      <c r="C5152">
        <v>0</v>
      </c>
      <c r="D5152">
        <v>0</v>
      </c>
      <c r="E5152">
        <v>0</v>
      </c>
      <c r="F5152">
        <v>34.405700000000003</v>
      </c>
    </row>
    <row r="5153" spans="1:6" x14ac:dyDescent="0.25">
      <c r="A5153">
        <v>5152</v>
      </c>
      <c r="B5153">
        <v>10</v>
      </c>
      <c r="C5153">
        <v>1</v>
      </c>
      <c r="D5153">
        <v>0</v>
      </c>
      <c r="E5153">
        <v>0</v>
      </c>
      <c r="F5153">
        <v>34716</v>
      </c>
    </row>
    <row r="5154" spans="1:6" x14ac:dyDescent="0.25">
      <c r="A5154">
        <v>5153</v>
      </c>
      <c r="B5154">
        <v>13</v>
      </c>
      <c r="C5154">
        <v>0</v>
      </c>
      <c r="D5154">
        <v>0</v>
      </c>
      <c r="E5154">
        <v>0</v>
      </c>
      <c r="F5154">
        <v>1602</v>
      </c>
    </row>
    <row r="5155" spans="1:6" x14ac:dyDescent="0.25">
      <c r="A5155">
        <v>5154</v>
      </c>
      <c r="B5155">
        <v>41</v>
      </c>
      <c r="C5155">
        <v>0</v>
      </c>
      <c r="D5155">
        <v>0</v>
      </c>
      <c r="E5155">
        <v>0</v>
      </c>
      <c r="F5155">
        <v>1</v>
      </c>
    </row>
    <row r="5156" spans="1:6" x14ac:dyDescent="0.25">
      <c r="A5156">
        <v>5155</v>
      </c>
      <c r="B5156">
        <v>42</v>
      </c>
      <c r="C5156">
        <v>0</v>
      </c>
      <c r="D5156">
        <v>0</v>
      </c>
      <c r="E5156">
        <v>0</v>
      </c>
      <c r="F5156">
        <v>0.2</v>
      </c>
    </row>
    <row r="5157" spans="1:6" x14ac:dyDescent="0.25">
      <c r="A5157">
        <v>5156</v>
      </c>
      <c r="B5157" t="s">
        <v>0</v>
      </c>
      <c r="C5157">
        <v>141</v>
      </c>
      <c r="D5157">
        <v>3483</v>
      </c>
      <c r="E5157">
        <v>80063746</v>
      </c>
    </row>
    <row r="5158" spans="1:6" x14ac:dyDescent="0.25">
      <c r="A5158">
        <v>5157</v>
      </c>
      <c r="B5158">
        <v>43</v>
      </c>
      <c r="C5158">
        <v>0</v>
      </c>
      <c r="D5158">
        <v>0</v>
      </c>
      <c r="E5158">
        <v>0</v>
      </c>
      <c r="F5158">
        <v>0</v>
      </c>
    </row>
    <row r="5159" spans="1:6" x14ac:dyDescent="0.25">
      <c r="A5159">
        <v>5158</v>
      </c>
      <c r="B5159">
        <v>44</v>
      </c>
      <c r="C5159">
        <v>0</v>
      </c>
      <c r="D5159">
        <v>0</v>
      </c>
      <c r="E5159">
        <v>0</v>
      </c>
      <c r="F5159">
        <v>52.0533</v>
      </c>
    </row>
    <row r="5160" spans="1:6" x14ac:dyDescent="0.25">
      <c r="A5160">
        <v>5159</v>
      </c>
      <c r="B5160">
        <v>45</v>
      </c>
      <c r="C5160">
        <v>0</v>
      </c>
      <c r="D5160">
        <v>0</v>
      </c>
      <c r="E5160">
        <v>0</v>
      </c>
      <c r="F5160">
        <v>4400</v>
      </c>
    </row>
    <row r="5161" spans="1:6" x14ac:dyDescent="0.25">
      <c r="A5161">
        <v>5160</v>
      </c>
      <c r="B5161">
        <v>46</v>
      </c>
      <c r="C5161">
        <v>0</v>
      </c>
      <c r="D5161">
        <v>0</v>
      </c>
      <c r="E5161">
        <v>0</v>
      </c>
      <c r="F5161">
        <v>0</v>
      </c>
    </row>
    <row r="5162" spans="1:6" x14ac:dyDescent="0.25">
      <c r="A5162">
        <v>5161</v>
      </c>
      <c r="B5162">
        <v>2</v>
      </c>
      <c r="C5162">
        <v>0</v>
      </c>
      <c r="D5162">
        <v>0</v>
      </c>
      <c r="E5162">
        <v>0</v>
      </c>
      <c r="F5162">
        <v>34.405999999999999</v>
      </c>
    </row>
    <row r="5163" spans="1:6" x14ac:dyDescent="0.25">
      <c r="A5163">
        <v>5162</v>
      </c>
      <c r="B5163">
        <v>10</v>
      </c>
      <c r="C5163">
        <v>1</v>
      </c>
      <c r="D5163">
        <v>0</v>
      </c>
      <c r="E5163">
        <v>0</v>
      </c>
      <c r="F5163">
        <v>34716</v>
      </c>
    </row>
    <row r="5164" spans="1:6" x14ac:dyDescent="0.25">
      <c r="A5164">
        <v>5163</v>
      </c>
      <c r="B5164">
        <v>13</v>
      </c>
      <c r="C5164">
        <v>0</v>
      </c>
      <c r="D5164">
        <v>0</v>
      </c>
      <c r="E5164">
        <v>0</v>
      </c>
      <c r="F5164">
        <v>1602</v>
      </c>
    </row>
    <row r="5165" spans="1:6" x14ac:dyDescent="0.25">
      <c r="A5165">
        <v>5164</v>
      </c>
      <c r="B5165">
        <v>41</v>
      </c>
      <c r="C5165">
        <v>0</v>
      </c>
      <c r="D5165">
        <v>0</v>
      </c>
      <c r="E5165">
        <v>0</v>
      </c>
      <c r="F5165">
        <v>1</v>
      </c>
    </row>
    <row r="5166" spans="1:6" x14ac:dyDescent="0.25">
      <c r="A5166">
        <v>5165</v>
      </c>
      <c r="B5166">
        <v>42</v>
      </c>
      <c r="C5166">
        <v>0</v>
      </c>
      <c r="D5166">
        <v>0</v>
      </c>
      <c r="E5166">
        <v>0</v>
      </c>
      <c r="F5166">
        <v>0.2</v>
      </c>
    </row>
    <row r="5167" spans="1:6" x14ac:dyDescent="0.25">
      <c r="A5167">
        <v>5166</v>
      </c>
      <c r="B5167">
        <v>43</v>
      </c>
      <c r="C5167">
        <v>0</v>
      </c>
      <c r="D5167">
        <v>0</v>
      </c>
      <c r="E5167">
        <v>0</v>
      </c>
      <c r="F5167">
        <v>0</v>
      </c>
    </row>
    <row r="5168" spans="1:6" x14ac:dyDescent="0.25">
      <c r="A5168">
        <v>5167</v>
      </c>
      <c r="B5168">
        <v>44</v>
      </c>
      <c r="C5168">
        <v>0</v>
      </c>
      <c r="D5168">
        <v>0</v>
      </c>
      <c r="E5168">
        <v>0</v>
      </c>
      <c r="F5168">
        <v>52.0533</v>
      </c>
    </row>
    <row r="5169" spans="1:6" x14ac:dyDescent="0.25">
      <c r="A5169">
        <v>5168</v>
      </c>
      <c r="B5169">
        <v>45</v>
      </c>
      <c r="C5169">
        <v>0</v>
      </c>
      <c r="D5169">
        <v>0</v>
      </c>
      <c r="E5169">
        <v>0</v>
      </c>
      <c r="F5169">
        <v>4400</v>
      </c>
    </row>
    <row r="5170" spans="1:6" x14ac:dyDescent="0.25">
      <c r="A5170">
        <v>5169</v>
      </c>
      <c r="B5170">
        <v>46</v>
      </c>
      <c r="C5170">
        <v>0</v>
      </c>
      <c r="D5170">
        <v>0</v>
      </c>
      <c r="E5170">
        <v>0</v>
      </c>
      <c r="F5170">
        <v>0</v>
      </c>
    </row>
    <row r="5171" spans="1:6" x14ac:dyDescent="0.25">
      <c r="A5171">
        <v>5170</v>
      </c>
      <c r="B5171">
        <v>2</v>
      </c>
      <c r="C5171">
        <v>0</v>
      </c>
      <c r="D5171">
        <v>0</v>
      </c>
      <c r="E5171">
        <v>0</v>
      </c>
      <c r="F5171">
        <v>34.405999999999999</v>
      </c>
    </row>
    <row r="5172" spans="1:6" x14ac:dyDescent="0.25">
      <c r="A5172">
        <v>5171</v>
      </c>
      <c r="B5172" t="s">
        <v>0</v>
      </c>
      <c r="C5172">
        <v>142</v>
      </c>
      <c r="D5172">
        <v>3483</v>
      </c>
      <c r="E5172">
        <v>80064714</v>
      </c>
    </row>
    <row r="5173" spans="1:6" x14ac:dyDescent="0.25">
      <c r="A5173">
        <v>5172</v>
      </c>
      <c r="B5173">
        <v>13</v>
      </c>
      <c r="C5173">
        <v>0</v>
      </c>
      <c r="D5173">
        <v>0</v>
      </c>
      <c r="E5173">
        <v>0</v>
      </c>
      <c r="F5173">
        <v>1602</v>
      </c>
    </row>
    <row r="5174" spans="1:6" x14ac:dyDescent="0.25">
      <c r="A5174">
        <v>5173</v>
      </c>
      <c r="B5174">
        <v>41</v>
      </c>
      <c r="C5174">
        <v>0</v>
      </c>
      <c r="D5174">
        <v>0</v>
      </c>
      <c r="E5174">
        <v>0</v>
      </c>
      <c r="F5174">
        <v>1</v>
      </c>
    </row>
    <row r="5175" spans="1:6" x14ac:dyDescent="0.25">
      <c r="A5175">
        <v>5174</v>
      </c>
      <c r="B5175">
        <v>42</v>
      </c>
      <c r="C5175">
        <v>0</v>
      </c>
      <c r="D5175">
        <v>0</v>
      </c>
      <c r="E5175">
        <v>0</v>
      </c>
      <c r="F5175">
        <v>0.2</v>
      </c>
    </row>
    <row r="5176" spans="1:6" x14ac:dyDescent="0.25">
      <c r="A5176">
        <v>5175</v>
      </c>
      <c r="B5176">
        <v>43</v>
      </c>
      <c r="C5176">
        <v>0</v>
      </c>
      <c r="D5176">
        <v>0</v>
      </c>
      <c r="E5176">
        <v>0</v>
      </c>
      <c r="F5176">
        <v>0</v>
      </c>
    </row>
    <row r="5177" spans="1:6" x14ac:dyDescent="0.25">
      <c r="A5177">
        <v>5176</v>
      </c>
      <c r="B5177">
        <v>44</v>
      </c>
      <c r="C5177">
        <v>0</v>
      </c>
      <c r="D5177">
        <v>0</v>
      </c>
      <c r="E5177">
        <v>0</v>
      </c>
      <c r="F5177">
        <v>52.303199999999997</v>
      </c>
    </row>
    <row r="5178" spans="1:6" x14ac:dyDescent="0.25">
      <c r="A5178">
        <v>5177</v>
      </c>
      <c r="B5178">
        <v>45</v>
      </c>
      <c r="C5178">
        <v>0</v>
      </c>
      <c r="D5178">
        <v>0</v>
      </c>
      <c r="E5178">
        <v>0</v>
      </c>
      <c r="F5178">
        <v>4400</v>
      </c>
    </row>
    <row r="5179" spans="1:6" x14ac:dyDescent="0.25">
      <c r="A5179">
        <v>5178</v>
      </c>
      <c r="B5179">
        <v>46</v>
      </c>
      <c r="C5179">
        <v>0</v>
      </c>
      <c r="D5179">
        <v>0</v>
      </c>
      <c r="E5179">
        <v>0</v>
      </c>
      <c r="F5179">
        <v>0</v>
      </c>
    </row>
    <row r="5180" spans="1:6" x14ac:dyDescent="0.25">
      <c r="A5180">
        <v>5179</v>
      </c>
      <c r="B5180">
        <v>2</v>
      </c>
      <c r="C5180">
        <v>0</v>
      </c>
      <c r="D5180">
        <v>0</v>
      </c>
      <c r="E5180">
        <v>0</v>
      </c>
      <c r="F5180">
        <v>34.406100000000002</v>
      </c>
    </row>
    <row r="5181" spans="1:6" x14ac:dyDescent="0.25">
      <c r="A5181">
        <v>5180</v>
      </c>
      <c r="B5181">
        <v>10</v>
      </c>
      <c r="C5181">
        <v>1</v>
      </c>
      <c r="D5181">
        <v>0</v>
      </c>
      <c r="E5181">
        <v>0</v>
      </c>
      <c r="F5181">
        <v>34716</v>
      </c>
    </row>
    <row r="5182" spans="1:6" x14ac:dyDescent="0.25">
      <c r="A5182">
        <v>5181</v>
      </c>
      <c r="B5182">
        <v>13</v>
      </c>
      <c r="C5182">
        <v>0</v>
      </c>
      <c r="D5182">
        <v>0</v>
      </c>
      <c r="E5182">
        <v>0</v>
      </c>
      <c r="F5182">
        <v>1602</v>
      </c>
    </row>
    <row r="5183" spans="1:6" x14ac:dyDescent="0.25">
      <c r="A5183">
        <v>5182</v>
      </c>
      <c r="B5183">
        <v>41</v>
      </c>
      <c r="C5183">
        <v>0</v>
      </c>
      <c r="D5183">
        <v>0</v>
      </c>
      <c r="E5183">
        <v>0</v>
      </c>
      <c r="F5183">
        <v>1</v>
      </c>
    </row>
    <row r="5184" spans="1:6" x14ac:dyDescent="0.25">
      <c r="A5184">
        <v>5183</v>
      </c>
      <c r="B5184">
        <v>42</v>
      </c>
      <c r="C5184">
        <v>0</v>
      </c>
      <c r="D5184">
        <v>0</v>
      </c>
      <c r="E5184">
        <v>0</v>
      </c>
      <c r="F5184">
        <v>0.2</v>
      </c>
    </row>
    <row r="5185" spans="1:6" x14ac:dyDescent="0.25">
      <c r="A5185">
        <v>5184</v>
      </c>
      <c r="B5185">
        <v>43</v>
      </c>
      <c r="C5185">
        <v>0</v>
      </c>
      <c r="D5185">
        <v>0</v>
      </c>
      <c r="E5185">
        <v>0</v>
      </c>
      <c r="F5185">
        <v>0</v>
      </c>
    </row>
    <row r="5186" spans="1:6" x14ac:dyDescent="0.25">
      <c r="A5186">
        <v>5185</v>
      </c>
      <c r="B5186">
        <v>44</v>
      </c>
      <c r="C5186">
        <v>0</v>
      </c>
      <c r="D5186">
        <v>0</v>
      </c>
      <c r="E5186">
        <v>0</v>
      </c>
      <c r="F5186">
        <v>52.303199999999997</v>
      </c>
    </row>
    <row r="5187" spans="1:6" x14ac:dyDescent="0.25">
      <c r="A5187">
        <v>5186</v>
      </c>
      <c r="B5187" t="s">
        <v>0</v>
      </c>
      <c r="C5187">
        <v>143</v>
      </c>
      <c r="D5187">
        <v>3483</v>
      </c>
      <c r="E5187">
        <v>80065681</v>
      </c>
    </row>
    <row r="5188" spans="1:6" x14ac:dyDescent="0.25">
      <c r="A5188">
        <v>5187</v>
      </c>
      <c r="B5188">
        <v>45</v>
      </c>
      <c r="C5188">
        <v>0</v>
      </c>
      <c r="D5188">
        <v>0</v>
      </c>
      <c r="E5188">
        <v>0</v>
      </c>
      <c r="F5188">
        <v>4400</v>
      </c>
    </row>
    <row r="5189" spans="1:6" x14ac:dyDescent="0.25">
      <c r="A5189">
        <v>5188</v>
      </c>
      <c r="B5189">
        <v>46</v>
      </c>
      <c r="C5189">
        <v>0</v>
      </c>
      <c r="D5189">
        <v>0</v>
      </c>
      <c r="E5189">
        <v>0</v>
      </c>
      <c r="F5189">
        <v>0</v>
      </c>
    </row>
    <row r="5190" spans="1:6" x14ac:dyDescent="0.25">
      <c r="A5190">
        <v>5189</v>
      </c>
      <c r="B5190">
        <v>2</v>
      </c>
      <c r="C5190">
        <v>0</v>
      </c>
      <c r="D5190">
        <v>0</v>
      </c>
      <c r="E5190">
        <v>0</v>
      </c>
      <c r="F5190">
        <v>34.406599999999997</v>
      </c>
    </row>
    <row r="5191" spans="1:6" x14ac:dyDescent="0.25">
      <c r="A5191">
        <v>5190</v>
      </c>
      <c r="B5191">
        <v>10</v>
      </c>
      <c r="C5191">
        <v>1</v>
      </c>
      <c r="D5191">
        <v>0</v>
      </c>
      <c r="E5191">
        <v>0</v>
      </c>
      <c r="F5191">
        <v>34715</v>
      </c>
    </row>
    <row r="5192" spans="1:6" x14ac:dyDescent="0.25">
      <c r="A5192">
        <v>5191</v>
      </c>
      <c r="B5192">
        <v>13</v>
      </c>
      <c r="C5192">
        <v>0</v>
      </c>
      <c r="D5192">
        <v>0</v>
      </c>
      <c r="E5192">
        <v>0</v>
      </c>
      <c r="F5192">
        <v>1602</v>
      </c>
    </row>
    <row r="5193" spans="1:6" x14ac:dyDescent="0.25">
      <c r="A5193">
        <v>5192</v>
      </c>
      <c r="B5193">
        <v>41</v>
      </c>
      <c r="C5193">
        <v>0</v>
      </c>
      <c r="D5193">
        <v>0</v>
      </c>
      <c r="E5193">
        <v>0</v>
      </c>
      <c r="F5193">
        <v>1</v>
      </c>
    </row>
    <row r="5194" spans="1:6" x14ac:dyDescent="0.25">
      <c r="A5194">
        <v>5193</v>
      </c>
      <c r="B5194">
        <v>42</v>
      </c>
      <c r="C5194">
        <v>0</v>
      </c>
      <c r="D5194">
        <v>0</v>
      </c>
      <c r="E5194">
        <v>0</v>
      </c>
      <c r="F5194">
        <v>0.2</v>
      </c>
    </row>
    <row r="5195" spans="1:6" x14ac:dyDescent="0.25">
      <c r="A5195">
        <v>5194</v>
      </c>
      <c r="B5195">
        <v>43</v>
      </c>
      <c r="C5195">
        <v>0</v>
      </c>
      <c r="D5195">
        <v>0</v>
      </c>
      <c r="E5195">
        <v>0</v>
      </c>
      <c r="F5195">
        <v>0</v>
      </c>
    </row>
    <row r="5196" spans="1:6" x14ac:dyDescent="0.25">
      <c r="A5196">
        <v>5195</v>
      </c>
      <c r="B5196">
        <v>44</v>
      </c>
      <c r="C5196">
        <v>0</v>
      </c>
      <c r="D5196">
        <v>0</v>
      </c>
      <c r="E5196">
        <v>0</v>
      </c>
      <c r="F5196">
        <v>52.527799999999999</v>
      </c>
    </row>
    <row r="5197" spans="1:6" x14ac:dyDescent="0.25">
      <c r="A5197">
        <v>5196</v>
      </c>
      <c r="B5197">
        <v>45</v>
      </c>
      <c r="C5197">
        <v>0</v>
      </c>
      <c r="D5197">
        <v>0</v>
      </c>
      <c r="E5197">
        <v>0</v>
      </c>
      <c r="F5197">
        <v>4400</v>
      </c>
    </row>
    <row r="5198" spans="1:6" x14ac:dyDescent="0.25">
      <c r="A5198">
        <v>5197</v>
      </c>
      <c r="B5198">
        <v>46</v>
      </c>
      <c r="C5198">
        <v>0</v>
      </c>
      <c r="D5198">
        <v>0</v>
      </c>
      <c r="E5198">
        <v>0</v>
      </c>
      <c r="F5198">
        <v>0</v>
      </c>
    </row>
    <row r="5199" spans="1:6" x14ac:dyDescent="0.25">
      <c r="A5199">
        <v>5198</v>
      </c>
      <c r="B5199">
        <v>2</v>
      </c>
      <c r="C5199">
        <v>0</v>
      </c>
      <c r="D5199">
        <v>0</v>
      </c>
      <c r="E5199">
        <v>0</v>
      </c>
      <c r="F5199">
        <v>34.406599999999997</v>
      </c>
    </row>
    <row r="5200" spans="1:6" x14ac:dyDescent="0.25">
      <c r="A5200">
        <v>5199</v>
      </c>
      <c r="B5200">
        <v>10</v>
      </c>
      <c r="C5200">
        <v>1</v>
      </c>
      <c r="D5200">
        <v>0</v>
      </c>
      <c r="E5200">
        <v>0</v>
      </c>
      <c r="F5200">
        <v>34715</v>
      </c>
    </row>
    <row r="5201" spans="1:6" x14ac:dyDescent="0.25">
      <c r="A5201">
        <v>5200</v>
      </c>
      <c r="B5201">
        <v>13</v>
      </c>
      <c r="C5201">
        <v>0</v>
      </c>
      <c r="D5201">
        <v>0</v>
      </c>
      <c r="E5201">
        <v>0</v>
      </c>
      <c r="F5201">
        <v>1602</v>
      </c>
    </row>
    <row r="5202" spans="1:6" x14ac:dyDescent="0.25">
      <c r="A5202">
        <v>5201</v>
      </c>
      <c r="B5202">
        <v>41</v>
      </c>
      <c r="C5202">
        <v>0</v>
      </c>
      <c r="D5202">
        <v>0</v>
      </c>
      <c r="E5202">
        <v>0</v>
      </c>
      <c r="F5202">
        <v>1</v>
      </c>
    </row>
    <row r="5203" spans="1:6" x14ac:dyDescent="0.25">
      <c r="A5203">
        <v>5202</v>
      </c>
      <c r="B5203">
        <v>42</v>
      </c>
      <c r="C5203">
        <v>0</v>
      </c>
      <c r="D5203">
        <v>0</v>
      </c>
      <c r="E5203">
        <v>0</v>
      </c>
      <c r="F5203">
        <v>0.2</v>
      </c>
    </row>
    <row r="5204" spans="1:6" x14ac:dyDescent="0.25">
      <c r="A5204">
        <v>5203</v>
      </c>
      <c r="B5204">
        <v>43</v>
      </c>
      <c r="C5204">
        <v>0</v>
      </c>
      <c r="D5204">
        <v>0</v>
      </c>
      <c r="E5204">
        <v>0</v>
      </c>
      <c r="F5204">
        <v>0</v>
      </c>
    </row>
    <row r="5205" spans="1:6" x14ac:dyDescent="0.25">
      <c r="A5205">
        <v>5204</v>
      </c>
      <c r="B5205">
        <v>44</v>
      </c>
      <c r="C5205">
        <v>0</v>
      </c>
      <c r="D5205">
        <v>0</v>
      </c>
      <c r="E5205">
        <v>0</v>
      </c>
      <c r="F5205">
        <v>52.778100000000002</v>
      </c>
    </row>
    <row r="5206" spans="1:6" x14ac:dyDescent="0.25">
      <c r="A5206">
        <v>5205</v>
      </c>
      <c r="B5206">
        <v>45</v>
      </c>
      <c r="C5206">
        <v>0</v>
      </c>
      <c r="D5206">
        <v>0</v>
      </c>
      <c r="E5206">
        <v>0</v>
      </c>
      <c r="F5206">
        <v>4400</v>
      </c>
    </row>
    <row r="5207" spans="1:6" x14ac:dyDescent="0.25">
      <c r="A5207">
        <v>5206</v>
      </c>
      <c r="B5207">
        <v>46</v>
      </c>
      <c r="C5207">
        <v>0</v>
      </c>
      <c r="D5207">
        <v>0</v>
      </c>
      <c r="E5207">
        <v>0</v>
      </c>
      <c r="F5207">
        <v>0</v>
      </c>
    </row>
    <row r="5208" spans="1:6" x14ac:dyDescent="0.25">
      <c r="A5208">
        <v>5207</v>
      </c>
      <c r="B5208">
        <v>2</v>
      </c>
      <c r="C5208">
        <v>0</v>
      </c>
      <c r="D5208">
        <v>0</v>
      </c>
      <c r="E5208">
        <v>0</v>
      </c>
      <c r="F5208">
        <v>34.406300000000002</v>
      </c>
    </row>
    <row r="5209" spans="1:6" x14ac:dyDescent="0.25">
      <c r="A5209">
        <v>5208</v>
      </c>
      <c r="B5209">
        <v>10</v>
      </c>
      <c r="C5209">
        <v>1</v>
      </c>
      <c r="D5209">
        <v>0</v>
      </c>
      <c r="E5209">
        <v>0</v>
      </c>
      <c r="F5209">
        <v>34715</v>
      </c>
    </row>
    <row r="5210" spans="1:6" x14ac:dyDescent="0.25">
      <c r="A5210">
        <v>5209</v>
      </c>
      <c r="B5210">
        <v>13</v>
      </c>
      <c r="C5210">
        <v>0</v>
      </c>
      <c r="D5210">
        <v>0</v>
      </c>
      <c r="E5210">
        <v>0</v>
      </c>
      <c r="F5210">
        <v>1602</v>
      </c>
    </row>
    <row r="5211" spans="1:6" x14ac:dyDescent="0.25">
      <c r="A5211">
        <v>5210</v>
      </c>
      <c r="B5211">
        <v>41</v>
      </c>
      <c r="C5211">
        <v>0</v>
      </c>
      <c r="D5211">
        <v>0</v>
      </c>
      <c r="E5211">
        <v>0</v>
      </c>
      <c r="F5211">
        <v>1</v>
      </c>
    </row>
    <row r="5212" spans="1:6" x14ac:dyDescent="0.25">
      <c r="A5212">
        <v>5211</v>
      </c>
      <c r="B5212">
        <v>42</v>
      </c>
      <c r="C5212">
        <v>0</v>
      </c>
      <c r="D5212">
        <v>0</v>
      </c>
      <c r="E5212">
        <v>0</v>
      </c>
      <c r="F5212">
        <v>0.2</v>
      </c>
    </row>
    <row r="5213" spans="1:6" x14ac:dyDescent="0.25">
      <c r="A5213">
        <v>5212</v>
      </c>
      <c r="B5213">
        <v>43</v>
      </c>
      <c r="C5213">
        <v>0</v>
      </c>
      <c r="D5213">
        <v>0</v>
      </c>
      <c r="E5213">
        <v>0</v>
      </c>
      <c r="F5213">
        <v>0</v>
      </c>
    </row>
    <row r="5214" spans="1:6" x14ac:dyDescent="0.25">
      <c r="A5214">
        <v>5213</v>
      </c>
      <c r="B5214">
        <v>44</v>
      </c>
      <c r="C5214">
        <v>0</v>
      </c>
      <c r="D5214">
        <v>0</v>
      </c>
      <c r="E5214">
        <v>0</v>
      </c>
      <c r="F5214">
        <v>52.778100000000002</v>
      </c>
    </row>
    <row r="5215" spans="1:6" x14ac:dyDescent="0.25">
      <c r="A5215">
        <v>5214</v>
      </c>
      <c r="B5215">
        <v>45</v>
      </c>
      <c r="C5215">
        <v>0</v>
      </c>
      <c r="D5215">
        <v>0</v>
      </c>
      <c r="E5215">
        <v>0</v>
      </c>
      <c r="F5215">
        <v>4400</v>
      </c>
    </row>
    <row r="5216" spans="1:6" x14ac:dyDescent="0.25">
      <c r="A5216">
        <v>5215</v>
      </c>
      <c r="B5216">
        <v>46</v>
      </c>
      <c r="C5216">
        <v>0</v>
      </c>
      <c r="D5216">
        <v>0</v>
      </c>
      <c r="E5216">
        <v>0</v>
      </c>
      <c r="F5216">
        <v>0</v>
      </c>
    </row>
    <row r="5217" spans="1:6" x14ac:dyDescent="0.25">
      <c r="A5217">
        <v>5216</v>
      </c>
      <c r="B5217" t="s">
        <v>0</v>
      </c>
      <c r="C5217">
        <v>145</v>
      </c>
      <c r="D5217">
        <v>3483</v>
      </c>
      <c r="E5217">
        <v>80067616</v>
      </c>
    </row>
    <row r="5218" spans="1:6" x14ac:dyDescent="0.25">
      <c r="A5218">
        <v>5217</v>
      </c>
      <c r="B5218">
        <v>10</v>
      </c>
      <c r="C5218">
        <v>1</v>
      </c>
      <c r="D5218">
        <v>0</v>
      </c>
      <c r="E5218">
        <v>0</v>
      </c>
      <c r="F5218">
        <v>34715</v>
      </c>
    </row>
    <row r="5219" spans="1:6" x14ac:dyDescent="0.25">
      <c r="A5219">
        <v>5218</v>
      </c>
      <c r="B5219">
        <v>13</v>
      </c>
      <c r="C5219">
        <v>0</v>
      </c>
      <c r="D5219">
        <v>0</v>
      </c>
      <c r="E5219">
        <v>0</v>
      </c>
      <c r="F5219">
        <v>1602</v>
      </c>
    </row>
    <row r="5220" spans="1:6" x14ac:dyDescent="0.25">
      <c r="A5220">
        <v>5219</v>
      </c>
      <c r="B5220">
        <v>41</v>
      </c>
      <c r="C5220">
        <v>0</v>
      </c>
      <c r="D5220">
        <v>0</v>
      </c>
      <c r="E5220">
        <v>0</v>
      </c>
      <c r="F5220">
        <v>1</v>
      </c>
    </row>
    <row r="5221" spans="1:6" x14ac:dyDescent="0.25">
      <c r="A5221">
        <v>5220</v>
      </c>
      <c r="B5221">
        <v>42</v>
      </c>
      <c r="C5221">
        <v>0</v>
      </c>
      <c r="D5221">
        <v>0</v>
      </c>
      <c r="E5221">
        <v>0</v>
      </c>
      <c r="F5221">
        <v>0.2</v>
      </c>
    </row>
    <row r="5222" spans="1:6" x14ac:dyDescent="0.25">
      <c r="A5222">
        <v>5221</v>
      </c>
      <c r="B5222">
        <v>43</v>
      </c>
      <c r="C5222">
        <v>0</v>
      </c>
      <c r="D5222">
        <v>0</v>
      </c>
      <c r="E5222">
        <v>0</v>
      </c>
      <c r="F5222">
        <v>0</v>
      </c>
    </row>
    <row r="5223" spans="1:6" x14ac:dyDescent="0.25">
      <c r="A5223">
        <v>5222</v>
      </c>
      <c r="B5223">
        <v>44</v>
      </c>
      <c r="C5223">
        <v>0</v>
      </c>
      <c r="D5223">
        <v>0</v>
      </c>
      <c r="E5223">
        <v>0</v>
      </c>
      <c r="F5223">
        <v>53.027999999999999</v>
      </c>
    </row>
    <row r="5224" spans="1:6" x14ac:dyDescent="0.25">
      <c r="A5224">
        <v>5223</v>
      </c>
      <c r="B5224">
        <v>45</v>
      </c>
      <c r="C5224">
        <v>0</v>
      </c>
      <c r="D5224">
        <v>0</v>
      </c>
      <c r="E5224">
        <v>0</v>
      </c>
      <c r="F5224">
        <v>4400</v>
      </c>
    </row>
    <row r="5225" spans="1:6" x14ac:dyDescent="0.25">
      <c r="A5225">
        <v>5224</v>
      </c>
      <c r="B5225">
        <v>46</v>
      </c>
      <c r="C5225">
        <v>0</v>
      </c>
      <c r="D5225">
        <v>0</v>
      </c>
      <c r="E5225">
        <v>0</v>
      </c>
      <c r="F5225">
        <v>0</v>
      </c>
    </row>
    <row r="5226" spans="1:6" x14ac:dyDescent="0.25">
      <c r="A5226">
        <v>5225</v>
      </c>
      <c r="B5226">
        <v>2</v>
      </c>
      <c r="C5226">
        <v>0</v>
      </c>
      <c r="D5226">
        <v>0</v>
      </c>
      <c r="E5226">
        <v>0</v>
      </c>
      <c r="F5226">
        <v>34.406399999999998</v>
      </c>
    </row>
    <row r="5227" spans="1:6" x14ac:dyDescent="0.25">
      <c r="A5227">
        <v>5226</v>
      </c>
      <c r="B5227">
        <v>10</v>
      </c>
      <c r="C5227">
        <v>1</v>
      </c>
      <c r="D5227">
        <v>0</v>
      </c>
      <c r="E5227">
        <v>0</v>
      </c>
      <c r="F5227">
        <v>34715</v>
      </c>
    </row>
    <row r="5228" spans="1:6" x14ac:dyDescent="0.25">
      <c r="A5228">
        <v>5227</v>
      </c>
      <c r="B5228">
        <v>13</v>
      </c>
      <c r="C5228">
        <v>0</v>
      </c>
      <c r="D5228">
        <v>0</v>
      </c>
      <c r="E5228">
        <v>0</v>
      </c>
      <c r="F5228">
        <v>1602</v>
      </c>
    </row>
    <row r="5229" spans="1:6" x14ac:dyDescent="0.25">
      <c r="A5229">
        <v>5228</v>
      </c>
      <c r="B5229">
        <v>41</v>
      </c>
      <c r="C5229">
        <v>0</v>
      </c>
      <c r="D5229">
        <v>0</v>
      </c>
      <c r="E5229">
        <v>0</v>
      </c>
      <c r="F5229">
        <v>1</v>
      </c>
    </row>
    <row r="5230" spans="1:6" x14ac:dyDescent="0.25">
      <c r="A5230">
        <v>5229</v>
      </c>
      <c r="B5230">
        <v>42</v>
      </c>
      <c r="C5230">
        <v>0</v>
      </c>
      <c r="D5230">
        <v>0</v>
      </c>
      <c r="E5230">
        <v>0</v>
      </c>
      <c r="F5230">
        <v>0.2</v>
      </c>
    </row>
    <row r="5231" spans="1:6" x14ac:dyDescent="0.25">
      <c r="A5231">
        <v>5230</v>
      </c>
      <c r="B5231">
        <v>43</v>
      </c>
      <c r="C5231">
        <v>0</v>
      </c>
      <c r="D5231">
        <v>0</v>
      </c>
      <c r="E5231">
        <v>0</v>
      </c>
      <c r="F5231">
        <v>0</v>
      </c>
    </row>
    <row r="5232" spans="1:6" x14ac:dyDescent="0.25">
      <c r="A5232">
        <v>5231</v>
      </c>
      <c r="B5232" t="s">
        <v>0</v>
      </c>
      <c r="C5232">
        <v>146</v>
      </c>
      <c r="D5232">
        <v>3483</v>
      </c>
      <c r="E5232">
        <v>80068584</v>
      </c>
    </row>
    <row r="5233" spans="1:6" x14ac:dyDescent="0.25">
      <c r="A5233">
        <v>5232</v>
      </c>
      <c r="B5233">
        <v>44</v>
      </c>
      <c r="C5233">
        <v>0</v>
      </c>
      <c r="D5233">
        <v>0</v>
      </c>
      <c r="E5233">
        <v>0</v>
      </c>
      <c r="F5233">
        <v>53.253500000000003</v>
      </c>
    </row>
    <row r="5234" spans="1:6" x14ac:dyDescent="0.25">
      <c r="A5234">
        <v>5233</v>
      </c>
      <c r="B5234">
        <v>45</v>
      </c>
      <c r="C5234">
        <v>0</v>
      </c>
      <c r="D5234">
        <v>0</v>
      </c>
      <c r="E5234">
        <v>0</v>
      </c>
      <c r="F5234">
        <v>4400</v>
      </c>
    </row>
    <row r="5235" spans="1:6" x14ac:dyDescent="0.25">
      <c r="A5235">
        <v>5234</v>
      </c>
      <c r="B5235">
        <v>46</v>
      </c>
      <c r="C5235">
        <v>0</v>
      </c>
      <c r="D5235">
        <v>0</v>
      </c>
      <c r="E5235">
        <v>0</v>
      </c>
      <c r="F5235">
        <v>0</v>
      </c>
    </row>
    <row r="5236" spans="1:6" x14ac:dyDescent="0.25">
      <c r="A5236">
        <v>5235</v>
      </c>
      <c r="B5236">
        <v>2</v>
      </c>
      <c r="C5236">
        <v>0</v>
      </c>
      <c r="D5236">
        <v>0</v>
      </c>
      <c r="E5236">
        <v>0</v>
      </c>
      <c r="F5236">
        <v>34.405900000000003</v>
      </c>
    </row>
    <row r="5237" spans="1:6" x14ac:dyDescent="0.25">
      <c r="A5237">
        <v>5236</v>
      </c>
      <c r="B5237">
        <v>10</v>
      </c>
      <c r="C5237">
        <v>1</v>
      </c>
      <c r="D5237">
        <v>0</v>
      </c>
      <c r="E5237">
        <v>0</v>
      </c>
      <c r="F5237">
        <v>34716</v>
      </c>
    </row>
    <row r="5238" spans="1:6" x14ac:dyDescent="0.25">
      <c r="A5238">
        <v>5237</v>
      </c>
      <c r="B5238">
        <v>13</v>
      </c>
      <c r="C5238">
        <v>0</v>
      </c>
      <c r="D5238">
        <v>0</v>
      </c>
      <c r="E5238">
        <v>0</v>
      </c>
      <c r="F5238">
        <v>1602</v>
      </c>
    </row>
    <row r="5239" spans="1:6" x14ac:dyDescent="0.25">
      <c r="A5239">
        <v>5238</v>
      </c>
      <c r="B5239">
        <v>41</v>
      </c>
      <c r="C5239">
        <v>0</v>
      </c>
      <c r="D5239">
        <v>0</v>
      </c>
      <c r="E5239">
        <v>0</v>
      </c>
      <c r="F5239">
        <v>1</v>
      </c>
    </row>
    <row r="5240" spans="1:6" x14ac:dyDescent="0.25">
      <c r="A5240">
        <v>5239</v>
      </c>
      <c r="B5240">
        <v>42</v>
      </c>
      <c r="C5240">
        <v>0</v>
      </c>
      <c r="D5240">
        <v>0</v>
      </c>
      <c r="E5240">
        <v>0</v>
      </c>
      <c r="F5240">
        <v>0.2</v>
      </c>
    </row>
    <row r="5241" spans="1:6" x14ac:dyDescent="0.25">
      <c r="A5241">
        <v>5240</v>
      </c>
      <c r="B5241">
        <v>43</v>
      </c>
      <c r="C5241">
        <v>0</v>
      </c>
      <c r="D5241">
        <v>0</v>
      </c>
      <c r="E5241">
        <v>0</v>
      </c>
      <c r="F5241">
        <v>0</v>
      </c>
    </row>
    <row r="5242" spans="1:6" x14ac:dyDescent="0.25">
      <c r="A5242">
        <v>5241</v>
      </c>
      <c r="B5242">
        <v>44</v>
      </c>
      <c r="C5242">
        <v>0</v>
      </c>
      <c r="D5242">
        <v>0</v>
      </c>
      <c r="E5242">
        <v>0</v>
      </c>
      <c r="F5242">
        <v>53.253500000000003</v>
      </c>
    </row>
    <row r="5243" spans="1:6" x14ac:dyDescent="0.25">
      <c r="A5243">
        <v>5242</v>
      </c>
      <c r="B5243">
        <v>45</v>
      </c>
      <c r="C5243">
        <v>0</v>
      </c>
      <c r="D5243">
        <v>0</v>
      </c>
      <c r="E5243">
        <v>0</v>
      </c>
      <c r="F5243">
        <v>4400</v>
      </c>
    </row>
    <row r="5244" spans="1:6" x14ac:dyDescent="0.25">
      <c r="A5244">
        <v>5243</v>
      </c>
      <c r="B5244">
        <v>46</v>
      </c>
      <c r="C5244">
        <v>0</v>
      </c>
      <c r="D5244">
        <v>0</v>
      </c>
      <c r="E5244">
        <v>0</v>
      </c>
      <c r="F5244">
        <v>0</v>
      </c>
    </row>
    <row r="5245" spans="1:6" x14ac:dyDescent="0.25">
      <c r="A5245">
        <v>5244</v>
      </c>
      <c r="B5245">
        <v>2</v>
      </c>
      <c r="C5245">
        <v>0</v>
      </c>
      <c r="D5245">
        <v>0</v>
      </c>
      <c r="E5245">
        <v>0</v>
      </c>
      <c r="F5245">
        <v>34.405900000000003</v>
      </c>
    </row>
    <row r="5246" spans="1:6" x14ac:dyDescent="0.25">
      <c r="A5246">
        <v>5245</v>
      </c>
      <c r="B5246">
        <v>10</v>
      </c>
      <c r="C5246">
        <v>1</v>
      </c>
      <c r="D5246">
        <v>0</v>
      </c>
      <c r="E5246">
        <v>0</v>
      </c>
      <c r="F5246">
        <v>34716</v>
      </c>
    </row>
    <row r="5247" spans="1:6" x14ac:dyDescent="0.25">
      <c r="A5247">
        <v>5246</v>
      </c>
      <c r="B5247">
        <v>13</v>
      </c>
      <c r="C5247">
        <v>0</v>
      </c>
      <c r="D5247">
        <v>0</v>
      </c>
      <c r="E5247">
        <v>0</v>
      </c>
      <c r="F5247">
        <v>1602</v>
      </c>
    </row>
    <row r="5248" spans="1:6" x14ac:dyDescent="0.25">
      <c r="A5248">
        <v>5247</v>
      </c>
      <c r="B5248">
        <v>41</v>
      </c>
      <c r="C5248">
        <v>0</v>
      </c>
      <c r="D5248">
        <v>0</v>
      </c>
      <c r="E5248">
        <v>0</v>
      </c>
      <c r="F5248">
        <v>1</v>
      </c>
    </row>
    <row r="5249" spans="1:6" x14ac:dyDescent="0.25">
      <c r="A5249">
        <v>5248</v>
      </c>
      <c r="B5249">
        <v>42</v>
      </c>
      <c r="C5249">
        <v>0</v>
      </c>
      <c r="D5249">
        <v>0</v>
      </c>
      <c r="E5249">
        <v>0</v>
      </c>
      <c r="F5249">
        <v>0.2</v>
      </c>
    </row>
    <row r="5250" spans="1:6" x14ac:dyDescent="0.25">
      <c r="A5250">
        <v>5249</v>
      </c>
      <c r="B5250">
        <v>43</v>
      </c>
      <c r="C5250">
        <v>0</v>
      </c>
      <c r="D5250">
        <v>0</v>
      </c>
      <c r="E5250">
        <v>0</v>
      </c>
      <c r="F5250">
        <v>0</v>
      </c>
    </row>
    <row r="5251" spans="1:6" x14ac:dyDescent="0.25">
      <c r="A5251">
        <v>5250</v>
      </c>
      <c r="B5251">
        <v>44</v>
      </c>
      <c r="C5251">
        <v>0</v>
      </c>
      <c r="D5251">
        <v>0</v>
      </c>
      <c r="E5251">
        <v>0</v>
      </c>
      <c r="F5251">
        <v>53.503599999999999</v>
      </c>
    </row>
    <row r="5252" spans="1:6" x14ac:dyDescent="0.25">
      <c r="A5252">
        <v>5251</v>
      </c>
      <c r="B5252">
        <v>45</v>
      </c>
      <c r="C5252">
        <v>0</v>
      </c>
      <c r="D5252">
        <v>0</v>
      </c>
      <c r="E5252">
        <v>0</v>
      </c>
      <c r="F5252">
        <v>4400</v>
      </c>
    </row>
    <row r="5253" spans="1:6" x14ac:dyDescent="0.25">
      <c r="A5253">
        <v>5252</v>
      </c>
      <c r="B5253">
        <v>46</v>
      </c>
      <c r="C5253">
        <v>0</v>
      </c>
      <c r="D5253">
        <v>0</v>
      </c>
      <c r="E5253">
        <v>0</v>
      </c>
      <c r="F5253">
        <v>0</v>
      </c>
    </row>
    <row r="5254" spans="1:6" x14ac:dyDescent="0.25">
      <c r="A5254">
        <v>5253</v>
      </c>
      <c r="B5254">
        <v>2</v>
      </c>
      <c r="C5254">
        <v>0</v>
      </c>
      <c r="D5254">
        <v>0</v>
      </c>
      <c r="E5254">
        <v>0</v>
      </c>
      <c r="F5254">
        <v>34.405799999999999</v>
      </c>
    </row>
    <row r="5255" spans="1:6" x14ac:dyDescent="0.25">
      <c r="A5255">
        <v>5254</v>
      </c>
      <c r="B5255">
        <v>10</v>
      </c>
      <c r="C5255">
        <v>1</v>
      </c>
      <c r="D5255">
        <v>0</v>
      </c>
      <c r="E5255">
        <v>0</v>
      </c>
      <c r="F5255">
        <v>34716</v>
      </c>
    </row>
    <row r="5256" spans="1:6" x14ac:dyDescent="0.25">
      <c r="A5256">
        <v>5255</v>
      </c>
      <c r="B5256">
        <v>13</v>
      </c>
      <c r="C5256">
        <v>0</v>
      </c>
      <c r="D5256">
        <v>0</v>
      </c>
      <c r="E5256">
        <v>0</v>
      </c>
      <c r="F5256">
        <v>1602</v>
      </c>
    </row>
    <row r="5257" spans="1:6" x14ac:dyDescent="0.25">
      <c r="A5257">
        <v>5256</v>
      </c>
      <c r="B5257">
        <v>41</v>
      </c>
      <c r="C5257">
        <v>0</v>
      </c>
      <c r="D5257">
        <v>0</v>
      </c>
      <c r="E5257">
        <v>0</v>
      </c>
      <c r="F5257">
        <v>1</v>
      </c>
    </row>
    <row r="5258" spans="1:6" x14ac:dyDescent="0.25">
      <c r="A5258">
        <v>5257</v>
      </c>
      <c r="B5258">
        <v>42</v>
      </c>
      <c r="C5258">
        <v>0</v>
      </c>
      <c r="D5258">
        <v>0</v>
      </c>
      <c r="E5258">
        <v>0</v>
      </c>
      <c r="F5258">
        <v>0.2</v>
      </c>
    </row>
    <row r="5259" spans="1:6" x14ac:dyDescent="0.25">
      <c r="A5259">
        <v>5258</v>
      </c>
      <c r="B5259">
        <v>43</v>
      </c>
      <c r="C5259">
        <v>0</v>
      </c>
      <c r="D5259">
        <v>0</v>
      </c>
      <c r="E5259">
        <v>0</v>
      </c>
      <c r="F5259">
        <v>0</v>
      </c>
    </row>
    <row r="5260" spans="1:6" x14ac:dyDescent="0.25">
      <c r="A5260">
        <v>5259</v>
      </c>
      <c r="B5260">
        <v>44</v>
      </c>
      <c r="C5260">
        <v>0</v>
      </c>
      <c r="D5260">
        <v>0</v>
      </c>
      <c r="E5260">
        <v>0</v>
      </c>
      <c r="F5260">
        <v>53.503599999999999</v>
      </c>
    </row>
    <row r="5261" spans="1:6" x14ac:dyDescent="0.25">
      <c r="A5261">
        <v>5260</v>
      </c>
      <c r="B5261">
        <v>45</v>
      </c>
      <c r="C5261">
        <v>0</v>
      </c>
      <c r="D5261">
        <v>0</v>
      </c>
      <c r="E5261">
        <v>0</v>
      </c>
      <c r="F5261">
        <v>4400</v>
      </c>
    </row>
    <row r="5262" spans="1:6" x14ac:dyDescent="0.25">
      <c r="A5262">
        <v>5261</v>
      </c>
      <c r="B5262">
        <v>46</v>
      </c>
      <c r="C5262">
        <v>0</v>
      </c>
      <c r="D5262">
        <v>0</v>
      </c>
      <c r="E5262">
        <v>0</v>
      </c>
      <c r="F5262">
        <v>0</v>
      </c>
    </row>
    <row r="5263" spans="1:6" x14ac:dyDescent="0.25">
      <c r="A5263">
        <v>5262</v>
      </c>
      <c r="B5263">
        <v>2</v>
      </c>
      <c r="C5263">
        <v>0</v>
      </c>
      <c r="D5263">
        <v>0</v>
      </c>
      <c r="E5263">
        <v>0</v>
      </c>
      <c r="F5263">
        <v>34.4054</v>
      </c>
    </row>
    <row r="5264" spans="1:6" x14ac:dyDescent="0.25">
      <c r="A5264">
        <v>5263</v>
      </c>
      <c r="B5264">
        <v>10</v>
      </c>
      <c r="C5264">
        <v>1</v>
      </c>
      <c r="D5264">
        <v>0</v>
      </c>
      <c r="E5264">
        <v>0</v>
      </c>
      <c r="F5264">
        <v>34716</v>
      </c>
    </row>
    <row r="5265" spans="1:6" x14ac:dyDescent="0.25">
      <c r="A5265">
        <v>5264</v>
      </c>
      <c r="B5265">
        <v>13</v>
      </c>
      <c r="C5265">
        <v>0</v>
      </c>
      <c r="D5265">
        <v>0</v>
      </c>
      <c r="E5265">
        <v>0</v>
      </c>
      <c r="F5265">
        <v>1602</v>
      </c>
    </row>
    <row r="5266" spans="1:6" x14ac:dyDescent="0.25">
      <c r="A5266">
        <v>5265</v>
      </c>
      <c r="B5266">
        <v>41</v>
      </c>
      <c r="C5266">
        <v>0</v>
      </c>
      <c r="D5266">
        <v>0</v>
      </c>
      <c r="E5266">
        <v>0</v>
      </c>
      <c r="F5266">
        <v>1</v>
      </c>
    </row>
    <row r="5267" spans="1:6" x14ac:dyDescent="0.25">
      <c r="A5267">
        <v>5266</v>
      </c>
      <c r="B5267">
        <v>42</v>
      </c>
      <c r="C5267">
        <v>0</v>
      </c>
      <c r="D5267">
        <v>0</v>
      </c>
      <c r="E5267">
        <v>0</v>
      </c>
      <c r="F5267">
        <v>0.2</v>
      </c>
    </row>
    <row r="5268" spans="1:6" x14ac:dyDescent="0.25">
      <c r="A5268">
        <v>5267</v>
      </c>
      <c r="B5268">
        <v>43</v>
      </c>
      <c r="C5268">
        <v>0</v>
      </c>
      <c r="D5268">
        <v>0</v>
      </c>
      <c r="E5268">
        <v>0</v>
      </c>
      <c r="F5268">
        <v>0</v>
      </c>
    </row>
    <row r="5269" spans="1:6" x14ac:dyDescent="0.25">
      <c r="A5269">
        <v>5268</v>
      </c>
      <c r="B5269">
        <v>44</v>
      </c>
      <c r="C5269">
        <v>0</v>
      </c>
      <c r="D5269">
        <v>0</v>
      </c>
      <c r="E5269">
        <v>0</v>
      </c>
      <c r="F5269">
        <v>53.753999999999998</v>
      </c>
    </row>
    <row r="5270" spans="1:6" x14ac:dyDescent="0.25">
      <c r="A5270">
        <v>5269</v>
      </c>
      <c r="B5270">
        <v>45</v>
      </c>
      <c r="C5270">
        <v>0</v>
      </c>
      <c r="D5270">
        <v>0</v>
      </c>
      <c r="E5270">
        <v>0</v>
      </c>
      <c r="F5270">
        <v>4400</v>
      </c>
    </row>
    <row r="5271" spans="1:6" x14ac:dyDescent="0.25">
      <c r="A5271">
        <v>5270</v>
      </c>
      <c r="B5271">
        <v>46</v>
      </c>
      <c r="C5271">
        <v>0</v>
      </c>
      <c r="D5271">
        <v>0</v>
      </c>
      <c r="E5271">
        <v>0</v>
      </c>
      <c r="F5271">
        <v>0</v>
      </c>
    </row>
    <row r="5272" spans="1:6" x14ac:dyDescent="0.25">
      <c r="A5272">
        <v>5271</v>
      </c>
      <c r="B5272">
        <v>2</v>
      </c>
      <c r="C5272">
        <v>0</v>
      </c>
      <c r="D5272">
        <v>0</v>
      </c>
      <c r="E5272">
        <v>0</v>
      </c>
      <c r="F5272">
        <v>34.4054</v>
      </c>
    </row>
    <row r="5273" spans="1:6" x14ac:dyDescent="0.25">
      <c r="A5273">
        <v>5272</v>
      </c>
      <c r="B5273">
        <v>10</v>
      </c>
      <c r="C5273">
        <v>1</v>
      </c>
      <c r="D5273">
        <v>0</v>
      </c>
      <c r="E5273">
        <v>0</v>
      </c>
      <c r="F5273">
        <v>34716</v>
      </c>
    </row>
    <row r="5274" spans="1:6" x14ac:dyDescent="0.25">
      <c r="A5274">
        <v>5273</v>
      </c>
      <c r="B5274">
        <v>13</v>
      </c>
      <c r="C5274">
        <v>0</v>
      </c>
      <c r="D5274">
        <v>0</v>
      </c>
      <c r="E5274">
        <v>0</v>
      </c>
      <c r="F5274">
        <v>1602</v>
      </c>
    </row>
    <row r="5275" spans="1:6" x14ac:dyDescent="0.25">
      <c r="A5275">
        <v>5274</v>
      </c>
      <c r="B5275">
        <v>41</v>
      </c>
      <c r="C5275">
        <v>0</v>
      </c>
      <c r="D5275">
        <v>0</v>
      </c>
      <c r="E5275">
        <v>0</v>
      </c>
      <c r="F5275">
        <v>1</v>
      </c>
    </row>
    <row r="5276" spans="1:6" x14ac:dyDescent="0.25">
      <c r="A5276">
        <v>5275</v>
      </c>
      <c r="B5276">
        <v>42</v>
      </c>
      <c r="C5276">
        <v>0</v>
      </c>
      <c r="D5276">
        <v>0</v>
      </c>
      <c r="E5276">
        <v>0</v>
      </c>
      <c r="F5276">
        <v>0.2</v>
      </c>
    </row>
    <row r="5277" spans="1:6" x14ac:dyDescent="0.25">
      <c r="A5277">
        <v>5276</v>
      </c>
      <c r="B5277" t="s">
        <v>0</v>
      </c>
      <c r="C5277">
        <v>149</v>
      </c>
      <c r="D5277">
        <v>3483</v>
      </c>
      <c r="E5277">
        <v>80071487</v>
      </c>
    </row>
    <row r="5278" spans="1:6" x14ac:dyDescent="0.25">
      <c r="A5278">
        <v>5277</v>
      </c>
      <c r="B5278">
        <v>44</v>
      </c>
      <c r="C5278">
        <v>0</v>
      </c>
      <c r="D5278">
        <v>0</v>
      </c>
      <c r="E5278">
        <v>0</v>
      </c>
      <c r="F5278">
        <v>53.978200000000001</v>
      </c>
    </row>
    <row r="5279" spans="1:6" x14ac:dyDescent="0.25">
      <c r="A5279">
        <v>5278</v>
      </c>
      <c r="B5279">
        <v>45</v>
      </c>
      <c r="C5279">
        <v>0</v>
      </c>
      <c r="D5279">
        <v>0</v>
      </c>
      <c r="E5279">
        <v>0</v>
      </c>
      <c r="F5279">
        <v>4400</v>
      </c>
    </row>
    <row r="5280" spans="1:6" x14ac:dyDescent="0.25">
      <c r="A5280">
        <v>5279</v>
      </c>
      <c r="B5280">
        <v>46</v>
      </c>
      <c r="C5280">
        <v>0</v>
      </c>
      <c r="D5280">
        <v>0</v>
      </c>
      <c r="E5280">
        <v>0</v>
      </c>
      <c r="F5280">
        <v>0</v>
      </c>
    </row>
    <row r="5281" spans="1:6" x14ac:dyDescent="0.25">
      <c r="A5281">
        <v>5280</v>
      </c>
      <c r="B5281">
        <v>2</v>
      </c>
      <c r="C5281">
        <v>0</v>
      </c>
      <c r="D5281">
        <v>0</v>
      </c>
      <c r="E5281">
        <v>0</v>
      </c>
      <c r="F5281">
        <v>34.406199999999998</v>
      </c>
    </row>
    <row r="5282" spans="1:6" x14ac:dyDescent="0.25">
      <c r="A5282">
        <v>5281</v>
      </c>
      <c r="B5282">
        <v>10</v>
      </c>
      <c r="C5282">
        <v>1</v>
      </c>
      <c r="D5282">
        <v>0</v>
      </c>
      <c r="E5282">
        <v>0</v>
      </c>
      <c r="F5282">
        <v>34715</v>
      </c>
    </row>
    <row r="5283" spans="1:6" x14ac:dyDescent="0.25">
      <c r="A5283">
        <v>5282</v>
      </c>
      <c r="B5283">
        <v>13</v>
      </c>
      <c r="C5283">
        <v>0</v>
      </c>
      <c r="D5283">
        <v>0</v>
      </c>
      <c r="E5283">
        <v>0</v>
      </c>
      <c r="F5283">
        <v>1602</v>
      </c>
    </row>
    <row r="5284" spans="1:6" x14ac:dyDescent="0.25">
      <c r="A5284">
        <v>5283</v>
      </c>
      <c r="B5284">
        <v>41</v>
      </c>
      <c r="C5284">
        <v>0</v>
      </c>
      <c r="D5284">
        <v>0</v>
      </c>
      <c r="E5284">
        <v>0</v>
      </c>
      <c r="F5284">
        <v>1</v>
      </c>
    </row>
    <row r="5285" spans="1:6" x14ac:dyDescent="0.25">
      <c r="A5285">
        <v>5284</v>
      </c>
      <c r="B5285">
        <v>42</v>
      </c>
      <c r="C5285">
        <v>0</v>
      </c>
      <c r="D5285">
        <v>0</v>
      </c>
      <c r="E5285">
        <v>0</v>
      </c>
      <c r="F5285">
        <v>0.2</v>
      </c>
    </row>
    <row r="5286" spans="1:6" x14ac:dyDescent="0.25">
      <c r="A5286">
        <v>5285</v>
      </c>
      <c r="B5286">
        <v>43</v>
      </c>
      <c r="C5286">
        <v>0</v>
      </c>
      <c r="D5286">
        <v>0</v>
      </c>
      <c r="E5286">
        <v>0</v>
      </c>
      <c r="F5286">
        <v>0</v>
      </c>
    </row>
    <row r="5287" spans="1:6" x14ac:dyDescent="0.25">
      <c r="A5287">
        <v>5286</v>
      </c>
      <c r="B5287">
        <v>44</v>
      </c>
      <c r="C5287">
        <v>0</v>
      </c>
      <c r="D5287">
        <v>0</v>
      </c>
      <c r="E5287">
        <v>0</v>
      </c>
      <c r="F5287">
        <v>53.978200000000001</v>
      </c>
    </row>
    <row r="5288" spans="1:6" x14ac:dyDescent="0.25">
      <c r="A5288">
        <v>5287</v>
      </c>
      <c r="B5288">
        <v>45</v>
      </c>
      <c r="C5288">
        <v>0</v>
      </c>
      <c r="D5288">
        <v>0</v>
      </c>
      <c r="E5288">
        <v>0</v>
      </c>
      <c r="F5288">
        <v>4400</v>
      </c>
    </row>
    <row r="5289" spans="1:6" x14ac:dyDescent="0.25">
      <c r="A5289">
        <v>5288</v>
      </c>
      <c r="B5289">
        <v>46</v>
      </c>
      <c r="C5289">
        <v>0</v>
      </c>
      <c r="D5289">
        <v>0</v>
      </c>
      <c r="E5289">
        <v>0</v>
      </c>
      <c r="F5289">
        <v>0</v>
      </c>
    </row>
    <row r="5290" spans="1:6" x14ac:dyDescent="0.25">
      <c r="A5290">
        <v>5289</v>
      </c>
      <c r="B5290">
        <v>2</v>
      </c>
      <c r="C5290">
        <v>0</v>
      </c>
      <c r="D5290">
        <v>0</v>
      </c>
      <c r="E5290">
        <v>0</v>
      </c>
      <c r="F5290">
        <v>34.406199999999998</v>
      </c>
    </row>
    <row r="5291" spans="1:6" x14ac:dyDescent="0.25">
      <c r="A5291">
        <v>5290</v>
      </c>
      <c r="B5291">
        <v>10</v>
      </c>
      <c r="C5291">
        <v>1</v>
      </c>
      <c r="D5291">
        <v>0</v>
      </c>
      <c r="E5291">
        <v>0</v>
      </c>
      <c r="F5291">
        <v>34715</v>
      </c>
    </row>
    <row r="5292" spans="1:6" x14ac:dyDescent="0.25">
      <c r="A5292">
        <v>5291</v>
      </c>
      <c r="B5292" t="s">
        <v>0</v>
      </c>
      <c r="C5292">
        <v>150</v>
      </c>
      <c r="D5292">
        <v>3483</v>
      </c>
      <c r="E5292">
        <v>80072454</v>
      </c>
    </row>
    <row r="5293" spans="1:6" x14ac:dyDescent="0.25">
      <c r="A5293">
        <v>5292</v>
      </c>
      <c r="B5293">
        <v>13</v>
      </c>
      <c r="C5293">
        <v>0</v>
      </c>
      <c r="D5293">
        <v>0</v>
      </c>
      <c r="E5293">
        <v>0</v>
      </c>
      <c r="F5293">
        <v>1602</v>
      </c>
    </row>
    <row r="5294" spans="1:6" x14ac:dyDescent="0.25">
      <c r="A5294">
        <v>5293</v>
      </c>
      <c r="B5294">
        <v>41</v>
      </c>
      <c r="C5294">
        <v>0</v>
      </c>
      <c r="D5294">
        <v>0</v>
      </c>
      <c r="E5294">
        <v>0</v>
      </c>
      <c r="F5294">
        <v>1</v>
      </c>
    </row>
    <row r="5295" spans="1:6" x14ac:dyDescent="0.25">
      <c r="A5295">
        <v>5294</v>
      </c>
      <c r="B5295">
        <v>42</v>
      </c>
      <c r="C5295">
        <v>0</v>
      </c>
      <c r="D5295">
        <v>0</v>
      </c>
      <c r="E5295">
        <v>0</v>
      </c>
      <c r="F5295">
        <v>0.2</v>
      </c>
    </row>
    <row r="5296" spans="1:6" x14ac:dyDescent="0.25">
      <c r="A5296">
        <v>5295</v>
      </c>
      <c r="B5296">
        <v>43</v>
      </c>
      <c r="C5296">
        <v>0</v>
      </c>
      <c r="D5296">
        <v>0</v>
      </c>
      <c r="E5296">
        <v>0</v>
      </c>
      <c r="F5296">
        <v>0</v>
      </c>
    </row>
    <row r="5297" spans="1:6" x14ac:dyDescent="0.25">
      <c r="A5297">
        <v>5296</v>
      </c>
      <c r="B5297">
        <v>44</v>
      </c>
      <c r="C5297">
        <v>0</v>
      </c>
      <c r="D5297">
        <v>0</v>
      </c>
      <c r="E5297">
        <v>0</v>
      </c>
      <c r="F5297">
        <v>54.227600000000002</v>
      </c>
    </row>
    <row r="5298" spans="1:6" x14ac:dyDescent="0.25">
      <c r="A5298">
        <v>5297</v>
      </c>
      <c r="B5298">
        <v>45</v>
      </c>
      <c r="C5298">
        <v>0</v>
      </c>
      <c r="D5298">
        <v>0</v>
      </c>
      <c r="E5298">
        <v>0</v>
      </c>
      <c r="F5298">
        <v>4400</v>
      </c>
    </row>
    <row r="5299" spans="1:6" x14ac:dyDescent="0.25">
      <c r="A5299">
        <v>5298</v>
      </c>
      <c r="B5299">
        <v>46</v>
      </c>
      <c r="C5299">
        <v>0</v>
      </c>
      <c r="D5299">
        <v>0</v>
      </c>
      <c r="E5299">
        <v>0</v>
      </c>
      <c r="F5299">
        <v>0</v>
      </c>
    </row>
    <row r="5300" spans="1:6" x14ac:dyDescent="0.25">
      <c r="A5300">
        <v>5299</v>
      </c>
      <c r="B5300">
        <v>2</v>
      </c>
      <c r="C5300">
        <v>0</v>
      </c>
      <c r="D5300">
        <v>0</v>
      </c>
      <c r="E5300">
        <v>0</v>
      </c>
      <c r="F5300">
        <v>34.4069</v>
      </c>
    </row>
    <row r="5301" spans="1:6" x14ac:dyDescent="0.25">
      <c r="A5301">
        <v>5300</v>
      </c>
      <c r="B5301">
        <v>10</v>
      </c>
      <c r="C5301">
        <v>1</v>
      </c>
      <c r="D5301">
        <v>0</v>
      </c>
      <c r="E5301">
        <v>0</v>
      </c>
      <c r="F5301">
        <v>34715</v>
      </c>
    </row>
    <row r="5302" spans="1:6" x14ac:dyDescent="0.25">
      <c r="A5302">
        <v>5301</v>
      </c>
      <c r="B5302">
        <v>13</v>
      </c>
      <c r="C5302">
        <v>0</v>
      </c>
      <c r="D5302">
        <v>0</v>
      </c>
      <c r="E5302">
        <v>0</v>
      </c>
      <c r="F5302">
        <v>1602</v>
      </c>
    </row>
    <row r="5303" spans="1:6" x14ac:dyDescent="0.25">
      <c r="A5303">
        <v>5302</v>
      </c>
      <c r="B5303">
        <v>41</v>
      </c>
      <c r="C5303">
        <v>0</v>
      </c>
      <c r="D5303">
        <v>0</v>
      </c>
      <c r="E5303">
        <v>0</v>
      </c>
      <c r="F5303">
        <v>1</v>
      </c>
    </row>
    <row r="5304" spans="1:6" x14ac:dyDescent="0.25">
      <c r="A5304">
        <v>5303</v>
      </c>
      <c r="B5304">
        <v>42</v>
      </c>
      <c r="C5304">
        <v>0</v>
      </c>
      <c r="D5304">
        <v>0</v>
      </c>
      <c r="E5304">
        <v>0</v>
      </c>
      <c r="F5304">
        <v>0.2</v>
      </c>
    </row>
    <row r="5305" spans="1:6" x14ac:dyDescent="0.25">
      <c r="A5305">
        <v>5304</v>
      </c>
      <c r="B5305">
        <v>43</v>
      </c>
      <c r="C5305">
        <v>0</v>
      </c>
      <c r="D5305">
        <v>0</v>
      </c>
      <c r="E5305">
        <v>0</v>
      </c>
      <c r="F5305">
        <v>0</v>
      </c>
    </row>
    <row r="5306" spans="1:6" x14ac:dyDescent="0.25">
      <c r="A5306">
        <v>5305</v>
      </c>
      <c r="B5306">
        <v>44</v>
      </c>
      <c r="C5306">
        <v>0</v>
      </c>
      <c r="D5306">
        <v>0</v>
      </c>
      <c r="E5306">
        <v>0</v>
      </c>
      <c r="F5306">
        <v>54.227600000000002</v>
      </c>
    </row>
    <row r="5307" spans="1:6" x14ac:dyDescent="0.25">
      <c r="A5307">
        <v>5306</v>
      </c>
      <c r="B5307">
        <v>45</v>
      </c>
      <c r="C5307">
        <v>0</v>
      </c>
      <c r="D5307">
        <v>0</v>
      </c>
      <c r="E5307">
        <v>0</v>
      </c>
      <c r="F5307">
        <v>4400</v>
      </c>
    </row>
    <row r="5308" spans="1:6" x14ac:dyDescent="0.25">
      <c r="A5308">
        <v>5307</v>
      </c>
      <c r="B5308">
        <v>46</v>
      </c>
      <c r="C5308">
        <v>0</v>
      </c>
      <c r="D5308">
        <v>0</v>
      </c>
      <c r="E5308">
        <v>0</v>
      </c>
      <c r="F5308">
        <v>0</v>
      </c>
    </row>
    <row r="5309" spans="1:6" x14ac:dyDescent="0.25">
      <c r="A5309">
        <v>5308</v>
      </c>
      <c r="B5309">
        <v>2</v>
      </c>
      <c r="C5309">
        <v>0</v>
      </c>
      <c r="D5309">
        <v>0</v>
      </c>
      <c r="E5309">
        <v>0</v>
      </c>
      <c r="F5309">
        <v>34.406199999999998</v>
      </c>
    </row>
    <row r="5310" spans="1:6" x14ac:dyDescent="0.25">
      <c r="A5310">
        <v>5309</v>
      </c>
      <c r="B5310">
        <v>10</v>
      </c>
      <c r="C5310">
        <v>1</v>
      </c>
      <c r="D5310">
        <v>0</v>
      </c>
      <c r="E5310">
        <v>0</v>
      </c>
      <c r="F5310">
        <v>34715</v>
      </c>
    </row>
    <row r="5311" spans="1:6" x14ac:dyDescent="0.25">
      <c r="A5311">
        <v>5310</v>
      </c>
      <c r="B5311">
        <v>13</v>
      </c>
      <c r="C5311">
        <v>0</v>
      </c>
      <c r="D5311">
        <v>0</v>
      </c>
      <c r="E5311">
        <v>0</v>
      </c>
      <c r="F5311">
        <v>1602</v>
      </c>
    </row>
    <row r="5312" spans="1:6" x14ac:dyDescent="0.25">
      <c r="A5312">
        <v>5311</v>
      </c>
      <c r="B5312">
        <v>41</v>
      </c>
      <c r="C5312">
        <v>0</v>
      </c>
      <c r="D5312">
        <v>0</v>
      </c>
      <c r="E5312">
        <v>0</v>
      </c>
      <c r="F5312">
        <v>1</v>
      </c>
    </row>
    <row r="5313" spans="1:6" x14ac:dyDescent="0.25">
      <c r="A5313">
        <v>5312</v>
      </c>
      <c r="B5313">
        <v>42</v>
      </c>
      <c r="C5313">
        <v>0</v>
      </c>
      <c r="D5313">
        <v>0</v>
      </c>
      <c r="E5313">
        <v>0</v>
      </c>
      <c r="F5313">
        <v>0.2</v>
      </c>
    </row>
    <row r="5314" spans="1:6" x14ac:dyDescent="0.25">
      <c r="A5314">
        <v>5313</v>
      </c>
      <c r="B5314">
        <v>43</v>
      </c>
      <c r="C5314">
        <v>0</v>
      </c>
      <c r="D5314">
        <v>0</v>
      </c>
      <c r="E5314">
        <v>0</v>
      </c>
      <c r="F5314">
        <v>0</v>
      </c>
    </row>
    <row r="5315" spans="1:6" x14ac:dyDescent="0.25">
      <c r="A5315">
        <v>5314</v>
      </c>
      <c r="B5315">
        <v>44</v>
      </c>
      <c r="C5315">
        <v>0</v>
      </c>
      <c r="D5315">
        <v>0</v>
      </c>
      <c r="E5315">
        <v>0</v>
      </c>
      <c r="F5315">
        <v>54.478299999999997</v>
      </c>
    </row>
    <row r="5316" spans="1:6" x14ac:dyDescent="0.25">
      <c r="A5316">
        <v>5315</v>
      </c>
      <c r="B5316">
        <v>45</v>
      </c>
      <c r="C5316">
        <v>0</v>
      </c>
      <c r="D5316">
        <v>0</v>
      </c>
      <c r="E5316">
        <v>0</v>
      </c>
      <c r="F5316">
        <v>4400</v>
      </c>
    </row>
    <row r="5317" spans="1:6" x14ac:dyDescent="0.25">
      <c r="A5317">
        <v>5316</v>
      </c>
      <c r="B5317">
        <v>46</v>
      </c>
      <c r="C5317">
        <v>0</v>
      </c>
      <c r="D5317">
        <v>0</v>
      </c>
      <c r="E5317">
        <v>0</v>
      </c>
      <c r="F5317">
        <v>0</v>
      </c>
    </row>
    <row r="5318" spans="1:6" x14ac:dyDescent="0.25">
      <c r="A5318">
        <v>5317</v>
      </c>
      <c r="B5318">
        <v>2</v>
      </c>
      <c r="C5318">
        <v>0</v>
      </c>
      <c r="D5318">
        <v>0</v>
      </c>
      <c r="E5318">
        <v>0</v>
      </c>
      <c r="F5318">
        <v>34.406199999999998</v>
      </c>
    </row>
    <row r="5319" spans="1:6" x14ac:dyDescent="0.25">
      <c r="A5319">
        <v>5318</v>
      </c>
      <c r="B5319">
        <v>10</v>
      </c>
      <c r="C5319">
        <v>1</v>
      </c>
      <c r="D5319">
        <v>0</v>
      </c>
      <c r="E5319">
        <v>0</v>
      </c>
      <c r="F5319">
        <v>34715</v>
      </c>
    </row>
    <row r="5320" spans="1:6" x14ac:dyDescent="0.25">
      <c r="A5320">
        <v>5319</v>
      </c>
      <c r="B5320">
        <v>13</v>
      </c>
      <c r="C5320">
        <v>0</v>
      </c>
      <c r="D5320">
        <v>0</v>
      </c>
      <c r="E5320">
        <v>0</v>
      </c>
      <c r="F5320">
        <v>1602</v>
      </c>
    </row>
    <row r="5321" spans="1:6" x14ac:dyDescent="0.25">
      <c r="A5321">
        <v>5320</v>
      </c>
      <c r="B5321">
        <v>41</v>
      </c>
      <c r="C5321">
        <v>0</v>
      </c>
      <c r="D5321">
        <v>0</v>
      </c>
      <c r="E5321">
        <v>0</v>
      </c>
      <c r="F5321">
        <v>1</v>
      </c>
    </row>
    <row r="5322" spans="1:6" x14ac:dyDescent="0.25">
      <c r="A5322">
        <v>5321</v>
      </c>
      <c r="B5322" t="s">
        <v>0</v>
      </c>
      <c r="C5322">
        <v>152</v>
      </c>
      <c r="D5322">
        <v>3483</v>
      </c>
      <c r="E5322">
        <v>80074390</v>
      </c>
    </row>
    <row r="5323" spans="1:6" x14ac:dyDescent="0.25">
      <c r="A5323">
        <v>5322</v>
      </c>
      <c r="B5323">
        <v>43</v>
      </c>
      <c r="C5323">
        <v>0</v>
      </c>
      <c r="D5323">
        <v>0</v>
      </c>
      <c r="E5323">
        <v>0</v>
      </c>
      <c r="F5323">
        <v>0</v>
      </c>
    </row>
    <row r="5324" spans="1:6" x14ac:dyDescent="0.25">
      <c r="A5324">
        <v>5323</v>
      </c>
      <c r="B5324">
        <v>44</v>
      </c>
      <c r="C5324">
        <v>0</v>
      </c>
      <c r="D5324">
        <v>0</v>
      </c>
      <c r="E5324">
        <v>0</v>
      </c>
      <c r="F5324">
        <v>54.703699999999998</v>
      </c>
    </row>
    <row r="5325" spans="1:6" x14ac:dyDescent="0.25">
      <c r="A5325">
        <v>5324</v>
      </c>
      <c r="B5325">
        <v>45</v>
      </c>
      <c r="C5325">
        <v>0</v>
      </c>
      <c r="D5325">
        <v>0</v>
      </c>
      <c r="E5325">
        <v>0</v>
      </c>
      <c r="F5325">
        <v>4400</v>
      </c>
    </row>
    <row r="5326" spans="1:6" x14ac:dyDescent="0.25">
      <c r="A5326">
        <v>5325</v>
      </c>
      <c r="B5326">
        <v>46</v>
      </c>
      <c r="C5326">
        <v>0</v>
      </c>
      <c r="D5326">
        <v>0</v>
      </c>
      <c r="E5326">
        <v>0</v>
      </c>
      <c r="F5326">
        <v>0</v>
      </c>
    </row>
    <row r="5327" spans="1:6" x14ac:dyDescent="0.25">
      <c r="A5327">
        <v>5326</v>
      </c>
      <c r="B5327">
        <v>2</v>
      </c>
      <c r="C5327">
        <v>0</v>
      </c>
      <c r="D5327">
        <v>0</v>
      </c>
      <c r="E5327">
        <v>0</v>
      </c>
      <c r="F5327">
        <v>34.405799999999999</v>
      </c>
    </row>
    <row r="5328" spans="1:6" x14ac:dyDescent="0.25">
      <c r="A5328">
        <v>5327</v>
      </c>
      <c r="B5328">
        <v>10</v>
      </c>
      <c r="C5328">
        <v>1</v>
      </c>
      <c r="D5328">
        <v>0</v>
      </c>
      <c r="E5328">
        <v>0</v>
      </c>
      <c r="F5328">
        <v>34716</v>
      </c>
    </row>
    <row r="5329" spans="1:6" x14ac:dyDescent="0.25">
      <c r="A5329">
        <v>5328</v>
      </c>
      <c r="B5329">
        <v>13</v>
      </c>
      <c r="C5329">
        <v>0</v>
      </c>
      <c r="D5329">
        <v>0</v>
      </c>
      <c r="E5329">
        <v>0</v>
      </c>
      <c r="F5329">
        <v>1602</v>
      </c>
    </row>
    <row r="5330" spans="1:6" x14ac:dyDescent="0.25">
      <c r="A5330">
        <v>5329</v>
      </c>
      <c r="B5330">
        <v>41</v>
      </c>
      <c r="C5330">
        <v>0</v>
      </c>
      <c r="D5330">
        <v>0</v>
      </c>
      <c r="E5330">
        <v>0</v>
      </c>
      <c r="F5330">
        <v>1</v>
      </c>
    </row>
    <row r="5331" spans="1:6" x14ac:dyDescent="0.25">
      <c r="A5331">
        <v>5330</v>
      </c>
      <c r="B5331">
        <v>42</v>
      </c>
      <c r="C5331">
        <v>0</v>
      </c>
      <c r="D5331">
        <v>0</v>
      </c>
      <c r="E5331">
        <v>0</v>
      </c>
      <c r="F5331">
        <v>0.2</v>
      </c>
    </row>
    <row r="5332" spans="1:6" x14ac:dyDescent="0.25">
      <c r="A5332">
        <v>5331</v>
      </c>
      <c r="B5332">
        <v>43</v>
      </c>
      <c r="C5332">
        <v>0</v>
      </c>
      <c r="D5332">
        <v>0</v>
      </c>
      <c r="E5332">
        <v>0</v>
      </c>
      <c r="F5332">
        <v>0</v>
      </c>
    </row>
    <row r="5333" spans="1:6" x14ac:dyDescent="0.25">
      <c r="A5333">
        <v>5332</v>
      </c>
      <c r="B5333">
        <v>44</v>
      </c>
      <c r="C5333">
        <v>0</v>
      </c>
      <c r="D5333">
        <v>0</v>
      </c>
      <c r="E5333">
        <v>0</v>
      </c>
      <c r="F5333">
        <v>54.703699999999998</v>
      </c>
    </row>
    <row r="5334" spans="1:6" x14ac:dyDescent="0.25">
      <c r="A5334">
        <v>5333</v>
      </c>
      <c r="B5334">
        <v>45</v>
      </c>
      <c r="C5334">
        <v>0</v>
      </c>
      <c r="D5334">
        <v>0</v>
      </c>
      <c r="E5334">
        <v>0</v>
      </c>
      <c r="F5334">
        <v>4400</v>
      </c>
    </row>
    <row r="5335" spans="1:6" x14ac:dyDescent="0.25">
      <c r="A5335">
        <v>5334</v>
      </c>
      <c r="B5335">
        <v>46</v>
      </c>
      <c r="C5335">
        <v>0</v>
      </c>
      <c r="D5335">
        <v>0</v>
      </c>
      <c r="E5335">
        <v>0</v>
      </c>
      <c r="F5335">
        <v>0</v>
      </c>
    </row>
    <row r="5336" spans="1:6" x14ac:dyDescent="0.25">
      <c r="A5336">
        <v>5335</v>
      </c>
      <c r="B5336">
        <v>2</v>
      </c>
      <c r="C5336">
        <v>0</v>
      </c>
      <c r="D5336">
        <v>0</v>
      </c>
      <c r="E5336">
        <v>0</v>
      </c>
      <c r="F5336">
        <v>34.405799999999999</v>
      </c>
    </row>
    <row r="5337" spans="1:6" x14ac:dyDescent="0.25">
      <c r="A5337">
        <v>5336</v>
      </c>
      <c r="B5337" t="s">
        <v>0</v>
      </c>
      <c r="C5337">
        <v>153</v>
      </c>
      <c r="D5337">
        <v>3483</v>
      </c>
      <c r="E5337">
        <v>80075358</v>
      </c>
    </row>
    <row r="5338" spans="1:6" x14ac:dyDescent="0.25">
      <c r="A5338">
        <v>5337</v>
      </c>
      <c r="B5338">
        <v>13</v>
      </c>
      <c r="C5338">
        <v>0</v>
      </c>
      <c r="D5338">
        <v>0</v>
      </c>
      <c r="E5338">
        <v>0</v>
      </c>
      <c r="F5338">
        <v>1602</v>
      </c>
    </row>
    <row r="5339" spans="1:6" x14ac:dyDescent="0.25">
      <c r="A5339">
        <v>5338</v>
      </c>
      <c r="B5339">
        <v>41</v>
      </c>
      <c r="C5339">
        <v>0</v>
      </c>
      <c r="D5339">
        <v>0</v>
      </c>
      <c r="E5339">
        <v>0</v>
      </c>
      <c r="F5339">
        <v>1</v>
      </c>
    </row>
    <row r="5340" spans="1:6" x14ac:dyDescent="0.25">
      <c r="A5340">
        <v>5339</v>
      </c>
      <c r="B5340">
        <v>42</v>
      </c>
      <c r="C5340">
        <v>0</v>
      </c>
      <c r="D5340">
        <v>0</v>
      </c>
      <c r="E5340">
        <v>0</v>
      </c>
      <c r="F5340">
        <v>0.2</v>
      </c>
    </row>
    <row r="5341" spans="1:6" x14ac:dyDescent="0.25">
      <c r="A5341">
        <v>5340</v>
      </c>
      <c r="B5341">
        <v>43</v>
      </c>
      <c r="C5341">
        <v>0</v>
      </c>
      <c r="D5341">
        <v>0</v>
      </c>
      <c r="E5341">
        <v>0</v>
      </c>
      <c r="F5341">
        <v>0</v>
      </c>
    </row>
    <row r="5342" spans="1:6" x14ac:dyDescent="0.25">
      <c r="A5342">
        <v>5341</v>
      </c>
      <c r="B5342">
        <v>44</v>
      </c>
      <c r="C5342">
        <v>0</v>
      </c>
      <c r="D5342">
        <v>0</v>
      </c>
      <c r="E5342">
        <v>0</v>
      </c>
      <c r="F5342">
        <v>54.953499999999998</v>
      </c>
    </row>
    <row r="5343" spans="1:6" x14ac:dyDescent="0.25">
      <c r="A5343">
        <v>5342</v>
      </c>
      <c r="B5343">
        <v>45</v>
      </c>
      <c r="C5343">
        <v>0</v>
      </c>
      <c r="D5343">
        <v>0</v>
      </c>
      <c r="E5343">
        <v>0</v>
      </c>
      <c r="F5343">
        <v>4400</v>
      </c>
    </row>
    <row r="5344" spans="1:6" x14ac:dyDescent="0.25">
      <c r="A5344">
        <v>5343</v>
      </c>
      <c r="B5344">
        <v>46</v>
      </c>
      <c r="C5344">
        <v>0</v>
      </c>
      <c r="D5344">
        <v>0</v>
      </c>
      <c r="E5344">
        <v>0</v>
      </c>
      <c r="F5344">
        <v>0</v>
      </c>
    </row>
    <row r="5345" spans="1:6" x14ac:dyDescent="0.25">
      <c r="A5345">
        <v>5344</v>
      </c>
      <c r="B5345">
        <v>2</v>
      </c>
      <c r="C5345">
        <v>0</v>
      </c>
      <c r="D5345">
        <v>0</v>
      </c>
      <c r="E5345">
        <v>0</v>
      </c>
      <c r="F5345">
        <v>34.405999999999999</v>
      </c>
    </row>
    <row r="5346" spans="1:6" x14ac:dyDescent="0.25">
      <c r="A5346">
        <v>5345</v>
      </c>
      <c r="B5346">
        <v>10</v>
      </c>
      <c r="C5346">
        <v>1</v>
      </c>
      <c r="D5346">
        <v>0</v>
      </c>
      <c r="E5346">
        <v>0</v>
      </c>
      <c r="F5346">
        <v>34716</v>
      </c>
    </row>
    <row r="5347" spans="1:6" x14ac:dyDescent="0.25">
      <c r="A5347">
        <v>5346</v>
      </c>
      <c r="B5347">
        <v>13</v>
      </c>
      <c r="C5347">
        <v>0</v>
      </c>
      <c r="D5347">
        <v>0</v>
      </c>
      <c r="E5347">
        <v>0</v>
      </c>
      <c r="F5347">
        <v>1602</v>
      </c>
    </row>
    <row r="5348" spans="1:6" x14ac:dyDescent="0.25">
      <c r="A5348">
        <v>5347</v>
      </c>
      <c r="B5348">
        <v>41</v>
      </c>
      <c r="C5348">
        <v>0</v>
      </c>
      <c r="D5348">
        <v>0</v>
      </c>
      <c r="E5348">
        <v>0</v>
      </c>
      <c r="F5348">
        <v>1</v>
      </c>
    </row>
    <row r="5349" spans="1:6" x14ac:dyDescent="0.25">
      <c r="A5349">
        <v>5348</v>
      </c>
      <c r="B5349">
        <v>42</v>
      </c>
      <c r="C5349">
        <v>0</v>
      </c>
      <c r="D5349">
        <v>0</v>
      </c>
      <c r="E5349">
        <v>0</v>
      </c>
      <c r="F5349">
        <v>0.2</v>
      </c>
    </row>
    <row r="5350" spans="1:6" x14ac:dyDescent="0.25">
      <c r="A5350">
        <v>5349</v>
      </c>
      <c r="B5350">
        <v>43</v>
      </c>
      <c r="C5350">
        <v>0</v>
      </c>
      <c r="D5350">
        <v>0</v>
      </c>
      <c r="E5350">
        <v>0</v>
      </c>
      <c r="F5350">
        <v>0</v>
      </c>
    </row>
    <row r="5351" spans="1:6" x14ac:dyDescent="0.25">
      <c r="A5351">
        <v>5350</v>
      </c>
      <c r="B5351">
        <v>44</v>
      </c>
      <c r="C5351">
        <v>0</v>
      </c>
      <c r="D5351">
        <v>0</v>
      </c>
      <c r="E5351">
        <v>0</v>
      </c>
      <c r="F5351">
        <v>54.953499999999998</v>
      </c>
    </row>
    <row r="5352" spans="1:6" x14ac:dyDescent="0.25">
      <c r="A5352">
        <v>5351</v>
      </c>
      <c r="B5352" t="s">
        <v>0</v>
      </c>
      <c r="C5352">
        <v>154</v>
      </c>
      <c r="D5352">
        <v>3483</v>
      </c>
      <c r="E5352">
        <v>80076325</v>
      </c>
    </row>
    <row r="5353" spans="1:6" x14ac:dyDescent="0.25">
      <c r="A5353">
        <v>5352</v>
      </c>
      <c r="B5353">
        <v>45</v>
      </c>
      <c r="C5353">
        <v>0</v>
      </c>
      <c r="D5353">
        <v>0</v>
      </c>
      <c r="E5353">
        <v>0</v>
      </c>
      <c r="F5353">
        <v>4400</v>
      </c>
    </row>
    <row r="5354" spans="1:6" x14ac:dyDescent="0.25">
      <c r="A5354">
        <v>5353</v>
      </c>
      <c r="B5354">
        <v>46</v>
      </c>
      <c r="C5354">
        <v>0</v>
      </c>
      <c r="D5354">
        <v>0</v>
      </c>
      <c r="E5354">
        <v>0</v>
      </c>
      <c r="F5354">
        <v>0</v>
      </c>
    </row>
    <row r="5355" spans="1:6" x14ac:dyDescent="0.25">
      <c r="A5355">
        <v>5354</v>
      </c>
      <c r="B5355">
        <v>2</v>
      </c>
      <c r="C5355">
        <v>0</v>
      </c>
      <c r="D5355">
        <v>0</v>
      </c>
      <c r="E5355">
        <v>0</v>
      </c>
      <c r="F5355">
        <v>34.406500000000001</v>
      </c>
    </row>
    <row r="5356" spans="1:6" x14ac:dyDescent="0.25">
      <c r="A5356">
        <v>5355</v>
      </c>
      <c r="B5356">
        <v>10</v>
      </c>
      <c r="C5356">
        <v>1</v>
      </c>
      <c r="D5356">
        <v>0</v>
      </c>
      <c r="E5356">
        <v>0</v>
      </c>
      <c r="F5356">
        <v>34715</v>
      </c>
    </row>
    <row r="5357" spans="1:6" x14ac:dyDescent="0.25">
      <c r="A5357">
        <v>5356</v>
      </c>
      <c r="B5357">
        <v>13</v>
      </c>
      <c r="C5357">
        <v>0</v>
      </c>
      <c r="D5357">
        <v>0</v>
      </c>
      <c r="E5357">
        <v>0</v>
      </c>
      <c r="F5357">
        <v>1602</v>
      </c>
    </row>
    <row r="5358" spans="1:6" x14ac:dyDescent="0.25">
      <c r="A5358">
        <v>5357</v>
      </c>
      <c r="B5358">
        <v>41</v>
      </c>
      <c r="C5358">
        <v>0</v>
      </c>
      <c r="D5358">
        <v>0</v>
      </c>
      <c r="E5358">
        <v>0</v>
      </c>
      <c r="F5358">
        <v>1</v>
      </c>
    </row>
    <row r="5359" spans="1:6" x14ac:dyDescent="0.25">
      <c r="A5359">
        <v>5358</v>
      </c>
      <c r="B5359">
        <v>42</v>
      </c>
      <c r="C5359">
        <v>0</v>
      </c>
      <c r="D5359">
        <v>0</v>
      </c>
      <c r="E5359">
        <v>0</v>
      </c>
      <c r="F5359">
        <v>0.2</v>
      </c>
    </row>
    <row r="5360" spans="1:6" x14ac:dyDescent="0.25">
      <c r="A5360">
        <v>5359</v>
      </c>
      <c r="B5360">
        <v>43</v>
      </c>
      <c r="C5360">
        <v>0</v>
      </c>
      <c r="D5360">
        <v>0</v>
      </c>
      <c r="E5360">
        <v>0</v>
      </c>
      <c r="F5360">
        <v>0</v>
      </c>
    </row>
    <row r="5361" spans="1:6" x14ac:dyDescent="0.25">
      <c r="A5361">
        <v>5360</v>
      </c>
      <c r="B5361">
        <v>44</v>
      </c>
      <c r="C5361">
        <v>0</v>
      </c>
      <c r="D5361">
        <v>0</v>
      </c>
      <c r="E5361">
        <v>0</v>
      </c>
      <c r="F5361">
        <v>55.203000000000003</v>
      </c>
    </row>
    <row r="5362" spans="1:6" x14ac:dyDescent="0.25">
      <c r="A5362">
        <v>5361</v>
      </c>
      <c r="B5362">
        <v>45</v>
      </c>
      <c r="C5362">
        <v>0</v>
      </c>
      <c r="D5362">
        <v>0</v>
      </c>
      <c r="E5362">
        <v>0</v>
      </c>
      <c r="F5362">
        <v>4400</v>
      </c>
    </row>
    <row r="5363" spans="1:6" x14ac:dyDescent="0.25">
      <c r="A5363">
        <v>5362</v>
      </c>
      <c r="B5363">
        <v>46</v>
      </c>
      <c r="C5363">
        <v>0</v>
      </c>
      <c r="D5363">
        <v>0</v>
      </c>
      <c r="E5363">
        <v>0</v>
      </c>
      <c r="F5363">
        <v>0</v>
      </c>
    </row>
    <row r="5364" spans="1:6" x14ac:dyDescent="0.25">
      <c r="A5364">
        <v>5363</v>
      </c>
      <c r="B5364">
        <v>2</v>
      </c>
      <c r="C5364">
        <v>0</v>
      </c>
      <c r="D5364">
        <v>0</v>
      </c>
      <c r="E5364">
        <v>0</v>
      </c>
      <c r="F5364">
        <v>34.406500000000001</v>
      </c>
    </row>
    <row r="5365" spans="1:6" x14ac:dyDescent="0.25">
      <c r="A5365">
        <v>5364</v>
      </c>
      <c r="B5365">
        <v>10</v>
      </c>
      <c r="C5365">
        <v>1</v>
      </c>
      <c r="D5365">
        <v>0</v>
      </c>
      <c r="E5365">
        <v>0</v>
      </c>
      <c r="F5365">
        <v>34715</v>
      </c>
    </row>
    <row r="5366" spans="1:6" x14ac:dyDescent="0.25">
      <c r="A5366">
        <v>5365</v>
      </c>
      <c r="B5366">
        <v>13</v>
      </c>
      <c r="C5366">
        <v>0</v>
      </c>
      <c r="D5366">
        <v>0</v>
      </c>
      <c r="E5366">
        <v>0</v>
      </c>
      <c r="F5366">
        <v>1602</v>
      </c>
    </row>
    <row r="5367" spans="1:6" x14ac:dyDescent="0.25">
      <c r="A5367">
        <v>5366</v>
      </c>
      <c r="B5367">
        <v>41</v>
      </c>
      <c r="C5367">
        <v>0</v>
      </c>
      <c r="D5367">
        <v>0</v>
      </c>
      <c r="E5367">
        <v>0</v>
      </c>
      <c r="F5367">
        <v>1</v>
      </c>
    </row>
    <row r="5368" spans="1:6" x14ac:dyDescent="0.25">
      <c r="A5368">
        <v>5367</v>
      </c>
      <c r="B5368">
        <v>42</v>
      </c>
      <c r="C5368">
        <v>0</v>
      </c>
      <c r="D5368">
        <v>0</v>
      </c>
      <c r="E5368">
        <v>0</v>
      </c>
      <c r="F5368">
        <v>0.2</v>
      </c>
    </row>
    <row r="5369" spans="1:6" x14ac:dyDescent="0.25">
      <c r="A5369">
        <v>5368</v>
      </c>
      <c r="B5369">
        <v>43</v>
      </c>
      <c r="C5369">
        <v>0</v>
      </c>
      <c r="D5369">
        <v>0</v>
      </c>
      <c r="E5369">
        <v>0</v>
      </c>
      <c r="F5369">
        <v>0</v>
      </c>
    </row>
    <row r="5370" spans="1:6" x14ac:dyDescent="0.25">
      <c r="A5370">
        <v>5369</v>
      </c>
      <c r="B5370">
        <v>44</v>
      </c>
      <c r="C5370">
        <v>0</v>
      </c>
      <c r="D5370">
        <v>0</v>
      </c>
      <c r="E5370">
        <v>0</v>
      </c>
      <c r="F5370">
        <v>55.427799999999998</v>
      </c>
    </row>
    <row r="5371" spans="1:6" x14ac:dyDescent="0.25">
      <c r="A5371">
        <v>5370</v>
      </c>
      <c r="B5371">
        <v>45</v>
      </c>
      <c r="C5371">
        <v>0</v>
      </c>
      <c r="D5371">
        <v>0</v>
      </c>
      <c r="E5371">
        <v>0</v>
      </c>
      <c r="F5371">
        <v>4400</v>
      </c>
    </row>
    <row r="5372" spans="1:6" x14ac:dyDescent="0.25">
      <c r="A5372">
        <v>5371</v>
      </c>
      <c r="B5372">
        <v>46</v>
      </c>
      <c r="C5372">
        <v>0</v>
      </c>
      <c r="D5372">
        <v>0</v>
      </c>
      <c r="E5372">
        <v>0</v>
      </c>
      <c r="F5372">
        <v>0</v>
      </c>
    </row>
    <row r="5373" spans="1:6" x14ac:dyDescent="0.25">
      <c r="A5373">
        <v>5372</v>
      </c>
      <c r="B5373">
        <v>2</v>
      </c>
      <c r="C5373">
        <v>0</v>
      </c>
      <c r="D5373">
        <v>0</v>
      </c>
      <c r="E5373">
        <v>0</v>
      </c>
      <c r="F5373">
        <v>34.406700000000001</v>
      </c>
    </row>
    <row r="5374" spans="1:6" x14ac:dyDescent="0.25">
      <c r="A5374">
        <v>5373</v>
      </c>
      <c r="B5374">
        <v>10</v>
      </c>
      <c r="C5374">
        <v>1</v>
      </c>
      <c r="D5374">
        <v>0</v>
      </c>
      <c r="E5374">
        <v>0</v>
      </c>
      <c r="F5374">
        <v>34715</v>
      </c>
    </row>
    <row r="5375" spans="1:6" x14ac:dyDescent="0.25">
      <c r="A5375">
        <v>5374</v>
      </c>
      <c r="B5375">
        <v>13</v>
      </c>
      <c r="C5375">
        <v>0</v>
      </c>
      <c r="D5375">
        <v>0</v>
      </c>
      <c r="E5375">
        <v>0</v>
      </c>
      <c r="F5375">
        <v>1602</v>
      </c>
    </row>
    <row r="5376" spans="1:6" x14ac:dyDescent="0.25">
      <c r="A5376">
        <v>5375</v>
      </c>
      <c r="B5376">
        <v>41</v>
      </c>
      <c r="C5376">
        <v>0</v>
      </c>
      <c r="D5376">
        <v>0</v>
      </c>
      <c r="E5376">
        <v>0</v>
      </c>
      <c r="F5376">
        <v>1</v>
      </c>
    </row>
    <row r="5377" spans="1:6" x14ac:dyDescent="0.25">
      <c r="A5377">
        <v>5376</v>
      </c>
      <c r="B5377">
        <v>42</v>
      </c>
      <c r="C5377">
        <v>0</v>
      </c>
      <c r="D5377">
        <v>0</v>
      </c>
      <c r="E5377">
        <v>0</v>
      </c>
      <c r="F5377">
        <v>0.2</v>
      </c>
    </row>
    <row r="5378" spans="1:6" x14ac:dyDescent="0.25">
      <c r="A5378">
        <v>5377</v>
      </c>
      <c r="B5378">
        <v>43</v>
      </c>
      <c r="C5378">
        <v>0</v>
      </c>
      <c r="D5378">
        <v>0</v>
      </c>
      <c r="E5378">
        <v>0</v>
      </c>
      <c r="F5378">
        <v>0</v>
      </c>
    </row>
    <row r="5379" spans="1:6" x14ac:dyDescent="0.25">
      <c r="A5379">
        <v>5378</v>
      </c>
      <c r="B5379">
        <v>44</v>
      </c>
      <c r="C5379">
        <v>0</v>
      </c>
      <c r="D5379">
        <v>0</v>
      </c>
      <c r="E5379">
        <v>0</v>
      </c>
      <c r="F5379">
        <v>55.427799999999998</v>
      </c>
    </row>
    <row r="5380" spans="1:6" x14ac:dyDescent="0.25">
      <c r="A5380">
        <v>5379</v>
      </c>
      <c r="B5380">
        <v>45</v>
      </c>
      <c r="C5380">
        <v>0</v>
      </c>
      <c r="D5380">
        <v>0</v>
      </c>
      <c r="E5380">
        <v>0</v>
      </c>
      <c r="F5380">
        <v>4400</v>
      </c>
    </row>
    <row r="5381" spans="1:6" x14ac:dyDescent="0.25">
      <c r="A5381">
        <v>5380</v>
      </c>
      <c r="B5381">
        <v>46</v>
      </c>
      <c r="C5381">
        <v>0</v>
      </c>
      <c r="D5381">
        <v>0</v>
      </c>
      <c r="E5381">
        <v>0</v>
      </c>
      <c r="F5381">
        <v>0</v>
      </c>
    </row>
    <row r="5382" spans="1:6" x14ac:dyDescent="0.25">
      <c r="A5382">
        <v>5381</v>
      </c>
      <c r="B5382" t="s">
        <v>0</v>
      </c>
      <c r="C5382">
        <v>156</v>
      </c>
      <c r="D5382">
        <v>3483</v>
      </c>
      <c r="E5382">
        <v>80078261</v>
      </c>
    </row>
    <row r="5383" spans="1:6" x14ac:dyDescent="0.25">
      <c r="A5383">
        <v>5382</v>
      </c>
      <c r="B5383">
        <v>10</v>
      </c>
      <c r="C5383">
        <v>1</v>
      </c>
      <c r="D5383">
        <v>0</v>
      </c>
      <c r="E5383">
        <v>0</v>
      </c>
      <c r="F5383">
        <v>34715</v>
      </c>
    </row>
    <row r="5384" spans="1:6" x14ac:dyDescent="0.25">
      <c r="A5384">
        <v>5383</v>
      </c>
      <c r="B5384">
        <v>13</v>
      </c>
      <c r="C5384">
        <v>0</v>
      </c>
      <c r="D5384">
        <v>0</v>
      </c>
      <c r="E5384">
        <v>0</v>
      </c>
      <c r="F5384">
        <v>1602</v>
      </c>
    </row>
    <row r="5385" spans="1:6" x14ac:dyDescent="0.25">
      <c r="A5385">
        <v>5384</v>
      </c>
      <c r="B5385">
        <v>41</v>
      </c>
      <c r="C5385">
        <v>0</v>
      </c>
      <c r="D5385">
        <v>0</v>
      </c>
      <c r="E5385">
        <v>0</v>
      </c>
      <c r="F5385">
        <v>1</v>
      </c>
    </row>
    <row r="5386" spans="1:6" x14ac:dyDescent="0.25">
      <c r="A5386">
        <v>5385</v>
      </c>
      <c r="B5386">
        <v>42</v>
      </c>
      <c r="C5386">
        <v>0</v>
      </c>
      <c r="D5386">
        <v>0</v>
      </c>
      <c r="E5386">
        <v>0</v>
      </c>
      <c r="F5386">
        <v>0.2</v>
      </c>
    </row>
    <row r="5387" spans="1:6" x14ac:dyDescent="0.25">
      <c r="A5387">
        <v>5386</v>
      </c>
      <c r="B5387">
        <v>43</v>
      </c>
      <c r="C5387">
        <v>0</v>
      </c>
      <c r="D5387">
        <v>0</v>
      </c>
      <c r="E5387">
        <v>0</v>
      </c>
      <c r="F5387">
        <v>0</v>
      </c>
    </row>
    <row r="5388" spans="1:6" x14ac:dyDescent="0.25">
      <c r="A5388">
        <v>5387</v>
      </c>
      <c r="B5388">
        <v>44</v>
      </c>
      <c r="C5388">
        <v>0</v>
      </c>
      <c r="D5388">
        <v>0</v>
      </c>
      <c r="E5388">
        <v>0</v>
      </c>
      <c r="F5388">
        <v>55.677700000000002</v>
      </c>
    </row>
    <row r="5389" spans="1:6" x14ac:dyDescent="0.25">
      <c r="A5389">
        <v>5388</v>
      </c>
      <c r="B5389">
        <v>45</v>
      </c>
      <c r="C5389">
        <v>0</v>
      </c>
      <c r="D5389">
        <v>0</v>
      </c>
      <c r="E5389">
        <v>0</v>
      </c>
      <c r="F5389">
        <v>4400</v>
      </c>
    </row>
    <row r="5390" spans="1:6" x14ac:dyDescent="0.25">
      <c r="A5390">
        <v>5389</v>
      </c>
      <c r="B5390">
        <v>46</v>
      </c>
      <c r="C5390">
        <v>0</v>
      </c>
      <c r="D5390">
        <v>0</v>
      </c>
      <c r="E5390">
        <v>0</v>
      </c>
      <c r="F5390">
        <v>0</v>
      </c>
    </row>
    <row r="5391" spans="1:6" x14ac:dyDescent="0.25">
      <c r="A5391">
        <v>5390</v>
      </c>
      <c r="B5391">
        <v>2</v>
      </c>
      <c r="C5391">
        <v>0</v>
      </c>
      <c r="D5391">
        <v>0</v>
      </c>
      <c r="E5391">
        <v>0</v>
      </c>
      <c r="F5391">
        <v>34.406799999999997</v>
      </c>
    </row>
    <row r="5392" spans="1:6" x14ac:dyDescent="0.25">
      <c r="A5392">
        <v>5391</v>
      </c>
      <c r="B5392">
        <v>10</v>
      </c>
      <c r="C5392">
        <v>1</v>
      </c>
      <c r="D5392">
        <v>0</v>
      </c>
      <c r="E5392">
        <v>0</v>
      </c>
      <c r="F5392">
        <v>34715</v>
      </c>
    </row>
    <row r="5393" spans="1:6" x14ac:dyDescent="0.25">
      <c r="A5393">
        <v>5392</v>
      </c>
      <c r="B5393">
        <v>13</v>
      </c>
      <c r="C5393">
        <v>0</v>
      </c>
      <c r="D5393">
        <v>0</v>
      </c>
      <c r="E5393">
        <v>0</v>
      </c>
      <c r="F5393">
        <v>1602</v>
      </c>
    </row>
    <row r="5394" spans="1:6" x14ac:dyDescent="0.25">
      <c r="A5394">
        <v>5393</v>
      </c>
      <c r="B5394">
        <v>41</v>
      </c>
      <c r="C5394">
        <v>0</v>
      </c>
      <c r="D5394">
        <v>0</v>
      </c>
      <c r="E5394">
        <v>0</v>
      </c>
      <c r="F5394">
        <v>1</v>
      </c>
    </row>
    <row r="5395" spans="1:6" x14ac:dyDescent="0.25">
      <c r="A5395">
        <v>5394</v>
      </c>
      <c r="B5395">
        <v>42</v>
      </c>
      <c r="C5395">
        <v>0</v>
      </c>
      <c r="D5395">
        <v>0</v>
      </c>
      <c r="E5395">
        <v>0</v>
      </c>
      <c r="F5395">
        <v>0.2</v>
      </c>
    </row>
    <row r="5396" spans="1:6" x14ac:dyDescent="0.25">
      <c r="A5396">
        <v>5395</v>
      </c>
      <c r="B5396">
        <v>43</v>
      </c>
      <c r="C5396">
        <v>0</v>
      </c>
      <c r="D5396">
        <v>0</v>
      </c>
      <c r="E5396">
        <v>0</v>
      </c>
      <c r="F5396">
        <v>0</v>
      </c>
    </row>
    <row r="5397" spans="1:6" x14ac:dyDescent="0.25">
      <c r="A5397">
        <v>5396</v>
      </c>
      <c r="B5397" t="s">
        <v>0</v>
      </c>
      <c r="C5397">
        <v>157</v>
      </c>
      <c r="D5397">
        <v>3483</v>
      </c>
      <c r="E5397">
        <v>80079228</v>
      </c>
    </row>
    <row r="5398" spans="1:6" x14ac:dyDescent="0.25">
      <c r="A5398">
        <v>5397</v>
      </c>
      <c r="B5398">
        <v>44</v>
      </c>
      <c r="C5398">
        <v>0</v>
      </c>
      <c r="D5398">
        <v>0</v>
      </c>
      <c r="E5398">
        <v>0</v>
      </c>
      <c r="F5398">
        <v>55.927500000000002</v>
      </c>
    </row>
    <row r="5399" spans="1:6" x14ac:dyDescent="0.25">
      <c r="A5399">
        <v>5398</v>
      </c>
      <c r="B5399">
        <v>45</v>
      </c>
      <c r="C5399">
        <v>0</v>
      </c>
      <c r="D5399">
        <v>0</v>
      </c>
      <c r="E5399">
        <v>0</v>
      </c>
      <c r="F5399">
        <v>4400</v>
      </c>
    </row>
    <row r="5400" spans="1:6" x14ac:dyDescent="0.25">
      <c r="A5400">
        <v>5399</v>
      </c>
      <c r="B5400">
        <v>46</v>
      </c>
      <c r="C5400">
        <v>0</v>
      </c>
      <c r="D5400">
        <v>0</v>
      </c>
      <c r="E5400">
        <v>0</v>
      </c>
      <c r="F5400">
        <v>0</v>
      </c>
    </row>
    <row r="5401" spans="1:6" x14ac:dyDescent="0.25">
      <c r="A5401">
        <v>5400</v>
      </c>
      <c r="B5401">
        <v>2</v>
      </c>
      <c r="C5401">
        <v>0</v>
      </c>
      <c r="D5401">
        <v>0</v>
      </c>
      <c r="E5401">
        <v>0</v>
      </c>
      <c r="F5401">
        <v>34.406999999999996</v>
      </c>
    </row>
    <row r="5402" spans="1:6" x14ac:dyDescent="0.25">
      <c r="A5402">
        <v>5401</v>
      </c>
      <c r="B5402">
        <v>10</v>
      </c>
      <c r="C5402">
        <v>1</v>
      </c>
      <c r="D5402">
        <v>0</v>
      </c>
      <c r="E5402">
        <v>0</v>
      </c>
      <c r="F5402">
        <v>34715</v>
      </c>
    </row>
    <row r="5403" spans="1:6" x14ac:dyDescent="0.25">
      <c r="A5403">
        <v>5402</v>
      </c>
      <c r="B5403">
        <v>13</v>
      </c>
      <c r="C5403">
        <v>0</v>
      </c>
      <c r="D5403">
        <v>0</v>
      </c>
      <c r="E5403">
        <v>0</v>
      </c>
      <c r="F5403">
        <v>1602</v>
      </c>
    </row>
    <row r="5404" spans="1:6" x14ac:dyDescent="0.25">
      <c r="A5404">
        <v>5403</v>
      </c>
      <c r="B5404">
        <v>41</v>
      </c>
      <c r="C5404">
        <v>0</v>
      </c>
      <c r="D5404">
        <v>0</v>
      </c>
      <c r="E5404">
        <v>0</v>
      </c>
      <c r="F5404">
        <v>1</v>
      </c>
    </row>
    <row r="5405" spans="1:6" x14ac:dyDescent="0.25">
      <c r="A5405">
        <v>5404</v>
      </c>
      <c r="B5405">
        <v>42</v>
      </c>
      <c r="C5405">
        <v>0</v>
      </c>
      <c r="D5405">
        <v>0</v>
      </c>
      <c r="E5405">
        <v>0</v>
      </c>
      <c r="F5405">
        <v>0.2</v>
      </c>
    </row>
    <row r="5406" spans="1:6" x14ac:dyDescent="0.25">
      <c r="A5406">
        <v>5405</v>
      </c>
      <c r="B5406">
        <v>43</v>
      </c>
      <c r="C5406">
        <v>0</v>
      </c>
      <c r="D5406">
        <v>0</v>
      </c>
      <c r="E5406">
        <v>0</v>
      </c>
      <c r="F5406">
        <v>0</v>
      </c>
    </row>
    <row r="5407" spans="1:6" x14ac:dyDescent="0.25">
      <c r="A5407">
        <v>5406</v>
      </c>
      <c r="B5407">
        <v>44</v>
      </c>
      <c r="C5407">
        <v>0</v>
      </c>
      <c r="D5407">
        <v>0</v>
      </c>
      <c r="E5407">
        <v>0</v>
      </c>
      <c r="F5407">
        <v>55.927500000000002</v>
      </c>
    </row>
    <row r="5408" spans="1:6" x14ac:dyDescent="0.25">
      <c r="A5408">
        <v>5407</v>
      </c>
      <c r="B5408">
        <v>45</v>
      </c>
      <c r="C5408">
        <v>0</v>
      </c>
      <c r="D5408">
        <v>0</v>
      </c>
      <c r="E5408">
        <v>0</v>
      </c>
      <c r="F5408">
        <v>4400</v>
      </c>
    </row>
    <row r="5409" spans="1:6" x14ac:dyDescent="0.25">
      <c r="A5409">
        <v>5408</v>
      </c>
      <c r="B5409">
        <v>46</v>
      </c>
      <c r="C5409">
        <v>0</v>
      </c>
      <c r="D5409">
        <v>0</v>
      </c>
      <c r="E5409">
        <v>0</v>
      </c>
      <c r="F5409">
        <v>0</v>
      </c>
    </row>
    <row r="5410" spans="1:6" x14ac:dyDescent="0.25">
      <c r="A5410">
        <v>5409</v>
      </c>
      <c r="B5410">
        <v>2</v>
      </c>
      <c r="C5410">
        <v>0</v>
      </c>
      <c r="D5410">
        <v>0</v>
      </c>
      <c r="E5410">
        <v>0</v>
      </c>
      <c r="F5410">
        <v>34.406999999999996</v>
      </c>
    </row>
    <row r="5411" spans="1:6" x14ac:dyDescent="0.25">
      <c r="A5411">
        <v>5410</v>
      </c>
      <c r="B5411">
        <v>10</v>
      </c>
      <c r="C5411">
        <v>1</v>
      </c>
      <c r="D5411">
        <v>0</v>
      </c>
      <c r="E5411">
        <v>0</v>
      </c>
      <c r="F5411">
        <v>34715</v>
      </c>
    </row>
    <row r="5412" spans="1:6" x14ac:dyDescent="0.25">
      <c r="A5412">
        <v>5411</v>
      </c>
      <c r="B5412">
        <v>13</v>
      </c>
      <c r="C5412">
        <v>0</v>
      </c>
      <c r="D5412">
        <v>0</v>
      </c>
      <c r="E5412">
        <v>0</v>
      </c>
      <c r="F5412">
        <v>1602</v>
      </c>
    </row>
    <row r="5413" spans="1:6" x14ac:dyDescent="0.25">
      <c r="A5413">
        <v>5412</v>
      </c>
      <c r="B5413">
        <v>41</v>
      </c>
      <c r="C5413">
        <v>0</v>
      </c>
      <c r="D5413">
        <v>0</v>
      </c>
      <c r="E5413">
        <v>0</v>
      </c>
      <c r="F5413">
        <v>1</v>
      </c>
    </row>
    <row r="5414" spans="1:6" x14ac:dyDescent="0.25">
      <c r="A5414">
        <v>5413</v>
      </c>
      <c r="B5414">
        <v>42</v>
      </c>
      <c r="C5414">
        <v>0</v>
      </c>
      <c r="D5414">
        <v>0</v>
      </c>
      <c r="E5414">
        <v>0</v>
      </c>
      <c r="F5414">
        <v>0.2</v>
      </c>
    </row>
    <row r="5415" spans="1:6" x14ac:dyDescent="0.25">
      <c r="A5415">
        <v>5414</v>
      </c>
      <c r="B5415">
        <v>43</v>
      </c>
      <c r="C5415">
        <v>0</v>
      </c>
      <c r="D5415">
        <v>0</v>
      </c>
      <c r="E5415">
        <v>0</v>
      </c>
      <c r="F5415">
        <v>0</v>
      </c>
    </row>
    <row r="5416" spans="1:6" x14ac:dyDescent="0.25">
      <c r="A5416">
        <v>5415</v>
      </c>
      <c r="B5416">
        <v>44</v>
      </c>
      <c r="C5416">
        <v>0</v>
      </c>
      <c r="D5416">
        <v>0</v>
      </c>
      <c r="E5416">
        <v>0</v>
      </c>
      <c r="F5416">
        <v>56.152500000000003</v>
      </c>
    </row>
    <row r="5417" spans="1:6" x14ac:dyDescent="0.25">
      <c r="A5417">
        <v>5416</v>
      </c>
      <c r="B5417">
        <v>45</v>
      </c>
      <c r="C5417">
        <v>0</v>
      </c>
      <c r="D5417">
        <v>0</v>
      </c>
      <c r="E5417">
        <v>0</v>
      </c>
      <c r="F5417">
        <v>4400</v>
      </c>
    </row>
    <row r="5418" spans="1:6" x14ac:dyDescent="0.25">
      <c r="A5418">
        <v>5417</v>
      </c>
      <c r="B5418">
        <v>46</v>
      </c>
      <c r="C5418">
        <v>0</v>
      </c>
      <c r="D5418">
        <v>0</v>
      </c>
      <c r="E5418">
        <v>0</v>
      </c>
      <c r="F5418">
        <v>0</v>
      </c>
    </row>
    <row r="5419" spans="1:6" x14ac:dyDescent="0.25">
      <c r="A5419">
        <v>5418</v>
      </c>
      <c r="B5419">
        <v>2</v>
      </c>
      <c r="C5419">
        <v>0</v>
      </c>
      <c r="D5419">
        <v>0</v>
      </c>
      <c r="E5419">
        <v>0</v>
      </c>
      <c r="F5419">
        <v>34.4071</v>
      </c>
    </row>
    <row r="5420" spans="1:6" x14ac:dyDescent="0.25">
      <c r="A5420">
        <v>5419</v>
      </c>
      <c r="B5420">
        <v>10</v>
      </c>
      <c r="C5420">
        <v>1</v>
      </c>
      <c r="D5420">
        <v>0</v>
      </c>
      <c r="E5420">
        <v>0</v>
      </c>
      <c r="F5420">
        <v>34715</v>
      </c>
    </row>
    <row r="5421" spans="1:6" x14ac:dyDescent="0.25">
      <c r="A5421">
        <v>5420</v>
      </c>
      <c r="B5421">
        <v>13</v>
      </c>
      <c r="C5421">
        <v>0</v>
      </c>
      <c r="D5421">
        <v>0</v>
      </c>
      <c r="E5421">
        <v>0</v>
      </c>
      <c r="F5421">
        <v>1602</v>
      </c>
    </row>
    <row r="5422" spans="1:6" x14ac:dyDescent="0.25">
      <c r="A5422">
        <v>5421</v>
      </c>
      <c r="B5422">
        <v>41</v>
      </c>
      <c r="C5422">
        <v>0</v>
      </c>
      <c r="D5422">
        <v>0</v>
      </c>
      <c r="E5422">
        <v>0</v>
      </c>
      <c r="F5422">
        <v>1</v>
      </c>
    </row>
    <row r="5423" spans="1:6" x14ac:dyDescent="0.25">
      <c r="A5423">
        <v>5422</v>
      </c>
      <c r="B5423">
        <v>42</v>
      </c>
      <c r="C5423">
        <v>0</v>
      </c>
      <c r="D5423">
        <v>0</v>
      </c>
      <c r="E5423">
        <v>0</v>
      </c>
      <c r="F5423">
        <v>0.2</v>
      </c>
    </row>
    <row r="5424" spans="1:6" x14ac:dyDescent="0.25">
      <c r="A5424">
        <v>5423</v>
      </c>
      <c r="B5424">
        <v>43</v>
      </c>
      <c r="C5424">
        <v>0</v>
      </c>
      <c r="D5424">
        <v>0</v>
      </c>
      <c r="E5424">
        <v>0</v>
      </c>
      <c r="F5424">
        <v>0</v>
      </c>
    </row>
    <row r="5425" spans="1:6" x14ac:dyDescent="0.25">
      <c r="A5425">
        <v>5424</v>
      </c>
      <c r="B5425">
        <v>44</v>
      </c>
      <c r="C5425">
        <v>0</v>
      </c>
      <c r="D5425">
        <v>0</v>
      </c>
      <c r="E5425">
        <v>0</v>
      </c>
      <c r="F5425">
        <v>56.152500000000003</v>
      </c>
    </row>
    <row r="5426" spans="1:6" x14ac:dyDescent="0.25">
      <c r="A5426">
        <v>5425</v>
      </c>
      <c r="B5426">
        <v>45</v>
      </c>
      <c r="C5426">
        <v>0</v>
      </c>
      <c r="D5426">
        <v>0</v>
      </c>
      <c r="E5426">
        <v>0</v>
      </c>
      <c r="F5426">
        <v>4400</v>
      </c>
    </row>
    <row r="5427" spans="1:6" x14ac:dyDescent="0.25">
      <c r="A5427">
        <v>5426</v>
      </c>
      <c r="B5427" t="s">
        <v>0</v>
      </c>
      <c r="C5427">
        <v>159</v>
      </c>
      <c r="D5427">
        <v>3483</v>
      </c>
      <c r="E5427">
        <v>80081164</v>
      </c>
    </row>
    <row r="5428" spans="1:6" x14ac:dyDescent="0.25">
      <c r="A5428">
        <v>5427</v>
      </c>
      <c r="B5428">
        <v>46</v>
      </c>
      <c r="C5428">
        <v>0</v>
      </c>
      <c r="D5428">
        <v>0</v>
      </c>
      <c r="E5428">
        <v>0</v>
      </c>
      <c r="F5428">
        <v>0</v>
      </c>
    </row>
    <row r="5429" spans="1:6" x14ac:dyDescent="0.25">
      <c r="A5429">
        <v>5428</v>
      </c>
      <c r="B5429">
        <v>2</v>
      </c>
      <c r="C5429">
        <v>0</v>
      </c>
      <c r="D5429">
        <v>0</v>
      </c>
      <c r="E5429">
        <v>0</v>
      </c>
      <c r="F5429">
        <v>34.407499999999999</v>
      </c>
    </row>
    <row r="5430" spans="1:6" x14ac:dyDescent="0.25">
      <c r="A5430">
        <v>5429</v>
      </c>
      <c r="B5430">
        <v>10</v>
      </c>
      <c r="C5430">
        <v>1</v>
      </c>
      <c r="D5430">
        <v>0</v>
      </c>
      <c r="E5430">
        <v>0</v>
      </c>
      <c r="F5430">
        <v>34714</v>
      </c>
    </row>
    <row r="5431" spans="1:6" x14ac:dyDescent="0.25">
      <c r="A5431">
        <v>5430</v>
      </c>
      <c r="B5431">
        <v>13</v>
      </c>
      <c r="C5431">
        <v>0</v>
      </c>
      <c r="D5431">
        <v>0</v>
      </c>
      <c r="E5431">
        <v>0</v>
      </c>
      <c r="F5431">
        <v>1602</v>
      </c>
    </row>
    <row r="5432" spans="1:6" x14ac:dyDescent="0.25">
      <c r="A5432">
        <v>5431</v>
      </c>
      <c r="B5432">
        <v>41</v>
      </c>
      <c r="C5432">
        <v>0</v>
      </c>
      <c r="D5432">
        <v>0</v>
      </c>
      <c r="E5432">
        <v>0</v>
      </c>
      <c r="F5432">
        <v>1</v>
      </c>
    </row>
    <row r="5433" spans="1:6" x14ac:dyDescent="0.25">
      <c r="A5433">
        <v>5432</v>
      </c>
      <c r="B5433">
        <v>42</v>
      </c>
      <c r="C5433">
        <v>0</v>
      </c>
      <c r="D5433">
        <v>0</v>
      </c>
      <c r="E5433">
        <v>0</v>
      </c>
      <c r="F5433">
        <v>0.2</v>
      </c>
    </row>
    <row r="5434" spans="1:6" x14ac:dyDescent="0.25">
      <c r="A5434">
        <v>5433</v>
      </c>
      <c r="B5434">
        <v>43</v>
      </c>
      <c r="C5434">
        <v>0</v>
      </c>
      <c r="D5434">
        <v>0</v>
      </c>
      <c r="E5434">
        <v>0</v>
      </c>
      <c r="F5434">
        <v>0</v>
      </c>
    </row>
    <row r="5435" spans="1:6" x14ac:dyDescent="0.25">
      <c r="A5435">
        <v>5434</v>
      </c>
      <c r="B5435">
        <v>44</v>
      </c>
      <c r="C5435">
        <v>0</v>
      </c>
      <c r="D5435">
        <v>0</v>
      </c>
      <c r="E5435">
        <v>0</v>
      </c>
      <c r="F5435">
        <v>56.402099999999997</v>
      </c>
    </row>
    <row r="5436" spans="1:6" x14ac:dyDescent="0.25">
      <c r="A5436">
        <v>5435</v>
      </c>
      <c r="B5436">
        <v>45</v>
      </c>
      <c r="C5436">
        <v>0</v>
      </c>
      <c r="D5436">
        <v>0</v>
      </c>
      <c r="E5436">
        <v>0</v>
      </c>
      <c r="F5436">
        <v>4400</v>
      </c>
    </row>
    <row r="5437" spans="1:6" x14ac:dyDescent="0.25">
      <c r="A5437">
        <v>5436</v>
      </c>
      <c r="B5437">
        <v>46</v>
      </c>
      <c r="C5437">
        <v>0</v>
      </c>
      <c r="D5437">
        <v>0</v>
      </c>
      <c r="E5437">
        <v>0</v>
      </c>
      <c r="F5437">
        <v>0</v>
      </c>
    </row>
    <row r="5438" spans="1:6" x14ac:dyDescent="0.25">
      <c r="A5438">
        <v>5437</v>
      </c>
      <c r="B5438">
        <v>2</v>
      </c>
      <c r="C5438">
        <v>0</v>
      </c>
      <c r="D5438">
        <v>0</v>
      </c>
      <c r="E5438">
        <v>0</v>
      </c>
      <c r="F5438">
        <v>34.407499999999999</v>
      </c>
    </row>
    <row r="5439" spans="1:6" x14ac:dyDescent="0.25">
      <c r="A5439">
        <v>5438</v>
      </c>
      <c r="B5439">
        <v>10</v>
      </c>
      <c r="C5439">
        <v>1</v>
      </c>
      <c r="D5439">
        <v>0</v>
      </c>
      <c r="E5439">
        <v>0</v>
      </c>
      <c r="F5439">
        <v>34714</v>
      </c>
    </row>
    <row r="5440" spans="1:6" x14ac:dyDescent="0.25">
      <c r="A5440">
        <v>5439</v>
      </c>
      <c r="B5440">
        <v>13</v>
      </c>
      <c r="C5440">
        <v>0</v>
      </c>
      <c r="D5440">
        <v>0</v>
      </c>
      <c r="E5440">
        <v>0</v>
      </c>
      <c r="F5440">
        <v>1602</v>
      </c>
    </row>
    <row r="5441" spans="1:6" x14ac:dyDescent="0.25">
      <c r="A5441">
        <v>5440</v>
      </c>
      <c r="B5441">
        <v>41</v>
      </c>
      <c r="C5441">
        <v>0</v>
      </c>
      <c r="D5441">
        <v>0</v>
      </c>
      <c r="E5441">
        <v>0</v>
      </c>
      <c r="F5441">
        <v>1</v>
      </c>
    </row>
    <row r="5442" spans="1:6" x14ac:dyDescent="0.25">
      <c r="A5442">
        <v>5441</v>
      </c>
      <c r="B5442" t="s">
        <v>0</v>
      </c>
      <c r="C5442">
        <v>160</v>
      </c>
      <c r="D5442">
        <v>3483</v>
      </c>
      <c r="E5442">
        <v>80082132</v>
      </c>
    </row>
    <row r="5443" spans="1:6" x14ac:dyDescent="0.25">
      <c r="A5443">
        <v>5442</v>
      </c>
      <c r="B5443">
        <v>43</v>
      </c>
      <c r="C5443">
        <v>0</v>
      </c>
      <c r="D5443">
        <v>0</v>
      </c>
      <c r="E5443">
        <v>0</v>
      </c>
      <c r="F5443">
        <v>0</v>
      </c>
    </row>
    <row r="5444" spans="1:6" x14ac:dyDescent="0.25">
      <c r="A5444">
        <v>5443</v>
      </c>
      <c r="B5444">
        <v>44</v>
      </c>
      <c r="C5444">
        <v>0</v>
      </c>
      <c r="D5444">
        <v>0</v>
      </c>
      <c r="E5444">
        <v>0</v>
      </c>
      <c r="F5444">
        <v>56.652799999999999</v>
      </c>
    </row>
    <row r="5445" spans="1:6" x14ac:dyDescent="0.25">
      <c r="A5445">
        <v>5444</v>
      </c>
      <c r="B5445">
        <v>45</v>
      </c>
      <c r="C5445">
        <v>0</v>
      </c>
      <c r="D5445">
        <v>0</v>
      </c>
      <c r="E5445">
        <v>0</v>
      </c>
      <c r="F5445">
        <v>4400</v>
      </c>
    </row>
    <row r="5446" spans="1:6" x14ac:dyDescent="0.25">
      <c r="A5446">
        <v>5445</v>
      </c>
      <c r="B5446">
        <v>46</v>
      </c>
      <c r="C5446">
        <v>0</v>
      </c>
      <c r="D5446">
        <v>0</v>
      </c>
      <c r="E5446">
        <v>0</v>
      </c>
      <c r="F5446">
        <v>0</v>
      </c>
    </row>
    <row r="5447" spans="1:6" x14ac:dyDescent="0.25">
      <c r="A5447">
        <v>5446</v>
      </c>
      <c r="B5447">
        <v>2</v>
      </c>
      <c r="C5447">
        <v>0</v>
      </c>
      <c r="D5447">
        <v>0</v>
      </c>
      <c r="E5447">
        <v>0</v>
      </c>
      <c r="F5447">
        <v>34.406799999999997</v>
      </c>
    </row>
    <row r="5448" spans="1:6" x14ac:dyDescent="0.25">
      <c r="A5448">
        <v>5447</v>
      </c>
      <c r="B5448">
        <v>10</v>
      </c>
      <c r="C5448">
        <v>1</v>
      </c>
      <c r="D5448">
        <v>0</v>
      </c>
      <c r="E5448">
        <v>0</v>
      </c>
      <c r="F5448">
        <v>34715</v>
      </c>
    </row>
    <row r="5449" spans="1:6" x14ac:dyDescent="0.25">
      <c r="A5449">
        <v>5448</v>
      </c>
      <c r="B5449">
        <v>13</v>
      </c>
      <c r="C5449">
        <v>0</v>
      </c>
      <c r="D5449">
        <v>0</v>
      </c>
      <c r="E5449">
        <v>0</v>
      </c>
      <c r="F5449">
        <v>1602</v>
      </c>
    </row>
    <row r="5450" spans="1:6" x14ac:dyDescent="0.25">
      <c r="A5450">
        <v>5449</v>
      </c>
      <c r="B5450">
        <v>41</v>
      </c>
      <c r="C5450">
        <v>0</v>
      </c>
      <c r="D5450">
        <v>0</v>
      </c>
      <c r="E5450">
        <v>0</v>
      </c>
      <c r="F5450">
        <v>1</v>
      </c>
    </row>
    <row r="5451" spans="1:6" x14ac:dyDescent="0.25">
      <c r="A5451">
        <v>5450</v>
      </c>
      <c r="B5451">
        <v>42</v>
      </c>
      <c r="C5451">
        <v>0</v>
      </c>
      <c r="D5451">
        <v>0</v>
      </c>
      <c r="E5451">
        <v>0</v>
      </c>
      <c r="F5451">
        <v>0.2</v>
      </c>
    </row>
    <row r="5452" spans="1:6" x14ac:dyDescent="0.25">
      <c r="A5452">
        <v>5451</v>
      </c>
      <c r="B5452">
        <v>43</v>
      </c>
      <c r="C5452">
        <v>0</v>
      </c>
      <c r="D5452">
        <v>0</v>
      </c>
      <c r="E5452">
        <v>0</v>
      </c>
      <c r="F5452">
        <v>0</v>
      </c>
    </row>
    <row r="5453" spans="1:6" x14ac:dyDescent="0.25">
      <c r="A5453">
        <v>5452</v>
      </c>
      <c r="B5453" t="s">
        <v>1</v>
      </c>
      <c r="C5453">
        <v>160</v>
      </c>
      <c r="D5453">
        <v>3483</v>
      </c>
      <c r="E5453">
        <v>80082830</v>
      </c>
    </row>
    <row r="5454" spans="1:6" x14ac:dyDescent="0.25">
      <c r="A5454">
        <v>5453</v>
      </c>
      <c r="B5454">
        <v>44</v>
      </c>
      <c r="C5454">
        <v>0</v>
      </c>
      <c r="D5454">
        <v>0</v>
      </c>
      <c r="E5454">
        <v>0</v>
      </c>
      <c r="F5454">
        <v>56.652799999999999</v>
      </c>
    </row>
    <row r="5455" spans="1:6" x14ac:dyDescent="0.25">
      <c r="A5455">
        <v>5454</v>
      </c>
      <c r="B5455">
        <v>45</v>
      </c>
      <c r="C5455">
        <v>0</v>
      </c>
      <c r="D5455">
        <v>0</v>
      </c>
      <c r="E5455">
        <v>0</v>
      </c>
      <c r="F5455">
        <v>4400</v>
      </c>
    </row>
    <row r="5456" spans="1:6" x14ac:dyDescent="0.25">
      <c r="A5456">
        <v>5455</v>
      </c>
      <c r="B5456">
        <v>46</v>
      </c>
      <c r="C5456">
        <v>0</v>
      </c>
      <c r="D5456">
        <v>0</v>
      </c>
      <c r="E5456">
        <v>0</v>
      </c>
      <c r="F5456">
        <v>0</v>
      </c>
    </row>
    <row r="5457" spans="1:6" x14ac:dyDescent="0.25">
      <c r="A5457">
        <v>5456</v>
      </c>
      <c r="B5457">
        <v>2</v>
      </c>
      <c r="C5457">
        <v>0</v>
      </c>
      <c r="D5457">
        <v>0</v>
      </c>
      <c r="E5457">
        <v>0</v>
      </c>
      <c r="F5457">
        <v>34.406799999999997</v>
      </c>
    </row>
    <row r="5458" spans="1:6" x14ac:dyDescent="0.25">
      <c r="A5458">
        <v>5457</v>
      </c>
      <c r="B5458" t="s">
        <v>0</v>
      </c>
      <c r="C5458">
        <v>161</v>
      </c>
      <c r="D5458">
        <v>3483</v>
      </c>
      <c r="E5458">
        <v>80083100</v>
      </c>
    </row>
    <row r="5459" spans="1:6" x14ac:dyDescent="0.25">
      <c r="A5459">
        <v>5458</v>
      </c>
      <c r="B5459">
        <v>10</v>
      </c>
      <c r="C5459">
        <v>1</v>
      </c>
      <c r="D5459">
        <v>0</v>
      </c>
      <c r="E5459">
        <v>0</v>
      </c>
      <c r="F5459">
        <v>34715</v>
      </c>
    </row>
    <row r="5460" spans="1:6" x14ac:dyDescent="0.25">
      <c r="A5460">
        <v>5459</v>
      </c>
      <c r="B5460">
        <v>13</v>
      </c>
      <c r="C5460">
        <v>0</v>
      </c>
      <c r="D5460">
        <v>0</v>
      </c>
      <c r="E5460">
        <v>0</v>
      </c>
      <c r="F5460">
        <v>1603</v>
      </c>
    </row>
    <row r="5461" spans="1:6" x14ac:dyDescent="0.25">
      <c r="A5461">
        <v>5460</v>
      </c>
      <c r="B5461">
        <v>41</v>
      </c>
      <c r="C5461">
        <v>0</v>
      </c>
      <c r="D5461">
        <v>0</v>
      </c>
      <c r="E5461">
        <v>0</v>
      </c>
      <c r="F5461">
        <v>1</v>
      </c>
    </row>
    <row r="5462" spans="1:6" x14ac:dyDescent="0.25">
      <c r="A5462">
        <v>5461</v>
      </c>
      <c r="B5462">
        <v>42</v>
      </c>
      <c r="C5462">
        <v>0</v>
      </c>
      <c r="D5462">
        <v>0</v>
      </c>
      <c r="E5462">
        <v>0</v>
      </c>
      <c r="F5462">
        <v>0.2</v>
      </c>
    </row>
    <row r="5463" spans="1:6" x14ac:dyDescent="0.25">
      <c r="A5463">
        <v>5462</v>
      </c>
      <c r="B5463">
        <v>43</v>
      </c>
      <c r="C5463">
        <v>0</v>
      </c>
      <c r="D5463">
        <v>0</v>
      </c>
      <c r="E5463">
        <v>0</v>
      </c>
      <c r="F5463">
        <v>0</v>
      </c>
    </row>
    <row r="5464" spans="1:6" x14ac:dyDescent="0.25">
      <c r="A5464">
        <v>5463</v>
      </c>
      <c r="B5464">
        <v>44</v>
      </c>
      <c r="C5464">
        <v>0</v>
      </c>
      <c r="D5464">
        <v>0</v>
      </c>
      <c r="E5464">
        <v>0</v>
      </c>
      <c r="F5464">
        <v>56.903599999999997</v>
      </c>
    </row>
    <row r="5465" spans="1:6" x14ac:dyDescent="0.25">
      <c r="A5465">
        <v>5464</v>
      </c>
      <c r="B5465">
        <v>45</v>
      </c>
      <c r="C5465">
        <v>0</v>
      </c>
      <c r="D5465">
        <v>0</v>
      </c>
      <c r="E5465">
        <v>0</v>
      </c>
      <c r="F5465">
        <v>4400</v>
      </c>
    </row>
    <row r="5466" spans="1:6" x14ac:dyDescent="0.25">
      <c r="A5466">
        <v>5465</v>
      </c>
      <c r="B5466">
        <v>46</v>
      </c>
      <c r="C5466">
        <v>0</v>
      </c>
      <c r="D5466">
        <v>0</v>
      </c>
      <c r="E5466">
        <v>0</v>
      </c>
      <c r="F5466">
        <v>0</v>
      </c>
    </row>
    <row r="5467" spans="1:6" x14ac:dyDescent="0.25">
      <c r="A5467">
        <v>5466</v>
      </c>
      <c r="B5467">
        <v>2</v>
      </c>
      <c r="C5467">
        <v>0</v>
      </c>
      <c r="D5467">
        <v>0</v>
      </c>
      <c r="E5467">
        <v>0</v>
      </c>
      <c r="F5467">
        <v>34.405999999999999</v>
      </c>
    </row>
    <row r="5468" spans="1:6" x14ac:dyDescent="0.25">
      <c r="A5468">
        <v>5467</v>
      </c>
      <c r="B5468">
        <v>10</v>
      </c>
      <c r="C5468">
        <v>1</v>
      </c>
      <c r="D5468">
        <v>0</v>
      </c>
      <c r="E5468">
        <v>0</v>
      </c>
      <c r="F5468">
        <v>34716</v>
      </c>
    </row>
    <row r="5469" spans="1:6" x14ac:dyDescent="0.25">
      <c r="A5469">
        <v>5468</v>
      </c>
      <c r="B5469">
        <v>13</v>
      </c>
      <c r="C5469">
        <v>0</v>
      </c>
      <c r="D5469">
        <v>0</v>
      </c>
      <c r="E5469">
        <v>0</v>
      </c>
      <c r="F5469">
        <v>1603</v>
      </c>
    </row>
    <row r="5470" spans="1:6" x14ac:dyDescent="0.25">
      <c r="A5470">
        <v>5469</v>
      </c>
      <c r="B5470">
        <v>41</v>
      </c>
      <c r="C5470">
        <v>0</v>
      </c>
      <c r="D5470">
        <v>0</v>
      </c>
      <c r="E5470">
        <v>0</v>
      </c>
      <c r="F5470">
        <v>1</v>
      </c>
    </row>
    <row r="5471" spans="1:6" x14ac:dyDescent="0.25">
      <c r="A5471">
        <v>5470</v>
      </c>
      <c r="B5471">
        <v>42</v>
      </c>
      <c r="C5471">
        <v>0</v>
      </c>
      <c r="D5471">
        <v>0</v>
      </c>
      <c r="E5471">
        <v>0</v>
      </c>
      <c r="F5471">
        <v>0.2</v>
      </c>
    </row>
    <row r="5472" spans="1:6" x14ac:dyDescent="0.25">
      <c r="A5472">
        <v>5471</v>
      </c>
      <c r="B5472">
        <v>43</v>
      </c>
      <c r="C5472">
        <v>0</v>
      </c>
      <c r="D5472">
        <v>0</v>
      </c>
      <c r="E5472">
        <v>0</v>
      </c>
      <c r="F5472">
        <v>0</v>
      </c>
    </row>
    <row r="5473" spans="1:6" x14ac:dyDescent="0.25">
      <c r="A5473">
        <v>5472</v>
      </c>
      <c r="B5473">
        <v>44</v>
      </c>
      <c r="C5473">
        <v>0</v>
      </c>
      <c r="D5473">
        <v>0</v>
      </c>
      <c r="E5473">
        <v>0</v>
      </c>
      <c r="F5473">
        <v>56.903599999999997</v>
      </c>
    </row>
    <row r="5474" spans="1:6" x14ac:dyDescent="0.25">
      <c r="A5474">
        <v>5473</v>
      </c>
      <c r="B5474">
        <v>45</v>
      </c>
      <c r="C5474">
        <v>0</v>
      </c>
      <c r="D5474">
        <v>0</v>
      </c>
      <c r="E5474">
        <v>0</v>
      </c>
      <c r="F5474">
        <v>4400</v>
      </c>
    </row>
    <row r="5475" spans="1:6" x14ac:dyDescent="0.25">
      <c r="A5475">
        <v>5474</v>
      </c>
      <c r="B5475">
        <v>46</v>
      </c>
      <c r="C5475">
        <v>0</v>
      </c>
      <c r="D5475">
        <v>0</v>
      </c>
      <c r="E5475">
        <v>0</v>
      </c>
      <c r="F5475">
        <v>0</v>
      </c>
    </row>
    <row r="5476" spans="1:6" x14ac:dyDescent="0.25">
      <c r="A5476">
        <v>5475</v>
      </c>
      <c r="B5476">
        <v>2</v>
      </c>
      <c r="C5476">
        <v>0</v>
      </c>
      <c r="D5476">
        <v>0</v>
      </c>
      <c r="E5476">
        <v>0</v>
      </c>
      <c r="F5476">
        <v>34.405900000000003</v>
      </c>
    </row>
    <row r="5477" spans="1:6" x14ac:dyDescent="0.25">
      <c r="A5477">
        <v>5476</v>
      </c>
      <c r="B5477">
        <v>10</v>
      </c>
      <c r="C5477">
        <v>1</v>
      </c>
      <c r="D5477">
        <v>0</v>
      </c>
      <c r="E5477">
        <v>0</v>
      </c>
      <c r="F5477">
        <v>34716</v>
      </c>
    </row>
    <row r="5478" spans="1:6" x14ac:dyDescent="0.25">
      <c r="A5478">
        <v>5477</v>
      </c>
      <c r="B5478">
        <v>13</v>
      </c>
      <c r="C5478">
        <v>0</v>
      </c>
      <c r="D5478">
        <v>0</v>
      </c>
      <c r="E5478">
        <v>0</v>
      </c>
      <c r="F5478">
        <v>1603</v>
      </c>
    </row>
    <row r="5479" spans="1:6" x14ac:dyDescent="0.25">
      <c r="A5479">
        <v>5478</v>
      </c>
      <c r="B5479">
        <v>41</v>
      </c>
      <c r="C5479">
        <v>0</v>
      </c>
      <c r="D5479">
        <v>0</v>
      </c>
      <c r="E5479">
        <v>0</v>
      </c>
      <c r="F5479">
        <v>1</v>
      </c>
    </row>
    <row r="5480" spans="1:6" x14ac:dyDescent="0.25">
      <c r="A5480">
        <v>5479</v>
      </c>
      <c r="B5480">
        <v>42</v>
      </c>
      <c r="C5480">
        <v>0</v>
      </c>
      <c r="D5480">
        <v>0</v>
      </c>
      <c r="E5480">
        <v>0</v>
      </c>
      <c r="F5480">
        <v>0.2</v>
      </c>
    </row>
    <row r="5481" spans="1:6" x14ac:dyDescent="0.25">
      <c r="A5481">
        <v>5480</v>
      </c>
      <c r="B5481">
        <v>43</v>
      </c>
      <c r="C5481">
        <v>0</v>
      </c>
      <c r="D5481">
        <v>0</v>
      </c>
      <c r="E5481">
        <v>0</v>
      </c>
      <c r="F5481">
        <v>0</v>
      </c>
    </row>
    <row r="5482" spans="1:6" x14ac:dyDescent="0.25">
      <c r="A5482">
        <v>5481</v>
      </c>
      <c r="B5482">
        <v>44</v>
      </c>
      <c r="C5482">
        <v>0</v>
      </c>
      <c r="D5482">
        <v>0</v>
      </c>
      <c r="E5482">
        <v>0</v>
      </c>
      <c r="F5482">
        <v>57.128700000000002</v>
      </c>
    </row>
    <row r="5483" spans="1:6" x14ac:dyDescent="0.25">
      <c r="A5483">
        <v>5482</v>
      </c>
      <c r="B5483">
        <v>45</v>
      </c>
      <c r="C5483">
        <v>0</v>
      </c>
      <c r="D5483">
        <v>0</v>
      </c>
      <c r="E5483">
        <v>0</v>
      </c>
      <c r="F5483">
        <v>4400</v>
      </c>
    </row>
    <row r="5484" spans="1:6" x14ac:dyDescent="0.25">
      <c r="A5484">
        <v>5483</v>
      </c>
      <c r="B5484">
        <v>46</v>
      </c>
      <c r="C5484">
        <v>0</v>
      </c>
      <c r="D5484">
        <v>0</v>
      </c>
      <c r="E5484">
        <v>0</v>
      </c>
      <c r="F5484">
        <v>0</v>
      </c>
    </row>
    <row r="5485" spans="1:6" x14ac:dyDescent="0.25">
      <c r="A5485">
        <v>5484</v>
      </c>
      <c r="B5485">
        <v>2</v>
      </c>
      <c r="C5485">
        <v>0</v>
      </c>
      <c r="D5485">
        <v>0</v>
      </c>
      <c r="E5485">
        <v>0</v>
      </c>
      <c r="F5485">
        <v>34.405900000000003</v>
      </c>
    </row>
    <row r="5486" spans="1:6" x14ac:dyDescent="0.25">
      <c r="A5486">
        <v>5485</v>
      </c>
      <c r="B5486">
        <v>10</v>
      </c>
      <c r="C5486">
        <v>1</v>
      </c>
      <c r="D5486">
        <v>0</v>
      </c>
      <c r="E5486">
        <v>0</v>
      </c>
      <c r="F5486">
        <v>34716</v>
      </c>
    </row>
    <row r="5487" spans="1:6" x14ac:dyDescent="0.25">
      <c r="A5487">
        <v>5486</v>
      </c>
      <c r="B5487">
        <v>13</v>
      </c>
      <c r="C5487">
        <v>0</v>
      </c>
      <c r="D5487">
        <v>0</v>
      </c>
      <c r="E5487">
        <v>0</v>
      </c>
      <c r="F5487">
        <v>1603</v>
      </c>
    </row>
    <row r="5488" spans="1:6" x14ac:dyDescent="0.25">
      <c r="A5488">
        <v>5487</v>
      </c>
      <c r="B5488" t="s">
        <v>0</v>
      </c>
      <c r="C5488">
        <v>163</v>
      </c>
      <c r="D5488">
        <v>3483</v>
      </c>
      <c r="E5488">
        <v>80085035</v>
      </c>
    </row>
    <row r="5489" spans="1:6" x14ac:dyDescent="0.25">
      <c r="A5489">
        <v>5488</v>
      </c>
      <c r="B5489">
        <v>41</v>
      </c>
      <c r="C5489">
        <v>0</v>
      </c>
      <c r="D5489">
        <v>0</v>
      </c>
      <c r="E5489">
        <v>0</v>
      </c>
      <c r="F5489">
        <v>1</v>
      </c>
    </row>
    <row r="5490" spans="1:6" x14ac:dyDescent="0.25">
      <c r="A5490">
        <v>5489</v>
      </c>
      <c r="B5490">
        <v>42</v>
      </c>
      <c r="C5490">
        <v>0</v>
      </c>
      <c r="D5490">
        <v>0</v>
      </c>
      <c r="E5490">
        <v>0</v>
      </c>
      <c r="F5490">
        <v>0.2</v>
      </c>
    </row>
    <row r="5491" spans="1:6" x14ac:dyDescent="0.25">
      <c r="A5491">
        <v>5490</v>
      </c>
      <c r="B5491">
        <v>43</v>
      </c>
      <c r="C5491">
        <v>0</v>
      </c>
      <c r="D5491">
        <v>0</v>
      </c>
      <c r="E5491">
        <v>0</v>
      </c>
      <c r="F5491">
        <v>0</v>
      </c>
    </row>
    <row r="5492" spans="1:6" x14ac:dyDescent="0.25">
      <c r="A5492">
        <v>5491</v>
      </c>
      <c r="B5492">
        <v>44</v>
      </c>
      <c r="C5492">
        <v>0</v>
      </c>
      <c r="D5492">
        <v>0</v>
      </c>
      <c r="E5492">
        <v>0</v>
      </c>
      <c r="F5492">
        <v>57.377600000000001</v>
      </c>
    </row>
    <row r="5493" spans="1:6" x14ac:dyDescent="0.25">
      <c r="A5493">
        <v>5492</v>
      </c>
      <c r="B5493">
        <v>45</v>
      </c>
      <c r="C5493">
        <v>0</v>
      </c>
      <c r="D5493">
        <v>0</v>
      </c>
      <c r="E5493">
        <v>0</v>
      </c>
      <c r="F5493">
        <v>4400</v>
      </c>
    </row>
    <row r="5494" spans="1:6" x14ac:dyDescent="0.25">
      <c r="A5494">
        <v>5493</v>
      </c>
      <c r="B5494">
        <v>46</v>
      </c>
      <c r="C5494">
        <v>0</v>
      </c>
      <c r="D5494">
        <v>0</v>
      </c>
      <c r="E5494">
        <v>0</v>
      </c>
      <c r="F5494">
        <v>0</v>
      </c>
    </row>
    <row r="5495" spans="1:6" x14ac:dyDescent="0.25">
      <c r="A5495">
        <v>5494</v>
      </c>
      <c r="B5495">
        <v>2</v>
      </c>
      <c r="C5495">
        <v>0</v>
      </c>
      <c r="D5495">
        <v>0</v>
      </c>
      <c r="E5495">
        <v>0</v>
      </c>
      <c r="F5495">
        <v>34.4071</v>
      </c>
    </row>
    <row r="5496" spans="1:6" x14ac:dyDescent="0.25">
      <c r="A5496">
        <v>5495</v>
      </c>
      <c r="B5496">
        <v>10</v>
      </c>
      <c r="C5496">
        <v>1</v>
      </c>
      <c r="D5496">
        <v>0</v>
      </c>
      <c r="E5496">
        <v>0</v>
      </c>
      <c r="F5496">
        <v>34715</v>
      </c>
    </row>
    <row r="5497" spans="1:6" x14ac:dyDescent="0.25">
      <c r="A5497">
        <v>5496</v>
      </c>
      <c r="B5497">
        <v>13</v>
      </c>
      <c r="C5497">
        <v>0</v>
      </c>
      <c r="D5497">
        <v>0</v>
      </c>
      <c r="E5497">
        <v>0</v>
      </c>
      <c r="F5497">
        <v>1603</v>
      </c>
    </row>
    <row r="5498" spans="1:6" x14ac:dyDescent="0.25">
      <c r="A5498">
        <v>5497</v>
      </c>
      <c r="B5498">
        <v>41</v>
      </c>
      <c r="C5498">
        <v>0</v>
      </c>
      <c r="D5498">
        <v>0</v>
      </c>
      <c r="E5498">
        <v>0</v>
      </c>
      <c r="F5498">
        <v>1</v>
      </c>
    </row>
    <row r="5499" spans="1:6" x14ac:dyDescent="0.25">
      <c r="A5499">
        <v>5498</v>
      </c>
      <c r="B5499">
        <v>42</v>
      </c>
      <c r="C5499">
        <v>0</v>
      </c>
      <c r="D5499">
        <v>0</v>
      </c>
      <c r="E5499">
        <v>0</v>
      </c>
      <c r="F5499">
        <v>0.2</v>
      </c>
    </row>
    <row r="5500" spans="1:6" x14ac:dyDescent="0.25">
      <c r="A5500">
        <v>5499</v>
      </c>
      <c r="B5500">
        <v>43</v>
      </c>
      <c r="C5500">
        <v>0</v>
      </c>
      <c r="D5500">
        <v>0</v>
      </c>
      <c r="E5500">
        <v>0</v>
      </c>
      <c r="F5500">
        <v>0</v>
      </c>
    </row>
    <row r="5501" spans="1:6" x14ac:dyDescent="0.25">
      <c r="A5501">
        <v>5500</v>
      </c>
      <c r="B5501">
        <v>44</v>
      </c>
      <c r="C5501">
        <v>0</v>
      </c>
      <c r="D5501">
        <v>0</v>
      </c>
      <c r="E5501">
        <v>0</v>
      </c>
      <c r="F5501">
        <v>57.377600000000001</v>
      </c>
    </row>
    <row r="5502" spans="1:6" x14ac:dyDescent="0.25">
      <c r="A5502">
        <v>5501</v>
      </c>
      <c r="B5502">
        <v>45</v>
      </c>
      <c r="C5502">
        <v>0</v>
      </c>
      <c r="D5502">
        <v>0</v>
      </c>
      <c r="E5502">
        <v>0</v>
      </c>
      <c r="F5502">
        <v>4400</v>
      </c>
    </row>
    <row r="5503" spans="1:6" x14ac:dyDescent="0.25">
      <c r="A5503">
        <v>5502</v>
      </c>
      <c r="B5503" t="s">
        <v>0</v>
      </c>
      <c r="C5503">
        <v>164</v>
      </c>
      <c r="D5503">
        <v>3483</v>
      </c>
      <c r="E5503">
        <v>80086003</v>
      </c>
    </row>
    <row r="5504" spans="1:6" x14ac:dyDescent="0.25">
      <c r="A5504">
        <v>5503</v>
      </c>
      <c r="B5504">
        <v>2</v>
      </c>
      <c r="C5504">
        <v>0</v>
      </c>
      <c r="D5504">
        <v>0</v>
      </c>
      <c r="E5504">
        <v>0</v>
      </c>
      <c r="F5504">
        <v>34.406399999999998</v>
      </c>
    </row>
    <row r="5505" spans="1:6" x14ac:dyDescent="0.25">
      <c r="A5505">
        <v>5504</v>
      </c>
      <c r="B5505">
        <v>10</v>
      </c>
      <c r="C5505">
        <v>1</v>
      </c>
      <c r="D5505">
        <v>0</v>
      </c>
      <c r="E5505">
        <v>0</v>
      </c>
      <c r="F5505">
        <v>34715</v>
      </c>
    </row>
    <row r="5506" spans="1:6" x14ac:dyDescent="0.25">
      <c r="A5506">
        <v>5505</v>
      </c>
      <c r="B5506">
        <v>13</v>
      </c>
      <c r="C5506">
        <v>0</v>
      </c>
      <c r="D5506">
        <v>0</v>
      </c>
      <c r="E5506">
        <v>0</v>
      </c>
      <c r="F5506">
        <v>1603</v>
      </c>
    </row>
    <row r="5507" spans="1:6" x14ac:dyDescent="0.25">
      <c r="A5507">
        <v>5506</v>
      </c>
      <c r="B5507">
        <v>41</v>
      </c>
      <c r="C5507">
        <v>0</v>
      </c>
      <c r="D5507">
        <v>0</v>
      </c>
      <c r="E5507">
        <v>0</v>
      </c>
      <c r="F5507">
        <v>1</v>
      </c>
    </row>
    <row r="5508" spans="1:6" x14ac:dyDescent="0.25">
      <c r="A5508">
        <v>5507</v>
      </c>
      <c r="B5508">
        <v>42</v>
      </c>
      <c r="C5508">
        <v>0</v>
      </c>
      <c r="D5508">
        <v>0</v>
      </c>
      <c r="E5508">
        <v>0</v>
      </c>
      <c r="F5508">
        <v>0.2</v>
      </c>
    </row>
    <row r="5509" spans="1:6" x14ac:dyDescent="0.25">
      <c r="A5509">
        <v>5508</v>
      </c>
      <c r="B5509">
        <v>43</v>
      </c>
      <c r="C5509">
        <v>0</v>
      </c>
      <c r="D5509">
        <v>0</v>
      </c>
      <c r="E5509">
        <v>0</v>
      </c>
      <c r="F5509">
        <v>0</v>
      </c>
    </row>
    <row r="5510" spans="1:6" x14ac:dyDescent="0.25">
      <c r="A5510">
        <v>5509</v>
      </c>
      <c r="B5510">
        <v>44</v>
      </c>
      <c r="C5510">
        <v>0</v>
      </c>
      <c r="D5510">
        <v>0</v>
      </c>
      <c r="E5510">
        <v>0</v>
      </c>
      <c r="F5510">
        <v>57.628300000000003</v>
      </c>
    </row>
    <row r="5511" spans="1:6" x14ac:dyDescent="0.25">
      <c r="A5511">
        <v>5510</v>
      </c>
      <c r="B5511">
        <v>45</v>
      </c>
      <c r="C5511">
        <v>0</v>
      </c>
      <c r="D5511">
        <v>0</v>
      </c>
      <c r="E5511">
        <v>0</v>
      </c>
      <c r="F5511">
        <v>4400</v>
      </c>
    </row>
    <row r="5512" spans="1:6" x14ac:dyDescent="0.25">
      <c r="A5512">
        <v>5511</v>
      </c>
      <c r="B5512">
        <v>46</v>
      </c>
      <c r="C5512">
        <v>0</v>
      </c>
      <c r="D5512">
        <v>0</v>
      </c>
      <c r="E5512">
        <v>0</v>
      </c>
      <c r="F5512">
        <v>0</v>
      </c>
    </row>
    <row r="5513" spans="1:6" x14ac:dyDescent="0.25">
      <c r="A5513">
        <v>5512</v>
      </c>
      <c r="B5513">
        <v>2</v>
      </c>
      <c r="C5513">
        <v>0</v>
      </c>
      <c r="D5513">
        <v>0</v>
      </c>
      <c r="E5513">
        <v>0</v>
      </c>
      <c r="F5513">
        <v>34.406399999999998</v>
      </c>
    </row>
    <row r="5514" spans="1:6" x14ac:dyDescent="0.25">
      <c r="A5514">
        <v>5513</v>
      </c>
      <c r="B5514">
        <v>10</v>
      </c>
      <c r="C5514">
        <v>1</v>
      </c>
      <c r="D5514">
        <v>0</v>
      </c>
      <c r="E5514">
        <v>0</v>
      </c>
      <c r="F5514">
        <v>34715</v>
      </c>
    </row>
    <row r="5515" spans="1:6" x14ac:dyDescent="0.25">
      <c r="A5515">
        <v>5514</v>
      </c>
      <c r="B5515">
        <v>13</v>
      </c>
      <c r="C5515">
        <v>0</v>
      </c>
      <c r="D5515">
        <v>0</v>
      </c>
      <c r="E5515">
        <v>0</v>
      </c>
      <c r="F5515">
        <v>1603</v>
      </c>
    </row>
    <row r="5516" spans="1:6" x14ac:dyDescent="0.25">
      <c r="A5516">
        <v>5515</v>
      </c>
      <c r="B5516">
        <v>41</v>
      </c>
      <c r="C5516">
        <v>0</v>
      </c>
      <c r="D5516">
        <v>0</v>
      </c>
      <c r="E5516">
        <v>0</v>
      </c>
      <c r="F5516">
        <v>1</v>
      </c>
    </row>
    <row r="5517" spans="1:6" x14ac:dyDescent="0.25">
      <c r="A5517">
        <v>5516</v>
      </c>
      <c r="B5517">
        <v>42</v>
      </c>
      <c r="C5517">
        <v>0</v>
      </c>
      <c r="D5517">
        <v>0</v>
      </c>
      <c r="E5517">
        <v>0</v>
      </c>
      <c r="F5517">
        <v>0.2</v>
      </c>
    </row>
    <row r="5518" spans="1:6" x14ac:dyDescent="0.25">
      <c r="A5518">
        <v>5517</v>
      </c>
      <c r="B5518" t="s">
        <v>0</v>
      </c>
      <c r="C5518">
        <v>165</v>
      </c>
      <c r="D5518">
        <v>3483</v>
      </c>
      <c r="E5518">
        <v>80086971</v>
      </c>
    </row>
    <row r="5519" spans="1:6" x14ac:dyDescent="0.25">
      <c r="A5519">
        <v>5518</v>
      </c>
      <c r="B5519">
        <v>43</v>
      </c>
      <c r="C5519">
        <v>0</v>
      </c>
      <c r="D5519">
        <v>0</v>
      </c>
      <c r="E5519">
        <v>0</v>
      </c>
      <c r="F5519">
        <v>0</v>
      </c>
    </row>
    <row r="5520" spans="1:6" x14ac:dyDescent="0.25">
      <c r="A5520">
        <v>5519</v>
      </c>
      <c r="B5520">
        <v>44</v>
      </c>
      <c r="C5520">
        <v>0</v>
      </c>
      <c r="D5520">
        <v>0</v>
      </c>
      <c r="E5520">
        <v>0</v>
      </c>
      <c r="F5520">
        <v>57.852899999999998</v>
      </c>
    </row>
    <row r="5521" spans="1:6" x14ac:dyDescent="0.25">
      <c r="A5521">
        <v>5520</v>
      </c>
      <c r="B5521">
        <v>45</v>
      </c>
      <c r="C5521">
        <v>0</v>
      </c>
      <c r="D5521">
        <v>0</v>
      </c>
      <c r="E5521">
        <v>0</v>
      </c>
      <c r="F5521">
        <v>4400</v>
      </c>
    </row>
    <row r="5522" spans="1:6" x14ac:dyDescent="0.25">
      <c r="A5522">
        <v>5521</v>
      </c>
      <c r="B5522">
        <v>46</v>
      </c>
      <c r="C5522">
        <v>0</v>
      </c>
      <c r="D5522">
        <v>0</v>
      </c>
      <c r="E5522">
        <v>0</v>
      </c>
      <c r="F5522">
        <v>0</v>
      </c>
    </row>
    <row r="5523" spans="1:6" x14ac:dyDescent="0.25">
      <c r="A5523">
        <v>5522</v>
      </c>
      <c r="B5523">
        <v>2</v>
      </c>
      <c r="C5523">
        <v>0</v>
      </c>
      <c r="D5523">
        <v>0</v>
      </c>
      <c r="E5523">
        <v>0</v>
      </c>
      <c r="F5523">
        <v>34.406799999999997</v>
      </c>
    </row>
    <row r="5524" spans="1:6" x14ac:dyDescent="0.25">
      <c r="A5524">
        <v>5523</v>
      </c>
      <c r="B5524">
        <v>10</v>
      </c>
      <c r="C5524">
        <v>1</v>
      </c>
      <c r="D5524">
        <v>0</v>
      </c>
      <c r="E5524">
        <v>0</v>
      </c>
      <c r="F5524">
        <v>34715</v>
      </c>
    </row>
    <row r="5525" spans="1:6" x14ac:dyDescent="0.25">
      <c r="A5525">
        <v>5524</v>
      </c>
      <c r="B5525">
        <v>13</v>
      </c>
      <c r="C5525">
        <v>0</v>
      </c>
      <c r="D5525">
        <v>0</v>
      </c>
      <c r="E5525">
        <v>0</v>
      </c>
      <c r="F5525">
        <v>1603</v>
      </c>
    </row>
    <row r="5526" spans="1:6" x14ac:dyDescent="0.25">
      <c r="A5526">
        <v>5525</v>
      </c>
      <c r="B5526">
        <v>41</v>
      </c>
      <c r="C5526">
        <v>0</v>
      </c>
      <c r="D5526">
        <v>0</v>
      </c>
      <c r="E5526">
        <v>0</v>
      </c>
      <c r="F5526">
        <v>1</v>
      </c>
    </row>
    <row r="5527" spans="1:6" x14ac:dyDescent="0.25">
      <c r="A5527">
        <v>5526</v>
      </c>
      <c r="B5527">
        <v>42</v>
      </c>
      <c r="C5527">
        <v>0</v>
      </c>
      <c r="D5527">
        <v>0</v>
      </c>
      <c r="E5527">
        <v>0</v>
      </c>
      <c r="F5527">
        <v>0.2</v>
      </c>
    </row>
    <row r="5528" spans="1:6" x14ac:dyDescent="0.25">
      <c r="A5528">
        <v>5527</v>
      </c>
      <c r="B5528">
        <v>43</v>
      </c>
      <c r="C5528">
        <v>0</v>
      </c>
      <c r="D5528">
        <v>0</v>
      </c>
      <c r="E5528">
        <v>0</v>
      </c>
      <c r="F5528">
        <v>0</v>
      </c>
    </row>
    <row r="5529" spans="1:6" x14ac:dyDescent="0.25">
      <c r="A5529">
        <v>5528</v>
      </c>
      <c r="B5529">
        <v>44</v>
      </c>
      <c r="C5529">
        <v>0</v>
      </c>
      <c r="D5529">
        <v>0</v>
      </c>
      <c r="E5529">
        <v>0</v>
      </c>
      <c r="F5529">
        <v>57.852899999999998</v>
      </c>
    </row>
    <row r="5530" spans="1:6" x14ac:dyDescent="0.25">
      <c r="A5530">
        <v>5529</v>
      </c>
      <c r="B5530">
        <v>45</v>
      </c>
      <c r="C5530">
        <v>0</v>
      </c>
      <c r="D5530">
        <v>0</v>
      </c>
      <c r="E5530">
        <v>0</v>
      </c>
      <c r="F5530">
        <v>4400</v>
      </c>
    </row>
    <row r="5531" spans="1:6" x14ac:dyDescent="0.25">
      <c r="A5531">
        <v>5530</v>
      </c>
      <c r="B5531">
        <v>46</v>
      </c>
      <c r="C5531">
        <v>0</v>
      </c>
      <c r="D5531">
        <v>0</v>
      </c>
      <c r="E5531">
        <v>0</v>
      </c>
      <c r="F5531">
        <v>0</v>
      </c>
    </row>
    <row r="5532" spans="1:6" x14ac:dyDescent="0.25">
      <c r="A5532">
        <v>5531</v>
      </c>
      <c r="B5532">
        <v>2</v>
      </c>
      <c r="C5532">
        <v>0</v>
      </c>
      <c r="D5532">
        <v>0</v>
      </c>
      <c r="E5532">
        <v>0</v>
      </c>
      <c r="F5532">
        <v>34.406799999999997</v>
      </c>
    </row>
    <row r="5533" spans="1:6" x14ac:dyDescent="0.25">
      <c r="A5533">
        <v>5532</v>
      </c>
      <c r="B5533">
        <v>10</v>
      </c>
      <c r="C5533">
        <v>1</v>
      </c>
      <c r="D5533">
        <v>0</v>
      </c>
      <c r="E5533">
        <v>0</v>
      </c>
      <c r="F5533">
        <v>34715</v>
      </c>
    </row>
    <row r="5534" spans="1:6" x14ac:dyDescent="0.25">
      <c r="A5534">
        <v>5533</v>
      </c>
      <c r="B5534">
        <v>13</v>
      </c>
      <c r="C5534">
        <v>0</v>
      </c>
      <c r="D5534">
        <v>0</v>
      </c>
      <c r="E5534">
        <v>0</v>
      </c>
      <c r="F5534">
        <v>1603</v>
      </c>
    </row>
    <row r="5535" spans="1:6" x14ac:dyDescent="0.25">
      <c r="A5535">
        <v>5534</v>
      </c>
      <c r="B5535">
        <v>41</v>
      </c>
      <c r="C5535">
        <v>0</v>
      </c>
      <c r="D5535">
        <v>0</v>
      </c>
      <c r="E5535">
        <v>0</v>
      </c>
      <c r="F5535">
        <v>1</v>
      </c>
    </row>
    <row r="5536" spans="1:6" x14ac:dyDescent="0.25">
      <c r="A5536">
        <v>5535</v>
      </c>
      <c r="B5536">
        <v>42</v>
      </c>
      <c r="C5536">
        <v>0</v>
      </c>
      <c r="D5536">
        <v>0</v>
      </c>
      <c r="E5536">
        <v>0</v>
      </c>
      <c r="F5536">
        <v>0.2</v>
      </c>
    </row>
    <row r="5537" spans="1:6" x14ac:dyDescent="0.25">
      <c r="A5537">
        <v>5536</v>
      </c>
      <c r="B5537">
        <v>43</v>
      </c>
      <c r="C5537">
        <v>0</v>
      </c>
      <c r="D5537">
        <v>0</v>
      </c>
      <c r="E5537">
        <v>0</v>
      </c>
      <c r="F5537">
        <v>0</v>
      </c>
    </row>
    <row r="5538" spans="1:6" x14ac:dyDescent="0.25">
      <c r="A5538">
        <v>5537</v>
      </c>
      <c r="B5538">
        <v>44</v>
      </c>
      <c r="C5538">
        <v>0</v>
      </c>
      <c r="D5538">
        <v>0</v>
      </c>
      <c r="E5538">
        <v>0</v>
      </c>
      <c r="F5538">
        <v>58.100099999999998</v>
      </c>
    </row>
    <row r="5539" spans="1:6" x14ac:dyDescent="0.25">
      <c r="A5539">
        <v>5538</v>
      </c>
      <c r="B5539">
        <v>45</v>
      </c>
      <c r="C5539">
        <v>0</v>
      </c>
      <c r="D5539">
        <v>0</v>
      </c>
      <c r="E5539">
        <v>0</v>
      </c>
      <c r="F5539">
        <v>4400</v>
      </c>
    </row>
    <row r="5540" spans="1:6" x14ac:dyDescent="0.25">
      <c r="A5540">
        <v>5539</v>
      </c>
      <c r="B5540">
        <v>46</v>
      </c>
      <c r="C5540">
        <v>0</v>
      </c>
      <c r="D5540">
        <v>0</v>
      </c>
      <c r="E5540">
        <v>0</v>
      </c>
      <c r="F5540">
        <v>0</v>
      </c>
    </row>
    <row r="5541" spans="1:6" x14ac:dyDescent="0.25">
      <c r="A5541">
        <v>5540</v>
      </c>
      <c r="B5541">
        <v>2</v>
      </c>
      <c r="C5541">
        <v>0</v>
      </c>
      <c r="D5541">
        <v>0</v>
      </c>
      <c r="E5541">
        <v>0</v>
      </c>
      <c r="F5541">
        <v>34.409500000000001</v>
      </c>
    </row>
    <row r="5542" spans="1:6" x14ac:dyDescent="0.25">
      <c r="A5542">
        <v>5541</v>
      </c>
      <c r="B5542">
        <v>10</v>
      </c>
      <c r="C5542">
        <v>1</v>
      </c>
      <c r="D5542">
        <v>0</v>
      </c>
      <c r="E5542">
        <v>0</v>
      </c>
      <c r="F5542">
        <v>34712</v>
      </c>
    </row>
    <row r="5543" spans="1:6" x14ac:dyDescent="0.25">
      <c r="A5543">
        <v>5542</v>
      </c>
      <c r="B5543">
        <v>13</v>
      </c>
      <c r="C5543">
        <v>0</v>
      </c>
      <c r="D5543">
        <v>0</v>
      </c>
      <c r="E5543">
        <v>0</v>
      </c>
      <c r="F5543">
        <v>1603</v>
      </c>
    </row>
    <row r="5544" spans="1:6" x14ac:dyDescent="0.25">
      <c r="A5544">
        <v>5543</v>
      </c>
      <c r="B5544">
        <v>41</v>
      </c>
      <c r="C5544">
        <v>0</v>
      </c>
      <c r="D5544">
        <v>0</v>
      </c>
      <c r="E5544">
        <v>0</v>
      </c>
      <c r="F5544">
        <v>1</v>
      </c>
    </row>
    <row r="5545" spans="1:6" x14ac:dyDescent="0.25">
      <c r="A5545">
        <v>5544</v>
      </c>
      <c r="B5545">
        <v>42</v>
      </c>
      <c r="C5545">
        <v>0</v>
      </c>
      <c r="D5545">
        <v>0</v>
      </c>
      <c r="E5545">
        <v>0</v>
      </c>
      <c r="F5545">
        <v>0.2</v>
      </c>
    </row>
    <row r="5546" spans="1:6" x14ac:dyDescent="0.25">
      <c r="A5546">
        <v>5545</v>
      </c>
      <c r="B5546">
        <v>43</v>
      </c>
      <c r="C5546">
        <v>0</v>
      </c>
      <c r="D5546">
        <v>0</v>
      </c>
      <c r="E5546">
        <v>0</v>
      </c>
      <c r="F5546">
        <v>0</v>
      </c>
    </row>
    <row r="5547" spans="1:6" x14ac:dyDescent="0.25">
      <c r="A5547">
        <v>5546</v>
      </c>
      <c r="B5547">
        <v>44</v>
      </c>
      <c r="C5547">
        <v>0</v>
      </c>
      <c r="D5547">
        <v>0</v>
      </c>
      <c r="E5547">
        <v>0</v>
      </c>
      <c r="F5547">
        <v>58.100099999999998</v>
      </c>
    </row>
    <row r="5548" spans="1:6" x14ac:dyDescent="0.25">
      <c r="A5548">
        <v>5547</v>
      </c>
      <c r="B5548" t="s">
        <v>0</v>
      </c>
      <c r="C5548">
        <v>167</v>
      </c>
      <c r="D5548">
        <v>3483</v>
      </c>
      <c r="E5548">
        <v>80088881</v>
      </c>
    </row>
    <row r="5549" spans="1:6" x14ac:dyDescent="0.25">
      <c r="A5549">
        <v>5548</v>
      </c>
      <c r="B5549">
        <v>45</v>
      </c>
      <c r="C5549">
        <v>0</v>
      </c>
      <c r="D5549">
        <v>0</v>
      </c>
      <c r="E5549">
        <v>0</v>
      </c>
      <c r="F5549">
        <v>4400</v>
      </c>
    </row>
    <row r="5550" spans="1:6" x14ac:dyDescent="0.25">
      <c r="A5550">
        <v>5549</v>
      </c>
      <c r="B5550">
        <v>46</v>
      </c>
      <c r="C5550">
        <v>0</v>
      </c>
      <c r="D5550">
        <v>0</v>
      </c>
      <c r="E5550">
        <v>0</v>
      </c>
      <c r="F5550">
        <v>0</v>
      </c>
    </row>
    <row r="5551" spans="1:6" x14ac:dyDescent="0.25">
      <c r="A5551">
        <v>5550</v>
      </c>
      <c r="B5551">
        <v>2</v>
      </c>
      <c r="C5551">
        <v>0</v>
      </c>
      <c r="D5551">
        <v>0</v>
      </c>
      <c r="E5551">
        <v>0</v>
      </c>
      <c r="F5551">
        <v>34.454099999999997</v>
      </c>
    </row>
    <row r="5552" spans="1:6" x14ac:dyDescent="0.25">
      <c r="A5552">
        <v>5551</v>
      </c>
      <c r="B5552">
        <v>10</v>
      </c>
      <c r="C5552">
        <v>1</v>
      </c>
      <c r="D5552">
        <v>0</v>
      </c>
      <c r="E5552">
        <v>0</v>
      </c>
      <c r="F5552">
        <v>34667</v>
      </c>
    </row>
    <row r="5553" spans="1:6" x14ac:dyDescent="0.25">
      <c r="A5553">
        <v>5552</v>
      </c>
      <c r="B5553">
        <v>13</v>
      </c>
      <c r="C5553">
        <v>0</v>
      </c>
      <c r="D5553">
        <v>0</v>
      </c>
      <c r="E5553">
        <v>0</v>
      </c>
      <c r="F5553">
        <v>1603</v>
      </c>
    </row>
    <row r="5554" spans="1:6" x14ac:dyDescent="0.25">
      <c r="A5554">
        <v>5553</v>
      </c>
      <c r="B5554">
        <v>41</v>
      </c>
      <c r="C5554">
        <v>0</v>
      </c>
      <c r="D5554">
        <v>0</v>
      </c>
      <c r="E5554">
        <v>0</v>
      </c>
      <c r="F5554">
        <v>1</v>
      </c>
    </row>
    <row r="5555" spans="1:6" x14ac:dyDescent="0.25">
      <c r="A5555">
        <v>5554</v>
      </c>
      <c r="B5555">
        <v>42</v>
      </c>
      <c r="C5555">
        <v>0</v>
      </c>
      <c r="D5555">
        <v>0</v>
      </c>
      <c r="E5555">
        <v>0</v>
      </c>
      <c r="F5555">
        <v>0.2</v>
      </c>
    </row>
    <row r="5556" spans="1:6" x14ac:dyDescent="0.25">
      <c r="A5556">
        <v>5555</v>
      </c>
      <c r="B5556">
        <v>43</v>
      </c>
      <c r="C5556">
        <v>0</v>
      </c>
      <c r="D5556">
        <v>0</v>
      </c>
      <c r="E5556">
        <v>0</v>
      </c>
      <c r="F5556">
        <v>0</v>
      </c>
    </row>
    <row r="5557" spans="1:6" x14ac:dyDescent="0.25">
      <c r="A5557">
        <v>5556</v>
      </c>
      <c r="B5557">
        <v>44</v>
      </c>
      <c r="C5557">
        <v>0</v>
      </c>
      <c r="D5557">
        <v>0</v>
      </c>
      <c r="E5557">
        <v>0</v>
      </c>
      <c r="F5557">
        <v>58.2806</v>
      </c>
    </row>
    <row r="5558" spans="1:6" x14ac:dyDescent="0.25">
      <c r="A5558">
        <v>5557</v>
      </c>
      <c r="B5558">
        <v>45</v>
      </c>
      <c r="C5558">
        <v>0</v>
      </c>
      <c r="D5558">
        <v>0</v>
      </c>
      <c r="E5558">
        <v>0</v>
      </c>
      <c r="F5558">
        <v>4400</v>
      </c>
    </row>
    <row r="5559" spans="1:6" x14ac:dyDescent="0.25">
      <c r="A5559">
        <v>5558</v>
      </c>
      <c r="B5559">
        <v>46</v>
      </c>
      <c r="C5559">
        <v>0</v>
      </c>
      <c r="D5559">
        <v>0</v>
      </c>
      <c r="E5559">
        <v>0</v>
      </c>
      <c r="F5559">
        <v>0</v>
      </c>
    </row>
    <row r="5560" spans="1:6" x14ac:dyDescent="0.25">
      <c r="A5560">
        <v>5559</v>
      </c>
      <c r="B5560">
        <v>2</v>
      </c>
      <c r="C5560">
        <v>0</v>
      </c>
      <c r="D5560">
        <v>0</v>
      </c>
      <c r="E5560">
        <v>0</v>
      </c>
      <c r="F5560">
        <v>34.454099999999997</v>
      </c>
    </row>
    <row r="5561" spans="1:6" x14ac:dyDescent="0.25">
      <c r="A5561">
        <v>5560</v>
      </c>
      <c r="B5561">
        <v>10</v>
      </c>
      <c r="C5561">
        <v>1</v>
      </c>
      <c r="D5561">
        <v>0</v>
      </c>
      <c r="E5561">
        <v>0</v>
      </c>
      <c r="F5561">
        <v>34667</v>
      </c>
    </row>
    <row r="5562" spans="1:6" x14ac:dyDescent="0.25">
      <c r="A5562">
        <v>5561</v>
      </c>
      <c r="B5562">
        <v>13</v>
      </c>
      <c r="C5562">
        <v>0</v>
      </c>
      <c r="D5562">
        <v>0</v>
      </c>
      <c r="E5562">
        <v>0</v>
      </c>
      <c r="F5562">
        <v>1603</v>
      </c>
    </row>
    <row r="5563" spans="1:6" x14ac:dyDescent="0.25">
      <c r="A5563">
        <v>5562</v>
      </c>
      <c r="B5563" t="s">
        <v>0</v>
      </c>
      <c r="C5563">
        <v>168</v>
      </c>
      <c r="D5563">
        <v>3483</v>
      </c>
      <c r="E5563">
        <v>80089799</v>
      </c>
    </row>
    <row r="5564" spans="1:6" x14ac:dyDescent="0.25">
      <c r="A5564">
        <v>5563</v>
      </c>
      <c r="B5564">
        <v>41</v>
      </c>
      <c r="C5564">
        <v>0</v>
      </c>
      <c r="D5564">
        <v>0</v>
      </c>
      <c r="E5564">
        <v>0</v>
      </c>
      <c r="F5564">
        <v>1</v>
      </c>
    </row>
    <row r="5565" spans="1:6" x14ac:dyDescent="0.25">
      <c r="A5565">
        <v>5564</v>
      </c>
      <c r="B5565">
        <v>42</v>
      </c>
      <c r="C5565">
        <v>0</v>
      </c>
      <c r="D5565">
        <v>0</v>
      </c>
      <c r="E5565">
        <v>0</v>
      </c>
      <c r="F5565">
        <v>0.2</v>
      </c>
    </row>
    <row r="5566" spans="1:6" x14ac:dyDescent="0.25">
      <c r="A5566">
        <v>5565</v>
      </c>
      <c r="B5566">
        <v>43</v>
      </c>
      <c r="C5566">
        <v>0</v>
      </c>
      <c r="D5566">
        <v>0</v>
      </c>
      <c r="E5566">
        <v>0</v>
      </c>
      <c r="F5566">
        <v>0</v>
      </c>
    </row>
    <row r="5567" spans="1:6" x14ac:dyDescent="0.25">
      <c r="A5567">
        <v>5566</v>
      </c>
      <c r="B5567">
        <v>44</v>
      </c>
      <c r="C5567">
        <v>0</v>
      </c>
      <c r="D5567">
        <v>0</v>
      </c>
      <c r="E5567">
        <v>0</v>
      </c>
      <c r="F5567">
        <v>58.4129</v>
      </c>
    </row>
    <row r="5568" spans="1:6" x14ac:dyDescent="0.25">
      <c r="A5568">
        <v>5567</v>
      </c>
      <c r="B5568">
        <v>45</v>
      </c>
      <c r="C5568">
        <v>0</v>
      </c>
      <c r="D5568">
        <v>0</v>
      </c>
      <c r="E5568">
        <v>0</v>
      </c>
      <c r="F5568">
        <v>4400</v>
      </c>
    </row>
    <row r="5569" spans="1:6" x14ac:dyDescent="0.25">
      <c r="A5569">
        <v>5568</v>
      </c>
      <c r="B5569">
        <v>46</v>
      </c>
      <c r="C5569">
        <v>0</v>
      </c>
      <c r="D5569">
        <v>0</v>
      </c>
      <c r="E5569">
        <v>0</v>
      </c>
      <c r="F5569">
        <v>0</v>
      </c>
    </row>
    <row r="5570" spans="1:6" x14ac:dyDescent="0.25">
      <c r="A5570">
        <v>5569</v>
      </c>
      <c r="B5570">
        <v>2</v>
      </c>
      <c r="C5570">
        <v>0</v>
      </c>
      <c r="D5570">
        <v>0</v>
      </c>
      <c r="E5570">
        <v>0</v>
      </c>
      <c r="F5570">
        <v>34.546799999999998</v>
      </c>
    </row>
    <row r="5571" spans="1:6" x14ac:dyDescent="0.25">
      <c r="A5571">
        <v>5570</v>
      </c>
      <c r="B5571">
        <v>10</v>
      </c>
      <c r="C5571">
        <v>1</v>
      </c>
      <c r="D5571">
        <v>0</v>
      </c>
      <c r="E5571">
        <v>0</v>
      </c>
      <c r="F5571">
        <v>34574</v>
      </c>
    </row>
    <row r="5572" spans="1:6" x14ac:dyDescent="0.25">
      <c r="A5572">
        <v>5571</v>
      </c>
      <c r="B5572">
        <v>13</v>
      </c>
      <c r="C5572">
        <v>0</v>
      </c>
      <c r="D5572">
        <v>0</v>
      </c>
      <c r="E5572">
        <v>0</v>
      </c>
      <c r="F5572">
        <v>1603</v>
      </c>
    </row>
    <row r="5573" spans="1:6" x14ac:dyDescent="0.25">
      <c r="A5573">
        <v>5572</v>
      </c>
      <c r="B5573">
        <v>41</v>
      </c>
      <c r="C5573">
        <v>0</v>
      </c>
      <c r="D5573">
        <v>0</v>
      </c>
      <c r="E5573">
        <v>0</v>
      </c>
      <c r="F5573">
        <v>1</v>
      </c>
    </row>
    <row r="5574" spans="1:6" x14ac:dyDescent="0.25">
      <c r="A5574">
        <v>5573</v>
      </c>
      <c r="B5574">
        <v>42</v>
      </c>
      <c r="C5574">
        <v>0</v>
      </c>
      <c r="D5574">
        <v>0</v>
      </c>
      <c r="E5574">
        <v>0</v>
      </c>
      <c r="F5574">
        <v>0.2</v>
      </c>
    </row>
    <row r="5575" spans="1:6" x14ac:dyDescent="0.25">
      <c r="A5575">
        <v>5574</v>
      </c>
      <c r="B5575">
        <v>43</v>
      </c>
      <c r="C5575">
        <v>0</v>
      </c>
      <c r="D5575">
        <v>0</v>
      </c>
      <c r="E5575">
        <v>0</v>
      </c>
      <c r="F5575">
        <v>0</v>
      </c>
    </row>
    <row r="5576" spans="1:6" x14ac:dyDescent="0.25">
      <c r="A5576">
        <v>5575</v>
      </c>
      <c r="B5576">
        <v>44</v>
      </c>
      <c r="C5576">
        <v>0</v>
      </c>
      <c r="D5576">
        <v>0</v>
      </c>
      <c r="E5576">
        <v>0</v>
      </c>
      <c r="F5576">
        <v>58.4129</v>
      </c>
    </row>
    <row r="5577" spans="1:6" x14ac:dyDescent="0.25">
      <c r="A5577">
        <v>5576</v>
      </c>
      <c r="B5577" t="s">
        <v>0</v>
      </c>
      <c r="C5577">
        <v>169</v>
      </c>
      <c r="D5577">
        <v>3483</v>
      </c>
      <c r="E5577">
        <v>80090692</v>
      </c>
    </row>
    <row r="5578" spans="1:6" x14ac:dyDescent="0.25">
      <c r="A5578">
        <v>5577</v>
      </c>
      <c r="B5578">
        <v>45</v>
      </c>
      <c r="C5578">
        <v>0</v>
      </c>
      <c r="D5578">
        <v>0</v>
      </c>
      <c r="E5578">
        <v>0</v>
      </c>
      <c r="F5578">
        <v>4400</v>
      </c>
    </row>
    <row r="5579" spans="1:6" x14ac:dyDescent="0.25">
      <c r="A5579">
        <v>5578</v>
      </c>
      <c r="B5579">
        <v>46</v>
      </c>
      <c r="C5579">
        <v>0</v>
      </c>
      <c r="D5579">
        <v>0</v>
      </c>
      <c r="E5579">
        <v>0</v>
      </c>
      <c r="F5579">
        <v>0</v>
      </c>
    </row>
    <row r="5580" spans="1:6" x14ac:dyDescent="0.25">
      <c r="A5580">
        <v>5579</v>
      </c>
      <c r="B5580">
        <v>2</v>
      </c>
      <c r="C5580">
        <v>0</v>
      </c>
      <c r="D5580">
        <v>0</v>
      </c>
      <c r="E5580">
        <v>0</v>
      </c>
      <c r="F5580">
        <v>34.685299999999998</v>
      </c>
    </row>
    <row r="5581" spans="1:6" x14ac:dyDescent="0.25">
      <c r="A5581">
        <v>5580</v>
      </c>
      <c r="B5581">
        <v>10</v>
      </c>
      <c r="C5581">
        <v>1</v>
      </c>
      <c r="D5581">
        <v>0</v>
      </c>
      <c r="E5581">
        <v>0</v>
      </c>
      <c r="F5581">
        <v>34436</v>
      </c>
    </row>
    <row r="5582" spans="1:6" x14ac:dyDescent="0.25">
      <c r="A5582">
        <v>5581</v>
      </c>
      <c r="B5582">
        <v>13</v>
      </c>
      <c r="C5582">
        <v>0</v>
      </c>
      <c r="D5582">
        <v>0</v>
      </c>
      <c r="E5582">
        <v>0</v>
      </c>
      <c r="F5582">
        <v>1603</v>
      </c>
    </row>
    <row r="5583" spans="1:6" x14ac:dyDescent="0.25">
      <c r="A5583">
        <v>5582</v>
      </c>
      <c r="B5583">
        <v>41</v>
      </c>
      <c r="C5583">
        <v>0</v>
      </c>
      <c r="D5583">
        <v>0</v>
      </c>
      <c r="E5583">
        <v>0</v>
      </c>
      <c r="F5583">
        <v>1</v>
      </c>
    </row>
    <row r="5584" spans="1:6" x14ac:dyDescent="0.25">
      <c r="A5584">
        <v>5583</v>
      </c>
      <c r="B5584">
        <v>42</v>
      </c>
      <c r="C5584">
        <v>0</v>
      </c>
      <c r="D5584">
        <v>0</v>
      </c>
      <c r="E5584">
        <v>0</v>
      </c>
      <c r="F5584">
        <v>0.2</v>
      </c>
    </row>
    <row r="5585" spans="1:6" x14ac:dyDescent="0.25">
      <c r="A5585">
        <v>5584</v>
      </c>
      <c r="B5585">
        <v>43</v>
      </c>
      <c r="C5585">
        <v>0</v>
      </c>
      <c r="D5585">
        <v>0</v>
      </c>
      <c r="E5585">
        <v>0</v>
      </c>
      <c r="F5585">
        <v>0</v>
      </c>
    </row>
    <row r="5586" spans="1:6" x14ac:dyDescent="0.25">
      <c r="A5586">
        <v>5585</v>
      </c>
      <c r="B5586">
        <v>44</v>
      </c>
      <c r="C5586">
        <v>0</v>
      </c>
      <c r="D5586">
        <v>0</v>
      </c>
      <c r="E5586">
        <v>0</v>
      </c>
      <c r="F5586">
        <v>58.499499999999998</v>
      </c>
    </row>
    <row r="5587" spans="1:6" x14ac:dyDescent="0.25">
      <c r="A5587">
        <v>5586</v>
      </c>
      <c r="B5587">
        <v>45</v>
      </c>
      <c r="C5587">
        <v>0</v>
      </c>
      <c r="D5587">
        <v>0</v>
      </c>
      <c r="E5587">
        <v>0</v>
      </c>
      <c r="F5587">
        <v>4400</v>
      </c>
    </row>
    <row r="5588" spans="1:6" x14ac:dyDescent="0.25">
      <c r="A5588">
        <v>5587</v>
      </c>
      <c r="B5588">
        <v>46</v>
      </c>
      <c r="C5588">
        <v>0</v>
      </c>
      <c r="D5588">
        <v>0</v>
      </c>
      <c r="E5588">
        <v>0</v>
      </c>
      <c r="F5588">
        <v>0</v>
      </c>
    </row>
    <row r="5589" spans="1:6" x14ac:dyDescent="0.25">
      <c r="A5589">
        <v>5588</v>
      </c>
      <c r="B5589">
        <v>2</v>
      </c>
      <c r="C5589">
        <v>0</v>
      </c>
      <c r="D5589">
        <v>0</v>
      </c>
      <c r="E5589">
        <v>0</v>
      </c>
      <c r="F5589">
        <v>34.685299999999998</v>
      </c>
    </row>
    <row r="5590" spans="1:6" x14ac:dyDescent="0.25">
      <c r="A5590">
        <v>5589</v>
      </c>
      <c r="B5590">
        <v>10</v>
      </c>
      <c r="C5590">
        <v>1</v>
      </c>
      <c r="D5590">
        <v>0</v>
      </c>
      <c r="E5590">
        <v>0</v>
      </c>
      <c r="F5590">
        <v>34436</v>
      </c>
    </row>
    <row r="5591" spans="1:6" x14ac:dyDescent="0.25">
      <c r="A5591">
        <v>5590</v>
      </c>
      <c r="B5591">
        <v>13</v>
      </c>
      <c r="C5591">
        <v>0</v>
      </c>
      <c r="D5591">
        <v>0</v>
      </c>
      <c r="E5591">
        <v>0</v>
      </c>
      <c r="F5591">
        <v>1603</v>
      </c>
    </row>
    <row r="5592" spans="1:6" x14ac:dyDescent="0.25">
      <c r="A5592">
        <v>5591</v>
      </c>
      <c r="B5592">
        <v>41</v>
      </c>
      <c r="C5592">
        <v>0</v>
      </c>
      <c r="D5592">
        <v>0</v>
      </c>
      <c r="E5592">
        <v>0</v>
      </c>
      <c r="F5592">
        <v>1</v>
      </c>
    </row>
    <row r="5593" spans="1:6" x14ac:dyDescent="0.25">
      <c r="A5593">
        <v>5592</v>
      </c>
      <c r="B5593">
        <v>42</v>
      </c>
      <c r="C5593">
        <v>0</v>
      </c>
      <c r="D5593">
        <v>0</v>
      </c>
      <c r="E5593">
        <v>0</v>
      </c>
      <c r="F5593">
        <v>0.2</v>
      </c>
    </row>
    <row r="5594" spans="1:6" x14ac:dyDescent="0.25">
      <c r="A5594">
        <v>5593</v>
      </c>
      <c r="B5594">
        <v>43</v>
      </c>
      <c r="C5594">
        <v>0</v>
      </c>
      <c r="D5594">
        <v>0</v>
      </c>
      <c r="E5594">
        <v>0</v>
      </c>
      <c r="F5594">
        <v>0</v>
      </c>
    </row>
    <row r="5595" spans="1:6" x14ac:dyDescent="0.25">
      <c r="A5595">
        <v>5594</v>
      </c>
      <c r="B5595">
        <v>44</v>
      </c>
      <c r="C5595">
        <v>0</v>
      </c>
      <c r="D5595">
        <v>0</v>
      </c>
      <c r="E5595">
        <v>0</v>
      </c>
      <c r="F5595">
        <v>58.542700000000004</v>
      </c>
    </row>
    <row r="5596" spans="1:6" x14ac:dyDescent="0.25">
      <c r="A5596">
        <v>5595</v>
      </c>
      <c r="B5596">
        <v>45</v>
      </c>
      <c r="C5596">
        <v>0</v>
      </c>
      <c r="D5596">
        <v>0</v>
      </c>
      <c r="E5596">
        <v>0</v>
      </c>
      <c r="F5596">
        <v>4400</v>
      </c>
    </row>
    <row r="5597" spans="1:6" x14ac:dyDescent="0.25">
      <c r="A5597">
        <v>5596</v>
      </c>
      <c r="B5597">
        <v>46</v>
      </c>
      <c r="C5597">
        <v>0</v>
      </c>
      <c r="D5597">
        <v>0</v>
      </c>
      <c r="E5597">
        <v>0</v>
      </c>
      <c r="F5597">
        <v>0</v>
      </c>
    </row>
    <row r="5598" spans="1:6" x14ac:dyDescent="0.25">
      <c r="A5598">
        <v>5597</v>
      </c>
      <c r="B5598">
        <v>2</v>
      </c>
      <c r="C5598">
        <v>0</v>
      </c>
      <c r="D5598">
        <v>0</v>
      </c>
      <c r="E5598">
        <v>0</v>
      </c>
      <c r="F5598">
        <v>34.866999999999997</v>
      </c>
    </row>
    <row r="5599" spans="1:6" x14ac:dyDescent="0.25">
      <c r="A5599">
        <v>5598</v>
      </c>
      <c r="B5599">
        <v>10</v>
      </c>
      <c r="C5599">
        <v>1</v>
      </c>
      <c r="D5599">
        <v>0</v>
      </c>
      <c r="E5599">
        <v>0</v>
      </c>
      <c r="F5599">
        <v>34257</v>
      </c>
    </row>
    <row r="5600" spans="1:6" x14ac:dyDescent="0.25">
      <c r="A5600">
        <v>5599</v>
      </c>
      <c r="B5600">
        <v>13</v>
      </c>
      <c r="C5600">
        <v>0</v>
      </c>
      <c r="D5600">
        <v>0</v>
      </c>
      <c r="E5600">
        <v>0</v>
      </c>
      <c r="F5600">
        <v>1603</v>
      </c>
    </row>
    <row r="5601" spans="1:6" x14ac:dyDescent="0.25">
      <c r="A5601">
        <v>5600</v>
      </c>
      <c r="B5601">
        <v>41</v>
      </c>
      <c r="C5601">
        <v>0</v>
      </c>
      <c r="D5601">
        <v>0</v>
      </c>
      <c r="E5601">
        <v>0</v>
      </c>
      <c r="F5601">
        <v>1</v>
      </c>
    </row>
    <row r="5602" spans="1:6" x14ac:dyDescent="0.25">
      <c r="A5602">
        <v>5601</v>
      </c>
      <c r="B5602">
        <v>42</v>
      </c>
      <c r="C5602">
        <v>0</v>
      </c>
      <c r="D5602">
        <v>0</v>
      </c>
      <c r="E5602">
        <v>0</v>
      </c>
      <c r="F5602">
        <v>0.2</v>
      </c>
    </row>
    <row r="5603" spans="1:6" x14ac:dyDescent="0.25">
      <c r="A5603">
        <v>5602</v>
      </c>
      <c r="B5603">
        <v>43</v>
      </c>
      <c r="C5603">
        <v>0</v>
      </c>
      <c r="D5603">
        <v>0</v>
      </c>
      <c r="E5603">
        <v>0</v>
      </c>
      <c r="F5603">
        <v>0</v>
      </c>
    </row>
    <row r="5604" spans="1:6" x14ac:dyDescent="0.25">
      <c r="A5604">
        <v>5603</v>
      </c>
      <c r="B5604">
        <v>44</v>
      </c>
      <c r="C5604">
        <v>0</v>
      </c>
      <c r="D5604">
        <v>0</v>
      </c>
      <c r="E5604">
        <v>0</v>
      </c>
      <c r="F5604">
        <v>58.545900000000003</v>
      </c>
    </row>
    <row r="5605" spans="1:6" x14ac:dyDescent="0.25">
      <c r="A5605">
        <v>5604</v>
      </c>
      <c r="B5605">
        <v>45</v>
      </c>
      <c r="C5605">
        <v>0</v>
      </c>
      <c r="D5605">
        <v>0</v>
      </c>
      <c r="E5605">
        <v>0</v>
      </c>
      <c r="F5605">
        <v>4400</v>
      </c>
    </row>
    <row r="5606" spans="1:6" x14ac:dyDescent="0.25">
      <c r="A5606">
        <v>5605</v>
      </c>
      <c r="B5606">
        <v>46</v>
      </c>
      <c r="C5606">
        <v>0</v>
      </c>
      <c r="D5606">
        <v>0</v>
      </c>
      <c r="E5606">
        <v>0</v>
      </c>
      <c r="F5606">
        <v>0</v>
      </c>
    </row>
    <row r="5607" spans="1:6" x14ac:dyDescent="0.25">
      <c r="A5607">
        <v>5606</v>
      </c>
      <c r="B5607">
        <v>2</v>
      </c>
      <c r="C5607">
        <v>0</v>
      </c>
      <c r="D5607">
        <v>0</v>
      </c>
      <c r="E5607">
        <v>0</v>
      </c>
      <c r="F5607">
        <v>35.088900000000002</v>
      </c>
    </row>
    <row r="5608" spans="1:6" x14ac:dyDescent="0.25">
      <c r="A5608">
        <v>5607</v>
      </c>
      <c r="B5608">
        <v>10</v>
      </c>
      <c r="C5608">
        <v>1</v>
      </c>
      <c r="D5608">
        <v>0</v>
      </c>
      <c r="E5608">
        <v>0</v>
      </c>
      <c r="F5608">
        <v>34040</v>
      </c>
    </row>
    <row r="5609" spans="1:6" x14ac:dyDescent="0.25">
      <c r="A5609">
        <v>5608</v>
      </c>
      <c r="B5609">
        <v>13</v>
      </c>
      <c r="C5609">
        <v>0</v>
      </c>
      <c r="D5609">
        <v>0</v>
      </c>
      <c r="E5609">
        <v>0</v>
      </c>
      <c r="F5609">
        <v>1603</v>
      </c>
    </row>
    <row r="5610" spans="1:6" x14ac:dyDescent="0.25">
      <c r="A5610">
        <v>5609</v>
      </c>
      <c r="B5610">
        <v>41</v>
      </c>
      <c r="C5610">
        <v>0</v>
      </c>
      <c r="D5610">
        <v>0</v>
      </c>
      <c r="E5610">
        <v>0</v>
      </c>
      <c r="F5610">
        <v>1</v>
      </c>
    </row>
    <row r="5611" spans="1:6" x14ac:dyDescent="0.25">
      <c r="A5611">
        <v>5610</v>
      </c>
      <c r="B5611">
        <v>42</v>
      </c>
      <c r="C5611">
        <v>0</v>
      </c>
      <c r="D5611">
        <v>0</v>
      </c>
      <c r="E5611">
        <v>0</v>
      </c>
      <c r="F5611">
        <v>0.2</v>
      </c>
    </row>
    <row r="5612" spans="1:6" x14ac:dyDescent="0.25">
      <c r="A5612">
        <v>5611</v>
      </c>
      <c r="B5612">
        <v>43</v>
      </c>
      <c r="C5612">
        <v>0</v>
      </c>
      <c r="D5612">
        <v>0</v>
      </c>
      <c r="E5612">
        <v>0</v>
      </c>
      <c r="F5612">
        <v>0</v>
      </c>
    </row>
    <row r="5613" spans="1:6" x14ac:dyDescent="0.25">
      <c r="A5613">
        <v>5612</v>
      </c>
      <c r="B5613">
        <v>44</v>
      </c>
      <c r="C5613">
        <v>0</v>
      </c>
      <c r="D5613">
        <v>0</v>
      </c>
      <c r="E5613">
        <v>0</v>
      </c>
      <c r="F5613">
        <v>58.545900000000003</v>
      </c>
    </row>
    <row r="5614" spans="1:6" x14ac:dyDescent="0.25">
      <c r="A5614">
        <v>5613</v>
      </c>
      <c r="B5614">
        <v>45</v>
      </c>
      <c r="C5614">
        <v>0</v>
      </c>
      <c r="D5614">
        <v>0</v>
      </c>
      <c r="E5614">
        <v>0</v>
      </c>
      <c r="F5614">
        <v>4400</v>
      </c>
    </row>
    <row r="5615" spans="1:6" x14ac:dyDescent="0.25">
      <c r="A5615">
        <v>5614</v>
      </c>
      <c r="B5615">
        <v>46</v>
      </c>
      <c r="C5615">
        <v>0</v>
      </c>
      <c r="D5615">
        <v>0</v>
      </c>
      <c r="E5615">
        <v>0</v>
      </c>
      <c r="F5615">
        <v>0</v>
      </c>
    </row>
    <row r="5616" spans="1:6" x14ac:dyDescent="0.25">
      <c r="A5616">
        <v>5615</v>
      </c>
      <c r="B5616" t="s">
        <v>0</v>
      </c>
      <c r="C5616">
        <v>172</v>
      </c>
      <c r="D5616">
        <v>3483</v>
      </c>
      <c r="E5616">
        <v>80093234</v>
      </c>
    </row>
    <row r="5617" spans="1:6" x14ac:dyDescent="0.25">
      <c r="A5617">
        <v>5616</v>
      </c>
      <c r="B5617">
        <v>2</v>
      </c>
      <c r="C5617">
        <v>0</v>
      </c>
      <c r="D5617">
        <v>0</v>
      </c>
      <c r="E5617">
        <v>0</v>
      </c>
      <c r="F5617">
        <v>35.351599999999998</v>
      </c>
    </row>
    <row r="5618" spans="1:6" x14ac:dyDescent="0.25">
      <c r="A5618">
        <v>5617</v>
      </c>
      <c r="B5618">
        <v>10</v>
      </c>
      <c r="C5618">
        <v>1</v>
      </c>
      <c r="D5618">
        <v>0</v>
      </c>
      <c r="E5618">
        <v>0</v>
      </c>
      <c r="F5618">
        <v>33787</v>
      </c>
    </row>
    <row r="5619" spans="1:6" x14ac:dyDescent="0.25">
      <c r="A5619">
        <v>5618</v>
      </c>
      <c r="B5619">
        <v>13</v>
      </c>
      <c r="C5619">
        <v>0</v>
      </c>
      <c r="D5619">
        <v>0</v>
      </c>
      <c r="E5619">
        <v>0</v>
      </c>
      <c r="F5619">
        <v>1603</v>
      </c>
    </row>
    <row r="5620" spans="1:6" x14ac:dyDescent="0.25">
      <c r="A5620">
        <v>5619</v>
      </c>
      <c r="B5620">
        <v>41</v>
      </c>
      <c r="C5620">
        <v>0</v>
      </c>
      <c r="D5620">
        <v>0</v>
      </c>
      <c r="E5620">
        <v>0</v>
      </c>
      <c r="F5620">
        <v>1</v>
      </c>
    </row>
    <row r="5621" spans="1:6" x14ac:dyDescent="0.25">
      <c r="A5621">
        <v>5620</v>
      </c>
      <c r="B5621">
        <v>42</v>
      </c>
      <c r="C5621">
        <v>0</v>
      </c>
      <c r="D5621">
        <v>0</v>
      </c>
      <c r="E5621">
        <v>0</v>
      </c>
      <c r="F5621">
        <v>0.2</v>
      </c>
    </row>
    <row r="5622" spans="1:6" x14ac:dyDescent="0.25">
      <c r="A5622">
        <v>5621</v>
      </c>
      <c r="B5622">
        <v>43</v>
      </c>
      <c r="C5622">
        <v>0</v>
      </c>
      <c r="D5622">
        <v>0</v>
      </c>
      <c r="E5622">
        <v>0</v>
      </c>
      <c r="F5622">
        <v>0</v>
      </c>
    </row>
    <row r="5623" spans="1:6" x14ac:dyDescent="0.25">
      <c r="A5623">
        <v>5622</v>
      </c>
      <c r="B5623">
        <v>44</v>
      </c>
      <c r="C5623">
        <v>0</v>
      </c>
      <c r="D5623">
        <v>0</v>
      </c>
      <c r="E5623">
        <v>0</v>
      </c>
      <c r="F5623">
        <v>58.483199999999997</v>
      </c>
    </row>
    <row r="5624" spans="1:6" x14ac:dyDescent="0.25">
      <c r="A5624">
        <v>5623</v>
      </c>
      <c r="B5624">
        <v>45</v>
      </c>
      <c r="C5624">
        <v>0</v>
      </c>
      <c r="D5624">
        <v>0</v>
      </c>
      <c r="E5624">
        <v>0</v>
      </c>
      <c r="F5624">
        <v>4400</v>
      </c>
    </row>
    <row r="5625" spans="1:6" x14ac:dyDescent="0.25">
      <c r="A5625">
        <v>5624</v>
      </c>
      <c r="B5625">
        <v>46</v>
      </c>
      <c r="C5625">
        <v>0</v>
      </c>
      <c r="D5625">
        <v>0</v>
      </c>
      <c r="E5625">
        <v>0</v>
      </c>
      <c r="F5625">
        <v>0</v>
      </c>
    </row>
    <row r="5626" spans="1:6" x14ac:dyDescent="0.25">
      <c r="A5626">
        <v>5625</v>
      </c>
      <c r="B5626">
        <v>2</v>
      </c>
      <c r="C5626">
        <v>0</v>
      </c>
      <c r="D5626">
        <v>0</v>
      </c>
      <c r="E5626">
        <v>0</v>
      </c>
      <c r="F5626">
        <v>35.351599999999998</v>
      </c>
    </row>
    <row r="5627" spans="1:6" x14ac:dyDescent="0.25">
      <c r="A5627">
        <v>5626</v>
      </c>
      <c r="B5627">
        <v>10</v>
      </c>
      <c r="C5627">
        <v>1</v>
      </c>
      <c r="D5627">
        <v>0</v>
      </c>
      <c r="E5627">
        <v>0</v>
      </c>
      <c r="F5627">
        <v>33787</v>
      </c>
    </row>
    <row r="5628" spans="1:6" x14ac:dyDescent="0.25">
      <c r="A5628">
        <v>5627</v>
      </c>
      <c r="B5628">
        <v>13</v>
      </c>
      <c r="C5628">
        <v>0</v>
      </c>
      <c r="D5628">
        <v>0</v>
      </c>
      <c r="E5628">
        <v>0</v>
      </c>
      <c r="F5628">
        <v>1603</v>
      </c>
    </row>
    <row r="5629" spans="1:6" x14ac:dyDescent="0.25">
      <c r="A5629">
        <v>5628</v>
      </c>
      <c r="B5629" t="s">
        <v>0</v>
      </c>
      <c r="C5629">
        <v>173</v>
      </c>
      <c r="D5629">
        <v>3483</v>
      </c>
      <c r="E5629">
        <v>80094040</v>
      </c>
    </row>
    <row r="5630" spans="1:6" x14ac:dyDescent="0.25">
      <c r="A5630">
        <v>5629</v>
      </c>
      <c r="B5630">
        <v>42</v>
      </c>
      <c r="C5630">
        <v>0</v>
      </c>
      <c r="D5630">
        <v>0</v>
      </c>
      <c r="E5630">
        <v>0</v>
      </c>
      <c r="F5630">
        <v>0.2</v>
      </c>
    </row>
    <row r="5631" spans="1:6" x14ac:dyDescent="0.25">
      <c r="A5631">
        <v>5630</v>
      </c>
      <c r="B5631">
        <v>43</v>
      </c>
      <c r="C5631">
        <v>0</v>
      </c>
      <c r="D5631">
        <v>0</v>
      </c>
      <c r="E5631">
        <v>0</v>
      </c>
      <c r="F5631">
        <v>0</v>
      </c>
    </row>
    <row r="5632" spans="1:6" x14ac:dyDescent="0.25">
      <c r="A5632">
        <v>5631</v>
      </c>
      <c r="B5632">
        <v>44</v>
      </c>
      <c r="C5632">
        <v>0</v>
      </c>
      <c r="D5632">
        <v>0</v>
      </c>
      <c r="E5632">
        <v>0</v>
      </c>
      <c r="F5632">
        <v>58.383400000000002</v>
      </c>
    </row>
    <row r="5633" spans="1:6" x14ac:dyDescent="0.25">
      <c r="A5633">
        <v>5632</v>
      </c>
      <c r="B5633">
        <v>45</v>
      </c>
      <c r="C5633">
        <v>0</v>
      </c>
      <c r="D5633">
        <v>0</v>
      </c>
      <c r="E5633">
        <v>0</v>
      </c>
      <c r="F5633">
        <v>4400</v>
      </c>
    </row>
    <row r="5634" spans="1:6" x14ac:dyDescent="0.25">
      <c r="A5634">
        <v>5633</v>
      </c>
      <c r="B5634">
        <v>46</v>
      </c>
      <c r="C5634">
        <v>0</v>
      </c>
      <c r="D5634">
        <v>0</v>
      </c>
      <c r="E5634">
        <v>0</v>
      </c>
      <c r="F5634">
        <v>0</v>
      </c>
    </row>
    <row r="5635" spans="1:6" x14ac:dyDescent="0.25">
      <c r="A5635">
        <v>5634</v>
      </c>
      <c r="B5635">
        <v>2</v>
      </c>
      <c r="C5635">
        <v>0</v>
      </c>
      <c r="D5635">
        <v>0</v>
      </c>
      <c r="E5635">
        <v>0</v>
      </c>
      <c r="F5635">
        <v>35.651400000000002</v>
      </c>
    </row>
    <row r="5636" spans="1:6" x14ac:dyDescent="0.25">
      <c r="A5636">
        <v>5635</v>
      </c>
      <c r="B5636">
        <v>10</v>
      </c>
      <c r="C5636">
        <v>1</v>
      </c>
      <c r="D5636">
        <v>0</v>
      </c>
      <c r="E5636">
        <v>0</v>
      </c>
      <c r="F5636">
        <v>33503</v>
      </c>
    </row>
    <row r="5637" spans="1:6" x14ac:dyDescent="0.25">
      <c r="A5637">
        <v>5636</v>
      </c>
      <c r="B5637">
        <v>13</v>
      </c>
      <c r="C5637">
        <v>0</v>
      </c>
      <c r="D5637">
        <v>0</v>
      </c>
      <c r="E5637">
        <v>0</v>
      </c>
      <c r="F5637">
        <v>1603</v>
      </c>
    </row>
    <row r="5638" spans="1:6" x14ac:dyDescent="0.25">
      <c r="A5638">
        <v>5637</v>
      </c>
      <c r="B5638">
        <v>41</v>
      </c>
      <c r="C5638">
        <v>0</v>
      </c>
      <c r="D5638">
        <v>0</v>
      </c>
      <c r="E5638">
        <v>0</v>
      </c>
      <c r="F5638">
        <v>1</v>
      </c>
    </row>
    <row r="5639" spans="1:6" x14ac:dyDescent="0.25">
      <c r="A5639">
        <v>5638</v>
      </c>
      <c r="B5639">
        <v>42</v>
      </c>
      <c r="C5639">
        <v>0</v>
      </c>
      <c r="D5639">
        <v>0</v>
      </c>
      <c r="E5639">
        <v>0</v>
      </c>
      <c r="F5639">
        <v>0.2</v>
      </c>
    </row>
    <row r="5640" spans="1:6" x14ac:dyDescent="0.25">
      <c r="A5640">
        <v>5639</v>
      </c>
      <c r="B5640">
        <v>43</v>
      </c>
      <c r="C5640">
        <v>0</v>
      </c>
      <c r="D5640">
        <v>0</v>
      </c>
      <c r="E5640">
        <v>0</v>
      </c>
      <c r="F5640">
        <v>0</v>
      </c>
    </row>
    <row r="5641" spans="1:6" x14ac:dyDescent="0.25">
      <c r="A5641">
        <v>5640</v>
      </c>
      <c r="B5641" t="s">
        <v>0</v>
      </c>
      <c r="C5641">
        <v>174</v>
      </c>
      <c r="D5641">
        <v>3483</v>
      </c>
      <c r="E5641">
        <v>80094826</v>
      </c>
    </row>
    <row r="5642" spans="1:6" x14ac:dyDescent="0.25">
      <c r="A5642">
        <v>5641</v>
      </c>
      <c r="B5642">
        <v>45</v>
      </c>
      <c r="C5642">
        <v>0</v>
      </c>
      <c r="D5642">
        <v>0</v>
      </c>
      <c r="E5642">
        <v>0</v>
      </c>
      <c r="F5642">
        <v>4400</v>
      </c>
    </row>
    <row r="5643" spans="1:6" x14ac:dyDescent="0.25">
      <c r="A5643">
        <v>5642</v>
      </c>
      <c r="B5643">
        <v>46</v>
      </c>
      <c r="C5643">
        <v>0</v>
      </c>
      <c r="D5643">
        <v>0</v>
      </c>
      <c r="E5643">
        <v>0</v>
      </c>
      <c r="F5643">
        <v>0</v>
      </c>
    </row>
    <row r="5644" spans="1:6" x14ac:dyDescent="0.25">
      <c r="A5644">
        <v>5643</v>
      </c>
      <c r="B5644">
        <v>2</v>
      </c>
      <c r="C5644">
        <v>0</v>
      </c>
      <c r="D5644">
        <v>0</v>
      </c>
      <c r="E5644">
        <v>0</v>
      </c>
      <c r="F5644">
        <v>35.987900000000003</v>
      </c>
    </row>
    <row r="5645" spans="1:6" x14ac:dyDescent="0.25">
      <c r="A5645">
        <v>5644</v>
      </c>
      <c r="B5645">
        <v>10</v>
      </c>
      <c r="C5645">
        <v>1</v>
      </c>
      <c r="D5645">
        <v>0</v>
      </c>
      <c r="E5645">
        <v>0</v>
      </c>
      <c r="F5645">
        <v>33190</v>
      </c>
    </row>
    <row r="5646" spans="1:6" x14ac:dyDescent="0.25">
      <c r="A5646">
        <v>5645</v>
      </c>
      <c r="B5646">
        <v>13</v>
      </c>
      <c r="C5646">
        <v>0</v>
      </c>
      <c r="D5646">
        <v>0</v>
      </c>
      <c r="E5646">
        <v>0</v>
      </c>
      <c r="F5646">
        <v>1603</v>
      </c>
    </row>
    <row r="5647" spans="1:6" x14ac:dyDescent="0.25">
      <c r="A5647">
        <v>5646</v>
      </c>
      <c r="B5647">
        <v>41</v>
      </c>
      <c r="C5647">
        <v>0</v>
      </c>
      <c r="D5647">
        <v>0</v>
      </c>
      <c r="E5647">
        <v>0</v>
      </c>
      <c r="F5647">
        <v>1</v>
      </c>
    </row>
    <row r="5648" spans="1:6" x14ac:dyDescent="0.25">
      <c r="A5648">
        <v>5647</v>
      </c>
      <c r="B5648">
        <v>42</v>
      </c>
      <c r="C5648">
        <v>0</v>
      </c>
      <c r="D5648">
        <v>0</v>
      </c>
      <c r="E5648">
        <v>0</v>
      </c>
      <c r="F5648">
        <v>0.2</v>
      </c>
    </row>
    <row r="5649" spans="1:6" x14ac:dyDescent="0.25">
      <c r="A5649">
        <v>5648</v>
      </c>
      <c r="B5649">
        <v>43</v>
      </c>
      <c r="C5649">
        <v>0</v>
      </c>
      <c r="D5649">
        <v>0</v>
      </c>
      <c r="E5649">
        <v>0</v>
      </c>
      <c r="F5649">
        <v>0</v>
      </c>
    </row>
    <row r="5650" spans="1:6" x14ac:dyDescent="0.25">
      <c r="A5650">
        <v>5649</v>
      </c>
      <c r="B5650">
        <v>44</v>
      </c>
      <c r="C5650">
        <v>0</v>
      </c>
      <c r="D5650">
        <v>0</v>
      </c>
      <c r="E5650">
        <v>0</v>
      </c>
      <c r="F5650">
        <v>58.246899999999997</v>
      </c>
    </row>
    <row r="5651" spans="1:6" x14ac:dyDescent="0.25">
      <c r="A5651">
        <v>5650</v>
      </c>
      <c r="B5651">
        <v>45</v>
      </c>
      <c r="C5651">
        <v>0</v>
      </c>
      <c r="D5651">
        <v>0</v>
      </c>
      <c r="E5651">
        <v>0</v>
      </c>
      <c r="F5651">
        <v>4400</v>
      </c>
    </row>
    <row r="5652" spans="1:6" x14ac:dyDescent="0.25">
      <c r="A5652">
        <v>5651</v>
      </c>
      <c r="B5652">
        <v>46</v>
      </c>
      <c r="C5652">
        <v>0</v>
      </c>
      <c r="D5652">
        <v>0</v>
      </c>
      <c r="E5652">
        <v>0</v>
      </c>
      <c r="F5652">
        <v>0</v>
      </c>
    </row>
    <row r="5653" spans="1:6" x14ac:dyDescent="0.25">
      <c r="A5653">
        <v>5652</v>
      </c>
      <c r="B5653" t="s">
        <v>0</v>
      </c>
      <c r="C5653">
        <v>175</v>
      </c>
      <c r="D5653">
        <v>3483</v>
      </c>
      <c r="E5653">
        <v>80095592</v>
      </c>
    </row>
    <row r="5654" spans="1:6" x14ac:dyDescent="0.25">
      <c r="A5654">
        <v>5653</v>
      </c>
      <c r="B5654">
        <v>2</v>
      </c>
      <c r="C5654">
        <v>0</v>
      </c>
      <c r="D5654">
        <v>0</v>
      </c>
      <c r="E5654">
        <v>0</v>
      </c>
      <c r="F5654">
        <v>36.360799999999998</v>
      </c>
    </row>
    <row r="5655" spans="1:6" x14ac:dyDescent="0.25">
      <c r="A5655">
        <v>5654</v>
      </c>
      <c r="B5655">
        <v>10</v>
      </c>
      <c r="C5655">
        <v>1</v>
      </c>
      <c r="D5655">
        <v>0</v>
      </c>
      <c r="E5655">
        <v>0</v>
      </c>
      <c r="F5655">
        <v>32849</v>
      </c>
    </row>
    <row r="5656" spans="1:6" x14ac:dyDescent="0.25">
      <c r="A5656">
        <v>5655</v>
      </c>
      <c r="B5656">
        <v>13</v>
      </c>
      <c r="C5656">
        <v>0</v>
      </c>
      <c r="D5656">
        <v>0</v>
      </c>
      <c r="E5656">
        <v>0</v>
      </c>
      <c r="F5656">
        <v>1603</v>
      </c>
    </row>
    <row r="5657" spans="1:6" x14ac:dyDescent="0.25">
      <c r="A5657">
        <v>5656</v>
      </c>
      <c r="B5657">
        <v>41</v>
      </c>
      <c r="C5657">
        <v>0</v>
      </c>
      <c r="D5657">
        <v>0</v>
      </c>
      <c r="E5657">
        <v>0</v>
      </c>
      <c r="F5657">
        <v>1</v>
      </c>
    </row>
    <row r="5658" spans="1:6" x14ac:dyDescent="0.25">
      <c r="A5658">
        <v>5657</v>
      </c>
      <c r="B5658">
        <v>42</v>
      </c>
      <c r="C5658">
        <v>0</v>
      </c>
      <c r="D5658">
        <v>0</v>
      </c>
      <c r="E5658">
        <v>0</v>
      </c>
      <c r="F5658">
        <v>0.2</v>
      </c>
    </row>
    <row r="5659" spans="1:6" x14ac:dyDescent="0.25">
      <c r="A5659">
        <v>5658</v>
      </c>
      <c r="B5659">
        <v>43</v>
      </c>
      <c r="C5659">
        <v>0</v>
      </c>
      <c r="D5659">
        <v>0</v>
      </c>
      <c r="E5659">
        <v>0</v>
      </c>
      <c r="F5659">
        <v>0</v>
      </c>
    </row>
    <row r="5660" spans="1:6" x14ac:dyDescent="0.25">
      <c r="A5660">
        <v>5659</v>
      </c>
      <c r="B5660">
        <v>44</v>
      </c>
      <c r="C5660">
        <v>0</v>
      </c>
      <c r="D5660">
        <v>0</v>
      </c>
      <c r="E5660">
        <v>0</v>
      </c>
      <c r="F5660">
        <v>58.048999999999999</v>
      </c>
    </row>
    <row r="5661" spans="1:6" x14ac:dyDescent="0.25">
      <c r="A5661">
        <v>5660</v>
      </c>
      <c r="B5661">
        <v>45</v>
      </c>
      <c r="C5661">
        <v>0</v>
      </c>
      <c r="D5661">
        <v>0</v>
      </c>
      <c r="E5661">
        <v>0</v>
      </c>
      <c r="F5661">
        <v>4400</v>
      </c>
    </row>
    <row r="5662" spans="1:6" x14ac:dyDescent="0.25">
      <c r="A5662">
        <v>5661</v>
      </c>
      <c r="B5662">
        <v>46</v>
      </c>
      <c r="C5662">
        <v>0</v>
      </c>
      <c r="D5662">
        <v>0</v>
      </c>
      <c r="E5662">
        <v>0</v>
      </c>
      <c r="F5662">
        <v>0</v>
      </c>
    </row>
    <row r="5663" spans="1:6" x14ac:dyDescent="0.25">
      <c r="A5663">
        <v>5662</v>
      </c>
      <c r="B5663">
        <v>2</v>
      </c>
      <c r="C5663">
        <v>0</v>
      </c>
      <c r="D5663">
        <v>0</v>
      </c>
      <c r="E5663">
        <v>0</v>
      </c>
      <c r="F5663">
        <v>36.360799999999998</v>
      </c>
    </row>
    <row r="5664" spans="1:6" x14ac:dyDescent="0.25">
      <c r="A5664">
        <v>5663</v>
      </c>
      <c r="B5664">
        <v>10</v>
      </c>
      <c r="C5664">
        <v>1</v>
      </c>
      <c r="D5664">
        <v>0</v>
      </c>
      <c r="E5664">
        <v>0</v>
      </c>
      <c r="F5664">
        <v>32849</v>
      </c>
    </row>
    <row r="5665" spans="1:6" x14ac:dyDescent="0.25">
      <c r="A5665">
        <v>5664</v>
      </c>
      <c r="B5665" t="s">
        <v>0</v>
      </c>
      <c r="C5665">
        <v>176</v>
      </c>
      <c r="D5665">
        <v>3483</v>
      </c>
      <c r="E5665">
        <v>80096342</v>
      </c>
    </row>
    <row r="5666" spans="1:6" x14ac:dyDescent="0.25">
      <c r="A5666">
        <v>5665</v>
      </c>
      <c r="B5666">
        <v>41</v>
      </c>
      <c r="C5666">
        <v>0</v>
      </c>
      <c r="D5666">
        <v>0</v>
      </c>
      <c r="E5666">
        <v>0</v>
      </c>
      <c r="F5666">
        <v>1</v>
      </c>
    </row>
    <row r="5667" spans="1:6" x14ac:dyDescent="0.25">
      <c r="A5667">
        <v>5666</v>
      </c>
      <c r="B5667">
        <v>42</v>
      </c>
      <c r="C5667">
        <v>0</v>
      </c>
      <c r="D5667">
        <v>0</v>
      </c>
      <c r="E5667">
        <v>0</v>
      </c>
      <c r="F5667">
        <v>0.2</v>
      </c>
    </row>
    <row r="5668" spans="1:6" x14ac:dyDescent="0.25">
      <c r="A5668">
        <v>5667</v>
      </c>
      <c r="B5668">
        <v>43</v>
      </c>
      <c r="C5668">
        <v>0</v>
      </c>
      <c r="D5668">
        <v>0</v>
      </c>
      <c r="E5668">
        <v>0</v>
      </c>
      <c r="F5668">
        <v>0</v>
      </c>
    </row>
    <row r="5669" spans="1:6" x14ac:dyDescent="0.25">
      <c r="A5669">
        <v>5668</v>
      </c>
      <c r="B5669">
        <v>44</v>
      </c>
      <c r="C5669">
        <v>0</v>
      </c>
      <c r="D5669">
        <v>0</v>
      </c>
      <c r="E5669">
        <v>0</v>
      </c>
      <c r="F5669">
        <v>57.845399999999998</v>
      </c>
    </row>
    <row r="5670" spans="1:6" x14ac:dyDescent="0.25">
      <c r="A5670">
        <v>5669</v>
      </c>
      <c r="B5670">
        <v>45</v>
      </c>
      <c r="C5670">
        <v>0</v>
      </c>
      <c r="D5670">
        <v>0</v>
      </c>
      <c r="E5670">
        <v>0</v>
      </c>
      <c r="F5670">
        <v>4400</v>
      </c>
    </row>
    <row r="5671" spans="1:6" x14ac:dyDescent="0.25">
      <c r="A5671">
        <v>5670</v>
      </c>
      <c r="B5671">
        <v>46</v>
      </c>
      <c r="C5671">
        <v>0</v>
      </c>
      <c r="D5671">
        <v>0</v>
      </c>
      <c r="E5671">
        <v>0</v>
      </c>
      <c r="F5671">
        <v>0</v>
      </c>
    </row>
    <row r="5672" spans="1:6" x14ac:dyDescent="0.25">
      <c r="A5672">
        <v>5671</v>
      </c>
      <c r="B5672">
        <v>2</v>
      </c>
      <c r="C5672">
        <v>0</v>
      </c>
      <c r="D5672">
        <v>0</v>
      </c>
      <c r="E5672">
        <v>0</v>
      </c>
      <c r="F5672">
        <v>36.764499999999998</v>
      </c>
    </row>
    <row r="5673" spans="1:6" x14ac:dyDescent="0.25">
      <c r="A5673">
        <v>5672</v>
      </c>
      <c r="B5673">
        <v>10</v>
      </c>
      <c r="C5673">
        <v>1</v>
      </c>
      <c r="D5673">
        <v>0</v>
      </c>
      <c r="E5673">
        <v>0</v>
      </c>
      <c r="F5673">
        <v>32489</v>
      </c>
    </row>
    <row r="5674" spans="1:6" x14ac:dyDescent="0.25">
      <c r="A5674">
        <v>5673</v>
      </c>
      <c r="B5674">
        <v>13</v>
      </c>
      <c r="C5674">
        <v>0</v>
      </c>
      <c r="D5674">
        <v>0</v>
      </c>
      <c r="E5674">
        <v>0</v>
      </c>
      <c r="F5674">
        <v>1603</v>
      </c>
    </row>
    <row r="5675" spans="1:6" x14ac:dyDescent="0.25">
      <c r="A5675">
        <v>5674</v>
      </c>
      <c r="B5675">
        <v>41</v>
      </c>
      <c r="C5675">
        <v>0</v>
      </c>
      <c r="D5675">
        <v>0</v>
      </c>
      <c r="E5675">
        <v>0</v>
      </c>
      <c r="F5675">
        <v>1</v>
      </c>
    </row>
    <row r="5676" spans="1:6" x14ac:dyDescent="0.25">
      <c r="A5676">
        <v>5675</v>
      </c>
      <c r="B5676">
        <v>42</v>
      </c>
      <c r="C5676">
        <v>0</v>
      </c>
      <c r="D5676">
        <v>0</v>
      </c>
      <c r="E5676">
        <v>0</v>
      </c>
      <c r="F5676">
        <v>0.2</v>
      </c>
    </row>
    <row r="5677" spans="1:6" x14ac:dyDescent="0.25">
      <c r="A5677">
        <v>5676</v>
      </c>
      <c r="B5677">
        <v>43</v>
      </c>
      <c r="C5677">
        <v>0</v>
      </c>
      <c r="D5677">
        <v>0</v>
      </c>
      <c r="E5677">
        <v>0</v>
      </c>
      <c r="F5677">
        <v>0</v>
      </c>
    </row>
    <row r="5678" spans="1:6" x14ac:dyDescent="0.25">
      <c r="A5678">
        <v>5677</v>
      </c>
      <c r="B5678">
        <v>44</v>
      </c>
      <c r="C5678">
        <v>0</v>
      </c>
      <c r="D5678">
        <v>0</v>
      </c>
      <c r="E5678">
        <v>0</v>
      </c>
      <c r="F5678">
        <v>57.584499999999998</v>
      </c>
    </row>
    <row r="5679" spans="1:6" x14ac:dyDescent="0.25">
      <c r="A5679">
        <v>5678</v>
      </c>
      <c r="B5679">
        <v>45</v>
      </c>
      <c r="C5679">
        <v>0</v>
      </c>
      <c r="D5679">
        <v>0</v>
      </c>
      <c r="E5679">
        <v>0</v>
      </c>
      <c r="F5679">
        <v>4400</v>
      </c>
    </row>
    <row r="5680" spans="1:6" x14ac:dyDescent="0.25">
      <c r="A5680">
        <v>5679</v>
      </c>
      <c r="B5680">
        <v>46</v>
      </c>
      <c r="C5680">
        <v>0</v>
      </c>
      <c r="D5680">
        <v>0</v>
      </c>
      <c r="E5680">
        <v>0</v>
      </c>
      <c r="F5680">
        <v>0</v>
      </c>
    </row>
    <row r="5681" spans="1:6" x14ac:dyDescent="0.25">
      <c r="A5681">
        <v>5680</v>
      </c>
      <c r="B5681">
        <v>2</v>
      </c>
      <c r="C5681">
        <v>0</v>
      </c>
      <c r="D5681">
        <v>0</v>
      </c>
      <c r="E5681">
        <v>0</v>
      </c>
      <c r="F5681">
        <v>37.200299999999999</v>
      </c>
    </row>
    <row r="5682" spans="1:6" x14ac:dyDescent="0.25">
      <c r="A5682">
        <v>5681</v>
      </c>
      <c r="B5682">
        <v>10</v>
      </c>
      <c r="C5682">
        <v>1</v>
      </c>
      <c r="D5682">
        <v>0</v>
      </c>
      <c r="E5682">
        <v>0</v>
      </c>
      <c r="F5682">
        <v>32108</v>
      </c>
    </row>
    <row r="5683" spans="1:6" x14ac:dyDescent="0.25">
      <c r="A5683">
        <v>5682</v>
      </c>
      <c r="B5683">
        <v>13</v>
      </c>
      <c r="C5683">
        <v>0</v>
      </c>
      <c r="D5683">
        <v>0</v>
      </c>
      <c r="E5683">
        <v>0</v>
      </c>
      <c r="F5683">
        <v>1603</v>
      </c>
    </row>
    <row r="5684" spans="1:6" x14ac:dyDescent="0.25">
      <c r="A5684">
        <v>5683</v>
      </c>
      <c r="B5684">
        <v>41</v>
      </c>
      <c r="C5684">
        <v>0</v>
      </c>
      <c r="D5684">
        <v>0</v>
      </c>
      <c r="E5684">
        <v>0</v>
      </c>
      <c r="F5684">
        <v>1</v>
      </c>
    </row>
    <row r="5685" spans="1:6" x14ac:dyDescent="0.25">
      <c r="A5685">
        <v>5684</v>
      </c>
      <c r="B5685">
        <v>42</v>
      </c>
      <c r="C5685">
        <v>0</v>
      </c>
      <c r="D5685">
        <v>0</v>
      </c>
      <c r="E5685">
        <v>0</v>
      </c>
      <c r="F5685">
        <v>0.2</v>
      </c>
    </row>
    <row r="5686" spans="1:6" x14ac:dyDescent="0.25">
      <c r="A5686">
        <v>5685</v>
      </c>
      <c r="B5686">
        <v>43</v>
      </c>
      <c r="C5686">
        <v>0</v>
      </c>
      <c r="D5686">
        <v>0</v>
      </c>
      <c r="E5686">
        <v>0</v>
      </c>
      <c r="F5686">
        <v>0</v>
      </c>
    </row>
    <row r="5687" spans="1:6" x14ac:dyDescent="0.25">
      <c r="A5687">
        <v>5686</v>
      </c>
      <c r="B5687" t="s">
        <v>0</v>
      </c>
      <c r="C5687">
        <v>178</v>
      </c>
      <c r="D5687">
        <v>3483</v>
      </c>
      <c r="E5687">
        <v>80097791</v>
      </c>
    </row>
    <row r="5688" spans="1:6" x14ac:dyDescent="0.25">
      <c r="A5688">
        <v>5687</v>
      </c>
      <c r="B5688">
        <v>45</v>
      </c>
      <c r="C5688">
        <v>0</v>
      </c>
      <c r="D5688">
        <v>0</v>
      </c>
      <c r="E5688">
        <v>0</v>
      </c>
      <c r="F5688">
        <v>4400</v>
      </c>
    </row>
    <row r="5689" spans="1:6" x14ac:dyDescent="0.25">
      <c r="A5689">
        <v>5688</v>
      </c>
      <c r="B5689">
        <v>46</v>
      </c>
      <c r="C5689">
        <v>0</v>
      </c>
      <c r="D5689">
        <v>0</v>
      </c>
      <c r="E5689">
        <v>0</v>
      </c>
      <c r="F5689">
        <v>0</v>
      </c>
    </row>
    <row r="5690" spans="1:6" x14ac:dyDescent="0.25">
      <c r="A5690">
        <v>5689</v>
      </c>
      <c r="B5690">
        <v>2</v>
      </c>
      <c r="C5690">
        <v>0</v>
      </c>
      <c r="D5690">
        <v>0</v>
      </c>
      <c r="E5690">
        <v>0</v>
      </c>
      <c r="F5690">
        <v>37.664999999999999</v>
      </c>
    </row>
    <row r="5691" spans="1:6" x14ac:dyDescent="0.25">
      <c r="A5691">
        <v>5690</v>
      </c>
      <c r="B5691">
        <v>10</v>
      </c>
      <c r="C5691">
        <v>1</v>
      </c>
      <c r="D5691">
        <v>0</v>
      </c>
      <c r="E5691">
        <v>0</v>
      </c>
      <c r="F5691">
        <v>31712</v>
      </c>
    </row>
    <row r="5692" spans="1:6" x14ac:dyDescent="0.25">
      <c r="A5692">
        <v>5691</v>
      </c>
      <c r="B5692">
        <v>13</v>
      </c>
      <c r="C5692">
        <v>0</v>
      </c>
      <c r="D5692">
        <v>0</v>
      </c>
      <c r="E5692">
        <v>0</v>
      </c>
      <c r="F5692">
        <v>1603</v>
      </c>
    </row>
    <row r="5693" spans="1:6" x14ac:dyDescent="0.25">
      <c r="A5693">
        <v>5692</v>
      </c>
      <c r="B5693">
        <v>41</v>
      </c>
      <c r="C5693">
        <v>0</v>
      </c>
      <c r="D5693">
        <v>0</v>
      </c>
      <c r="E5693">
        <v>0</v>
      </c>
      <c r="F5693">
        <v>1</v>
      </c>
    </row>
    <row r="5694" spans="1:6" x14ac:dyDescent="0.25">
      <c r="A5694">
        <v>5693</v>
      </c>
      <c r="B5694">
        <v>42</v>
      </c>
      <c r="C5694">
        <v>0</v>
      </c>
      <c r="D5694">
        <v>0</v>
      </c>
      <c r="E5694">
        <v>0</v>
      </c>
      <c r="F5694">
        <v>0.2</v>
      </c>
    </row>
    <row r="5695" spans="1:6" x14ac:dyDescent="0.25">
      <c r="A5695">
        <v>5694</v>
      </c>
      <c r="B5695">
        <v>43</v>
      </c>
      <c r="C5695">
        <v>0</v>
      </c>
      <c r="D5695">
        <v>0</v>
      </c>
      <c r="E5695">
        <v>0</v>
      </c>
      <c r="F5695">
        <v>0</v>
      </c>
    </row>
    <row r="5696" spans="1:6" x14ac:dyDescent="0.25">
      <c r="A5696">
        <v>5695</v>
      </c>
      <c r="B5696">
        <v>44</v>
      </c>
      <c r="C5696">
        <v>0</v>
      </c>
      <c r="D5696">
        <v>0</v>
      </c>
      <c r="E5696">
        <v>0</v>
      </c>
      <c r="F5696">
        <v>57.294800000000002</v>
      </c>
    </row>
    <row r="5697" spans="1:6" x14ac:dyDescent="0.25">
      <c r="A5697">
        <v>5696</v>
      </c>
      <c r="B5697">
        <v>45</v>
      </c>
      <c r="C5697">
        <v>0</v>
      </c>
      <c r="D5697">
        <v>0</v>
      </c>
      <c r="E5697">
        <v>0</v>
      </c>
      <c r="F5697">
        <v>4400</v>
      </c>
    </row>
    <row r="5698" spans="1:6" x14ac:dyDescent="0.25">
      <c r="A5698">
        <v>5697</v>
      </c>
      <c r="B5698">
        <v>46</v>
      </c>
      <c r="C5698">
        <v>0</v>
      </c>
      <c r="D5698">
        <v>0</v>
      </c>
      <c r="E5698">
        <v>0</v>
      </c>
      <c r="F5698">
        <v>0</v>
      </c>
    </row>
    <row r="5699" spans="1:6" x14ac:dyDescent="0.25">
      <c r="A5699">
        <v>5698</v>
      </c>
      <c r="B5699">
        <v>2</v>
      </c>
      <c r="C5699">
        <v>0</v>
      </c>
      <c r="D5699">
        <v>0</v>
      </c>
      <c r="E5699">
        <v>0</v>
      </c>
      <c r="F5699">
        <v>37.664999999999999</v>
      </c>
    </row>
    <row r="5700" spans="1:6" x14ac:dyDescent="0.25">
      <c r="A5700">
        <v>5699</v>
      </c>
      <c r="B5700">
        <v>10</v>
      </c>
      <c r="C5700">
        <v>1</v>
      </c>
      <c r="D5700">
        <v>0</v>
      </c>
      <c r="E5700">
        <v>0</v>
      </c>
      <c r="F5700">
        <v>31712</v>
      </c>
    </row>
    <row r="5701" spans="1:6" x14ac:dyDescent="0.25">
      <c r="A5701">
        <v>5700</v>
      </c>
      <c r="B5701">
        <v>13</v>
      </c>
      <c r="C5701">
        <v>0</v>
      </c>
      <c r="D5701">
        <v>0</v>
      </c>
      <c r="E5701">
        <v>0</v>
      </c>
      <c r="F5701">
        <v>1603</v>
      </c>
    </row>
    <row r="5702" spans="1:6" x14ac:dyDescent="0.25">
      <c r="A5702">
        <v>5701</v>
      </c>
      <c r="B5702">
        <v>41</v>
      </c>
      <c r="C5702">
        <v>0</v>
      </c>
      <c r="D5702">
        <v>0</v>
      </c>
      <c r="E5702">
        <v>0</v>
      </c>
      <c r="F5702">
        <v>1</v>
      </c>
    </row>
    <row r="5703" spans="1:6" x14ac:dyDescent="0.25">
      <c r="A5703">
        <v>5702</v>
      </c>
      <c r="B5703">
        <v>42</v>
      </c>
      <c r="C5703">
        <v>0</v>
      </c>
      <c r="D5703">
        <v>0</v>
      </c>
      <c r="E5703">
        <v>0</v>
      </c>
      <c r="F5703">
        <v>0.2</v>
      </c>
    </row>
    <row r="5704" spans="1:6" x14ac:dyDescent="0.25">
      <c r="A5704">
        <v>5703</v>
      </c>
      <c r="B5704">
        <v>43</v>
      </c>
      <c r="C5704">
        <v>0</v>
      </c>
      <c r="D5704">
        <v>0</v>
      </c>
      <c r="E5704">
        <v>0</v>
      </c>
      <c r="F5704">
        <v>0</v>
      </c>
    </row>
    <row r="5705" spans="1:6" x14ac:dyDescent="0.25">
      <c r="A5705">
        <v>5704</v>
      </c>
      <c r="B5705">
        <v>44</v>
      </c>
      <c r="C5705">
        <v>0</v>
      </c>
      <c r="D5705">
        <v>0</v>
      </c>
      <c r="E5705">
        <v>0</v>
      </c>
      <c r="F5705">
        <v>57.294800000000002</v>
      </c>
    </row>
    <row r="5706" spans="1:6" x14ac:dyDescent="0.25">
      <c r="A5706">
        <v>5705</v>
      </c>
      <c r="B5706">
        <v>45</v>
      </c>
      <c r="C5706">
        <v>0</v>
      </c>
      <c r="D5706">
        <v>0</v>
      </c>
      <c r="E5706">
        <v>0</v>
      </c>
      <c r="F5706">
        <v>4400</v>
      </c>
    </row>
    <row r="5707" spans="1:6" x14ac:dyDescent="0.25">
      <c r="A5707">
        <v>5706</v>
      </c>
      <c r="B5707">
        <v>46</v>
      </c>
      <c r="C5707">
        <v>0</v>
      </c>
      <c r="D5707">
        <v>0</v>
      </c>
      <c r="E5707">
        <v>0</v>
      </c>
      <c r="F5707">
        <v>0</v>
      </c>
    </row>
    <row r="5708" spans="1:6" x14ac:dyDescent="0.25">
      <c r="A5708">
        <v>5707</v>
      </c>
      <c r="B5708" t="s">
        <v>0</v>
      </c>
      <c r="C5708">
        <v>0</v>
      </c>
      <c r="D5708">
        <v>3484</v>
      </c>
      <c r="E5708">
        <v>80099176</v>
      </c>
    </row>
    <row r="5709" spans="1:6" x14ac:dyDescent="0.25">
      <c r="A5709">
        <v>5708</v>
      </c>
      <c r="B5709">
        <v>10</v>
      </c>
      <c r="C5709">
        <v>1</v>
      </c>
      <c r="D5709">
        <v>0</v>
      </c>
      <c r="E5709">
        <v>0</v>
      </c>
      <c r="F5709">
        <v>31712</v>
      </c>
    </row>
    <row r="5710" spans="1:6" x14ac:dyDescent="0.25">
      <c r="A5710">
        <v>5709</v>
      </c>
      <c r="B5710">
        <v>13</v>
      </c>
      <c r="C5710">
        <v>0</v>
      </c>
      <c r="D5710">
        <v>0</v>
      </c>
      <c r="E5710">
        <v>0</v>
      </c>
      <c r="F5710">
        <v>1603</v>
      </c>
    </row>
    <row r="5711" spans="1:6" x14ac:dyDescent="0.25">
      <c r="A5711">
        <v>5710</v>
      </c>
      <c r="B5711">
        <v>41</v>
      </c>
      <c r="C5711">
        <v>0</v>
      </c>
      <c r="D5711">
        <v>0</v>
      </c>
      <c r="E5711">
        <v>0</v>
      </c>
      <c r="F5711">
        <v>1</v>
      </c>
    </row>
    <row r="5712" spans="1:6" x14ac:dyDescent="0.25">
      <c r="A5712">
        <v>5711</v>
      </c>
      <c r="B5712">
        <v>42</v>
      </c>
      <c r="C5712">
        <v>0</v>
      </c>
      <c r="D5712">
        <v>0</v>
      </c>
      <c r="E5712">
        <v>0</v>
      </c>
      <c r="F5712">
        <v>0.2</v>
      </c>
    </row>
    <row r="5713" spans="1:6" x14ac:dyDescent="0.25">
      <c r="A5713">
        <v>5712</v>
      </c>
      <c r="B5713">
        <v>43</v>
      </c>
      <c r="C5713">
        <v>0</v>
      </c>
      <c r="D5713">
        <v>0</v>
      </c>
      <c r="E5713">
        <v>0</v>
      </c>
      <c r="F5713">
        <v>0</v>
      </c>
    </row>
    <row r="5714" spans="1:6" x14ac:dyDescent="0.25">
      <c r="A5714">
        <v>5713</v>
      </c>
      <c r="B5714">
        <v>44</v>
      </c>
      <c r="C5714">
        <v>0</v>
      </c>
      <c r="D5714">
        <v>0</v>
      </c>
      <c r="E5714">
        <v>0</v>
      </c>
      <c r="F5714">
        <v>57.294800000000002</v>
      </c>
    </row>
    <row r="5715" spans="1:6" x14ac:dyDescent="0.25">
      <c r="A5715">
        <v>5714</v>
      </c>
      <c r="B5715">
        <v>45</v>
      </c>
      <c r="C5715">
        <v>0</v>
      </c>
      <c r="D5715">
        <v>0</v>
      </c>
      <c r="E5715">
        <v>0</v>
      </c>
      <c r="F5715">
        <v>4400</v>
      </c>
    </row>
    <row r="5716" spans="1:6" x14ac:dyDescent="0.25">
      <c r="A5716">
        <v>5715</v>
      </c>
      <c r="B5716">
        <v>46</v>
      </c>
      <c r="C5716">
        <v>0</v>
      </c>
      <c r="D5716">
        <v>0</v>
      </c>
      <c r="E5716">
        <v>0</v>
      </c>
      <c r="F5716">
        <v>0</v>
      </c>
    </row>
    <row r="5717" spans="1:6" x14ac:dyDescent="0.25">
      <c r="A5717">
        <v>5716</v>
      </c>
      <c r="B5717">
        <v>2</v>
      </c>
      <c r="C5717">
        <v>0</v>
      </c>
      <c r="D5717">
        <v>0</v>
      </c>
      <c r="E5717">
        <v>0</v>
      </c>
      <c r="F5717">
        <v>37.664999999999999</v>
      </c>
    </row>
    <row r="5718" spans="1:6" x14ac:dyDescent="0.25">
      <c r="A5718">
        <v>5717</v>
      </c>
      <c r="B5718">
        <v>10</v>
      </c>
      <c r="C5718">
        <v>1</v>
      </c>
      <c r="D5718">
        <v>0</v>
      </c>
      <c r="E5718">
        <v>0</v>
      </c>
      <c r="F5718">
        <v>31712</v>
      </c>
    </row>
    <row r="5719" spans="1:6" x14ac:dyDescent="0.25">
      <c r="A5719">
        <v>5718</v>
      </c>
      <c r="B5719">
        <v>13</v>
      </c>
      <c r="C5719">
        <v>0</v>
      </c>
      <c r="D5719">
        <v>0</v>
      </c>
      <c r="E5719">
        <v>0</v>
      </c>
      <c r="F5719">
        <v>1603</v>
      </c>
    </row>
    <row r="5720" spans="1:6" x14ac:dyDescent="0.25">
      <c r="A5720">
        <v>5719</v>
      </c>
      <c r="B5720">
        <v>41</v>
      </c>
      <c r="C5720">
        <v>0</v>
      </c>
      <c r="D5720">
        <v>0</v>
      </c>
      <c r="E5720">
        <v>0</v>
      </c>
      <c r="F5720">
        <v>1</v>
      </c>
    </row>
    <row r="5721" spans="1:6" x14ac:dyDescent="0.25">
      <c r="A5721">
        <v>5720</v>
      </c>
      <c r="B5721">
        <v>42</v>
      </c>
      <c r="C5721">
        <v>0</v>
      </c>
      <c r="D5721">
        <v>0</v>
      </c>
      <c r="E5721">
        <v>0</v>
      </c>
      <c r="F5721">
        <v>0.2</v>
      </c>
    </row>
    <row r="5722" spans="1:6" x14ac:dyDescent="0.25">
      <c r="A5722">
        <v>5721</v>
      </c>
      <c r="B5722">
        <v>43</v>
      </c>
      <c r="C5722">
        <v>0</v>
      </c>
      <c r="D5722">
        <v>0</v>
      </c>
      <c r="E5722">
        <v>0</v>
      </c>
      <c r="F5722">
        <v>0</v>
      </c>
    </row>
    <row r="5723" spans="1:6" x14ac:dyDescent="0.25">
      <c r="A5723">
        <v>5722</v>
      </c>
      <c r="B5723">
        <v>44</v>
      </c>
      <c r="C5723">
        <v>0</v>
      </c>
      <c r="D5723">
        <v>0</v>
      </c>
      <c r="E5723">
        <v>0</v>
      </c>
      <c r="F5723">
        <v>57.220599999999997</v>
      </c>
    </row>
    <row r="5724" spans="1:6" x14ac:dyDescent="0.25">
      <c r="A5724">
        <v>5723</v>
      </c>
      <c r="B5724">
        <v>45</v>
      </c>
      <c r="C5724">
        <v>0</v>
      </c>
      <c r="D5724">
        <v>0</v>
      </c>
      <c r="E5724">
        <v>0</v>
      </c>
      <c r="F5724">
        <v>4400</v>
      </c>
    </row>
    <row r="5725" spans="1:6" x14ac:dyDescent="0.25">
      <c r="A5725">
        <v>5724</v>
      </c>
      <c r="B5725">
        <v>46</v>
      </c>
      <c r="C5725">
        <v>0</v>
      </c>
      <c r="D5725">
        <v>0</v>
      </c>
      <c r="E5725">
        <v>0</v>
      </c>
      <c r="F5725">
        <v>0</v>
      </c>
    </row>
    <row r="5726" spans="1:6" x14ac:dyDescent="0.25">
      <c r="A5726">
        <v>5725</v>
      </c>
      <c r="B5726">
        <v>2</v>
      </c>
      <c r="C5726">
        <v>0</v>
      </c>
      <c r="D5726">
        <v>0</v>
      </c>
      <c r="E5726">
        <v>0</v>
      </c>
      <c r="F5726">
        <v>38.264200000000002</v>
      </c>
    </row>
    <row r="5727" spans="1:6" x14ac:dyDescent="0.25">
      <c r="A5727">
        <v>5726</v>
      </c>
      <c r="B5727">
        <v>10</v>
      </c>
      <c r="C5727">
        <v>1</v>
      </c>
      <c r="D5727">
        <v>0</v>
      </c>
      <c r="E5727">
        <v>0</v>
      </c>
      <c r="F5727">
        <v>31215</v>
      </c>
    </row>
    <row r="5728" spans="1:6" x14ac:dyDescent="0.25">
      <c r="A5728">
        <v>5727</v>
      </c>
      <c r="B5728">
        <v>13</v>
      </c>
      <c r="C5728">
        <v>0</v>
      </c>
      <c r="D5728">
        <v>0</v>
      </c>
      <c r="E5728">
        <v>0</v>
      </c>
      <c r="F5728">
        <v>1603</v>
      </c>
    </row>
    <row r="5729" spans="1:6" x14ac:dyDescent="0.25">
      <c r="A5729">
        <v>5728</v>
      </c>
      <c r="B5729">
        <v>41</v>
      </c>
      <c r="C5729">
        <v>0</v>
      </c>
      <c r="D5729">
        <v>0</v>
      </c>
      <c r="E5729">
        <v>0</v>
      </c>
      <c r="F5729">
        <v>1</v>
      </c>
    </row>
    <row r="5730" spans="1:6" x14ac:dyDescent="0.25">
      <c r="A5730">
        <v>5729</v>
      </c>
      <c r="B5730">
        <v>42</v>
      </c>
      <c r="C5730">
        <v>0</v>
      </c>
      <c r="D5730">
        <v>0</v>
      </c>
      <c r="E5730">
        <v>0</v>
      </c>
      <c r="F5730">
        <v>0.2</v>
      </c>
    </row>
    <row r="5731" spans="1:6" x14ac:dyDescent="0.25">
      <c r="A5731">
        <v>5730</v>
      </c>
      <c r="B5731">
        <v>43</v>
      </c>
      <c r="C5731">
        <v>0</v>
      </c>
      <c r="D5731">
        <v>0</v>
      </c>
      <c r="E5731">
        <v>0</v>
      </c>
      <c r="F5731">
        <v>0</v>
      </c>
    </row>
    <row r="5732" spans="1:6" x14ac:dyDescent="0.25">
      <c r="A5732">
        <v>5731</v>
      </c>
      <c r="B5732">
        <v>44</v>
      </c>
      <c r="C5732">
        <v>0</v>
      </c>
      <c r="D5732">
        <v>0</v>
      </c>
      <c r="E5732">
        <v>0</v>
      </c>
      <c r="F5732">
        <v>56.775399999999998</v>
      </c>
    </row>
    <row r="5733" spans="1:6" x14ac:dyDescent="0.25">
      <c r="A5733">
        <v>5732</v>
      </c>
      <c r="B5733">
        <v>45</v>
      </c>
      <c r="C5733">
        <v>0</v>
      </c>
      <c r="D5733">
        <v>0</v>
      </c>
      <c r="E5733">
        <v>0</v>
      </c>
      <c r="F5733">
        <v>4400</v>
      </c>
    </row>
    <row r="5734" spans="1:6" x14ac:dyDescent="0.25">
      <c r="A5734">
        <v>5733</v>
      </c>
      <c r="B5734">
        <v>46</v>
      </c>
      <c r="C5734">
        <v>0</v>
      </c>
      <c r="D5734">
        <v>0</v>
      </c>
      <c r="E5734">
        <v>0</v>
      </c>
      <c r="F5734">
        <v>0</v>
      </c>
    </row>
    <row r="5735" spans="1:6" x14ac:dyDescent="0.25">
      <c r="A5735">
        <v>5734</v>
      </c>
      <c r="B5735">
        <v>2</v>
      </c>
      <c r="C5735">
        <v>0</v>
      </c>
      <c r="D5735">
        <v>0</v>
      </c>
      <c r="E5735">
        <v>0</v>
      </c>
      <c r="F5735">
        <v>38.884500000000003</v>
      </c>
    </row>
    <row r="5736" spans="1:6" x14ac:dyDescent="0.25">
      <c r="A5736">
        <v>5735</v>
      </c>
      <c r="B5736">
        <v>10</v>
      </c>
      <c r="C5736">
        <v>1</v>
      </c>
      <c r="D5736">
        <v>0</v>
      </c>
      <c r="E5736">
        <v>0</v>
      </c>
      <c r="F5736">
        <v>30717</v>
      </c>
    </row>
    <row r="5737" spans="1:6" x14ac:dyDescent="0.25">
      <c r="A5737">
        <v>5736</v>
      </c>
      <c r="B5737">
        <v>13</v>
      </c>
      <c r="C5737">
        <v>0</v>
      </c>
      <c r="D5737">
        <v>0</v>
      </c>
      <c r="E5737">
        <v>0</v>
      </c>
      <c r="F5737">
        <v>1603</v>
      </c>
    </row>
    <row r="5738" spans="1:6" x14ac:dyDescent="0.25">
      <c r="A5738">
        <v>5737</v>
      </c>
      <c r="B5738" t="s">
        <v>0</v>
      </c>
      <c r="C5738">
        <v>3</v>
      </c>
      <c r="D5738">
        <v>3484</v>
      </c>
      <c r="E5738">
        <v>80101148</v>
      </c>
    </row>
    <row r="5739" spans="1:6" x14ac:dyDescent="0.25">
      <c r="A5739">
        <v>5738</v>
      </c>
      <c r="B5739">
        <v>42</v>
      </c>
      <c r="C5739">
        <v>0</v>
      </c>
      <c r="D5739">
        <v>0</v>
      </c>
      <c r="E5739">
        <v>0</v>
      </c>
      <c r="F5739">
        <v>0.2</v>
      </c>
    </row>
    <row r="5740" spans="1:6" x14ac:dyDescent="0.25">
      <c r="A5740">
        <v>5739</v>
      </c>
      <c r="B5740">
        <v>43</v>
      </c>
      <c r="C5740">
        <v>0</v>
      </c>
      <c r="D5740">
        <v>0</v>
      </c>
      <c r="E5740">
        <v>0</v>
      </c>
      <c r="F5740">
        <v>0</v>
      </c>
    </row>
    <row r="5741" spans="1:6" x14ac:dyDescent="0.25">
      <c r="A5741">
        <v>5740</v>
      </c>
      <c r="B5741">
        <v>44</v>
      </c>
      <c r="C5741">
        <v>0</v>
      </c>
      <c r="D5741">
        <v>0</v>
      </c>
      <c r="E5741">
        <v>0</v>
      </c>
      <c r="F5741">
        <v>56.282800000000002</v>
      </c>
    </row>
    <row r="5742" spans="1:6" x14ac:dyDescent="0.25">
      <c r="A5742">
        <v>5741</v>
      </c>
      <c r="B5742">
        <v>45</v>
      </c>
      <c r="C5742">
        <v>0</v>
      </c>
      <c r="D5742">
        <v>0</v>
      </c>
      <c r="E5742">
        <v>0</v>
      </c>
      <c r="F5742">
        <v>4400</v>
      </c>
    </row>
    <row r="5743" spans="1:6" x14ac:dyDescent="0.25">
      <c r="A5743">
        <v>5742</v>
      </c>
      <c r="B5743">
        <v>46</v>
      </c>
      <c r="C5743">
        <v>0</v>
      </c>
      <c r="D5743">
        <v>0</v>
      </c>
      <c r="E5743">
        <v>0</v>
      </c>
      <c r="F5743">
        <v>0</v>
      </c>
    </row>
    <row r="5744" spans="1:6" x14ac:dyDescent="0.25">
      <c r="A5744">
        <v>5743</v>
      </c>
      <c r="B5744">
        <v>2</v>
      </c>
      <c r="C5744">
        <v>0</v>
      </c>
      <c r="D5744">
        <v>0</v>
      </c>
      <c r="E5744">
        <v>0</v>
      </c>
      <c r="F5744">
        <v>39.527099999999997</v>
      </c>
    </row>
    <row r="5745" spans="1:6" x14ac:dyDescent="0.25">
      <c r="A5745">
        <v>5744</v>
      </c>
      <c r="B5745">
        <v>10</v>
      </c>
      <c r="C5745">
        <v>1</v>
      </c>
      <c r="D5745">
        <v>0</v>
      </c>
      <c r="E5745">
        <v>0</v>
      </c>
      <c r="F5745">
        <v>30218</v>
      </c>
    </row>
    <row r="5746" spans="1:6" x14ac:dyDescent="0.25">
      <c r="A5746">
        <v>5745</v>
      </c>
      <c r="B5746">
        <v>13</v>
      </c>
      <c r="C5746">
        <v>0</v>
      </c>
      <c r="D5746">
        <v>0</v>
      </c>
      <c r="E5746">
        <v>0</v>
      </c>
      <c r="F5746">
        <v>1603</v>
      </c>
    </row>
    <row r="5747" spans="1:6" x14ac:dyDescent="0.25">
      <c r="A5747">
        <v>5746</v>
      </c>
      <c r="B5747">
        <v>41</v>
      </c>
      <c r="C5747">
        <v>0</v>
      </c>
      <c r="D5747">
        <v>0</v>
      </c>
      <c r="E5747">
        <v>0</v>
      </c>
      <c r="F5747">
        <v>1</v>
      </c>
    </row>
    <row r="5748" spans="1:6" x14ac:dyDescent="0.25">
      <c r="A5748">
        <v>5747</v>
      </c>
      <c r="B5748" t="s">
        <v>0</v>
      </c>
      <c r="C5748">
        <v>4</v>
      </c>
      <c r="D5748">
        <v>3484</v>
      </c>
      <c r="E5748">
        <v>80101779</v>
      </c>
    </row>
    <row r="5749" spans="1:6" x14ac:dyDescent="0.25">
      <c r="A5749">
        <v>5748</v>
      </c>
      <c r="B5749">
        <v>42</v>
      </c>
      <c r="C5749">
        <v>0</v>
      </c>
      <c r="D5749">
        <v>0</v>
      </c>
      <c r="E5749">
        <v>0</v>
      </c>
      <c r="F5749">
        <v>0.2</v>
      </c>
    </row>
    <row r="5750" spans="1:6" x14ac:dyDescent="0.25">
      <c r="A5750">
        <v>5749</v>
      </c>
      <c r="B5750">
        <v>43</v>
      </c>
      <c r="C5750">
        <v>0</v>
      </c>
      <c r="D5750">
        <v>0</v>
      </c>
      <c r="E5750">
        <v>0</v>
      </c>
      <c r="F5750">
        <v>0</v>
      </c>
    </row>
    <row r="5751" spans="1:6" x14ac:dyDescent="0.25">
      <c r="A5751">
        <v>5750</v>
      </c>
      <c r="B5751">
        <v>44</v>
      </c>
      <c r="C5751">
        <v>0</v>
      </c>
      <c r="D5751">
        <v>0</v>
      </c>
      <c r="E5751">
        <v>0</v>
      </c>
      <c r="F5751">
        <v>55.770600000000002</v>
      </c>
    </row>
    <row r="5752" spans="1:6" x14ac:dyDescent="0.25">
      <c r="A5752">
        <v>5751</v>
      </c>
      <c r="B5752">
        <v>45</v>
      </c>
      <c r="C5752">
        <v>0</v>
      </c>
      <c r="D5752">
        <v>0</v>
      </c>
      <c r="E5752">
        <v>0</v>
      </c>
      <c r="F5752">
        <v>4400</v>
      </c>
    </row>
    <row r="5753" spans="1:6" x14ac:dyDescent="0.25">
      <c r="A5753">
        <v>5752</v>
      </c>
      <c r="B5753">
        <v>46</v>
      </c>
      <c r="C5753">
        <v>0</v>
      </c>
      <c r="D5753">
        <v>0</v>
      </c>
      <c r="E5753">
        <v>0</v>
      </c>
      <c r="F5753">
        <v>0</v>
      </c>
    </row>
    <row r="5754" spans="1:6" x14ac:dyDescent="0.25">
      <c r="A5754">
        <v>5753</v>
      </c>
      <c r="B5754">
        <v>2</v>
      </c>
      <c r="C5754">
        <v>0</v>
      </c>
      <c r="D5754">
        <v>0</v>
      </c>
      <c r="E5754">
        <v>0</v>
      </c>
      <c r="F5754">
        <v>40.189300000000003</v>
      </c>
    </row>
    <row r="5755" spans="1:6" x14ac:dyDescent="0.25">
      <c r="A5755">
        <v>5754</v>
      </c>
      <c r="B5755">
        <v>10</v>
      </c>
      <c r="C5755">
        <v>1</v>
      </c>
      <c r="D5755">
        <v>0</v>
      </c>
      <c r="E5755">
        <v>0</v>
      </c>
      <c r="F5755">
        <v>29720</v>
      </c>
    </row>
    <row r="5756" spans="1:6" x14ac:dyDescent="0.25">
      <c r="A5756">
        <v>5755</v>
      </c>
      <c r="B5756">
        <v>13</v>
      </c>
      <c r="C5756">
        <v>0</v>
      </c>
      <c r="D5756">
        <v>0</v>
      </c>
      <c r="E5756">
        <v>0</v>
      </c>
      <c r="F5756">
        <v>1603</v>
      </c>
    </row>
    <row r="5757" spans="1:6" x14ac:dyDescent="0.25">
      <c r="A5757">
        <v>5756</v>
      </c>
      <c r="B5757">
        <v>41</v>
      </c>
      <c r="C5757">
        <v>0</v>
      </c>
      <c r="D5757">
        <v>0</v>
      </c>
      <c r="E5757">
        <v>0</v>
      </c>
      <c r="F5757">
        <v>1</v>
      </c>
    </row>
    <row r="5758" spans="1:6" x14ac:dyDescent="0.25">
      <c r="A5758">
        <v>5757</v>
      </c>
      <c r="B5758" t="s">
        <v>0</v>
      </c>
      <c r="C5758">
        <v>5</v>
      </c>
      <c r="D5758">
        <v>3484</v>
      </c>
      <c r="E5758">
        <v>80102398</v>
      </c>
    </row>
    <row r="5759" spans="1:6" x14ac:dyDescent="0.25">
      <c r="A5759">
        <v>5758</v>
      </c>
      <c r="B5759">
        <v>43</v>
      </c>
      <c r="C5759">
        <v>0</v>
      </c>
      <c r="D5759">
        <v>0</v>
      </c>
      <c r="E5759">
        <v>0</v>
      </c>
      <c r="F5759">
        <v>0</v>
      </c>
    </row>
    <row r="5760" spans="1:6" x14ac:dyDescent="0.25">
      <c r="A5760">
        <v>5759</v>
      </c>
      <c r="B5760">
        <v>44</v>
      </c>
      <c r="C5760">
        <v>0</v>
      </c>
      <c r="D5760">
        <v>0</v>
      </c>
      <c r="E5760">
        <v>0</v>
      </c>
      <c r="F5760">
        <v>55.237499999999997</v>
      </c>
    </row>
    <row r="5761" spans="1:6" x14ac:dyDescent="0.25">
      <c r="A5761">
        <v>5760</v>
      </c>
      <c r="B5761">
        <v>45</v>
      </c>
      <c r="C5761">
        <v>0</v>
      </c>
      <c r="D5761">
        <v>0</v>
      </c>
      <c r="E5761">
        <v>0</v>
      </c>
      <c r="F5761">
        <v>4400</v>
      </c>
    </row>
    <row r="5762" spans="1:6" x14ac:dyDescent="0.25">
      <c r="A5762">
        <v>5761</v>
      </c>
      <c r="B5762">
        <v>46</v>
      </c>
      <c r="C5762">
        <v>0</v>
      </c>
      <c r="D5762">
        <v>0</v>
      </c>
      <c r="E5762">
        <v>0</v>
      </c>
      <c r="F5762">
        <v>0</v>
      </c>
    </row>
    <row r="5763" spans="1:6" x14ac:dyDescent="0.25">
      <c r="A5763">
        <v>5762</v>
      </c>
      <c r="B5763">
        <v>2</v>
      </c>
      <c r="C5763">
        <v>0</v>
      </c>
      <c r="D5763">
        <v>0</v>
      </c>
      <c r="E5763">
        <v>0</v>
      </c>
      <c r="F5763">
        <v>40.872500000000002</v>
      </c>
    </row>
    <row r="5764" spans="1:6" x14ac:dyDescent="0.25">
      <c r="A5764">
        <v>5763</v>
      </c>
      <c r="B5764">
        <v>10</v>
      </c>
      <c r="C5764">
        <v>1</v>
      </c>
      <c r="D5764">
        <v>0</v>
      </c>
      <c r="E5764">
        <v>0</v>
      </c>
      <c r="F5764">
        <v>29223</v>
      </c>
    </row>
    <row r="5765" spans="1:6" x14ac:dyDescent="0.25">
      <c r="A5765">
        <v>5764</v>
      </c>
      <c r="B5765">
        <v>13</v>
      </c>
      <c r="C5765">
        <v>0</v>
      </c>
      <c r="D5765">
        <v>0</v>
      </c>
      <c r="E5765">
        <v>0</v>
      </c>
      <c r="F5765">
        <v>1603</v>
      </c>
    </row>
    <row r="5766" spans="1:6" x14ac:dyDescent="0.25">
      <c r="A5766">
        <v>5765</v>
      </c>
      <c r="B5766">
        <v>41</v>
      </c>
      <c r="C5766">
        <v>0</v>
      </c>
      <c r="D5766">
        <v>0</v>
      </c>
      <c r="E5766">
        <v>0</v>
      </c>
      <c r="F5766">
        <v>1</v>
      </c>
    </row>
    <row r="5767" spans="1:6" x14ac:dyDescent="0.25">
      <c r="A5767">
        <v>5766</v>
      </c>
      <c r="B5767">
        <v>42</v>
      </c>
      <c r="C5767">
        <v>0</v>
      </c>
      <c r="D5767">
        <v>0</v>
      </c>
      <c r="E5767">
        <v>0</v>
      </c>
      <c r="F5767">
        <v>0.2</v>
      </c>
    </row>
    <row r="5768" spans="1:6" x14ac:dyDescent="0.25">
      <c r="A5768">
        <v>5767</v>
      </c>
      <c r="B5768">
        <v>43</v>
      </c>
      <c r="C5768">
        <v>0</v>
      </c>
      <c r="D5768">
        <v>0</v>
      </c>
      <c r="E5768">
        <v>0</v>
      </c>
      <c r="F5768">
        <v>0</v>
      </c>
    </row>
    <row r="5769" spans="1:6" x14ac:dyDescent="0.25">
      <c r="A5769">
        <v>5768</v>
      </c>
      <c r="B5769">
        <v>44</v>
      </c>
      <c r="C5769">
        <v>0</v>
      </c>
      <c r="D5769">
        <v>0</v>
      </c>
      <c r="E5769">
        <v>0</v>
      </c>
      <c r="F5769">
        <v>54.711100000000002</v>
      </c>
    </row>
    <row r="5770" spans="1:6" x14ac:dyDescent="0.25">
      <c r="A5770">
        <v>5769</v>
      </c>
      <c r="B5770">
        <v>45</v>
      </c>
      <c r="C5770">
        <v>0</v>
      </c>
      <c r="D5770">
        <v>0</v>
      </c>
      <c r="E5770">
        <v>0</v>
      </c>
      <c r="F5770">
        <v>4400</v>
      </c>
    </row>
    <row r="5771" spans="1:6" x14ac:dyDescent="0.25">
      <c r="A5771">
        <v>5770</v>
      </c>
      <c r="B5771">
        <v>46</v>
      </c>
      <c r="C5771">
        <v>0</v>
      </c>
      <c r="D5771">
        <v>0</v>
      </c>
      <c r="E5771">
        <v>0</v>
      </c>
      <c r="F5771">
        <v>0</v>
      </c>
    </row>
    <row r="5772" spans="1:6" x14ac:dyDescent="0.25">
      <c r="A5772">
        <v>5771</v>
      </c>
      <c r="B5772">
        <v>2</v>
      </c>
      <c r="C5772">
        <v>0</v>
      </c>
      <c r="D5772">
        <v>0</v>
      </c>
      <c r="E5772">
        <v>0</v>
      </c>
      <c r="F5772">
        <v>41.573799999999999</v>
      </c>
    </row>
    <row r="5773" spans="1:6" x14ac:dyDescent="0.25">
      <c r="A5773">
        <v>5772</v>
      </c>
      <c r="B5773">
        <v>10</v>
      </c>
      <c r="C5773">
        <v>1</v>
      </c>
      <c r="D5773">
        <v>0</v>
      </c>
      <c r="E5773">
        <v>0</v>
      </c>
      <c r="F5773">
        <v>28730</v>
      </c>
    </row>
    <row r="5774" spans="1:6" x14ac:dyDescent="0.25">
      <c r="A5774">
        <v>5773</v>
      </c>
      <c r="B5774">
        <v>13</v>
      </c>
      <c r="C5774">
        <v>0</v>
      </c>
      <c r="D5774">
        <v>0</v>
      </c>
      <c r="E5774">
        <v>0</v>
      </c>
      <c r="F5774">
        <v>1603</v>
      </c>
    </row>
    <row r="5775" spans="1:6" x14ac:dyDescent="0.25">
      <c r="A5775">
        <v>5774</v>
      </c>
      <c r="B5775">
        <v>41</v>
      </c>
      <c r="C5775">
        <v>0</v>
      </c>
      <c r="D5775">
        <v>0</v>
      </c>
      <c r="E5775">
        <v>0</v>
      </c>
      <c r="F5775">
        <v>1</v>
      </c>
    </row>
    <row r="5776" spans="1:6" x14ac:dyDescent="0.25">
      <c r="A5776">
        <v>5775</v>
      </c>
      <c r="B5776">
        <v>42</v>
      </c>
      <c r="C5776">
        <v>0</v>
      </c>
      <c r="D5776">
        <v>0</v>
      </c>
      <c r="E5776">
        <v>0</v>
      </c>
      <c r="F5776">
        <v>0.2</v>
      </c>
    </row>
    <row r="5777" spans="1:6" x14ac:dyDescent="0.25">
      <c r="A5777">
        <v>5776</v>
      </c>
      <c r="B5777">
        <v>43</v>
      </c>
      <c r="C5777">
        <v>0</v>
      </c>
      <c r="D5777">
        <v>0</v>
      </c>
      <c r="E5777">
        <v>0</v>
      </c>
      <c r="F5777">
        <v>0</v>
      </c>
    </row>
    <row r="5778" spans="1:6" x14ac:dyDescent="0.25">
      <c r="A5778">
        <v>5777</v>
      </c>
      <c r="B5778">
        <v>44</v>
      </c>
      <c r="C5778">
        <v>0</v>
      </c>
      <c r="D5778">
        <v>0</v>
      </c>
      <c r="E5778">
        <v>0</v>
      </c>
      <c r="F5778">
        <v>54.142299999999999</v>
      </c>
    </row>
    <row r="5779" spans="1:6" x14ac:dyDescent="0.25">
      <c r="A5779">
        <v>5778</v>
      </c>
      <c r="B5779">
        <v>45</v>
      </c>
      <c r="C5779">
        <v>0</v>
      </c>
      <c r="D5779">
        <v>0</v>
      </c>
      <c r="E5779">
        <v>0</v>
      </c>
      <c r="F5779">
        <v>4400</v>
      </c>
    </row>
    <row r="5780" spans="1:6" x14ac:dyDescent="0.25">
      <c r="A5780">
        <v>5779</v>
      </c>
      <c r="B5780">
        <v>46</v>
      </c>
      <c r="C5780">
        <v>0</v>
      </c>
      <c r="D5780">
        <v>0</v>
      </c>
      <c r="E5780">
        <v>0</v>
      </c>
      <c r="F5780">
        <v>0</v>
      </c>
    </row>
    <row r="5781" spans="1:6" x14ac:dyDescent="0.25">
      <c r="A5781">
        <v>5780</v>
      </c>
      <c r="B5781">
        <v>2</v>
      </c>
      <c r="C5781">
        <v>0</v>
      </c>
      <c r="D5781">
        <v>0</v>
      </c>
      <c r="E5781">
        <v>0</v>
      </c>
      <c r="F5781">
        <v>42.2926</v>
      </c>
    </row>
    <row r="5782" spans="1:6" x14ac:dyDescent="0.25">
      <c r="A5782">
        <v>5781</v>
      </c>
      <c r="B5782">
        <v>10</v>
      </c>
      <c r="C5782">
        <v>1</v>
      </c>
      <c r="D5782">
        <v>0</v>
      </c>
      <c r="E5782">
        <v>0</v>
      </c>
      <c r="F5782">
        <v>28242</v>
      </c>
    </row>
    <row r="5783" spans="1:6" x14ac:dyDescent="0.25">
      <c r="A5783">
        <v>5782</v>
      </c>
      <c r="B5783">
        <v>13</v>
      </c>
      <c r="C5783">
        <v>0</v>
      </c>
      <c r="D5783">
        <v>0</v>
      </c>
      <c r="E5783">
        <v>0</v>
      </c>
      <c r="F5783">
        <v>1603</v>
      </c>
    </row>
    <row r="5784" spans="1:6" x14ac:dyDescent="0.25">
      <c r="A5784">
        <v>5783</v>
      </c>
      <c r="B5784">
        <v>41</v>
      </c>
      <c r="C5784">
        <v>0</v>
      </c>
      <c r="D5784">
        <v>0</v>
      </c>
      <c r="E5784">
        <v>0</v>
      </c>
      <c r="F5784">
        <v>1</v>
      </c>
    </row>
    <row r="5785" spans="1:6" x14ac:dyDescent="0.25">
      <c r="A5785">
        <v>5784</v>
      </c>
      <c r="B5785">
        <v>42</v>
      </c>
      <c r="C5785">
        <v>0</v>
      </c>
      <c r="D5785">
        <v>0</v>
      </c>
      <c r="E5785">
        <v>0</v>
      </c>
      <c r="F5785">
        <v>0.2</v>
      </c>
    </row>
    <row r="5786" spans="1:6" x14ac:dyDescent="0.25">
      <c r="A5786">
        <v>5785</v>
      </c>
      <c r="B5786">
        <v>43</v>
      </c>
      <c r="C5786">
        <v>0</v>
      </c>
      <c r="D5786">
        <v>0</v>
      </c>
      <c r="E5786">
        <v>0</v>
      </c>
      <c r="F5786">
        <v>0</v>
      </c>
    </row>
    <row r="5787" spans="1:6" x14ac:dyDescent="0.25">
      <c r="A5787">
        <v>5786</v>
      </c>
      <c r="B5787">
        <v>44</v>
      </c>
      <c r="C5787">
        <v>0</v>
      </c>
      <c r="D5787">
        <v>0</v>
      </c>
      <c r="E5787">
        <v>0</v>
      </c>
      <c r="F5787">
        <v>53.532800000000002</v>
      </c>
    </row>
    <row r="5788" spans="1:6" x14ac:dyDescent="0.25">
      <c r="A5788">
        <v>5787</v>
      </c>
      <c r="B5788">
        <v>45</v>
      </c>
      <c r="C5788">
        <v>0</v>
      </c>
      <c r="D5788">
        <v>0</v>
      </c>
      <c r="E5788">
        <v>0</v>
      </c>
      <c r="F5788">
        <v>4400</v>
      </c>
    </row>
    <row r="5789" spans="1:6" x14ac:dyDescent="0.25">
      <c r="A5789">
        <v>5788</v>
      </c>
      <c r="B5789">
        <v>46</v>
      </c>
      <c r="C5789">
        <v>0</v>
      </c>
      <c r="D5789">
        <v>0</v>
      </c>
      <c r="E5789">
        <v>0</v>
      </c>
      <c r="F5789">
        <v>0</v>
      </c>
    </row>
    <row r="5790" spans="1:6" x14ac:dyDescent="0.25">
      <c r="A5790">
        <v>5789</v>
      </c>
      <c r="B5790">
        <v>2</v>
      </c>
      <c r="C5790">
        <v>0</v>
      </c>
      <c r="D5790">
        <v>0</v>
      </c>
      <c r="E5790">
        <v>0</v>
      </c>
      <c r="F5790">
        <v>43.027099999999997</v>
      </c>
    </row>
    <row r="5791" spans="1:6" x14ac:dyDescent="0.25">
      <c r="A5791">
        <v>5790</v>
      </c>
      <c r="B5791">
        <v>10</v>
      </c>
      <c r="C5791">
        <v>1</v>
      </c>
      <c r="D5791">
        <v>0</v>
      </c>
      <c r="E5791">
        <v>0</v>
      </c>
      <c r="F5791">
        <v>27760</v>
      </c>
    </row>
    <row r="5792" spans="1:6" x14ac:dyDescent="0.25">
      <c r="A5792">
        <v>5791</v>
      </c>
      <c r="B5792">
        <v>13</v>
      </c>
      <c r="C5792">
        <v>0</v>
      </c>
      <c r="D5792">
        <v>0</v>
      </c>
      <c r="E5792">
        <v>0</v>
      </c>
      <c r="F5792">
        <v>1603</v>
      </c>
    </row>
    <row r="5793" spans="1:6" x14ac:dyDescent="0.25">
      <c r="A5793">
        <v>5792</v>
      </c>
      <c r="B5793">
        <v>41</v>
      </c>
      <c r="C5793">
        <v>0</v>
      </c>
      <c r="D5793">
        <v>0</v>
      </c>
      <c r="E5793">
        <v>0</v>
      </c>
      <c r="F5793">
        <v>1</v>
      </c>
    </row>
    <row r="5794" spans="1:6" x14ac:dyDescent="0.25">
      <c r="A5794">
        <v>5793</v>
      </c>
      <c r="B5794" t="s">
        <v>0</v>
      </c>
      <c r="C5794">
        <v>9</v>
      </c>
      <c r="D5794">
        <v>3484</v>
      </c>
      <c r="E5794">
        <v>80104757</v>
      </c>
    </row>
    <row r="5795" spans="1:6" x14ac:dyDescent="0.25">
      <c r="A5795">
        <v>5794</v>
      </c>
      <c r="B5795">
        <v>43</v>
      </c>
      <c r="C5795">
        <v>0</v>
      </c>
      <c r="D5795">
        <v>0</v>
      </c>
      <c r="E5795">
        <v>0</v>
      </c>
      <c r="F5795">
        <v>0</v>
      </c>
    </row>
    <row r="5796" spans="1:6" x14ac:dyDescent="0.25">
      <c r="A5796">
        <v>5795</v>
      </c>
      <c r="B5796">
        <v>44</v>
      </c>
      <c r="C5796">
        <v>0</v>
      </c>
      <c r="D5796">
        <v>0</v>
      </c>
      <c r="E5796">
        <v>0</v>
      </c>
      <c r="F5796">
        <v>52.932499999999997</v>
      </c>
    </row>
    <row r="5797" spans="1:6" x14ac:dyDescent="0.25">
      <c r="A5797">
        <v>5796</v>
      </c>
      <c r="B5797">
        <v>45</v>
      </c>
      <c r="C5797">
        <v>0</v>
      </c>
      <c r="D5797">
        <v>0</v>
      </c>
      <c r="E5797">
        <v>0</v>
      </c>
      <c r="F5797">
        <v>4400</v>
      </c>
    </row>
    <row r="5798" spans="1:6" x14ac:dyDescent="0.25">
      <c r="A5798">
        <v>5797</v>
      </c>
      <c r="B5798">
        <v>46</v>
      </c>
      <c r="C5798">
        <v>0</v>
      </c>
      <c r="D5798">
        <v>0</v>
      </c>
      <c r="E5798">
        <v>0</v>
      </c>
      <c r="F5798">
        <v>0</v>
      </c>
    </row>
    <row r="5799" spans="1:6" x14ac:dyDescent="0.25">
      <c r="A5799">
        <v>5798</v>
      </c>
      <c r="B5799">
        <v>2</v>
      </c>
      <c r="C5799">
        <v>0</v>
      </c>
      <c r="D5799">
        <v>0</v>
      </c>
      <c r="E5799">
        <v>0</v>
      </c>
      <c r="F5799">
        <v>43.777500000000003</v>
      </c>
    </row>
    <row r="5800" spans="1:6" x14ac:dyDescent="0.25">
      <c r="A5800">
        <v>5799</v>
      </c>
      <c r="B5800">
        <v>10</v>
      </c>
      <c r="C5800">
        <v>1</v>
      </c>
      <c r="D5800">
        <v>0</v>
      </c>
      <c r="E5800">
        <v>0</v>
      </c>
      <c r="F5800">
        <v>27284</v>
      </c>
    </row>
    <row r="5801" spans="1:6" x14ac:dyDescent="0.25">
      <c r="A5801">
        <v>5800</v>
      </c>
      <c r="B5801">
        <v>13</v>
      </c>
      <c r="C5801">
        <v>0</v>
      </c>
      <c r="D5801">
        <v>0</v>
      </c>
      <c r="E5801">
        <v>0</v>
      </c>
      <c r="F5801">
        <v>1603</v>
      </c>
    </row>
    <row r="5802" spans="1:6" x14ac:dyDescent="0.25">
      <c r="A5802">
        <v>5801</v>
      </c>
      <c r="B5802">
        <v>41</v>
      </c>
      <c r="C5802">
        <v>0</v>
      </c>
      <c r="D5802">
        <v>0</v>
      </c>
      <c r="E5802">
        <v>0</v>
      </c>
      <c r="F5802">
        <v>1</v>
      </c>
    </row>
    <row r="5803" spans="1:6" x14ac:dyDescent="0.25">
      <c r="A5803">
        <v>5802</v>
      </c>
      <c r="B5803" t="s">
        <v>0</v>
      </c>
      <c r="C5803">
        <v>10</v>
      </c>
      <c r="D5803">
        <v>3484</v>
      </c>
      <c r="E5803">
        <v>80105320</v>
      </c>
    </row>
    <row r="5804" spans="1:6" x14ac:dyDescent="0.25">
      <c r="A5804">
        <v>5803</v>
      </c>
      <c r="B5804">
        <v>42</v>
      </c>
      <c r="C5804">
        <v>0</v>
      </c>
      <c r="D5804">
        <v>0</v>
      </c>
      <c r="E5804">
        <v>0</v>
      </c>
      <c r="F5804">
        <v>0.2</v>
      </c>
    </row>
    <row r="5805" spans="1:6" x14ac:dyDescent="0.25">
      <c r="A5805">
        <v>5804</v>
      </c>
      <c r="B5805">
        <v>43</v>
      </c>
      <c r="C5805">
        <v>0</v>
      </c>
      <c r="D5805">
        <v>0</v>
      </c>
      <c r="E5805">
        <v>0</v>
      </c>
      <c r="F5805">
        <v>0</v>
      </c>
    </row>
    <row r="5806" spans="1:6" x14ac:dyDescent="0.25">
      <c r="A5806">
        <v>5805</v>
      </c>
      <c r="B5806">
        <v>44</v>
      </c>
      <c r="C5806">
        <v>0</v>
      </c>
      <c r="D5806">
        <v>0</v>
      </c>
      <c r="E5806">
        <v>0</v>
      </c>
      <c r="F5806">
        <v>52.316099999999999</v>
      </c>
    </row>
    <row r="5807" spans="1:6" x14ac:dyDescent="0.25">
      <c r="A5807">
        <v>5806</v>
      </c>
      <c r="B5807">
        <v>45</v>
      </c>
      <c r="C5807">
        <v>0</v>
      </c>
      <c r="D5807">
        <v>0</v>
      </c>
      <c r="E5807">
        <v>0</v>
      </c>
      <c r="F5807">
        <v>4400</v>
      </c>
    </row>
    <row r="5808" spans="1:6" x14ac:dyDescent="0.25">
      <c r="A5808">
        <v>5807</v>
      </c>
      <c r="B5808">
        <v>46</v>
      </c>
      <c r="C5808">
        <v>0</v>
      </c>
      <c r="D5808">
        <v>0</v>
      </c>
      <c r="E5808">
        <v>0</v>
      </c>
      <c r="F5808">
        <v>0</v>
      </c>
    </row>
    <row r="5809" spans="1:6" x14ac:dyDescent="0.25">
      <c r="A5809">
        <v>5808</v>
      </c>
      <c r="B5809">
        <v>2</v>
      </c>
      <c r="C5809">
        <v>0</v>
      </c>
      <c r="D5809">
        <v>0</v>
      </c>
      <c r="E5809">
        <v>0</v>
      </c>
      <c r="F5809">
        <v>44.543799999999997</v>
      </c>
    </row>
    <row r="5810" spans="1:6" x14ac:dyDescent="0.25">
      <c r="A5810">
        <v>5809</v>
      </c>
      <c r="B5810">
        <v>10</v>
      </c>
      <c r="C5810">
        <v>1</v>
      </c>
      <c r="D5810">
        <v>0</v>
      </c>
      <c r="E5810">
        <v>0</v>
      </c>
      <c r="F5810">
        <v>26815</v>
      </c>
    </row>
    <row r="5811" spans="1:6" x14ac:dyDescent="0.25">
      <c r="A5811">
        <v>5810</v>
      </c>
      <c r="B5811">
        <v>13</v>
      </c>
      <c r="C5811">
        <v>0</v>
      </c>
      <c r="D5811">
        <v>0</v>
      </c>
      <c r="E5811">
        <v>0</v>
      </c>
      <c r="F5811">
        <v>1603</v>
      </c>
    </row>
    <row r="5812" spans="1:6" x14ac:dyDescent="0.25">
      <c r="A5812">
        <v>5811</v>
      </c>
      <c r="B5812" t="s">
        <v>0</v>
      </c>
      <c r="C5812">
        <v>11</v>
      </c>
      <c r="D5812">
        <v>3484</v>
      </c>
      <c r="E5812">
        <v>80105873</v>
      </c>
    </row>
    <row r="5813" spans="1:6" x14ac:dyDescent="0.25">
      <c r="A5813">
        <v>5812</v>
      </c>
      <c r="B5813">
        <v>42</v>
      </c>
      <c r="C5813">
        <v>0</v>
      </c>
      <c r="D5813">
        <v>0</v>
      </c>
      <c r="E5813">
        <v>0</v>
      </c>
      <c r="F5813">
        <v>0.2</v>
      </c>
    </row>
    <row r="5814" spans="1:6" x14ac:dyDescent="0.25">
      <c r="A5814">
        <v>5813</v>
      </c>
      <c r="B5814">
        <v>43</v>
      </c>
      <c r="C5814">
        <v>0</v>
      </c>
      <c r="D5814">
        <v>0</v>
      </c>
      <c r="E5814">
        <v>0</v>
      </c>
      <c r="F5814">
        <v>0</v>
      </c>
    </row>
    <row r="5815" spans="1:6" x14ac:dyDescent="0.25">
      <c r="A5815">
        <v>5814</v>
      </c>
      <c r="B5815">
        <v>44</v>
      </c>
      <c r="C5815">
        <v>0</v>
      </c>
      <c r="D5815">
        <v>0</v>
      </c>
      <c r="E5815">
        <v>0</v>
      </c>
      <c r="F5815">
        <v>51.660299999999999</v>
      </c>
    </row>
    <row r="5816" spans="1:6" x14ac:dyDescent="0.25">
      <c r="A5816">
        <v>5815</v>
      </c>
      <c r="B5816">
        <v>45</v>
      </c>
      <c r="C5816">
        <v>0</v>
      </c>
      <c r="D5816">
        <v>0</v>
      </c>
      <c r="E5816">
        <v>0</v>
      </c>
      <c r="F5816">
        <v>4400</v>
      </c>
    </row>
    <row r="5817" spans="1:6" x14ac:dyDescent="0.25">
      <c r="A5817">
        <v>5816</v>
      </c>
      <c r="B5817">
        <v>46</v>
      </c>
      <c r="C5817">
        <v>0</v>
      </c>
      <c r="D5817">
        <v>0</v>
      </c>
      <c r="E5817">
        <v>0</v>
      </c>
      <c r="F5817">
        <v>0</v>
      </c>
    </row>
    <row r="5818" spans="1:6" x14ac:dyDescent="0.25">
      <c r="A5818">
        <v>5817</v>
      </c>
      <c r="B5818">
        <v>2</v>
      </c>
      <c r="C5818">
        <v>0</v>
      </c>
      <c r="D5818">
        <v>0</v>
      </c>
      <c r="E5818">
        <v>0</v>
      </c>
      <c r="F5818">
        <v>45.3247</v>
      </c>
    </row>
    <row r="5819" spans="1:6" x14ac:dyDescent="0.25">
      <c r="A5819">
        <v>5818</v>
      </c>
      <c r="B5819">
        <v>10</v>
      </c>
      <c r="C5819">
        <v>1</v>
      </c>
      <c r="D5819">
        <v>0</v>
      </c>
      <c r="E5819">
        <v>0</v>
      </c>
      <c r="F5819">
        <v>26353</v>
      </c>
    </row>
    <row r="5820" spans="1:6" x14ac:dyDescent="0.25">
      <c r="A5820">
        <v>5819</v>
      </c>
      <c r="B5820">
        <v>13</v>
      </c>
      <c r="C5820">
        <v>0</v>
      </c>
      <c r="D5820">
        <v>0</v>
      </c>
      <c r="E5820">
        <v>0</v>
      </c>
      <c r="F5820">
        <v>1603</v>
      </c>
    </row>
    <row r="5821" spans="1:6" x14ac:dyDescent="0.25">
      <c r="A5821">
        <v>5820</v>
      </c>
      <c r="B5821">
        <v>41</v>
      </c>
      <c r="C5821">
        <v>0</v>
      </c>
      <c r="D5821">
        <v>0</v>
      </c>
      <c r="E5821">
        <v>0</v>
      </c>
      <c r="F5821">
        <v>1</v>
      </c>
    </row>
    <row r="5822" spans="1:6" x14ac:dyDescent="0.25">
      <c r="A5822">
        <v>5821</v>
      </c>
      <c r="B5822">
        <v>42</v>
      </c>
      <c r="C5822">
        <v>0</v>
      </c>
      <c r="D5822">
        <v>0</v>
      </c>
      <c r="E5822">
        <v>0</v>
      </c>
      <c r="F5822">
        <v>0.2</v>
      </c>
    </row>
    <row r="5823" spans="1:6" x14ac:dyDescent="0.25">
      <c r="A5823">
        <v>5822</v>
      </c>
      <c r="B5823">
        <v>43</v>
      </c>
      <c r="C5823">
        <v>0</v>
      </c>
      <c r="D5823">
        <v>0</v>
      </c>
      <c r="E5823">
        <v>0</v>
      </c>
      <c r="F5823">
        <v>0</v>
      </c>
    </row>
    <row r="5824" spans="1:6" x14ac:dyDescent="0.25">
      <c r="A5824">
        <v>5823</v>
      </c>
      <c r="B5824">
        <v>44</v>
      </c>
      <c r="C5824">
        <v>0</v>
      </c>
      <c r="D5824">
        <v>0</v>
      </c>
      <c r="E5824">
        <v>0</v>
      </c>
      <c r="F5824">
        <v>51.0154</v>
      </c>
    </row>
    <row r="5825" spans="1:6" x14ac:dyDescent="0.25">
      <c r="A5825">
        <v>5824</v>
      </c>
      <c r="B5825">
        <v>45</v>
      </c>
      <c r="C5825">
        <v>0</v>
      </c>
      <c r="D5825">
        <v>0</v>
      </c>
      <c r="E5825">
        <v>0</v>
      </c>
      <c r="F5825">
        <v>4400</v>
      </c>
    </row>
    <row r="5826" spans="1:6" x14ac:dyDescent="0.25">
      <c r="A5826">
        <v>5825</v>
      </c>
      <c r="B5826">
        <v>46</v>
      </c>
      <c r="C5826">
        <v>0</v>
      </c>
      <c r="D5826">
        <v>0</v>
      </c>
      <c r="E5826">
        <v>0</v>
      </c>
      <c r="F5826">
        <v>0</v>
      </c>
    </row>
    <row r="5827" spans="1:6" x14ac:dyDescent="0.25">
      <c r="A5827">
        <v>5826</v>
      </c>
      <c r="B5827">
        <v>2</v>
      </c>
      <c r="C5827">
        <v>0</v>
      </c>
      <c r="D5827">
        <v>0</v>
      </c>
      <c r="E5827">
        <v>0</v>
      </c>
      <c r="F5827">
        <v>46.119500000000002</v>
      </c>
    </row>
    <row r="5828" spans="1:6" x14ac:dyDescent="0.25">
      <c r="A5828">
        <v>5827</v>
      </c>
      <c r="B5828">
        <v>10</v>
      </c>
      <c r="C5828">
        <v>1</v>
      </c>
      <c r="D5828">
        <v>0</v>
      </c>
      <c r="E5828">
        <v>0</v>
      </c>
      <c r="F5828">
        <v>25898</v>
      </c>
    </row>
    <row r="5829" spans="1:6" x14ac:dyDescent="0.25">
      <c r="A5829">
        <v>5828</v>
      </c>
      <c r="B5829">
        <v>13</v>
      </c>
      <c r="C5829">
        <v>0</v>
      </c>
      <c r="D5829">
        <v>0</v>
      </c>
      <c r="E5829">
        <v>0</v>
      </c>
      <c r="F5829">
        <v>1603</v>
      </c>
    </row>
    <row r="5830" spans="1:6" x14ac:dyDescent="0.25">
      <c r="A5830">
        <v>5829</v>
      </c>
      <c r="B5830">
        <v>41</v>
      </c>
      <c r="C5830">
        <v>0</v>
      </c>
      <c r="D5830">
        <v>0</v>
      </c>
      <c r="E5830">
        <v>0</v>
      </c>
      <c r="F5830">
        <v>1</v>
      </c>
    </row>
    <row r="5831" spans="1:6" x14ac:dyDescent="0.25">
      <c r="A5831">
        <v>5830</v>
      </c>
      <c r="B5831">
        <v>42</v>
      </c>
      <c r="C5831">
        <v>0</v>
      </c>
      <c r="D5831">
        <v>0</v>
      </c>
      <c r="E5831">
        <v>0</v>
      </c>
      <c r="F5831">
        <v>0.2</v>
      </c>
    </row>
    <row r="5832" spans="1:6" x14ac:dyDescent="0.25">
      <c r="A5832">
        <v>5831</v>
      </c>
      <c r="B5832">
        <v>43</v>
      </c>
      <c r="C5832">
        <v>0</v>
      </c>
      <c r="D5832">
        <v>0</v>
      </c>
      <c r="E5832">
        <v>0</v>
      </c>
      <c r="F5832">
        <v>0</v>
      </c>
    </row>
    <row r="5833" spans="1:6" x14ac:dyDescent="0.25">
      <c r="A5833">
        <v>5832</v>
      </c>
      <c r="B5833">
        <v>44</v>
      </c>
      <c r="C5833">
        <v>0</v>
      </c>
      <c r="D5833">
        <v>0</v>
      </c>
      <c r="E5833">
        <v>0</v>
      </c>
      <c r="F5833">
        <v>50.331099999999999</v>
      </c>
    </row>
    <row r="5834" spans="1:6" x14ac:dyDescent="0.25">
      <c r="A5834">
        <v>5833</v>
      </c>
      <c r="B5834">
        <v>45</v>
      </c>
      <c r="C5834">
        <v>0</v>
      </c>
      <c r="D5834">
        <v>0</v>
      </c>
      <c r="E5834">
        <v>0</v>
      </c>
      <c r="F5834">
        <v>4400</v>
      </c>
    </row>
    <row r="5835" spans="1:6" x14ac:dyDescent="0.25">
      <c r="A5835">
        <v>5834</v>
      </c>
      <c r="B5835">
        <v>46</v>
      </c>
      <c r="C5835">
        <v>0</v>
      </c>
      <c r="D5835">
        <v>0</v>
      </c>
      <c r="E5835">
        <v>0</v>
      </c>
      <c r="F5835">
        <v>0</v>
      </c>
    </row>
    <row r="5836" spans="1:6" x14ac:dyDescent="0.25">
      <c r="A5836">
        <v>5835</v>
      </c>
      <c r="B5836">
        <v>2</v>
      </c>
      <c r="C5836">
        <v>0</v>
      </c>
      <c r="D5836">
        <v>0</v>
      </c>
      <c r="E5836">
        <v>0</v>
      </c>
      <c r="F5836">
        <v>46.928899999999999</v>
      </c>
    </row>
    <row r="5837" spans="1:6" x14ac:dyDescent="0.25">
      <c r="A5837">
        <v>5836</v>
      </c>
      <c r="B5837">
        <v>10</v>
      </c>
      <c r="C5837">
        <v>1</v>
      </c>
      <c r="D5837">
        <v>0</v>
      </c>
      <c r="E5837">
        <v>0</v>
      </c>
      <c r="F5837">
        <v>25015</v>
      </c>
    </row>
    <row r="5838" spans="1:6" x14ac:dyDescent="0.25">
      <c r="A5838">
        <v>5837</v>
      </c>
      <c r="B5838">
        <v>13</v>
      </c>
      <c r="C5838">
        <v>0</v>
      </c>
      <c r="D5838">
        <v>0</v>
      </c>
      <c r="E5838">
        <v>0</v>
      </c>
      <c r="F5838">
        <v>1603</v>
      </c>
    </row>
    <row r="5839" spans="1:6" x14ac:dyDescent="0.25">
      <c r="A5839">
        <v>5838</v>
      </c>
      <c r="B5839">
        <v>41</v>
      </c>
      <c r="C5839">
        <v>0</v>
      </c>
      <c r="D5839">
        <v>0</v>
      </c>
      <c r="E5839">
        <v>0</v>
      </c>
      <c r="F5839">
        <v>1</v>
      </c>
    </row>
    <row r="5840" spans="1:6" x14ac:dyDescent="0.25">
      <c r="A5840">
        <v>5839</v>
      </c>
      <c r="B5840">
        <v>42</v>
      </c>
      <c r="C5840">
        <v>0</v>
      </c>
      <c r="D5840">
        <v>0</v>
      </c>
      <c r="E5840">
        <v>0</v>
      </c>
      <c r="F5840">
        <v>0.2</v>
      </c>
    </row>
    <row r="5841" spans="1:6" x14ac:dyDescent="0.25">
      <c r="A5841">
        <v>5840</v>
      </c>
      <c r="B5841">
        <v>43</v>
      </c>
      <c r="C5841">
        <v>0</v>
      </c>
      <c r="D5841">
        <v>0</v>
      </c>
      <c r="E5841">
        <v>0</v>
      </c>
      <c r="F5841">
        <v>0</v>
      </c>
    </row>
    <row r="5842" spans="1:6" x14ac:dyDescent="0.25">
      <c r="A5842">
        <v>5841</v>
      </c>
      <c r="B5842">
        <v>44</v>
      </c>
      <c r="C5842">
        <v>0</v>
      </c>
      <c r="D5842">
        <v>0</v>
      </c>
      <c r="E5842">
        <v>0</v>
      </c>
      <c r="F5842">
        <v>49.636099999999999</v>
      </c>
    </row>
    <row r="5843" spans="1:6" x14ac:dyDescent="0.25">
      <c r="A5843">
        <v>5842</v>
      </c>
      <c r="B5843">
        <v>45</v>
      </c>
      <c r="C5843">
        <v>0</v>
      </c>
      <c r="D5843">
        <v>0</v>
      </c>
      <c r="E5843">
        <v>0</v>
      </c>
      <c r="F5843">
        <v>4400</v>
      </c>
    </row>
    <row r="5844" spans="1:6" x14ac:dyDescent="0.25">
      <c r="A5844">
        <v>5843</v>
      </c>
      <c r="B5844" t="s">
        <v>0</v>
      </c>
      <c r="C5844">
        <v>15</v>
      </c>
      <c r="D5844">
        <v>3484</v>
      </c>
      <c r="E5844">
        <v>80107993</v>
      </c>
    </row>
    <row r="5845" spans="1:6" x14ac:dyDescent="0.25">
      <c r="A5845">
        <v>5844</v>
      </c>
      <c r="B5845">
        <v>46</v>
      </c>
      <c r="C5845">
        <v>0</v>
      </c>
      <c r="D5845">
        <v>0</v>
      </c>
      <c r="E5845">
        <v>0</v>
      </c>
      <c r="F5845">
        <v>0</v>
      </c>
    </row>
    <row r="5846" spans="1:6" x14ac:dyDescent="0.25">
      <c r="A5846">
        <v>5845</v>
      </c>
      <c r="B5846">
        <v>2</v>
      </c>
      <c r="C5846">
        <v>0</v>
      </c>
      <c r="D5846">
        <v>0</v>
      </c>
      <c r="E5846">
        <v>0</v>
      </c>
      <c r="F5846">
        <v>48.583500000000001</v>
      </c>
    </row>
    <row r="5847" spans="1:6" x14ac:dyDescent="0.25">
      <c r="A5847">
        <v>5846</v>
      </c>
      <c r="B5847">
        <v>10</v>
      </c>
      <c r="C5847">
        <v>1</v>
      </c>
      <c r="D5847">
        <v>0</v>
      </c>
      <c r="E5847">
        <v>0</v>
      </c>
      <c r="F5847">
        <v>24585</v>
      </c>
    </row>
    <row r="5848" spans="1:6" x14ac:dyDescent="0.25">
      <c r="A5848">
        <v>5847</v>
      </c>
      <c r="B5848">
        <v>13</v>
      </c>
      <c r="C5848">
        <v>0</v>
      </c>
      <c r="D5848">
        <v>0</v>
      </c>
      <c r="E5848">
        <v>0</v>
      </c>
      <c r="F5848">
        <v>1603</v>
      </c>
    </row>
    <row r="5849" spans="1:6" x14ac:dyDescent="0.25">
      <c r="A5849">
        <v>5848</v>
      </c>
      <c r="B5849">
        <v>41</v>
      </c>
      <c r="C5849">
        <v>0</v>
      </c>
      <c r="D5849">
        <v>0</v>
      </c>
      <c r="E5849">
        <v>0</v>
      </c>
      <c r="F5849">
        <v>1</v>
      </c>
    </row>
    <row r="5850" spans="1:6" x14ac:dyDescent="0.25">
      <c r="A5850">
        <v>5849</v>
      </c>
      <c r="B5850">
        <v>42</v>
      </c>
      <c r="C5850">
        <v>0</v>
      </c>
      <c r="D5850">
        <v>0</v>
      </c>
      <c r="E5850">
        <v>0</v>
      </c>
      <c r="F5850">
        <v>0.2</v>
      </c>
    </row>
    <row r="5851" spans="1:6" x14ac:dyDescent="0.25">
      <c r="A5851">
        <v>5850</v>
      </c>
      <c r="B5851">
        <v>43</v>
      </c>
      <c r="C5851">
        <v>0</v>
      </c>
      <c r="D5851">
        <v>0</v>
      </c>
      <c r="E5851">
        <v>0</v>
      </c>
      <c r="F5851">
        <v>0</v>
      </c>
    </row>
    <row r="5852" spans="1:6" x14ac:dyDescent="0.25">
      <c r="A5852">
        <v>5851</v>
      </c>
      <c r="B5852" t="s">
        <v>0</v>
      </c>
      <c r="C5852">
        <v>16</v>
      </c>
      <c r="D5852">
        <v>3484</v>
      </c>
      <c r="E5852">
        <v>80108501</v>
      </c>
    </row>
    <row r="5853" spans="1:6" x14ac:dyDescent="0.25">
      <c r="A5853">
        <v>5852</v>
      </c>
      <c r="B5853">
        <v>45</v>
      </c>
      <c r="C5853">
        <v>0</v>
      </c>
      <c r="D5853">
        <v>0</v>
      </c>
      <c r="E5853">
        <v>0</v>
      </c>
      <c r="F5853">
        <v>4400</v>
      </c>
    </row>
    <row r="5854" spans="1:6" x14ac:dyDescent="0.25">
      <c r="A5854">
        <v>5853</v>
      </c>
      <c r="B5854">
        <v>46</v>
      </c>
      <c r="C5854">
        <v>0</v>
      </c>
      <c r="D5854">
        <v>0</v>
      </c>
      <c r="E5854">
        <v>0</v>
      </c>
      <c r="F5854">
        <v>0</v>
      </c>
    </row>
    <row r="5855" spans="1:6" x14ac:dyDescent="0.25">
      <c r="A5855">
        <v>5854</v>
      </c>
      <c r="B5855">
        <v>2</v>
      </c>
      <c r="C5855">
        <v>0</v>
      </c>
      <c r="D5855">
        <v>0</v>
      </c>
      <c r="E5855">
        <v>0</v>
      </c>
      <c r="F5855">
        <v>49.428199999999997</v>
      </c>
    </row>
    <row r="5856" spans="1:6" x14ac:dyDescent="0.25">
      <c r="A5856">
        <v>5855</v>
      </c>
      <c r="B5856">
        <v>10</v>
      </c>
      <c r="C5856">
        <v>1</v>
      </c>
      <c r="D5856">
        <v>0</v>
      </c>
      <c r="E5856">
        <v>0</v>
      </c>
      <c r="F5856">
        <v>24165</v>
      </c>
    </row>
    <row r="5857" spans="1:6" x14ac:dyDescent="0.25">
      <c r="A5857">
        <v>5856</v>
      </c>
      <c r="B5857">
        <v>13</v>
      </c>
      <c r="C5857">
        <v>0</v>
      </c>
      <c r="D5857">
        <v>0</v>
      </c>
      <c r="E5857">
        <v>0</v>
      </c>
      <c r="F5857">
        <v>1603</v>
      </c>
    </row>
    <row r="5858" spans="1:6" x14ac:dyDescent="0.25">
      <c r="A5858">
        <v>5857</v>
      </c>
      <c r="B5858">
        <v>41</v>
      </c>
      <c r="C5858">
        <v>0</v>
      </c>
      <c r="D5858">
        <v>0</v>
      </c>
      <c r="E5858">
        <v>0</v>
      </c>
      <c r="F5858">
        <v>1</v>
      </c>
    </row>
    <row r="5859" spans="1:6" x14ac:dyDescent="0.25">
      <c r="A5859">
        <v>5858</v>
      </c>
      <c r="B5859">
        <v>42</v>
      </c>
      <c r="C5859">
        <v>0</v>
      </c>
      <c r="D5859">
        <v>0</v>
      </c>
      <c r="E5859">
        <v>0</v>
      </c>
      <c r="F5859">
        <v>0.2</v>
      </c>
    </row>
    <row r="5860" spans="1:6" x14ac:dyDescent="0.25">
      <c r="A5860">
        <v>5859</v>
      </c>
      <c r="B5860" t="s">
        <v>0</v>
      </c>
      <c r="C5860">
        <v>17</v>
      </c>
      <c r="D5860">
        <v>3484</v>
      </c>
      <c r="E5860">
        <v>80109001</v>
      </c>
    </row>
    <row r="5861" spans="1:6" x14ac:dyDescent="0.25">
      <c r="A5861">
        <v>5860</v>
      </c>
      <c r="B5861">
        <v>43</v>
      </c>
      <c r="C5861">
        <v>0</v>
      </c>
      <c r="D5861">
        <v>0</v>
      </c>
      <c r="E5861">
        <v>0</v>
      </c>
      <c r="F5861">
        <v>0</v>
      </c>
    </row>
    <row r="5862" spans="1:6" x14ac:dyDescent="0.25">
      <c r="A5862">
        <v>5861</v>
      </c>
      <c r="B5862">
        <v>44</v>
      </c>
      <c r="C5862">
        <v>0</v>
      </c>
      <c r="D5862">
        <v>0</v>
      </c>
      <c r="E5862">
        <v>0</v>
      </c>
      <c r="F5862">
        <v>47.500700000000002</v>
      </c>
    </row>
    <row r="5863" spans="1:6" x14ac:dyDescent="0.25">
      <c r="A5863">
        <v>5862</v>
      </c>
      <c r="B5863">
        <v>45</v>
      </c>
      <c r="C5863">
        <v>0</v>
      </c>
      <c r="D5863">
        <v>0</v>
      </c>
      <c r="E5863">
        <v>0</v>
      </c>
      <c r="F5863">
        <v>4400</v>
      </c>
    </row>
    <row r="5864" spans="1:6" x14ac:dyDescent="0.25">
      <c r="A5864">
        <v>5863</v>
      </c>
      <c r="B5864">
        <v>46</v>
      </c>
      <c r="C5864">
        <v>0</v>
      </c>
      <c r="D5864">
        <v>0</v>
      </c>
      <c r="E5864">
        <v>0</v>
      </c>
      <c r="F5864">
        <v>0</v>
      </c>
    </row>
    <row r="5865" spans="1:6" x14ac:dyDescent="0.25">
      <c r="A5865">
        <v>5864</v>
      </c>
      <c r="B5865">
        <v>2</v>
      </c>
      <c r="C5865">
        <v>0</v>
      </c>
      <c r="D5865">
        <v>0</v>
      </c>
      <c r="E5865">
        <v>0</v>
      </c>
      <c r="F5865">
        <v>50.284399999999998</v>
      </c>
    </row>
    <row r="5866" spans="1:6" x14ac:dyDescent="0.25">
      <c r="A5866">
        <v>5865</v>
      </c>
      <c r="B5866">
        <v>10</v>
      </c>
      <c r="C5866">
        <v>1</v>
      </c>
      <c r="D5866">
        <v>0</v>
      </c>
      <c r="E5866">
        <v>0</v>
      </c>
      <c r="F5866">
        <v>23753</v>
      </c>
    </row>
    <row r="5867" spans="1:6" x14ac:dyDescent="0.25">
      <c r="A5867">
        <v>5866</v>
      </c>
      <c r="B5867">
        <v>13</v>
      </c>
      <c r="C5867">
        <v>0</v>
      </c>
      <c r="D5867">
        <v>0</v>
      </c>
      <c r="E5867">
        <v>0</v>
      </c>
      <c r="F5867">
        <v>1603</v>
      </c>
    </row>
    <row r="5868" spans="1:6" x14ac:dyDescent="0.25">
      <c r="A5868">
        <v>5867</v>
      </c>
      <c r="B5868" t="s">
        <v>0</v>
      </c>
      <c r="C5868">
        <v>18</v>
      </c>
      <c r="D5868">
        <v>3484</v>
      </c>
      <c r="E5868">
        <v>80109493</v>
      </c>
    </row>
    <row r="5869" spans="1:6" x14ac:dyDescent="0.25">
      <c r="A5869">
        <v>5868</v>
      </c>
      <c r="B5869">
        <v>42</v>
      </c>
      <c r="C5869">
        <v>0</v>
      </c>
      <c r="D5869">
        <v>0</v>
      </c>
      <c r="E5869">
        <v>0</v>
      </c>
      <c r="F5869">
        <v>0.2</v>
      </c>
    </row>
    <row r="5870" spans="1:6" x14ac:dyDescent="0.25">
      <c r="A5870">
        <v>5869</v>
      </c>
      <c r="B5870">
        <v>43</v>
      </c>
      <c r="C5870">
        <v>0</v>
      </c>
      <c r="D5870">
        <v>0</v>
      </c>
      <c r="E5870">
        <v>0</v>
      </c>
      <c r="F5870">
        <v>0</v>
      </c>
    </row>
    <row r="5871" spans="1:6" x14ac:dyDescent="0.25">
      <c r="A5871">
        <v>5870</v>
      </c>
      <c r="B5871">
        <v>44</v>
      </c>
      <c r="C5871">
        <v>0</v>
      </c>
      <c r="D5871">
        <v>0</v>
      </c>
      <c r="E5871">
        <v>0</v>
      </c>
      <c r="F5871">
        <v>46.7333</v>
      </c>
    </row>
    <row r="5872" spans="1:6" x14ac:dyDescent="0.25">
      <c r="A5872">
        <v>5871</v>
      </c>
      <c r="B5872">
        <v>45</v>
      </c>
      <c r="C5872">
        <v>0</v>
      </c>
      <c r="D5872">
        <v>0</v>
      </c>
      <c r="E5872">
        <v>0</v>
      </c>
      <c r="F5872">
        <v>4400</v>
      </c>
    </row>
    <row r="5873" spans="1:6" x14ac:dyDescent="0.25">
      <c r="A5873">
        <v>5872</v>
      </c>
      <c r="B5873">
        <v>46</v>
      </c>
      <c r="C5873">
        <v>0</v>
      </c>
      <c r="D5873">
        <v>0</v>
      </c>
      <c r="E5873">
        <v>0</v>
      </c>
      <c r="F5873">
        <v>0</v>
      </c>
    </row>
    <row r="5874" spans="1:6" x14ac:dyDescent="0.25">
      <c r="A5874">
        <v>5873</v>
      </c>
      <c r="B5874">
        <v>2</v>
      </c>
      <c r="C5874">
        <v>0</v>
      </c>
      <c r="D5874">
        <v>0</v>
      </c>
      <c r="E5874">
        <v>0</v>
      </c>
      <c r="F5874">
        <v>51.151699999999998</v>
      </c>
    </row>
    <row r="5875" spans="1:6" x14ac:dyDescent="0.25">
      <c r="A5875">
        <v>5874</v>
      </c>
      <c r="B5875">
        <v>10</v>
      </c>
      <c r="C5875">
        <v>1</v>
      </c>
      <c r="D5875">
        <v>0</v>
      </c>
      <c r="E5875">
        <v>0</v>
      </c>
      <c r="F5875">
        <v>23351</v>
      </c>
    </row>
    <row r="5876" spans="1:6" x14ac:dyDescent="0.25">
      <c r="A5876">
        <v>5875</v>
      </c>
      <c r="B5876">
        <v>13</v>
      </c>
      <c r="C5876">
        <v>0</v>
      </c>
      <c r="D5876">
        <v>0</v>
      </c>
      <c r="E5876">
        <v>0</v>
      </c>
      <c r="F5876">
        <v>1603</v>
      </c>
    </row>
    <row r="5877" spans="1:6" x14ac:dyDescent="0.25">
      <c r="A5877">
        <v>5876</v>
      </c>
      <c r="B5877">
        <v>41</v>
      </c>
      <c r="C5877">
        <v>0</v>
      </c>
      <c r="D5877">
        <v>0</v>
      </c>
      <c r="E5877">
        <v>0</v>
      </c>
      <c r="F5877">
        <v>1</v>
      </c>
    </row>
    <row r="5878" spans="1:6" x14ac:dyDescent="0.25">
      <c r="A5878">
        <v>5877</v>
      </c>
      <c r="B5878">
        <v>42</v>
      </c>
      <c r="C5878">
        <v>0</v>
      </c>
      <c r="D5878">
        <v>0</v>
      </c>
      <c r="E5878">
        <v>0</v>
      </c>
      <c r="F5878">
        <v>0.2</v>
      </c>
    </row>
    <row r="5879" spans="1:6" x14ac:dyDescent="0.25">
      <c r="A5879">
        <v>5878</v>
      </c>
      <c r="B5879">
        <v>43</v>
      </c>
      <c r="C5879">
        <v>0</v>
      </c>
      <c r="D5879">
        <v>0</v>
      </c>
      <c r="E5879">
        <v>0</v>
      </c>
      <c r="F5879">
        <v>0</v>
      </c>
    </row>
    <row r="5880" spans="1:6" x14ac:dyDescent="0.25">
      <c r="A5880">
        <v>5879</v>
      </c>
      <c r="B5880">
        <v>44</v>
      </c>
      <c r="C5880">
        <v>0</v>
      </c>
      <c r="D5880">
        <v>0</v>
      </c>
      <c r="E5880">
        <v>0</v>
      </c>
      <c r="F5880">
        <v>45.98</v>
      </c>
    </row>
    <row r="5881" spans="1:6" x14ac:dyDescent="0.25">
      <c r="A5881">
        <v>5880</v>
      </c>
      <c r="B5881">
        <v>45</v>
      </c>
      <c r="C5881">
        <v>0</v>
      </c>
      <c r="D5881">
        <v>0</v>
      </c>
      <c r="E5881">
        <v>0</v>
      </c>
      <c r="F5881">
        <v>4400</v>
      </c>
    </row>
    <row r="5882" spans="1:6" x14ac:dyDescent="0.25">
      <c r="A5882">
        <v>5881</v>
      </c>
      <c r="B5882">
        <v>46</v>
      </c>
      <c r="C5882">
        <v>0</v>
      </c>
      <c r="D5882">
        <v>0</v>
      </c>
      <c r="E5882">
        <v>0</v>
      </c>
      <c r="F5882">
        <v>0</v>
      </c>
    </row>
    <row r="5883" spans="1:6" x14ac:dyDescent="0.25">
      <c r="A5883">
        <v>5882</v>
      </c>
      <c r="B5883" t="s">
        <v>0</v>
      </c>
      <c r="C5883">
        <v>20</v>
      </c>
      <c r="D5883">
        <v>3484</v>
      </c>
      <c r="E5883">
        <v>80110456</v>
      </c>
    </row>
    <row r="5884" spans="1:6" x14ac:dyDescent="0.25">
      <c r="A5884">
        <v>5883</v>
      </c>
      <c r="B5884">
        <v>2</v>
      </c>
      <c r="C5884">
        <v>0</v>
      </c>
      <c r="D5884">
        <v>0</v>
      </c>
      <c r="E5884">
        <v>0</v>
      </c>
      <c r="F5884">
        <v>52.914700000000003</v>
      </c>
    </row>
    <row r="5885" spans="1:6" x14ac:dyDescent="0.25">
      <c r="A5885">
        <v>5884</v>
      </c>
      <c r="B5885">
        <v>10</v>
      </c>
      <c r="C5885">
        <v>1</v>
      </c>
      <c r="D5885">
        <v>0</v>
      </c>
      <c r="E5885">
        <v>0</v>
      </c>
      <c r="F5885">
        <v>22572</v>
      </c>
    </row>
    <row r="5886" spans="1:6" x14ac:dyDescent="0.25">
      <c r="A5886">
        <v>5885</v>
      </c>
      <c r="B5886">
        <v>13</v>
      </c>
      <c r="C5886">
        <v>0</v>
      </c>
      <c r="D5886">
        <v>0</v>
      </c>
      <c r="E5886">
        <v>0</v>
      </c>
      <c r="F5886">
        <v>1603</v>
      </c>
    </row>
    <row r="5887" spans="1:6" x14ac:dyDescent="0.25">
      <c r="A5887">
        <v>5886</v>
      </c>
      <c r="B5887">
        <v>41</v>
      </c>
      <c r="C5887">
        <v>0</v>
      </c>
      <c r="D5887">
        <v>0</v>
      </c>
      <c r="E5887">
        <v>0</v>
      </c>
      <c r="F5887">
        <v>1</v>
      </c>
    </row>
    <row r="5888" spans="1:6" x14ac:dyDescent="0.25">
      <c r="A5888">
        <v>5887</v>
      </c>
      <c r="B5888">
        <v>42</v>
      </c>
      <c r="C5888">
        <v>0</v>
      </c>
      <c r="D5888">
        <v>0</v>
      </c>
      <c r="E5888">
        <v>0</v>
      </c>
      <c r="F5888">
        <v>0.2</v>
      </c>
    </row>
    <row r="5889" spans="1:6" x14ac:dyDescent="0.25">
      <c r="A5889">
        <v>5888</v>
      </c>
      <c r="B5889">
        <v>43</v>
      </c>
      <c r="C5889">
        <v>0</v>
      </c>
      <c r="D5889">
        <v>0</v>
      </c>
      <c r="E5889">
        <v>0</v>
      </c>
      <c r="F5889">
        <v>0</v>
      </c>
    </row>
    <row r="5890" spans="1:6" x14ac:dyDescent="0.25">
      <c r="A5890">
        <v>5889</v>
      </c>
      <c r="B5890">
        <v>44</v>
      </c>
      <c r="C5890">
        <v>0</v>
      </c>
      <c r="D5890">
        <v>0</v>
      </c>
      <c r="E5890">
        <v>0</v>
      </c>
      <c r="F5890">
        <v>45.220300000000002</v>
      </c>
    </row>
    <row r="5891" spans="1:6" x14ac:dyDescent="0.25">
      <c r="A5891">
        <v>5890</v>
      </c>
      <c r="B5891" t="s">
        <v>0</v>
      </c>
      <c r="C5891">
        <v>21</v>
      </c>
      <c r="D5891">
        <v>3484</v>
      </c>
      <c r="E5891">
        <v>80110926</v>
      </c>
    </row>
    <row r="5892" spans="1:6" x14ac:dyDescent="0.25">
      <c r="A5892">
        <v>5891</v>
      </c>
      <c r="B5892">
        <v>45</v>
      </c>
      <c r="C5892">
        <v>0</v>
      </c>
      <c r="D5892">
        <v>0</v>
      </c>
      <c r="E5892">
        <v>0</v>
      </c>
      <c r="F5892">
        <v>4400</v>
      </c>
    </row>
    <row r="5893" spans="1:6" x14ac:dyDescent="0.25">
      <c r="A5893">
        <v>5892</v>
      </c>
      <c r="B5893">
        <v>46</v>
      </c>
      <c r="C5893">
        <v>0</v>
      </c>
      <c r="D5893">
        <v>0</v>
      </c>
      <c r="E5893">
        <v>0</v>
      </c>
      <c r="F5893">
        <v>0</v>
      </c>
    </row>
    <row r="5894" spans="1:6" x14ac:dyDescent="0.25">
      <c r="A5894">
        <v>5893</v>
      </c>
      <c r="B5894">
        <v>2</v>
      </c>
      <c r="C5894">
        <v>0</v>
      </c>
      <c r="D5894">
        <v>0</v>
      </c>
      <c r="E5894">
        <v>0</v>
      </c>
      <c r="F5894">
        <v>53.8123</v>
      </c>
    </row>
    <row r="5895" spans="1:6" x14ac:dyDescent="0.25">
      <c r="A5895">
        <v>5894</v>
      </c>
      <c r="B5895">
        <v>10</v>
      </c>
      <c r="C5895">
        <v>1</v>
      </c>
      <c r="D5895">
        <v>0</v>
      </c>
      <c r="E5895">
        <v>0</v>
      </c>
      <c r="F5895">
        <v>22196</v>
      </c>
    </row>
    <row r="5896" spans="1:6" x14ac:dyDescent="0.25">
      <c r="A5896">
        <v>5895</v>
      </c>
      <c r="B5896">
        <v>13</v>
      </c>
      <c r="C5896">
        <v>0</v>
      </c>
      <c r="D5896">
        <v>0</v>
      </c>
      <c r="E5896">
        <v>0</v>
      </c>
      <c r="F5896">
        <v>1603</v>
      </c>
    </row>
    <row r="5897" spans="1:6" x14ac:dyDescent="0.25">
      <c r="A5897">
        <v>5896</v>
      </c>
      <c r="B5897">
        <v>41</v>
      </c>
      <c r="C5897">
        <v>0</v>
      </c>
      <c r="D5897">
        <v>0</v>
      </c>
      <c r="E5897">
        <v>0</v>
      </c>
      <c r="F5897">
        <v>1</v>
      </c>
    </row>
    <row r="5898" spans="1:6" x14ac:dyDescent="0.25">
      <c r="A5898">
        <v>5897</v>
      </c>
      <c r="B5898">
        <v>42</v>
      </c>
      <c r="C5898">
        <v>0</v>
      </c>
      <c r="D5898">
        <v>0</v>
      </c>
      <c r="E5898">
        <v>0</v>
      </c>
      <c r="F5898">
        <v>0.2</v>
      </c>
    </row>
    <row r="5899" spans="1:6" x14ac:dyDescent="0.25">
      <c r="A5899">
        <v>5898</v>
      </c>
      <c r="B5899" t="s">
        <v>0</v>
      </c>
      <c r="C5899">
        <v>22</v>
      </c>
      <c r="D5899">
        <v>3484</v>
      </c>
      <c r="E5899">
        <v>80111389</v>
      </c>
    </row>
    <row r="5900" spans="1:6" x14ac:dyDescent="0.25">
      <c r="A5900">
        <v>5899</v>
      </c>
      <c r="B5900">
        <v>43</v>
      </c>
      <c r="C5900">
        <v>0</v>
      </c>
      <c r="D5900">
        <v>0</v>
      </c>
      <c r="E5900">
        <v>0</v>
      </c>
      <c r="F5900">
        <v>0</v>
      </c>
    </row>
    <row r="5901" spans="1:6" x14ac:dyDescent="0.25">
      <c r="A5901">
        <v>5900</v>
      </c>
      <c r="B5901">
        <v>44</v>
      </c>
      <c r="C5901">
        <v>0</v>
      </c>
      <c r="D5901">
        <v>0</v>
      </c>
      <c r="E5901">
        <v>0</v>
      </c>
      <c r="F5901">
        <v>43.643900000000002</v>
      </c>
    </row>
    <row r="5902" spans="1:6" x14ac:dyDescent="0.25">
      <c r="A5902">
        <v>5901</v>
      </c>
      <c r="B5902">
        <v>45</v>
      </c>
      <c r="C5902">
        <v>0</v>
      </c>
      <c r="D5902">
        <v>0</v>
      </c>
      <c r="E5902">
        <v>0</v>
      </c>
      <c r="F5902">
        <v>4400</v>
      </c>
    </row>
    <row r="5903" spans="1:6" x14ac:dyDescent="0.25">
      <c r="A5903">
        <v>5902</v>
      </c>
      <c r="B5903">
        <v>46</v>
      </c>
      <c r="C5903">
        <v>0</v>
      </c>
      <c r="D5903">
        <v>0</v>
      </c>
      <c r="E5903">
        <v>0</v>
      </c>
      <c r="F5903">
        <v>0</v>
      </c>
    </row>
    <row r="5904" spans="1:6" x14ac:dyDescent="0.25">
      <c r="A5904">
        <v>5903</v>
      </c>
      <c r="B5904">
        <v>2</v>
      </c>
      <c r="C5904">
        <v>0</v>
      </c>
      <c r="D5904">
        <v>0</v>
      </c>
      <c r="E5904">
        <v>0</v>
      </c>
      <c r="F5904">
        <v>54.716200000000001</v>
      </c>
    </row>
    <row r="5905" spans="1:6" x14ac:dyDescent="0.25">
      <c r="A5905">
        <v>5904</v>
      </c>
      <c r="B5905">
        <v>10</v>
      </c>
      <c r="C5905">
        <v>1</v>
      </c>
      <c r="D5905">
        <v>0</v>
      </c>
      <c r="E5905">
        <v>0</v>
      </c>
      <c r="F5905">
        <v>21829</v>
      </c>
    </row>
    <row r="5906" spans="1:6" x14ac:dyDescent="0.25">
      <c r="A5906">
        <v>5905</v>
      </c>
      <c r="B5906">
        <v>13</v>
      </c>
      <c r="C5906">
        <v>0</v>
      </c>
      <c r="D5906">
        <v>0</v>
      </c>
      <c r="E5906">
        <v>0</v>
      </c>
      <c r="F5906">
        <v>1603</v>
      </c>
    </row>
    <row r="5907" spans="1:6" x14ac:dyDescent="0.25">
      <c r="A5907">
        <v>5906</v>
      </c>
      <c r="B5907" t="s">
        <v>0</v>
      </c>
      <c r="C5907">
        <v>23</v>
      </c>
      <c r="D5907">
        <v>3484</v>
      </c>
      <c r="E5907">
        <v>80111846</v>
      </c>
    </row>
    <row r="5908" spans="1:6" x14ac:dyDescent="0.25">
      <c r="A5908">
        <v>5907</v>
      </c>
      <c r="B5908">
        <v>41</v>
      </c>
      <c r="C5908">
        <v>0</v>
      </c>
      <c r="D5908">
        <v>0</v>
      </c>
      <c r="E5908">
        <v>0</v>
      </c>
      <c r="F5908">
        <v>1</v>
      </c>
    </row>
    <row r="5909" spans="1:6" x14ac:dyDescent="0.25">
      <c r="A5909">
        <v>5908</v>
      </c>
      <c r="B5909">
        <v>42</v>
      </c>
      <c r="C5909">
        <v>0</v>
      </c>
      <c r="D5909">
        <v>0</v>
      </c>
      <c r="E5909">
        <v>0</v>
      </c>
      <c r="F5909">
        <v>0.2</v>
      </c>
    </row>
    <row r="5910" spans="1:6" x14ac:dyDescent="0.25">
      <c r="A5910">
        <v>5909</v>
      </c>
      <c r="B5910">
        <v>43</v>
      </c>
      <c r="C5910">
        <v>0</v>
      </c>
      <c r="D5910">
        <v>0</v>
      </c>
      <c r="E5910">
        <v>0</v>
      </c>
      <c r="F5910">
        <v>0</v>
      </c>
    </row>
    <row r="5911" spans="1:6" x14ac:dyDescent="0.25">
      <c r="A5911">
        <v>5910</v>
      </c>
      <c r="B5911">
        <v>44</v>
      </c>
      <c r="C5911">
        <v>0</v>
      </c>
      <c r="D5911">
        <v>0</v>
      </c>
      <c r="E5911">
        <v>0</v>
      </c>
      <c r="F5911">
        <v>42.857700000000001</v>
      </c>
    </row>
    <row r="5912" spans="1:6" x14ac:dyDescent="0.25">
      <c r="A5912">
        <v>5911</v>
      </c>
      <c r="B5912">
        <v>45</v>
      </c>
      <c r="C5912">
        <v>0</v>
      </c>
      <c r="D5912">
        <v>0</v>
      </c>
      <c r="E5912">
        <v>0</v>
      </c>
      <c r="F5912">
        <v>4400</v>
      </c>
    </row>
    <row r="5913" spans="1:6" x14ac:dyDescent="0.25">
      <c r="A5913">
        <v>5912</v>
      </c>
      <c r="B5913">
        <v>46</v>
      </c>
      <c r="C5913">
        <v>0</v>
      </c>
      <c r="D5913">
        <v>0</v>
      </c>
      <c r="E5913">
        <v>0</v>
      </c>
      <c r="F5913">
        <v>0</v>
      </c>
    </row>
    <row r="5914" spans="1:6" x14ac:dyDescent="0.25">
      <c r="A5914">
        <v>5913</v>
      </c>
      <c r="B5914">
        <v>2</v>
      </c>
      <c r="C5914">
        <v>0</v>
      </c>
      <c r="D5914">
        <v>0</v>
      </c>
      <c r="E5914">
        <v>0</v>
      </c>
      <c r="F5914">
        <v>55.627400000000002</v>
      </c>
    </row>
    <row r="5915" spans="1:6" x14ac:dyDescent="0.25">
      <c r="A5915">
        <v>5914</v>
      </c>
      <c r="B5915" t="s">
        <v>0</v>
      </c>
      <c r="C5915">
        <v>24</v>
      </c>
      <c r="D5915">
        <v>3484</v>
      </c>
      <c r="E5915">
        <v>80112296</v>
      </c>
    </row>
    <row r="5916" spans="1:6" x14ac:dyDescent="0.25">
      <c r="A5916">
        <v>5915</v>
      </c>
      <c r="B5916">
        <v>10</v>
      </c>
      <c r="C5916">
        <v>1</v>
      </c>
      <c r="D5916">
        <v>0</v>
      </c>
      <c r="E5916">
        <v>0</v>
      </c>
      <c r="F5916">
        <v>21472</v>
      </c>
    </row>
    <row r="5917" spans="1:6" x14ac:dyDescent="0.25">
      <c r="A5917">
        <v>5916</v>
      </c>
      <c r="B5917">
        <v>13</v>
      </c>
      <c r="C5917">
        <v>0</v>
      </c>
      <c r="D5917">
        <v>0</v>
      </c>
      <c r="E5917">
        <v>0</v>
      </c>
      <c r="F5917">
        <v>1603</v>
      </c>
    </row>
    <row r="5918" spans="1:6" x14ac:dyDescent="0.25">
      <c r="A5918">
        <v>5917</v>
      </c>
      <c r="B5918">
        <v>41</v>
      </c>
      <c r="C5918">
        <v>0</v>
      </c>
      <c r="D5918">
        <v>0</v>
      </c>
      <c r="E5918">
        <v>0</v>
      </c>
      <c r="F5918">
        <v>1</v>
      </c>
    </row>
    <row r="5919" spans="1:6" x14ac:dyDescent="0.25">
      <c r="A5919">
        <v>5918</v>
      </c>
      <c r="B5919">
        <v>42</v>
      </c>
      <c r="C5919">
        <v>0</v>
      </c>
      <c r="D5919">
        <v>0</v>
      </c>
      <c r="E5919">
        <v>0</v>
      </c>
      <c r="F5919">
        <v>0.2</v>
      </c>
    </row>
    <row r="5920" spans="1:6" x14ac:dyDescent="0.25">
      <c r="A5920">
        <v>5919</v>
      </c>
      <c r="B5920">
        <v>43</v>
      </c>
      <c r="C5920">
        <v>0</v>
      </c>
      <c r="D5920">
        <v>0</v>
      </c>
      <c r="E5920">
        <v>0</v>
      </c>
      <c r="F5920">
        <v>0</v>
      </c>
    </row>
    <row r="5921" spans="1:6" x14ac:dyDescent="0.25">
      <c r="A5921">
        <v>5920</v>
      </c>
      <c r="B5921">
        <v>44</v>
      </c>
      <c r="C5921">
        <v>0</v>
      </c>
      <c r="D5921">
        <v>0</v>
      </c>
      <c r="E5921">
        <v>0</v>
      </c>
      <c r="F5921">
        <v>42.036200000000001</v>
      </c>
    </row>
    <row r="5922" spans="1:6" x14ac:dyDescent="0.25">
      <c r="A5922">
        <v>5921</v>
      </c>
      <c r="B5922">
        <v>45</v>
      </c>
      <c r="C5922">
        <v>0</v>
      </c>
      <c r="D5922">
        <v>0</v>
      </c>
      <c r="E5922">
        <v>0</v>
      </c>
      <c r="F5922">
        <v>4400</v>
      </c>
    </row>
    <row r="5923" spans="1:6" x14ac:dyDescent="0.25">
      <c r="A5923">
        <v>5922</v>
      </c>
      <c r="B5923">
        <v>46</v>
      </c>
      <c r="C5923">
        <v>0</v>
      </c>
      <c r="D5923">
        <v>0</v>
      </c>
      <c r="E5923">
        <v>0</v>
      </c>
      <c r="F5923">
        <v>0</v>
      </c>
    </row>
    <row r="5924" spans="1:6" x14ac:dyDescent="0.25">
      <c r="A5924">
        <v>5923</v>
      </c>
      <c r="B5924">
        <v>2</v>
      </c>
      <c r="C5924">
        <v>0</v>
      </c>
      <c r="D5924">
        <v>0</v>
      </c>
      <c r="E5924">
        <v>0</v>
      </c>
      <c r="F5924">
        <v>57.4801</v>
      </c>
    </row>
    <row r="5925" spans="1:6" x14ac:dyDescent="0.25">
      <c r="A5925">
        <v>5924</v>
      </c>
      <c r="B5925">
        <v>10</v>
      </c>
      <c r="C5925">
        <v>1</v>
      </c>
      <c r="D5925">
        <v>0</v>
      </c>
      <c r="E5925">
        <v>0</v>
      </c>
      <c r="F5925">
        <v>20780</v>
      </c>
    </row>
    <row r="5926" spans="1:6" x14ac:dyDescent="0.25">
      <c r="A5926">
        <v>5925</v>
      </c>
      <c r="B5926">
        <v>13</v>
      </c>
      <c r="C5926">
        <v>0</v>
      </c>
      <c r="D5926">
        <v>0</v>
      </c>
      <c r="E5926">
        <v>0</v>
      </c>
      <c r="F5926">
        <v>1603</v>
      </c>
    </row>
    <row r="5927" spans="1:6" x14ac:dyDescent="0.25">
      <c r="A5927">
        <v>5926</v>
      </c>
      <c r="B5927">
        <v>41</v>
      </c>
      <c r="C5927">
        <v>0</v>
      </c>
      <c r="D5927">
        <v>0</v>
      </c>
      <c r="E5927">
        <v>0</v>
      </c>
      <c r="F5927">
        <v>1</v>
      </c>
    </row>
    <row r="5928" spans="1:6" x14ac:dyDescent="0.25">
      <c r="A5928">
        <v>5927</v>
      </c>
      <c r="B5928">
        <v>42</v>
      </c>
      <c r="C5928">
        <v>0</v>
      </c>
      <c r="D5928">
        <v>0</v>
      </c>
      <c r="E5928">
        <v>0</v>
      </c>
      <c r="F5928">
        <v>0.2</v>
      </c>
    </row>
    <row r="5929" spans="1:6" x14ac:dyDescent="0.25">
      <c r="A5929">
        <v>5928</v>
      </c>
      <c r="B5929" t="s">
        <v>0</v>
      </c>
      <c r="C5929">
        <v>26</v>
      </c>
      <c r="D5929">
        <v>3484</v>
      </c>
      <c r="E5929">
        <v>80113176</v>
      </c>
    </row>
    <row r="5930" spans="1:6" x14ac:dyDescent="0.25">
      <c r="A5930">
        <v>5929</v>
      </c>
      <c r="B5930">
        <v>44</v>
      </c>
      <c r="C5930">
        <v>0</v>
      </c>
      <c r="D5930">
        <v>0</v>
      </c>
      <c r="E5930">
        <v>0</v>
      </c>
      <c r="F5930">
        <v>40.394199999999998</v>
      </c>
    </row>
    <row r="5931" spans="1:6" x14ac:dyDescent="0.25">
      <c r="A5931">
        <v>5930</v>
      </c>
      <c r="B5931">
        <v>45</v>
      </c>
      <c r="C5931">
        <v>0</v>
      </c>
      <c r="D5931">
        <v>0</v>
      </c>
      <c r="E5931">
        <v>0</v>
      </c>
      <c r="F5931">
        <v>4400</v>
      </c>
    </row>
    <row r="5932" spans="1:6" x14ac:dyDescent="0.25">
      <c r="A5932">
        <v>5931</v>
      </c>
      <c r="B5932">
        <v>46</v>
      </c>
      <c r="C5932">
        <v>0</v>
      </c>
      <c r="D5932">
        <v>0</v>
      </c>
      <c r="E5932">
        <v>0</v>
      </c>
      <c r="F5932">
        <v>0</v>
      </c>
    </row>
    <row r="5933" spans="1:6" x14ac:dyDescent="0.25">
      <c r="A5933">
        <v>5932</v>
      </c>
      <c r="B5933">
        <v>2</v>
      </c>
      <c r="C5933">
        <v>0</v>
      </c>
      <c r="D5933">
        <v>0</v>
      </c>
      <c r="E5933">
        <v>0</v>
      </c>
      <c r="F5933">
        <v>58.415900000000001</v>
      </c>
    </row>
    <row r="5934" spans="1:6" x14ac:dyDescent="0.25">
      <c r="A5934">
        <v>5933</v>
      </c>
      <c r="B5934">
        <v>10</v>
      </c>
      <c r="C5934">
        <v>1</v>
      </c>
      <c r="D5934">
        <v>0</v>
      </c>
      <c r="E5934">
        <v>0</v>
      </c>
      <c r="F5934">
        <v>20447</v>
      </c>
    </row>
    <row r="5935" spans="1:6" x14ac:dyDescent="0.25">
      <c r="A5935">
        <v>5934</v>
      </c>
      <c r="B5935">
        <v>13</v>
      </c>
      <c r="C5935">
        <v>0</v>
      </c>
      <c r="D5935">
        <v>0</v>
      </c>
      <c r="E5935">
        <v>0</v>
      </c>
      <c r="F5935">
        <v>1603</v>
      </c>
    </row>
    <row r="5936" spans="1:6" x14ac:dyDescent="0.25">
      <c r="A5936">
        <v>5935</v>
      </c>
      <c r="B5936">
        <v>41</v>
      </c>
      <c r="C5936">
        <v>0</v>
      </c>
      <c r="D5936">
        <v>0</v>
      </c>
      <c r="E5936">
        <v>0</v>
      </c>
      <c r="F5936">
        <v>1</v>
      </c>
    </row>
    <row r="5937" spans="1:6" x14ac:dyDescent="0.25">
      <c r="A5937">
        <v>5936</v>
      </c>
      <c r="B5937">
        <v>42</v>
      </c>
      <c r="C5937">
        <v>0</v>
      </c>
      <c r="D5937">
        <v>0</v>
      </c>
      <c r="E5937">
        <v>0</v>
      </c>
      <c r="F5937">
        <v>0.2</v>
      </c>
    </row>
    <row r="5938" spans="1:6" x14ac:dyDescent="0.25">
      <c r="A5938">
        <v>5937</v>
      </c>
      <c r="B5938">
        <v>43</v>
      </c>
      <c r="C5938">
        <v>0</v>
      </c>
      <c r="D5938">
        <v>0</v>
      </c>
      <c r="E5938">
        <v>0</v>
      </c>
      <c r="F5938">
        <v>0</v>
      </c>
    </row>
    <row r="5939" spans="1:6" x14ac:dyDescent="0.25">
      <c r="A5939">
        <v>5938</v>
      </c>
      <c r="B5939">
        <v>44</v>
      </c>
      <c r="C5939">
        <v>0</v>
      </c>
      <c r="D5939">
        <v>0</v>
      </c>
      <c r="E5939">
        <v>0</v>
      </c>
      <c r="F5939">
        <v>39.577199999999998</v>
      </c>
    </row>
    <row r="5940" spans="1:6" x14ac:dyDescent="0.25">
      <c r="A5940">
        <v>5939</v>
      </c>
      <c r="B5940">
        <v>45</v>
      </c>
      <c r="C5940">
        <v>0</v>
      </c>
      <c r="D5940">
        <v>0</v>
      </c>
      <c r="E5940">
        <v>0</v>
      </c>
      <c r="F5940">
        <v>4400</v>
      </c>
    </row>
    <row r="5941" spans="1:6" x14ac:dyDescent="0.25">
      <c r="A5941">
        <v>5940</v>
      </c>
      <c r="B5941">
        <v>46</v>
      </c>
      <c r="C5941">
        <v>0</v>
      </c>
      <c r="D5941">
        <v>0</v>
      </c>
      <c r="E5941">
        <v>0</v>
      </c>
      <c r="F5941">
        <v>0</v>
      </c>
    </row>
    <row r="5942" spans="1:6" x14ac:dyDescent="0.25">
      <c r="A5942">
        <v>5941</v>
      </c>
      <c r="B5942" t="s">
        <v>0</v>
      </c>
      <c r="C5942">
        <v>28</v>
      </c>
      <c r="D5942">
        <v>3484</v>
      </c>
      <c r="E5942">
        <v>80114032</v>
      </c>
    </row>
    <row r="5943" spans="1:6" x14ac:dyDescent="0.25">
      <c r="A5943">
        <v>5942</v>
      </c>
      <c r="B5943">
        <v>10</v>
      </c>
      <c r="C5943">
        <v>1</v>
      </c>
      <c r="D5943">
        <v>0</v>
      </c>
      <c r="E5943">
        <v>0</v>
      </c>
      <c r="F5943">
        <v>19806</v>
      </c>
    </row>
    <row r="5944" spans="1:6" x14ac:dyDescent="0.25">
      <c r="A5944">
        <v>5943</v>
      </c>
      <c r="B5944">
        <v>13</v>
      </c>
      <c r="C5944">
        <v>0</v>
      </c>
      <c r="D5944">
        <v>0</v>
      </c>
      <c r="E5944">
        <v>0</v>
      </c>
      <c r="F5944">
        <v>1603</v>
      </c>
    </row>
    <row r="5945" spans="1:6" x14ac:dyDescent="0.25">
      <c r="A5945">
        <v>5944</v>
      </c>
      <c r="B5945">
        <v>41</v>
      </c>
      <c r="C5945">
        <v>0</v>
      </c>
      <c r="D5945">
        <v>0</v>
      </c>
      <c r="E5945">
        <v>0</v>
      </c>
      <c r="F5945">
        <v>1</v>
      </c>
    </row>
    <row r="5946" spans="1:6" x14ac:dyDescent="0.25">
      <c r="A5946">
        <v>5945</v>
      </c>
      <c r="B5946">
        <v>42</v>
      </c>
      <c r="C5946">
        <v>0</v>
      </c>
      <c r="D5946">
        <v>0</v>
      </c>
      <c r="E5946">
        <v>0</v>
      </c>
      <c r="F5946">
        <v>0.2</v>
      </c>
    </row>
    <row r="5947" spans="1:6" x14ac:dyDescent="0.25">
      <c r="A5947">
        <v>5946</v>
      </c>
      <c r="B5947">
        <v>43</v>
      </c>
      <c r="C5947">
        <v>0</v>
      </c>
      <c r="D5947">
        <v>0</v>
      </c>
      <c r="E5947">
        <v>0</v>
      </c>
      <c r="F5947">
        <v>0</v>
      </c>
    </row>
    <row r="5948" spans="1:6" x14ac:dyDescent="0.25">
      <c r="A5948">
        <v>5947</v>
      </c>
      <c r="B5948">
        <v>44</v>
      </c>
      <c r="C5948">
        <v>0</v>
      </c>
      <c r="D5948">
        <v>0</v>
      </c>
      <c r="E5948">
        <v>0</v>
      </c>
      <c r="F5948">
        <v>38.728900000000003</v>
      </c>
    </row>
    <row r="5949" spans="1:6" x14ac:dyDescent="0.25">
      <c r="A5949">
        <v>5948</v>
      </c>
      <c r="B5949">
        <v>45</v>
      </c>
      <c r="C5949">
        <v>0</v>
      </c>
      <c r="D5949">
        <v>0</v>
      </c>
      <c r="E5949">
        <v>0</v>
      </c>
      <c r="F5949">
        <v>4400</v>
      </c>
    </row>
    <row r="5950" spans="1:6" x14ac:dyDescent="0.25">
      <c r="A5950">
        <v>5949</v>
      </c>
      <c r="B5950">
        <v>46</v>
      </c>
      <c r="C5950">
        <v>0</v>
      </c>
      <c r="D5950">
        <v>0</v>
      </c>
      <c r="E5950">
        <v>0</v>
      </c>
      <c r="F5950">
        <v>0</v>
      </c>
    </row>
    <row r="5951" spans="1:6" x14ac:dyDescent="0.25">
      <c r="A5951">
        <v>5950</v>
      </c>
      <c r="B5951">
        <v>2</v>
      </c>
      <c r="C5951">
        <v>0</v>
      </c>
      <c r="D5951">
        <v>0</v>
      </c>
      <c r="E5951">
        <v>0</v>
      </c>
      <c r="F5951">
        <v>61.261299999999999</v>
      </c>
    </row>
    <row r="5952" spans="1:6" x14ac:dyDescent="0.25">
      <c r="A5952">
        <v>5951</v>
      </c>
      <c r="B5952">
        <v>10</v>
      </c>
      <c r="C5952">
        <v>1</v>
      </c>
      <c r="D5952">
        <v>0</v>
      </c>
      <c r="E5952">
        <v>0</v>
      </c>
      <c r="F5952">
        <v>19497</v>
      </c>
    </row>
    <row r="5953" spans="1:6" x14ac:dyDescent="0.25">
      <c r="A5953">
        <v>5952</v>
      </c>
      <c r="B5953">
        <v>13</v>
      </c>
      <c r="C5953">
        <v>0</v>
      </c>
      <c r="D5953">
        <v>0</v>
      </c>
      <c r="E5953">
        <v>0</v>
      </c>
      <c r="F5953">
        <v>1603</v>
      </c>
    </row>
    <row r="5954" spans="1:6" x14ac:dyDescent="0.25">
      <c r="A5954">
        <v>5953</v>
      </c>
      <c r="B5954">
        <v>41</v>
      </c>
      <c r="C5954">
        <v>0</v>
      </c>
      <c r="D5954">
        <v>0</v>
      </c>
      <c r="E5954">
        <v>0</v>
      </c>
      <c r="F5954">
        <v>1</v>
      </c>
    </row>
    <row r="5955" spans="1:6" x14ac:dyDescent="0.25">
      <c r="A5955">
        <v>5954</v>
      </c>
      <c r="B5955" t="s">
        <v>0</v>
      </c>
      <c r="C5955">
        <v>30</v>
      </c>
      <c r="D5955">
        <v>3484</v>
      </c>
      <c r="E5955">
        <v>80114865</v>
      </c>
    </row>
    <row r="5956" spans="1:6" x14ac:dyDescent="0.25">
      <c r="A5956">
        <v>5955</v>
      </c>
      <c r="B5956">
        <v>42</v>
      </c>
      <c r="C5956">
        <v>0</v>
      </c>
      <c r="D5956">
        <v>0</v>
      </c>
      <c r="E5956">
        <v>0</v>
      </c>
      <c r="F5956">
        <v>0.2</v>
      </c>
    </row>
    <row r="5957" spans="1:6" x14ac:dyDescent="0.25">
      <c r="A5957">
        <v>5956</v>
      </c>
      <c r="B5957">
        <v>43</v>
      </c>
      <c r="C5957">
        <v>0</v>
      </c>
      <c r="D5957">
        <v>0</v>
      </c>
      <c r="E5957">
        <v>0</v>
      </c>
      <c r="F5957">
        <v>0</v>
      </c>
    </row>
    <row r="5958" spans="1:6" x14ac:dyDescent="0.25">
      <c r="A5958">
        <v>5957</v>
      </c>
      <c r="B5958">
        <v>44</v>
      </c>
      <c r="C5958">
        <v>0</v>
      </c>
      <c r="D5958">
        <v>0</v>
      </c>
      <c r="E5958">
        <v>0</v>
      </c>
      <c r="F5958">
        <v>37.014699999999998</v>
      </c>
    </row>
    <row r="5959" spans="1:6" x14ac:dyDescent="0.25">
      <c r="A5959">
        <v>5958</v>
      </c>
      <c r="B5959">
        <v>45</v>
      </c>
      <c r="C5959">
        <v>0</v>
      </c>
      <c r="D5959">
        <v>0</v>
      </c>
      <c r="E5959">
        <v>0</v>
      </c>
      <c r="F5959">
        <v>4400</v>
      </c>
    </row>
    <row r="5960" spans="1:6" x14ac:dyDescent="0.25">
      <c r="A5960">
        <v>5959</v>
      </c>
      <c r="B5960">
        <v>46</v>
      </c>
      <c r="C5960">
        <v>0</v>
      </c>
      <c r="D5960">
        <v>0</v>
      </c>
      <c r="E5960">
        <v>0</v>
      </c>
      <c r="F5960">
        <v>0</v>
      </c>
    </row>
    <row r="5961" spans="1:6" x14ac:dyDescent="0.25">
      <c r="A5961">
        <v>5960</v>
      </c>
      <c r="B5961">
        <v>2</v>
      </c>
      <c r="C5961">
        <v>0</v>
      </c>
      <c r="D5961">
        <v>0</v>
      </c>
      <c r="E5961">
        <v>0</v>
      </c>
      <c r="F5961">
        <v>62.220399999999998</v>
      </c>
    </row>
    <row r="5962" spans="1:6" x14ac:dyDescent="0.25">
      <c r="A5962">
        <v>5961</v>
      </c>
      <c r="B5962" t="s">
        <v>0</v>
      </c>
      <c r="C5962">
        <v>31</v>
      </c>
      <c r="D5962">
        <v>3484</v>
      </c>
      <c r="E5962">
        <v>80115272</v>
      </c>
    </row>
    <row r="5963" spans="1:6" x14ac:dyDescent="0.25">
      <c r="A5963">
        <v>5962</v>
      </c>
      <c r="B5963">
        <v>10</v>
      </c>
      <c r="C5963">
        <v>1</v>
      </c>
      <c r="D5963">
        <v>0</v>
      </c>
      <c r="E5963">
        <v>0</v>
      </c>
      <c r="F5963">
        <v>19196</v>
      </c>
    </row>
    <row r="5964" spans="1:6" x14ac:dyDescent="0.25">
      <c r="A5964">
        <v>5963</v>
      </c>
      <c r="B5964">
        <v>13</v>
      </c>
      <c r="C5964">
        <v>0</v>
      </c>
      <c r="D5964">
        <v>0</v>
      </c>
      <c r="E5964">
        <v>0</v>
      </c>
      <c r="F5964">
        <v>1603</v>
      </c>
    </row>
    <row r="5965" spans="1:6" x14ac:dyDescent="0.25">
      <c r="A5965">
        <v>5964</v>
      </c>
      <c r="B5965">
        <v>41</v>
      </c>
      <c r="C5965">
        <v>0</v>
      </c>
      <c r="D5965">
        <v>0</v>
      </c>
      <c r="E5965">
        <v>0</v>
      </c>
      <c r="F5965">
        <v>1</v>
      </c>
    </row>
    <row r="5966" spans="1:6" x14ac:dyDescent="0.25">
      <c r="A5966">
        <v>5965</v>
      </c>
      <c r="B5966">
        <v>42</v>
      </c>
      <c r="C5966">
        <v>0</v>
      </c>
      <c r="D5966">
        <v>0</v>
      </c>
      <c r="E5966">
        <v>0</v>
      </c>
      <c r="F5966">
        <v>0.2</v>
      </c>
    </row>
    <row r="5967" spans="1:6" x14ac:dyDescent="0.25">
      <c r="A5967">
        <v>5966</v>
      </c>
      <c r="B5967">
        <v>43</v>
      </c>
      <c r="C5967">
        <v>0</v>
      </c>
      <c r="D5967">
        <v>0</v>
      </c>
      <c r="E5967">
        <v>0</v>
      </c>
      <c r="F5967">
        <v>0</v>
      </c>
    </row>
    <row r="5968" spans="1:6" x14ac:dyDescent="0.25">
      <c r="A5968">
        <v>5967</v>
      </c>
      <c r="B5968">
        <v>44</v>
      </c>
      <c r="C5968">
        <v>0</v>
      </c>
      <c r="D5968">
        <v>0</v>
      </c>
      <c r="E5968">
        <v>0</v>
      </c>
      <c r="F5968">
        <v>36.144500000000001</v>
      </c>
    </row>
    <row r="5969" spans="1:6" x14ac:dyDescent="0.25">
      <c r="A5969">
        <v>5968</v>
      </c>
      <c r="B5969" t="s">
        <v>0</v>
      </c>
      <c r="C5969">
        <v>32</v>
      </c>
      <c r="D5969">
        <v>3484</v>
      </c>
      <c r="E5969">
        <v>80115674</v>
      </c>
    </row>
    <row r="5970" spans="1:6" x14ac:dyDescent="0.25">
      <c r="A5970">
        <v>5969</v>
      </c>
      <c r="B5970">
        <v>46</v>
      </c>
      <c r="C5970">
        <v>0</v>
      </c>
      <c r="D5970">
        <v>0</v>
      </c>
      <c r="E5970">
        <v>0</v>
      </c>
      <c r="F5970">
        <v>0</v>
      </c>
    </row>
    <row r="5971" spans="1:6" x14ac:dyDescent="0.25">
      <c r="A5971">
        <v>5970</v>
      </c>
      <c r="B5971">
        <v>2</v>
      </c>
      <c r="C5971">
        <v>0</v>
      </c>
      <c r="D5971">
        <v>0</v>
      </c>
      <c r="E5971">
        <v>0</v>
      </c>
      <c r="F5971">
        <v>64.165000000000006</v>
      </c>
    </row>
    <row r="5972" spans="1:6" x14ac:dyDescent="0.25">
      <c r="A5972">
        <v>5971</v>
      </c>
      <c r="B5972">
        <v>10</v>
      </c>
      <c r="C5972">
        <v>1</v>
      </c>
      <c r="D5972">
        <v>0</v>
      </c>
      <c r="E5972">
        <v>0</v>
      </c>
      <c r="F5972">
        <v>18615</v>
      </c>
    </row>
    <row r="5973" spans="1:6" x14ac:dyDescent="0.25">
      <c r="A5973">
        <v>5972</v>
      </c>
      <c r="B5973">
        <v>13</v>
      </c>
      <c r="C5973">
        <v>0</v>
      </c>
      <c r="D5973">
        <v>0</v>
      </c>
      <c r="E5973">
        <v>0</v>
      </c>
      <c r="F5973">
        <v>1603</v>
      </c>
    </row>
    <row r="5974" spans="1:6" x14ac:dyDescent="0.25">
      <c r="A5974">
        <v>5973</v>
      </c>
      <c r="B5974">
        <v>41</v>
      </c>
      <c r="C5974">
        <v>0</v>
      </c>
      <c r="D5974">
        <v>0</v>
      </c>
      <c r="E5974">
        <v>0</v>
      </c>
      <c r="F5974">
        <v>1</v>
      </c>
    </row>
    <row r="5975" spans="1:6" x14ac:dyDescent="0.25">
      <c r="A5975">
        <v>5974</v>
      </c>
      <c r="B5975" t="s">
        <v>0</v>
      </c>
      <c r="C5975">
        <v>33</v>
      </c>
      <c r="D5975">
        <v>3484</v>
      </c>
      <c r="E5975">
        <v>80116071</v>
      </c>
    </row>
    <row r="5976" spans="1:6" x14ac:dyDescent="0.25">
      <c r="A5976">
        <v>5975</v>
      </c>
      <c r="B5976">
        <v>43</v>
      </c>
      <c r="C5976">
        <v>0</v>
      </c>
      <c r="D5976">
        <v>0</v>
      </c>
      <c r="E5976">
        <v>0</v>
      </c>
      <c r="F5976">
        <v>0</v>
      </c>
    </row>
    <row r="5977" spans="1:6" x14ac:dyDescent="0.25">
      <c r="A5977">
        <v>5976</v>
      </c>
      <c r="B5977">
        <v>44</v>
      </c>
      <c r="C5977">
        <v>0</v>
      </c>
      <c r="D5977">
        <v>0</v>
      </c>
      <c r="E5977">
        <v>0</v>
      </c>
      <c r="F5977">
        <v>34.390500000000003</v>
      </c>
    </row>
    <row r="5978" spans="1:6" x14ac:dyDescent="0.25">
      <c r="A5978">
        <v>5977</v>
      </c>
      <c r="B5978">
        <v>45</v>
      </c>
      <c r="C5978">
        <v>0</v>
      </c>
      <c r="D5978">
        <v>0</v>
      </c>
      <c r="E5978">
        <v>0</v>
      </c>
      <c r="F5978">
        <v>4400</v>
      </c>
    </row>
    <row r="5979" spans="1:6" x14ac:dyDescent="0.25">
      <c r="A5979">
        <v>5978</v>
      </c>
      <c r="B5979">
        <v>46</v>
      </c>
      <c r="C5979">
        <v>0</v>
      </c>
      <c r="D5979">
        <v>0</v>
      </c>
      <c r="E5979">
        <v>0</v>
      </c>
      <c r="F5979">
        <v>0</v>
      </c>
    </row>
    <row r="5980" spans="1:6" x14ac:dyDescent="0.25">
      <c r="A5980">
        <v>5979</v>
      </c>
      <c r="B5980">
        <v>2</v>
      </c>
      <c r="C5980">
        <v>0</v>
      </c>
      <c r="D5980">
        <v>0</v>
      </c>
      <c r="E5980">
        <v>0</v>
      </c>
      <c r="F5980">
        <v>65.144599999999997</v>
      </c>
    </row>
    <row r="5981" spans="1:6" x14ac:dyDescent="0.25">
      <c r="A5981">
        <v>5980</v>
      </c>
      <c r="B5981" t="s">
        <v>0</v>
      </c>
      <c r="C5981">
        <v>34</v>
      </c>
      <c r="D5981">
        <v>3484</v>
      </c>
      <c r="E5981">
        <v>80116463</v>
      </c>
    </row>
    <row r="5982" spans="1:6" x14ac:dyDescent="0.25">
      <c r="A5982">
        <v>5981</v>
      </c>
      <c r="B5982">
        <v>13</v>
      </c>
      <c r="C5982">
        <v>0</v>
      </c>
      <c r="D5982">
        <v>0</v>
      </c>
      <c r="E5982">
        <v>0</v>
      </c>
      <c r="F5982">
        <v>1603</v>
      </c>
    </row>
    <row r="5983" spans="1:6" x14ac:dyDescent="0.25">
      <c r="A5983">
        <v>5982</v>
      </c>
      <c r="B5983">
        <v>41</v>
      </c>
      <c r="C5983">
        <v>0</v>
      </c>
      <c r="D5983">
        <v>0</v>
      </c>
      <c r="E5983">
        <v>0</v>
      </c>
      <c r="F5983">
        <v>1</v>
      </c>
    </row>
    <row r="5984" spans="1:6" x14ac:dyDescent="0.25">
      <c r="A5984">
        <v>5983</v>
      </c>
      <c r="B5984">
        <v>42</v>
      </c>
      <c r="C5984">
        <v>0</v>
      </c>
      <c r="D5984">
        <v>0</v>
      </c>
      <c r="E5984">
        <v>0</v>
      </c>
      <c r="F5984">
        <v>0.2</v>
      </c>
    </row>
    <row r="5985" spans="1:6" x14ac:dyDescent="0.25">
      <c r="A5985">
        <v>5984</v>
      </c>
      <c r="B5985">
        <v>43</v>
      </c>
      <c r="C5985">
        <v>0</v>
      </c>
      <c r="D5985">
        <v>0</v>
      </c>
      <c r="E5985">
        <v>0</v>
      </c>
      <c r="F5985">
        <v>0</v>
      </c>
    </row>
    <row r="5986" spans="1:6" x14ac:dyDescent="0.25">
      <c r="A5986">
        <v>5985</v>
      </c>
      <c r="B5986">
        <v>44</v>
      </c>
      <c r="C5986">
        <v>0</v>
      </c>
      <c r="D5986">
        <v>0</v>
      </c>
      <c r="E5986">
        <v>0</v>
      </c>
      <c r="F5986">
        <v>33.504399999999997</v>
      </c>
    </row>
    <row r="5987" spans="1:6" x14ac:dyDescent="0.25">
      <c r="A5987">
        <v>5986</v>
      </c>
      <c r="B5987" t="s">
        <v>0</v>
      </c>
      <c r="C5987">
        <v>35</v>
      </c>
      <c r="D5987">
        <v>3484</v>
      </c>
      <c r="E5987">
        <v>80116850</v>
      </c>
    </row>
    <row r="5988" spans="1:6" x14ac:dyDescent="0.25">
      <c r="A5988">
        <v>5987</v>
      </c>
      <c r="B5988">
        <v>46</v>
      </c>
      <c r="C5988">
        <v>0</v>
      </c>
      <c r="D5988">
        <v>0</v>
      </c>
      <c r="E5988">
        <v>0</v>
      </c>
      <c r="F5988">
        <v>0</v>
      </c>
    </row>
    <row r="5989" spans="1:6" x14ac:dyDescent="0.25">
      <c r="A5989">
        <v>5988</v>
      </c>
      <c r="B5989">
        <v>2</v>
      </c>
      <c r="C5989">
        <v>0</v>
      </c>
      <c r="D5989">
        <v>0</v>
      </c>
      <c r="E5989">
        <v>0</v>
      </c>
      <c r="F5989">
        <v>67.115600000000001</v>
      </c>
    </row>
    <row r="5990" spans="1:6" x14ac:dyDescent="0.25">
      <c r="A5990">
        <v>5989</v>
      </c>
      <c r="B5990">
        <v>10</v>
      </c>
      <c r="C5990">
        <v>1</v>
      </c>
      <c r="D5990">
        <v>0</v>
      </c>
      <c r="E5990">
        <v>0</v>
      </c>
      <c r="F5990">
        <v>17796</v>
      </c>
    </row>
    <row r="5991" spans="1:6" x14ac:dyDescent="0.25">
      <c r="A5991">
        <v>5990</v>
      </c>
      <c r="B5991">
        <v>13</v>
      </c>
      <c r="C5991">
        <v>0</v>
      </c>
      <c r="D5991">
        <v>0</v>
      </c>
      <c r="E5991">
        <v>0</v>
      </c>
      <c r="F5991">
        <v>1603</v>
      </c>
    </row>
    <row r="5992" spans="1:6" x14ac:dyDescent="0.25">
      <c r="A5992">
        <v>5991</v>
      </c>
      <c r="B5992">
        <v>41</v>
      </c>
      <c r="C5992">
        <v>0</v>
      </c>
      <c r="D5992">
        <v>0</v>
      </c>
      <c r="E5992">
        <v>0</v>
      </c>
      <c r="F5992">
        <v>1</v>
      </c>
    </row>
    <row r="5993" spans="1:6" x14ac:dyDescent="0.25">
      <c r="A5993">
        <v>5992</v>
      </c>
      <c r="B5993" t="s">
        <v>0</v>
      </c>
      <c r="C5993">
        <v>36</v>
      </c>
      <c r="D5993">
        <v>3484</v>
      </c>
      <c r="E5993">
        <v>80117233</v>
      </c>
    </row>
    <row r="5994" spans="1:6" x14ac:dyDescent="0.25">
      <c r="A5994">
        <v>5993</v>
      </c>
      <c r="B5994">
        <v>42</v>
      </c>
      <c r="C5994">
        <v>0</v>
      </c>
      <c r="D5994">
        <v>0</v>
      </c>
      <c r="E5994">
        <v>0</v>
      </c>
      <c r="F5994">
        <v>0.2</v>
      </c>
    </row>
    <row r="5995" spans="1:6" x14ac:dyDescent="0.25">
      <c r="A5995">
        <v>5994</v>
      </c>
      <c r="B5995">
        <v>43</v>
      </c>
      <c r="C5995">
        <v>0</v>
      </c>
      <c r="D5995">
        <v>0</v>
      </c>
      <c r="E5995">
        <v>0</v>
      </c>
      <c r="F5995">
        <v>0</v>
      </c>
    </row>
    <row r="5996" spans="1:6" x14ac:dyDescent="0.25">
      <c r="A5996">
        <v>5995</v>
      </c>
      <c r="B5996">
        <v>44</v>
      </c>
      <c r="C5996">
        <v>0</v>
      </c>
      <c r="D5996">
        <v>0</v>
      </c>
      <c r="E5996">
        <v>0</v>
      </c>
      <c r="F5996">
        <v>31.727900000000002</v>
      </c>
    </row>
    <row r="5997" spans="1:6" x14ac:dyDescent="0.25">
      <c r="A5997">
        <v>5996</v>
      </c>
      <c r="B5997">
        <v>45</v>
      </c>
      <c r="C5997">
        <v>0</v>
      </c>
      <c r="D5997">
        <v>0</v>
      </c>
      <c r="E5997">
        <v>0</v>
      </c>
      <c r="F5997">
        <v>4400</v>
      </c>
    </row>
    <row r="5998" spans="1:6" x14ac:dyDescent="0.25">
      <c r="A5998">
        <v>5997</v>
      </c>
      <c r="B5998">
        <v>46</v>
      </c>
      <c r="C5998">
        <v>0</v>
      </c>
      <c r="D5998">
        <v>0</v>
      </c>
      <c r="E5998">
        <v>0</v>
      </c>
      <c r="F5998">
        <v>0</v>
      </c>
    </row>
    <row r="5999" spans="1:6" x14ac:dyDescent="0.25">
      <c r="A5999">
        <v>5998</v>
      </c>
      <c r="B5999">
        <v>2</v>
      </c>
      <c r="C5999">
        <v>0</v>
      </c>
      <c r="D5999">
        <v>0</v>
      </c>
      <c r="E5999">
        <v>0</v>
      </c>
      <c r="F5999">
        <v>68.107200000000006</v>
      </c>
    </row>
    <row r="6000" spans="1:6" x14ac:dyDescent="0.25">
      <c r="A6000">
        <v>5999</v>
      </c>
      <c r="B6000">
        <v>10</v>
      </c>
      <c r="C6000">
        <v>1</v>
      </c>
      <c r="D6000">
        <v>0</v>
      </c>
      <c r="E6000">
        <v>0</v>
      </c>
      <c r="F6000">
        <v>17537</v>
      </c>
    </row>
    <row r="6001" spans="1:6" x14ac:dyDescent="0.25">
      <c r="A6001">
        <v>6000</v>
      </c>
      <c r="B6001">
        <v>13</v>
      </c>
      <c r="C6001">
        <v>0</v>
      </c>
      <c r="D6001">
        <v>0</v>
      </c>
      <c r="E6001">
        <v>0</v>
      </c>
      <c r="F6001">
        <v>1603</v>
      </c>
    </row>
    <row r="6002" spans="1:6" x14ac:dyDescent="0.25">
      <c r="A6002">
        <v>6001</v>
      </c>
      <c r="B6002">
        <v>41</v>
      </c>
      <c r="C6002">
        <v>0</v>
      </c>
      <c r="D6002">
        <v>0</v>
      </c>
      <c r="E6002">
        <v>0</v>
      </c>
      <c r="F6002">
        <v>1</v>
      </c>
    </row>
    <row r="6003" spans="1:6" x14ac:dyDescent="0.25">
      <c r="A6003">
        <v>6002</v>
      </c>
      <c r="B6003">
        <v>42</v>
      </c>
      <c r="C6003">
        <v>0</v>
      </c>
      <c r="D6003">
        <v>0</v>
      </c>
      <c r="E6003">
        <v>0</v>
      </c>
      <c r="F6003">
        <v>0.2</v>
      </c>
    </row>
    <row r="6004" spans="1:6" x14ac:dyDescent="0.25">
      <c r="A6004">
        <v>6003</v>
      </c>
      <c r="B6004">
        <v>43</v>
      </c>
      <c r="C6004">
        <v>0</v>
      </c>
      <c r="D6004">
        <v>0</v>
      </c>
      <c r="E6004">
        <v>0</v>
      </c>
      <c r="F6004">
        <v>0</v>
      </c>
    </row>
    <row r="6005" spans="1:6" x14ac:dyDescent="0.25">
      <c r="A6005">
        <v>6004</v>
      </c>
      <c r="B6005" t="s">
        <v>0</v>
      </c>
      <c r="C6005">
        <v>38</v>
      </c>
      <c r="D6005">
        <v>3484</v>
      </c>
      <c r="E6005">
        <v>80117984</v>
      </c>
    </row>
    <row r="6006" spans="1:6" x14ac:dyDescent="0.25">
      <c r="A6006">
        <v>6005</v>
      </c>
      <c r="B6006">
        <v>45</v>
      </c>
      <c r="C6006">
        <v>0</v>
      </c>
      <c r="D6006">
        <v>0</v>
      </c>
      <c r="E6006">
        <v>0</v>
      </c>
      <c r="F6006">
        <v>4400</v>
      </c>
    </row>
    <row r="6007" spans="1:6" x14ac:dyDescent="0.25">
      <c r="A6007">
        <v>6006</v>
      </c>
      <c r="B6007">
        <v>46</v>
      </c>
      <c r="C6007">
        <v>0</v>
      </c>
      <c r="D6007">
        <v>0</v>
      </c>
      <c r="E6007">
        <v>0</v>
      </c>
      <c r="F6007">
        <v>0</v>
      </c>
    </row>
    <row r="6008" spans="1:6" x14ac:dyDescent="0.25">
      <c r="A6008">
        <v>6007</v>
      </c>
      <c r="B6008">
        <v>2</v>
      </c>
      <c r="C6008">
        <v>0</v>
      </c>
      <c r="D6008">
        <v>0</v>
      </c>
      <c r="E6008">
        <v>0</v>
      </c>
      <c r="F6008">
        <v>70.106800000000007</v>
      </c>
    </row>
    <row r="6009" spans="1:6" x14ac:dyDescent="0.25">
      <c r="A6009">
        <v>6008</v>
      </c>
      <c r="B6009">
        <v>10</v>
      </c>
      <c r="C6009">
        <v>1</v>
      </c>
      <c r="D6009">
        <v>0</v>
      </c>
      <c r="E6009">
        <v>0</v>
      </c>
      <c r="F6009">
        <v>17037</v>
      </c>
    </row>
    <row r="6010" spans="1:6" x14ac:dyDescent="0.25">
      <c r="A6010">
        <v>6009</v>
      </c>
      <c r="B6010">
        <v>13</v>
      </c>
      <c r="C6010">
        <v>0</v>
      </c>
      <c r="D6010">
        <v>0</v>
      </c>
      <c r="E6010">
        <v>0</v>
      </c>
      <c r="F6010">
        <v>1603</v>
      </c>
    </row>
    <row r="6011" spans="1:6" x14ac:dyDescent="0.25">
      <c r="A6011">
        <v>6010</v>
      </c>
      <c r="B6011" t="s">
        <v>0</v>
      </c>
      <c r="C6011">
        <v>39</v>
      </c>
      <c r="D6011">
        <v>3484</v>
      </c>
      <c r="E6011">
        <v>80118353</v>
      </c>
    </row>
    <row r="6012" spans="1:6" x14ac:dyDescent="0.25">
      <c r="A6012">
        <v>6011</v>
      </c>
      <c r="B6012">
        <v>41</v>
      </c>
      <c r="C6012">
        <v>0</v>
      </c>
      <c r="D6012">
        <v>0</v>
      </c>
      <c r="E6012">
        <v>0</v>
      </c>
      <c r="F6012">
        <v>1</v>
      </c>
    </row>
    <row r="6013" spans="1:6" x14ac:dyDescent="0.25">
      <c r="A6013">
        <v>6012</v>
      </c>
      <c r="B6013">
        <v>42</v>
      </c>
      <c r="C6013">
        <v>0</v>
      </c>
      <c r="D6013">
        <v>0</v>
      </c>
      <c r="E6013">
        <v>0</v>
      </c>
      <c r="F6013">
        <v>0.2</v>
      </c>
    </row>
    <row r="6014" spans="1:6" x14ac:dyDescent="0.25">
      <c r="A6014">
        <v>6013</v>
      </c>
      <c r="B6014">
        <v>43</v>
      </c>
      <c r="C6014">
        <v>0</v>
      </c>
      <c r="D6014">
        <v>0</v>
      </c>
      <c r="E6014">
        <v>0</v>
      </c>
      <c r="F6014">
        <v>0</v>
      </c>
    </row>
    <row r="6015" spans="1:6" x14ac:dyDescent="0.25">
      <c r="A6015">
        <v>6014</v>
      </c>
      <c r="B6015">
        <v>44</v>
      </c>
      <c r="C6015">
        <v>0</v>
      </c>
      <c r="D6015">
        <v>0</v>
      </c>
      <c r="E6015">
        <v>0</v>
      </c>
      <c r="F6015">
        <v>28.999300000000002</v>
      </c>
    </row>
    <row r="6016" spans="1:6" x14ac:dyDescent="0.25">
      <c r="A6016">
        <v>6015</v>
      </c>
      <c r="B6016">
        <v>45</v>
      </c>
      <c r="C6016">
        <v>0</v>
      </c>
      <c r="D6016">
        <v>0</v>
      </c>
      <c r="E6016">
        <v>0</v>
      </c>
      <c r="F6016">
        <v>4400</v>
      </c>
    </row>
    <row r="6017" spans="1:6" x14ac:dyDescent="0.25">
      <c r="A6017">
        <v>6016</v>
      </c>
      <c r="B6017">
        <v>46</v>
      </c>
      <c r="C6017">
        <v>0</v>
      </c>
      <c r="D6017">
        <v>0</v>
      </c>
      <c r="E6017">
        <v>0</v>
      </c>
      <c r="F6017">
        <v>0</v>
      </c>
    </row>
    <row r="6018" spans="1:6" x14ac:dyDescent="0.25">
      <c r="A6018">
        <v>6017</v>
      </c>
      <c r="B6018">
        <v>2</v>
      </c>
      <c r="C6018">
        <v>0</v>
      </c>
      <c r="D6018">
        <v>0</v>
      </c>
      <c r="E6018">
        <v>0</v>
      </c>
      <c r="F6018">
        <v>72.120800000000003</v>
      </c>
    </row>
    <row r="6019" spans="1:6" x14ac:dyDescent="0.25">
      <c r="A6019">
        <v>6018</v>
      </c>
      <c r="B6019">
        <v>10</v>
      </c>
      <c r="C6019">
        <v>1</v>
      </c>
      <c r="D6019">
        <v>0</v>
      </c>
      <c r="E6019">
        <v>0</v>
      </c>
      <c r="F6019">
        <v>16561</v>
      </c>
    </row>
    <row r="6020" spans="1:6" x14ac:dyDescent="0.25">
      <c r="A6020">
        <v>6019</v>
      </c>
      <c r="B6020">
        <v>13</v>
      </c>
      <c r="C6020">
        <v>0</v>
      </c>
      <c r="D6020">
        <v>0</v>
      </c>
      <c r="E6020">
        <v>0</v>
      </c>
      <c r="F6020">
        <v>1603</v>
      </c>
    </row>
    <row r="6021" spans="1:6" x14ac:dyDescent="0.25">
      <c r="A6021">
        <v>6020</v>
      </c>
      <c r="B6021">
        <v>41</v>
      </c>
      <c r="C6021">
        <v>0</v>
      </c>
      <c r="D6021">
        <v>0</v>
      </c>
      <c r="E6021">
        <v>0</v>
      </c>
      <c r="F6021">
        <v>1</v>
      </c>
    </row>
    <row r="6022" spans="1:6" x14ac:dyDescent="0.25">
      <c r="A6022">
        <v>6021</v>
      </c>
      <c r="B6022">
        <v>42</v>
      </c>
      <c r="C6022">
        <v>0</v>
      </c>
      <c r="D6022">
        <v>0</v>
      </c>
      <c r="E6022">
        <v>0</v>
      </c>
      <c r="F6022">
        <v>0.2</v>
      </c>
    </row>
    <row r="6023" spans="1:6" x14ac:dyDescent="0.25">
      <c r="A6023">
        <v>6022</v>
      </c>
      <c r="B6023" t="s">
        <v>0</v>
      </c>
      <c r="C6023">
        <v>41</v>
      </c>
      <c r="D6023">
        <v>3484</v>
      </c>
      <c r="E6023">
        <v>80119078</v>
      </c>
    </row>
    <row r="6024" spans="1:6" x14ac:dyDescent="0.25">
      <c r="A6024">
        <v>6023</v>
      </c>
      <c r="B6024">
        <v>43</v>
      </c>
      <c r="C6024">
        <v>0</v>
      </c>
      <c r="D6024">
        <v>0</v>
      </c>
      <c r="E6024">
        <v>0</v>
      </c>
      <c r="F6024">
        <v>0</v>
      </c>
    </row>
    <row r="6025" spans="1:6" x14ac:dyDescent="0.25">
      <c r="A6025">
        <v>6024</v>
      </c>
      <c r="B6025">
        <v>44</v>
      </c>
      <c r="C6025">
        <v>0</v>
      </c>
      <c r="D6025">
        <v>0</v>
      </c>
      <c r="E6025">
        <v>0</v>
      </c>
      <c r="F6025">
        <v>27.153099999999998</v>
      </c>
    </row>
    <row r="6026" spans="1:6" x14ac:dyDescent="0.25">
      <c r="A6026">
        <v>6025</v>
      </c>
      <c r="B6026">
        <v>45</v>
      </c>
      <c r="C6026">
        <v>0</v>
      </c>
      <c r="D6026">
        <v>0</v>
      </c>
      <c r="E6026">
        <v>0</v>
      </c>
      <c r="F6026">
        <v>4400</v>
      </c>
    </row>
    <row r="6027" spans="1:6" x14ac:dyDescent="0.25">
      <c r="A6027">
        <v>6026</v>
      </c>
      <c r="B6027">
        <v>46</v>
      </c>
      <c r="C6027">
        <v>0</v>
      </c>
      <c r="D6027">
        <v>0</v>
      </c>
      <c r="E6027">
        <v>0</v>
      </c>
      <c r="F6027">
        <v>0</v>
      </c>
    </row>
    <row r="6028" spans="1:6" x14ac:dyDescent="0.25">
      <c r="A6028">
        <v>6027</v>
      </c>
      <c r="B6028">
        <v>2</v>
      </c>
      <c r="C6028">
        <v>0</v>
      </c>
      <c r="D6028">
        <v>0</v>
      </c>
      <c r="E6028">
        <v>0</v>
      </c>
      <c r="F6028">
        <v>73.132099999999994</v>
      </c>
    </row>
    <row r="6029" spans="1:6" x14ac:dyDescent="0.25">
      <c r="A6029">
        <v>6028</v>
      </c>
      <c r="B6029" t="s">
        <v>0</v>
      </c>
      <c r="C6029">
        <v>42</v>
      </c>
      <c r="D6029">
        <v>3484</v>
      </c>
      <c r="E6029">
        <v>80119434</v>
      </c>
    </row>
    <row r="6030" spans="1:6" x14ac:dyDescent="0.25">
      <c r="A6030">
        <v>6029</v>
      </c>
      <c r="B6030">
        <v>13</v>
      </c>
      <c r="C6030">
        <v>0</v>
      </c>
      <c r="D6030">
        <v>0</v>
      </c>
      <c r="E6030">
        <v>0</v>
      </c>
      <c r="F6030">
        <v>1603</v>
      </c>
    </row>
    <row r="6031" spans="1:6" x14ac:dyDescent="0.25">
      <c r="A6031">
        <v>6030</v>
      </c>
      <c r="B6031">
        <v>41</v>
      </c>
      <c r="C6031">
        <v>0</v>
      </c>
      <c r="D6031">
        <v>0</v>
      </c>
      <c r="E6031">
        <v>0</v>
      </c>
      <c r="F6031">
        <v>1</v>
      </c>
    </row>
    <row r="6032" spans="1:6" x14ac:dyDescent="0.25">
      <c r="A6032">
        <v>6031</v>
      </c>
      <c r="B6032">
        <v>42</v>
      </c>
      <c r="C6032">
        <v>0</v>
      </c>
      <c r="D6032">
        <v>0</v>
      </c>
      <c r="E6032">
        <v>0</v>
      </c>
      <c r="F6032">
        <v>0.2</v>
      </c>
    </row>
    <row r="6033" spans="1:6" x14ac:dyDescent="0.25">
      <c r="A6033">
        <v>6032</v>
      </c>
      <c r="B6033">
        <v>43</v>
      </c>
      <c r="C6033">
        <v>0</v>
      </c>
      <c r="D6033">
        <v>0</v>
      </c>
      <c r="E6033">
        <v>0</v>
      </c>
      <c r="F6033">
        <v>0</v>
      </c>
    </row>
    <row r="6034" spans="1:6" x14ac:dyDescent="0.25">
      <c r="A6034">
        <v>6033</v>
      </c>
      <c r="B6034">
        <v>44</v>
      </c>
      <c r="C6034">
        <v>0</v>
      </c>
      <c r="D6034">
        <v>0</v>
      </c>
      <c r="E6034">
        <v>0</v>
      </c>
      <c r="F6034">
        <v>26.2395</v>
      </c>
    </row>
    <row r="6035" spans="1:6" x14ac:dyDescent="0.25">
      <c r="A6035">
        <v>6034</v>
      </c>
      <c r="B6035">
        <v>45</v>
      </c>
      <c r="C6035">
        <v>0</v>
      </c>
      <c r="D6035">
        <v>0</v>
      </c>
      <c r="E6035">
        <v>0</v>
      </c>
      <c r="F6035">
        <v>4400</v>
      </c>
    </row>
    <row r="6036" spans="1:6" x14ac:dyDescent="0.25">
      <c r="A6036">
        <v>6035</v>
      </c>
      <c r="B6036">
        <v>46</v>
      </c>
      <c r="C6036">
        <v>0</v>
      </c>
      <c r="D6036">
        <v>0</v>
      </c>
      <c r="E6036">
        <v>0</v>
      </c>
      <c r="F6036">
        <v>0</v>
      </c>
    </row>
    <row r="6037" spans="1:6" x14ac:dyDescent="0.25">
      <c r="A6037">
        <v>6036</v>
      </c>
      <c r="B6037">
        <v>2</v>
      </c>
      <c r="C6037">
        <v>0</v>
      </c>
      <c r="D6037">
        <v>0</v>
      </c>
      <c r="E6037">
        <v>0</v>
      </c>
      <c r="F6037">
        <v>75.165599999999998</v>
      </c>
    </row>
    <row r="6038" spans="1:6" x14ac:dyDescent="0.25">
      <c r="A6038">
        <v>6037</v>
      </c>
      <c r="B6038">
        <v>10</v>
      </c>
      <c r="C6038">
        <v>1</v>
      </c>
      <c r="D6038">
        <v>0</v>
      </c>
      <c r="E6038">
        <v>0</v>
      </c>
      <c r="F6038">
        <v>15890</v>
      </c>
    </row>
    <row r="6039" spans="1:6" x14ac:dyDescent="0.25">
      <c r="A6039">
        <v>6038</v>
      </c>
      <c r="B6039">
        <v>13</v>
      </c>
      <c r="C6039">
        <v>0</v>
      </c>
      <c r="D6039">
        <v>0</v>
      </c>
      <c r="E6039">
        <v>0</v>
      </c>
      <c r="F6039">
        <v>1603</v>
      </c>
    </row>
    <row r="6040" spans="1:6" x14ac:dyDescent="0.25">
      <c r="A6040">
        <v>6039</v>
      </c>
      <c r="B6040" t="s">
        <v>0</v>
      </c>
      <c r="C6040">
        <v>44</v>
      </c>
      <c r="D6040">
        <v>3484</v>
      </c>
      <c r="E6040">
        <v>80120134</v>
      </c>
    </row>
    <row r="6041" spans="1:6" x14ac:dyDescent="0.25">
      <c r="A6041">
        <v>6040</v>
      </c>
      <c r="B6041">
        <v>41</v>
      </c>
      <c r="C6041">
        <v>0</v>
      </c>
      <c r="D6041">
        <v>0</v>
      </c>
      <c r="E6041">
        <v>0</v>
      </c>
      <c r="F6041">
        <v>1</v>
      </c>
    </row>
    <row r="6042" spans="1:6" x14ac:dyDescent="0.25">
      <c r="A6042">
        <v>6041</v>
      </c>
      <c r="B6042">
        <v>42</v>
      </c>
      <c r="C6042">
        <v>0</v>
      </c>
      <c r="D6042">
        <v>0</v>
      </c>
      <c r="E6042">
        <v>0</v>
      </c>
      <c r="F6042">
        <v>0.2</v>
      </c>
    </row>
    <row r="6043" spans="1:6" x14ac:dyDescent="0.25">
      <c r="A6043">
        <v>6042</v>
      </c>
      <c r="B6043">
        <v>43</v>
      </c>
      <c r="C6043">
        <v>0</v>
      </c>
      <c r="D6043">
        <v>0</v>
      </c>
      <c r="E6043">
        <v>0</v>
      </c>
      <c r="F6043">
        <v>0</v>
      </c>
    </row>
    <row r="6044" spans="1:6" x14ac:dyDescent="0.25">
      <c r="A6044">
        <v>6043</v>
      </c>
      <c r="B6044">
        <v>44</v>
      </c>
      <c r="C6044">
        <v>0</v>
      </c>
      <c r="D6044">
        <v>0</v>
      </c>
      <c r="E6044">
        <v>0</v>
      </c>
      <c r="F6044">
        <v>24.371500000000001</v>
      </c>
    </row>
    <row r="6045" spans="1:6" x14ac:dyDescent="0.25">
      <c r="A6045">
        <v>6044</v>
      </c>
      <c r="B6045">
        <v>45</v>
      </c>
      <c r="C6045">
        <v>0</v>
      </c>
      <c r="D6045">
        <v>0</v>
      </c>
      <c r="E6045">
        <v>0</v>
      </c>
      <c r="F6045">
        <v>4400</v>
      </c>
    </row>
    <row r="6046" spans="1:6" x14ac:dyDescent="0.25">
      <c r="A6046">
        <v>6045</v>
      </c>
      <c r="B6046" t="s">
        <v>0</v>
      </c>
      <c r="C6046">
        <v>45</v>
      </c>
      <c r="D6046">
        <v>3484</v>
      </c>
      <c r="E6046">
        <v>80120478</v>
      </c>
    </row>
    <row r="6047" spans="1:6" x14ac:dyDescent="0.25">
      <c r="A6047">
        <v>6046</v>
      </c>
      <c r="B6047">
        <v>2</v>
      </c>
      <c r="C6047">
        <v>0</v>
      </c>
      <c r="D6047">
        <v>0</v>
      </c>
      <c r="E6047">
        <v>0</v>
      </c>
      <c r="F6047">
        <v>77.214799999999997</v>
      </c>
    </row>
    <row r="6048" spans="1:6" x14ac:dyDescent="0.25">
      <c r="A6048">
        <v>6047</v>
      </c>
      <c r="B6048">
        <v>10</v>
      </c>
      <c r="C6048">
        <v>1</v>
      </c>
      <c r="D6048">
        <v>0</v>
      </c>
      <c r="E6048">
        <v>0</v>
      </c>
      <c r="F6048">
        <v>15469</v>
      </c>
    </row>
    <row r="6049" spans="1:6" x14ac:dyDescent="0.25">
      <c r="A6049">
        <v>6048</v>
      </c>
      <c r="B6049">
        <v>13</v>
      </c>
      <c r="C6049">
        <v>0</v>
      </c>
      <c r="D6049">
        <v>0</v>
      </c>
      <c r="E6049">
        <v>0</v>
      </c>
      <c r="F6049">
        <v>1603</v>
      </c>
    </row>
    <row r="6050" spans="1:6" x14ac:dyDescent="0.25">
      <c r="A6050">
        <v>6049</v>
      </c>
      <c r="B6050">
        <v>41</v>
      </c>
      <c r="C6050">
        <v>0</v>
      </c>
      <c r="D6050">
        <v>0</v>
      </c>
      <c r="E6050">
        <v>0</v>
      </c>
      <c r="F6050">
        <v>1</v>
      </c>
    </row>
    <row r="6051" spans="1:6" x14ac:dyDescent="0.25">
      <c r="A6051">
        <v>6050</v>
      </c>
      <c r="B6051" t="s">
        <v>0</v>
      </c>
      <c r="C6051">
        <v>46</v>
      </c>
      <c r="D6051">
        <v>3484</v>
      </c>
      <c r="E6051">
        <v>80120819</v>
      </c>
    </row>
    <row r="6052" spans="1:6" x14ac:dyDescent="0.25">
      <c r="A6052">
        <v>6051</v>
      </c>
      <c r="B6052">
        <v>43</v>
      </c>
      <c r="C6052">
        <v>0</v>
      </c>
      <c r="D6052">
        <v>0</v>
      </c>
      <c r="E6052">
        <v>0</v>
      </c>
      <c r="F6052">
        <v>0</v>
      </c>
    </row>
    <row r="6053" spans="1:6" x14ac:dyDescent="0.25">
      <c r="A6053">
        <v>6052</v>
      </c>
      <c r="B6053">
        <v>44</v>
      </c>
      <c r="C6053">
        <v>0</v>
      </c>
      <c r="D6053">
        <v>0</v>
      </c>
      <c r="E6053">
        <v>0</v>
      </c>
      <c r="F6053">
        <v>22.493200000000002</v>
      </c>
    </row>
    <row r="6054" spans="1:6" x14ac:dyDescent="0.25">
      <c r="A6054">
        <v>6053</v>
      </c>
      <c r="B6054">
        <v>45</v>
      </c>
      <c r="C6054">
        <v>0</v>
      </c>
      <c r="D6054">
        <v>0</v>
      </c>
      <c r="E6054">
        <v>0</v>
      </c>
      <c r="F6054">
        <v>4400</v>
      </c>
    </row>
    <row r="6055" spans="1:6" x14ac:dyDescent="0.25">
      <c r="A6055">
        <v>6054</v>
      </c>
      <c r="B6055">
        <v>46</v>
      </c>
      <c r="C6055">
        <v>0</v>
      </c>
      <c r="D6055">
        <v>0</v>
      </c>
      <c r="E6055">
        <v>0</v>
      </c>
      <c r="F6055">
        <v>0</v>
      </c>
    </row>
    <row r="6056" spans="1:6" x14ac:dyDescent="0.25">
      <c r="A6056">
        <v>6055</v>
      </c>
      <c r="B6056">
        <v>2</v>
      </c>
      <c r="C6056">
        <v>0</v>
      </c>
      <c r="D6056">
        <v>0</v>
      </c>
      <c r="E6056">
        <v>0</v>
      </c>
      <c r="F6056">
        <v>78.242000000000004</v>
      </c>
    </row>
    <row r="6057" spans="1:6" x14ac:dyDescent="0.25">
      <c r="A6057">
        <v>6056</v>
      </c>
      <c r="B6057">
        <v>10</v>
      </c>
      <c r="C6057">
        <v>1</v>
      </c>
      <c r="D6057">
        <v>0</v>
      </c>
      <c r="E6057">
        <v>0</v>
      </c>
      <c r="F6057">
        <v>15067</v>
      </c>
    </row>
    <row r="6058" spans="1:6" x14ac:dyDescent="0.25">
      <c r="A6058">
        <v>6057</v>
      </c>
      <c r="B6058">
        <v>13</v>
      </c>
      <c r="C6058">
        <v>0</v>
      </c>
      <c r="D6058">
        <v>0</v>
      </c>
      <c r="E6058">
        <v>0</v>
      </c>
      <c r="F6058">
        <v>1603</v>
      </c>
    </row>
    <row r="6059" spans="1:6" x14ac:dyDescent="0.25">
      <c r="A6059">
        <v>6058</v>
      </c>
      <c r="B6059">
        <v>41</v>
      </c>
      <c r="C6059">
        <v>0</v>
      </c>
      <c r="D6059">
        <v>0</v>
      </c>
      <c r="E6059">
        <v>0</v>
      </c>
      <c r="F6059">
        <v>1</v>
      </c>
    </row>
    <row r="6060" spans="1:6" x14ac:dyDescent="0.25">
      <c r="A6060">
        <v>6059</v>
      </c>
      <c r="B6060">
        <v>42</v>
      </c>
      <c r="C6060">
        <v>0</v>
      </c>
      <c r="D6060">
        <v>0</v>
      </c>
      <c r="E6060">
        <v>0</v>
      </c>
      <c r="F6060">
        <v>0.2</v>
      </c>
    </row>
    <row r="6061" spans="1:6" x14ac:dyDescent="0.25">
      <c r="A6061">
        <v>6060</v>
      </c>
      <c r="B6061">
        <v>43</v>
      </c>
      <c r="C6061">
        <v>0</v>
      </c>
      <c r="D6061">
        <v>0</v>
      </c>
      <c r="E6061">
        <v>0</v>
      </c>
      <c r="F6061">
        <v>0</v>
      </c>
    </row>
    <row r="6062" spans="1:6" x14ac:dyDescent="0.25">
      <c r="A6062">
        <v>6061</v>
      </c>
      <c r="B6062">
        <v>44</v>
      </c>
      <c r="C6062">
        <v>0</v>
      </c>
      <c r="D6062">
        <v>0</v>
      </c>
      <c r="E6062">
        <v>0</v>
      </c>
      <c r="F6062">
        <v>20.581</v>
      </c>
    </row>
    <row r="6063" spans="1:6" x14ac:dyDescent="0.25">
      <c r="A6063">
        <v>6062</v>
      </c>
      <c r="B6063">
        <v>45</v>
      </c>
      <c r="C6063">
        <v>0</v>
      </c>
      <c r="D6063">
        <v>0</v>
      </c>
      <c r="E6063">
        <v>0</v>
      </c>
      <c r="F6063">
        <v>4400</v>
      </c>
    </row>
    <row r="6064" spans="1:6" x14ac:dyDescent="0.25">
      <c r="A6064">
        <v>6063</v>
      </c>
      <c r="B6064">
        <v>46</v>
      </c>
      <c r="C6064">
        <v>0</v>
      </c>
      <c r="D6064">
        <v>0</v>
      </c>
      <c r="E6064">
        <v>0</v>
      </c>
      <c r="F6064">
        <v>0</v>
      </c>
    </row>
    <row r="6065" spans="1:6" x14ac:dyDescent="0.25">
      <c r="A6065">
        <v>6064</v>
      </c>
      <c r="B6065">
        <v>2</v>
      </c>
      <c r="C6065">
        <v>0</v>
      </c>
      <c r="D6065">
        <v>0</v>
      </c>
      <c r="E6065">
        <v>0</v>
      </c>
      <c r="F6065">
        <v>80.304199999999994</v>
      </c>
    </row>
    <row r="6066" spans="1:6" x14ac:dyDescent="0.25">
      <c r="A6066">
        <v>6065</v>
      </c>
      <c r="B6066">
        <v>10</v>
      </c>
      <c r="C6066">
        <v>1</v>
      </c>
      <c r="D6066">
        <v>0</v>
      </c>
      <c r="E6066">
        <v>0</v>
      </c>
      <c r="F6066">
        <v>14873</v>
      </c>
    </row>
    <row r="6067" spans="1:6" x14ac:dyDescent="0.25">
      <c r="A6067">
        <v>6066</v>
      </c>
      <c r="B6067">
        <v>13</v>
      </c>
      <c r="C6067">
        <v>0</v>
      </c>
      <c r="D6067">
        <v>0</v>
      </c>
      <c r="E6067">
        <v>0</v>
      </c>
      <c r="F6067">
        <v>1603</v>
      </c>
    </row>
    <row r="6068" spans="1:6" x14ac:dyDescent="0.25">
      <c r="A6068">
        <v>6067</v>
      </c>
      <c r="B6068">
        <v>41</v>
      </c>
      <c r="C6068">
        <v>0</v>
      </c>
      <c r="D6068">
        <v>0</v>
      </c>
      <c r="E6068">
        <v>0</v>
      </c>
      <c r="F6068">
        <v>1</v>
      </c>
    </row>
    <row r="6069" spans="1:6" x14ac:dyDescent="0.25">
      <c r="A6069">
        <v>6068</v>
      </c>
      <c r="B6069">
        <v>42</v>
      </c>
      <c r="C6069">
        <v>0</v>
      </c>
      <c r="D6069">
        <v>0</v>
      </c>
      <c r="E6069">
        <v>0</v>
      </c>
      <c r="F6069">
        <v>0.2</v>
      </c>
    </row>
    <row r="6070" spans="1:6" x14ac:dyDescent="0.25">
      <c r="A6070">
        <v>6069</v>
      </c>
      <c r="B6070">
        <v>43</v>
      </c>
      <c r="C6070">
        <v>0</v>
      </c>
      <c r="D6070">
        <v>0</v>
      </c>
      <c r="E6070">
        <v>0</v>
      </c>
      <c r="F6070">
        <v>0</v>
      </c>
    </row>
    <row r="6071" spans="1:6" x14ac:dyDescent="0.25">
      <c r="A6071">
        <v>6070</v>
      </c>
      <c r="B6071">
        <v>44</v>
      </c>
      <c r="C6071">
        <v>0</v>
      </c>
      <c r="D6071">
        <v>0</v>
      </c>
      <c r="E6071">
        <v>0</v>
      </c>
      <c r="F6071">
        <v>19.643699999999999</v>
      </c>
    </row>
    <row r="6072" spans="1:6" x14ac:dyDescent="0.25">
      <c r="A6072">
        <v>6071</v>
      </c>
      <c r="B6072">
        <v>45</v>
      </c>
      <c r="C6072">
        <v>0</v>
      </c>
      <c r="D6072">
        <v>0</v>
      </c>
      <c r="E6072">
        <v>0</v>
      </c>
      <c r="F6072">
        <v>4400</v>
      </c>
    </row>
    <row r="6073" spans="1:6" x14ac:dyDescent="0.25">
      <c r="A6073">
        <v>6072</v>
      </c>
      <c r="B6073">
        <v>46</v>
      </c>
      <c r="C6073">
        <v>0</v>
      </c>
      <c r="D6073">
        <v>0</v>
      </c>
      <c r="E6073">
        <v>0</v>
      </c>
      <c r="F6073">
        <v>0</v>
      </c>
    </row>
    <row r="6074" spans="1:6" x14ac:dyDescent="0.25">
      <c r="A6074">
        <v>6073</v>
      </c>
      <c r="B6074">
        <v>2</v>
      </c>
      <c r="C6074">
        <v>0</v>
      </c>
      <c r="D6074">
        <v>0</v>
      </c>
      <c r="E6074">
        <v>0</v>
      </c>
      <c r="F6074">
        <v>82.376300000000001</v>
      </c>
    </row>
    <row r="6075" spans="1:6" x14ac:dyDescent="0.25">
      <c r="A6075">
        <v>6074</v>
      </c>
      <c r="B6075">
        <v>10</v>
      </c>
      <c r="C6075">
        <v>1</v>
      </c>
      <c r="D6075">
        <v>0</v>
      </c>
      <c r="E6075">
        <v>0</v>
      </c>
      <c r="F6075">
        <v>14499</v>
      </c>
    </row>
    <row r="6076" spans="1:6" x14ac:dyDescent="0.25">
      <c r="A6076">
        <v>6075</v>
      </c>
      <c r="B6076" t="s">
        <v>0</v>
      </c>
      <c r="C6076">
        <v>51</v>
      </c>
      <c r="D6076">
        <v>3484</v>
      </c>
      <c r="E6076">
        <v>80122466</v>
      </c>
    </row>
    <row r="6077" spans="1:6" x14ac:dyDescent="0.25">
      <c r="A6077">
        <v>6076</v>
      </c>
      <c r="B6077">
        <v>41</v>
      </c>
      <c r="C6077">
        <v>0</v>
      </c>
      <c r="D6077">
        <v>0</v>
      </c>
      <c r="E6077">
        <v>0</v>
      </c>
      <c r="F6077">
        <v>1</v>
      </c>
    </row>
    <row r="6078" spans="1:6" x14ac:dyDescent="0.25">
      <c r="A6078">
        <v>6077</v>
      </c>
      <c r="B6078">
        <v>42</v>
      </c>
      <c r="C6078">
        <v>0</v>
      </c>
      <c r="D6078">
        <v>0</v>
      </c>
      <c r="E6078">
        <v>0</v>
      </c>
      <c r="F6078">
        <v>0.2</v>
      </c>
    </row>
    <row r="6079" spans="1:6" x14ac:dyDescent="0.25">
      <c r="A6079">
        <v>6078</v>
      </c>
      <c r="B6079">
        <v>43</v>
      </c>
      <c r="C6079">
        <v>0</v>
      </c>
      <c r="D6079">
        <v>0</v>
      </c>
      <c r="E6079">
        <v>0</v>
      </c>
      <c r="F6079">
        <v>0</v>
      </c>
    </row>
    <row r="6080" spans="1:6" x14ac:dyDescent="0.25">
      <c r="A6080">
        <v>6079</v>
      </c>
      <c r="B6080">
        <v>44</v>
      </c>
      <c r="C6080">
        <v>0</v>
      </c>
      <c r="D6080">
        <v>0</v>
      </c>
      <c r="E6080">
        <v>0</v>
      </c>
      <c r="F6080">
        <v>17.715699999999998</v>
      </c>
    </row>
    <row r="6081" spans="1:6" x14ac:dyDescent="0.25">
      <c r="A6081">
        <v>6080</v>
      </c>
      <c r="B6081" t="s">
        <v>0</v>
      </c>
      <c r="C6081">
        <v>52</v>
      </c>
      <c r="D6081">
        <v>3484</v>
      </c>
      <c r="E6081">
        <v>80122785</v>
      </c>
    </row>
    <row r="6082" spans="1:6" x14ac:dyDescent="0.25">
      <c r="A6082">
        <v>6081</v>
      </c>
      <c r="B6082">
        <v>46</v>
      </c>
      <c r="C6082">
        <v>0</v>
      </c>
      <c r="D6082">
        <v>0</v>
      </c>
      <c r="E6082">
        <v>0</v>
      </c>
      <c r="F6082">
        <v>0</v>
      </c>
    </row>
    <row r="6083" spans="1:6" x14ac:dyDescent="0.25">
      <c r="A6083">
        <v>6082</v>
      </c>
      <c r="B6083">
        <v>2</v>
      </c>
      <c r="C6083">
        <v>0</v>
      </c>
      <c r="D6083">
        <v>0</v>
      </c>
      <c r="E6083">
        <v>0</v>
      </c>
      <c r="F6083">
        <v>84.460599999999999</v>
      </c>
    </row>
    <row r="6084" spans="1:6" x14ac:dyDescent="0.25">
      <c r="A6084">
        <v>6083</v>
      </c>
      <c r="B6084">
        <v>10</v>
      </c>
      <c r="C6084">
        <v>1</v>
      </c>
      <c r="D6084">
        <v>0</v>
      </c>
      <c r="E6084">
        <v>0</v>
      </c>
      <c r="F6084">
        <v>14142</v>
      </c>
    </row>
    <row r="6085" spans="1:6" x14ac:dyDescent="0.25">
      <c r="A6085">
        <v>6084</v>
      </c>
      <c r="B6085">
        <v>13</v>
      </c>
      <c r="C6085">
        <v>0</v>
      </c>
      <c r="D6085">
        <v>0</v>
      </c>
      <c r="E6085">
        <v>0</v>
      </c>
      <c r="F6085">
        <v>1603</v>
      </c>
    </row>
    <row r="6086" spans="1:6" x14ac:dyDescent="0.25">
      <c r="A6086">
        <v>6085</v>
      </c>
      <c r="B6086" t="s">
        <v>0</v>
      </c>
      <c r="C6086">
        <v>53</v>
      </c>
      <c r="D6086">
        <v>3484</v>
      </c>
      <c r="E6086">
        <v>80123101</v>
      </c>
    </row>
    <row r="6087" spans="1:6" x14ac:dyDescent="0.25">
      <c r="A6087">
        <v>6086</v>
      </c>
      <c r="B6087">
        <v>41</v>
      </c>
      <c r="C6087">
        <v>0</v>
      </c>
      <c r="D6087">
        <v>0</v>
      </c>
      <c r="E6087">
        <v>0</v>
      </c>
      <c r="F6087">
        <v>1</v>
      </c>
    </row>
    <row r="6088" spans="1:6" x14ac:dyDescent="0.25">
      <c r="A6088">
        <v>6087</v>
      </c>
      <c r="B6088">
        <v>42</v>
      </c>
      <c r="C6088">
        <v>0</v>
      </c>
      <c r="D6088">
        <v>0</v>
      </c>
      <c r="E6088">
        <v>0</v>
      </c>
      <c r="F6088">
        <v>0.2</v>
      </c>
    </row>
    <row r="6089" spans="1:6" x14ac:dyDescent="0.25">
      <c r="A6089">
        <v>6088</v>
      </c>
      <c r="B6089">
        <v>43</v>
      </c>
      <c r="C6089">
        <v>0</v>
      </c>
      <c r="D6089">
        <v>0</v>
      </c>
      <c r="E6089">
        <v>0</v>
      </c>
      <c r="F6089">
        <v>0</v>
      </c>
    </row>
    <row r="6090" spans="1:6" x14ac:dyDescent="0.25">
      <c r="A6090">
        <v>6089</v>
      </c>
      <c r="B6090">
        <v>44</v>
      </c>
      <c r="C6090">
        <v>0</v>
      </c>
      <c r="D6090">
        <v>0</v>
      </c>
      <c r="E6090">
        <v>0</v>
      </c>
      <c r="F6090">
        <v>15.8063</v>
      </c>
    </row>
    <row r="6091" spans="1:6" x14ac:dyDescent="0.25">
      <c r="A6091">
        <v>6090</v>
      </c>
      <c r="B6091">
        <v>45</v>
      </c>
      <c r="C6091">
        <v>0</v>
      </c>
      <c r="D6091">
        <v>0</v>
      </c>
      <c r="E6091">
        <v>0</v>
      </c>
      <c r="F6091">
        <v>4400</v>
      </c>
    </row>
    <row r="6092" spans="1:6" x14ac:dyDescent="0.25">
      <c r="A6092">
        <v>6091</v>
      </c>
      <c r="B6092" t="s">
        <v>0</v>
      </c>
      <c r="C6092">
        <v>54</v>
      </c>
      <c r="D6092">
        <v>3484</v>
      </c>
      <c r="E6092">
        <v>80123413</v>
      </c>
    </row>
    <row r="6093" spans="1:6" x14ac:dyDescent="0.25">
      <c r="A6093">
        <v>6092</v>
      </c>
      <c r="B6093">
        <v>46</v>
      </c>
      <c r="C6093">
        <v>0</v>
      </c>
      <c r="D6093">
        <v>0</v>
      </c>
      <c r="E6093">
        <v>0</v>
      </c>
      <c r="F6093">
        <v>0</v>
      </c>
    </row>
    <row r="6094" spans="1:6" x14ac:dyDescent="0.25">
      <c r="A6094">
        <v>6093</v>
      </c>
      <c r="B6094">
        <v>2</v>
      </c>
      <c r="C6094">
        <v>0</v>
      </c>
      <c r="D6094">
        <v>0</v>
      </c>
      <c r="E6094">
        <v>0</v>
      </c>
      <c r="F6094">
        <v>86.552300000000002</v>
      </c>
    </row>
    <row r="6095" spans="1:6" x14ac:dyDescent="0.25">
      <c r="A6095">
        <v>6094</v>
      </c>
      <c r="B6095">
        <v>10</v>
      </c>
      <c r="C6095">
        <v>1</v>
      </c>
      <c r="D6095">
        <v>0</v>
      </c>
      <c r="E6095">
        <v>0</v>
      </c>
      <c r="F6095">
        <v>13800</v>
      </c>
    </row>
    <row r="6096" spans="1:6" x14ac:dyDescent="0.25">
      <c r="A6096">
        <v>6095</v>
      </c>
      <c r="B6096">
        <v>13</v>
      </c>
      <c r="C6096">
        <v>0</v>
      </c>
      <c r="D6096">
        <v>0</v>
      </c>
      <c r="E6096">
        <v>0</v>
      </c>
      <c r="F6096">
        <v>1603</v>
      </c>
    </row>
    <row r="6097" spans="1:6" x14ac:dyDescent="0.25">
      <c r="A6097">
        <v>6096</v>
      </c>
      <c r="B6097">
        <v>41</v>
      </c>
      <c r="C6097">
        <v>0</v>
      </c>
      <c r="D6097">
        <v>0</v>
      </c>
      <c r="E6097">
        <v>0</v>
      </c>
      <c r="F6097">
        <v>1</v>
      </c>
    </row>
    <row r="6098" spans="1:6" x14ac:dyDescent="0.25">
      <c r="A6098">
        <v>6097</v>
      </c>
      <c r="B6098">
        <v>42</v>
      </c>
      <c r="C6098">
        <v>0</v>
      </c>
      <c r="D6098">
        <v>0</v>
      </c>
      <c r="E6098">
        <v>0</v>
      </c>
      <c r="F6098">
        <v>0.2</v>
      </c>
    </row>
    <row r="6099" spans="1:6" x14ac:dyDescent="0.25">
      <c r="A6099">
        <v>6098</v>
      </c>
      <c r="B6099">
        <v>43</v>
      </c>
      <c r="C6099">
        <v>0</v>
      </c>
      <c r="D6099">
        <v>0</v>
      </c>
      <c r="E6099">
        <v>0</v>
      </c>
      <c r="F6099">
        <v>0</v>
      </c>
    </row>
    <row r="6100" spans="1:6" x14ac:dyDescent="0.25">
      <c r="A6100">
        <v>6099</v>
      </c>
      <c r="B6100">
        <v>44</v>
      </c>
      <c r="C6100">
        <v>0</v>
      </c>
      <c r="D6100">
        <v>0</v>
      </c>
      <c r="E6100">
        <v>0</v>
      </c>
      <c r="F6100">
        <v>13.8605</v>
      </c>
    </row>
    <row r="6101" spans="1:6" x14ac:dyDescent="0.25">
      <c r="A6101">
        <v>6100</v>
      </c>
      <c r="B6101">
        <v>45</v>
      </c>
      <c r="C6101">
        <v>0</v>
      </c>
      <c r="D6101">
        <v>0</v>
      </c>
      <c r="E6101">
        <v>0</v>
      </c>
      <c r="F6101">
        <v>4400</v>
      </c>
    </row>
    <row r="6102" spans="1:6" x14ac:dyDescent="0.25">
      <c r="A6102">
        <v>6101</v>
      </c>
      <c r="B6102" t="s">
        <v>0</v>
      </c>
      <c r="C6102">
        <v>56</v>
      </c>
      <c r="D6102">
        <v>3484</v>
      </c>
      <c r="E6102">
        <v>80124028</v>
      </c>
    </row>
    <row r="6103" spans="1:6" x14ac:dyDescent="0.25">
      <c r="A6103">
        <v>6102</v>
      </c>
      <c r="B6103">
        <v>2</v>
      </c>
      <c r="C6103">
        <v>0</v>
      </c>
      <c r="D6103">
        <v>0</v>
      </c>
      <c r="E6103">
        <v>0</v>
      </c>
      <c r="F6103">
        <v>88.647400000000005</v>
      </c>
    </row>
    <row r="6104" spans="1:6" x14ac:dyDescent="0.25">
      <c r="A6104">
        <v>6103</v>
      </c>
      <c r="B6104">
        <v>10</v>
      </c>
      <c r="C6104">
        <v>1</v>
      </c>
      <c r="D6104">
        <v>0</v>
      </c>
      <c r="E6104">
        <v>0</v>
      </c>
      <c r="F6104">
        <v>13474</v>
      </c>
    </row>
    <row r="6105" spans="1:6" x14ac:dyDescent="0.25">
      <c r="A6105">
        <v>6104</v>
      </c>
      <c r="B6105">
        <v>13</v>
      </c>
      <c r="C6105">
        <v>0</v>
      </c>
      <c r="D6105">
        <v>0</v>
      </c>
      <c r="E6105">
        <v>0</v>
      </c>
      <c r="F6105">
        <v>1603</v>
      </c>
    </row>
    <row r="6106" spans="1:6" x14ac:dyDescent="0.25">
      <c r="A6106">
        <v>6105</v>
      </c>
      <c r="B6106">
        <v>41</v>
      </c>
      <c r="C6106">
        <v>0</v>
      </c>
      <c r="D6106">
        <v>0</v>
      </c>
      <c r="E6106">
        <v>0</v>
      </c>
      <c r="F6106">
        <v>1</v>
      </c>
    </row>
    <row r="6107" spans="1:6" x14ac:dyDescent="0.25">
      <c r="A6107">
        <v>6106</v>
      </c>
      <c r="B6107">
        <v>42</v>
      </c>
      <c r="C6107">
        <v>0</v>
      </c>
      <c r="D6107">
        <v>0</v>
      </c>
      <c r="E6107">
        <v>0</v>
      </c>
      <c r="F6107">
        <v>0.2</v>
      </c>
    </row>
    <row r="6108" spans="1:6" x14ac:dyDescent="0.25">
      <c r="A6108">
        <v>6107</v>
      </c>
      <c r="B6108">
        <v>43</v>
      </c>
      <c r="C6108">
        <v>0</v>
      </c>
      <c r="D6108">
        <v>0</v>
      </c>
      <c r="E6108">
        <v>0</v>
      </c>
      <c r="F6108">
        <v>0</v>
      </c>
    </row>
    <row r="6109" spans="1:6" x14ac:dyDescent="0.25">
      <c r="A6109">
        <v>6108</v>
      </c>
      <c r="B6109">
        <v>44</v>
      </c>
      <c r="C6109">
        <v>0</v>
      </c>
      <c r="D6109">
        <v>0</v>
      </c>
      <c r="E6109">
        <v>0</v>
      </c>
      <c r="F6109">
        <v>11.914099999999999</v>
      </c>
    </row>
    <row r="6110" spans="1:6" x14ac:dyDescent="0.25">
      <c r="A6110">
        <v>6109</v>
      </c>
      <c r="B6110">
        <v>45</v>
      </c>
      <c r="C6110">
        <v>0</v>
      </c>
      <c r="D6110">
        <v>0</v>
      </c>
      <c r="E6110">
        <v>0</v>
      </c>
      <c r="F6110">
        <v>4400</v>
      </c>
    </row>
    <row r="6111" spans="1:6" x14ac:dyDescent="0.25">
      <c r="A6111">
        <v>6110</v>
      </c>
      <c r="B6111" t="s">
        <v>0</v>
      </c>
      <c r="C6111">
        <v>58</v>
      </c>
      <c r="D6111">
        <v>3484</v>
      </c>
      <c r="E6111">
        <v>80124631</v>
      </c>
    </row>
    <row r="6112" spans="1:6" x14ac:dyDescent="0.25">
      <c r="A6112">
        <v>6111</v>
      </c>
      <c r="B6112">
        <v>2</v>
      </c>
      <c r="C6112">
        <v>0</v>
      </c>
      <c r="D6112">
        <v>0</v>
      </c>
      <c r="E6112">
        <v>0</v>
      </c>
      <c r="F6112">
        <v>90.7453</v>
      </c>
    </row>
    <row r="6113" spans="1:6" x14ac:dyDescent="0.25">
      <c r="A6113">
        <v>6112</v>
      </c>
      <c r="B6113">
        <v>10</v>
      </c>
      <c r="C6113">
        <v>1</v>
      </c>
      <c r="D6113">
        <v>0</v>
      </c>
      <c r="E6113">
        <v>0</v>
      </c>
      <c r="F6113">
        <v>13162</v>
      </c>
    </row>
    <row r="6114" spans="1:6" x14ac:dyDescent="0.25">
      <c r="A6114">
        <v>6113</v>
      </c>
      <c r="B6114">
        <v>13</v>
      </c>
      <c r="C6114">
        <v>0</v>
      </c>
      <c r="D6114">
        <v>0</v>
      </c>
      <c r="E6114">
        <v>0</v>
      </c>
      <c r="F6114">
        <v>1603</v>
      </c>
    </row>
    <row r="6115" spans="1:6" x14ac:dyDescent="0.25">
      <c r="A6115">
        <v>6114</v>
      </c>
      <c r="B6115">
        <v>41</v>
      </c>
      <c r="C6115">
        <v>0</v>
      </c>
      <c r="D6115">
        <v>0</v>
      </c>
      <c r="E6115">
        <v>0</v>
      </c>
      <c r="F6115">
        <v>1</v>
      </c>
    </row>
    <row r="6116" spans="1:6" x14ac:dyDescent="0.25">
      <c r="A6116">
        <v>6115</v>
      </c>
      <c r="B6116" t="s">
        <v>0</v>
      </c>
      <c r="C6116">
        <v>59</v>
      </c>
      <c r="D6116">
        <v>3484</v>
      </c>
      <c r="E6116">
        <v>80124929</v>
      </c>
    </row>
    <row r="6117" spans="1:6" x14ac:dyDescent="0.25">
      <c r="A6117">
        <v>6116</v>
      </c>
      <c r="B6117">
        <v>42</v>
      </c>
      <c r="C6117">
        <v>0</v>
      </c>
      <c r="D6117">
        <v>0</v>
      </c>
      <c r="E6117">
        <v>0</v>
      </c>
      <c r="F6117">
        <v>0.2</v>
      </c>
    </row>
    <row r="6118" spans="1:6" x14ac:dyDescent="0.25">
      <c r="A6118">
        <v>6117</v>
      </c>
      <c r="B6118">
        <v>43</v>
      </c>
      <c r="C6118">
        <v>0</v>
      </c>
      <c r="D6118">
        <v>0</v>
      </c>
      <c r="E6118">
        <v>0</v>
      </c>
      <c r="F6118">
        <v>0</v>
      </c>
    </row>
    <row r="6119" spans="1:6" x14ac:dyDescent="0.25">
      <c r="A6119">
        <v>6118</v>
      </c>
      <c r="B6119">
        <v>44</v>
      </c>
      <c r="C6119">
        <v>0</v>
      </c>
      <c r="D6119">
        <v>0</v>
      </c>
      <c r="E6119">
        <v>0</v>
      </c>
      <c r="F6119">
        <v>9.9635200000000008</v>
      </c>
    </row>
    <row r="6120" spans="1:6" x14ac:dyDescent="0.25">
      <c r="A6120">
        <v>6119</v>
      </c>
      <c r="B6120">
        <v>45</v>
      </c>
      <c r="C6120">
        <v>0</v>
      </c>
      <c r="D6120">
        <v>0</v>
      </c>
      <c r="E6120">
        <v>0</v>
      </c>
      <c r="F6120">
        <v>4400</v>
      </c>
    </row>
    <row r="6121" spans="1:6" x14ac:dyDescent="0.25">
      <c r="A6121">
        <v>6120</v>
      </c>
      <c r="B6121" t="s">
        <v>0</v>
      </c>
      <c r="C6121">
        <v>60</v>
      </c>
      <c r="D6121">
        <v>3484</v>
      </c>
      <c r="E6121">
        <v>80125224</v>
      </c>
    </row>
    <row r="6122" spans="1:6" x14ac:dyDescent="0.25">
      <c r="A6122">
        <v>6121</v>
      </c>
      <c r="B6122">
        <v>2</v>
      </c>
      <c r="C6122">
        <v>0</v>
      </c>
      <c r="D6122">
        <v>0</v>
      </c>
      <c r="E6122">
        <v>0</v>
      </c>
      <c r="F6122">
        <v>92.850399999999993</v>
      </c>
    </row>
    <row r="6123" spans="1:6" x14ac:dyDescent="0.25">
      <c r="A6123">
        <v>6122</v>
      </c>
      <c r="B6123">
        <v>10</v>
      </c>
      <c r="C6123">
        <v>1</v>
      </c>
      <c r="D6123">
        <v>0</v>
      </c>
      <c r="E6123">
        <v>0</v>
      </c>
      <c r="F6123">
        <v>12864</v>
      </c>
    </row>
    <row r="6124" spans="1:6" x14ac:dyDescent="0.25">
      <c r="A6124">
        <v>6123</v>
      </c>
      <c r="B6124">
        <v>13</v>
      </c>
      <c r="C6124">
        <v>0</v>
      </c>
      <c r="D6124">
        <v>0</v>
      </c>
      <c r="E6124">
        <v>0</v>
      </c>
      <c r="F6124">
        <v>1603</v>
      </c>
    </row>
    <row r="6125" spans="1:6" x14ac:dyDescent="0.25">
      <c r="A6125">
        <v>6124</v>
      </c>
      <c r="B6125">
        <v>41</v>
      </c>
      <c r="C6125">
        <v>0</v>
      </c>
      <c r="D6125">
        <v>0</v>
      </c>
      <c r="E6125">
        <v>0</v>
      </c>
      <c r="F6125">
        <v>1</v>
      </c>
    </row>
    <row r="6126" spans="1:6" x14ac:dyDescent="0.25">
      <c r="A6126">
        <v>6125</v>
      </c>
      <c r="B6126">
        <v>42</v>
      </c>
      <c r="C6126">
        <v>0</v>
      </c>
      <c r="D6126">
        <v>0</v>
      </c>
      <c r="E6126">
        <v>0</v>
      </c>
      <c r="F6126">
        <v>0.2</v>
      </c>
    </row>
    <row r="6127" spans="1:6" x14ac:dyDescent="0.25">
      <c r="A6127">
        <v>6126</v>
      </c>
      <c r="B6127">
        <v>43</v>
      </c>
      <c r="C6127">
        <v>0</v>
      </c>
      <c r="D6127">
        <v>0</v>
      </c>
      <c r="E6127">
        <v>0</v>
      </c>
      <c r="F6127">
        <v>0</v>
      </c>
    </row>
    <row r="6128" spans="1:6" x14ac:dyDescent="0.25">
      <c r="A6128">
        <v>6127</v>
      </c>
      <c r="B6128">
        <v>44</v>
      </c>
      <c r="C6128">
        <v>0</v>
      </c>
      <c r="D6128">
        <v>0</v>
      </c>
      <c r="E6128">
        <v>0</v>
      </c>
      <c r="F6128">
        <v>8.0019500000000008</v>
      </c>
    </row>
    <row r="6129" spans="1:6" x14ac:dyDescent="0.25">
      <c r="A6129">
        <v>6128</v>
      </c>
      <c r="B6129">
        <v>45</v>
      </c>
      <c r="C6129">
        <v>0</v>
      </c>
      <c r="D6129">
        <v>0</v>
      </c>
      <c r="E6129">
        <v>0</v>
      </c>
      <c r="F6129">
        <v>4400</v>
      </c>
    </row>
    <row r="6130" spans="1:6" x14ac:dyDescent="0.25">
      <c r="A6130">
        <v>6129</v>
      </c>
      <c r="B6130" t="s">
        <v>0</v>
      </c>
      <c r="C6130">
        <v>62</v>
      </c>
      <c r="D6130">
        <v>3484</v>
      </c>
      <c r="E6130">
        <v>80125805</v>
      </c>
    </row>
    <row r="6131" spans="1:6" x14ac:dyDescent="0.25">
      <c r="A6131">
        <v>6130</v>
      </c>
      <c r="B6131">
        <v>2</v>
      </c>
      <c r="C6131">
        <v>0</v>
      </c>
      <c r="D6131">
        <v>0</v>
      </c>
      <c r="E6131">
        <v>0</v>
      </c>
      <c r="F6131">
        <v>94.968500000000006</v>
      </c>
    </row>
    <row r="6132" spans="1:6" x14ac:dyDescent="0.25">
      <c r="A6132">
        <v>6131</v>
      </c>
      <c r="B6132">
        <v>10</v>
      </c>
      <c r="C6132">
        <v>1</v>
      </c>
      <c r="D6132">
        <v>0</v>
      </c>
      <c r="E6132">
        <v>0</v>
      </c>
      <c r="F6132">
        <v>12577</v>
      </c>
    </row>
    <row r="6133" spans="1:6" x14ac:dyDescent="0.25">
      <c r="A6133">
        <v>6132</v>
      </c>
      <c r="B6133">
        <v>13</v>
      </c>
      <c r="C6133">
        <v>0</v>
      </c>
      <c r="D6133">
        <v>0</v>
      </c>
      <c r="E6133">
        <v>0</v>
      </c>
      <c r="F6133">
        <v>1603</v>
      </c>
    </row>
    <row r="6134" spans="1:6" x14ac:dyDescent="0.25">
      <c r="A6134">
        <v>6133</v>
      </c>
      <c r="B6134" t="s">
        <v>0</v>
      </c>
      <c r="C6134">
        <v>63</v>
      </c>
      <c r="D6134">
        <v>3484</v>
      </c>
      <c r="E6134">
        <v>80126092</v>
      </c>
    </row>
    <row r="6135" spans="1:6" x14ac:dyDescent="0.25">
      <c r="A6135">
        <v>6134</v>
      </c>
      <c r="B6135">
        <v>42</v>
      </c>
      <c r="C6135">
        <v>0</v>
      </c>
      <c r="D6135">
        <v>0</v>
      </c>
      <c r="E6135">
        <v>0</v>
      </c>
      <c r="F6135">
        <v>0.2</v>
      </c>
    </row>
    <row r="6136" spans="1:6" x14ac:dyDescent="0.25">
      <c r="A6136">
        <v>6135</v>
      </c>
      <c r="B6136">
        <v>43</v>
      </c>
      <c r="C6136">
        <v>0</v>
      </c>
      <c r="D6136">
        <v>0</v>
      </c>
      <c r="E6136">
        <v>0</v>
      </c>
      <c r="F6136">
        <v>0</v>
      </c>
    </row>
    <row r="6137" spans="1:6" x14ac:dyDescent="0.25">
      <c r="A6137">
        <v>6136</v>
      </c>
      <c r="B6137">
        <v>44</v>
      </c>
      <c r="C6137">
        <v>0</v>
      </c>
      <c r="D6137">
        <v>0</v>
      </c>
      <c r="E6137">
        <v>0</v>
      </c>
      <c r="F6137">
        <v>6.0034099999999997</v>
      </c>
    </row>
    <row r="6138" spans="1:6" x14ac:dyDescent="0.25">
      <c r="A6138">
        <v>6137</v>
      </c>
      <c r="B6138">
        <v>45</v>
      </c>
      <c r="C6138">
        <v>0</v>
      </c>
      <c r="D6138">
        <v>0</v>
      </c>
      <c r="E6138">
        <v>0</v>
      </c>
      <c r="F6138">
        <v>4400</v>
      </c>
    </row>
    <row r="6139" spans="1:6" x14ac:dyDescent="0.25">
      <c r="A6139">
        <v>6138</v>
      </c>
      <c r="B6139">
        <v>46</v>
      </c>
      <c r="C6139">
        <v>0</v>
      </c>
      <c r="D6139">
        <v>0</v>
      </c>
      <c r="E6139">
        <v>0</v>
      </c>
      <c r="F6139">
        <v>0</v>
      </c>
    </row>
    <row r="6140" spans="1:6" x14ac:dyDescent="0.25">
      <c r="A6140">
        <v>6139</v>
      </c>
      <c r="B6140">
        <v>2</v>
      </c>
      <c r="C6140">
        <v>0</v>
      </c>
      <c r="D6140">
        <v>0</v>
      </c>
      <c r="E6140">
        <v>0</v>
      </c>
      <c r="F6140">
        <v>97.091099999999997</v>
      </c>
    </row>
    <row r="6141" spans="1:6" x14ac:dyDescent="0.25">
      <c r="A6141">
        <v>6140</v>
      </c>
      <c r="B6141">
        <v>10</v>
      </c>
      <c r="C6141">
        <v>1</v>
      </c>
      <c r="D6141">
        <v>0</v>
      </c>
      <c r="E6141">
        <v>0</v>
      </c>
      <c r="F6141">
        <v>12302</v>
      </c>
    </row>
    <row r="6142" spans="1:6" x14ac:dyDescent="0.25">
      <c r="A6142">
        <v>6141</v>
      </c>
      <c r="B6142">
        <v>13</v>
      </c>
      <c r="C6142">
        <v>0</v>
      </c>
      <c r="D6142">
        <v>0</v>
      </c>
      <c r="E6142">
        <v>0</v>
      </c>
      <c r="F6142">
        <v>1603</v>
      </c>
    </row>
    <row r="6143" spans="1:6" x14ac:dyDescent="0.25">
      <c r="A6143">
        <v>6142</v>
      </c>
      <c r="B6143" t="s">
        <v>0</v>
      </c>
      <c r="C6143">
        <v>65</v>
      </c>
      <c r="D6143">
        <v>3484</v>
      </c>
      <c r="E6143">
        <v>80126657</v>
      </c>
    </row>
    <row r="6144" spans="1:6" x14ac:dyDescent="0.25">
      <c r="A6144">
        <v>6143</v>
      </c>
      <c r="B6144">
        <v>41</v>
      </c>
      <c r="C6144">
        <v>0</v>
      </c>
      <c r="D6144">
        <v>0</v>
      </c>
      <c r="E6144">
        <v>0</v>
      </c>
      <c r="F6144">
        <v>1</v>
      </c>
    </row>
    <row r="6145" spans="1:6" x14ac:dyDescent="0.25">
      <c r="A6145">
        <v>6144</v>
      </c>
      <c r="B6145">
        <v>42</v>
      </c>
      <c r="C6145">
        <v>0</v>
      </c>
      <c r="D6145">
        <v>0</v>
      </c>
      <c r="E6145">
        <v>0</v>
      </c>
      <c r="F6145">
        <v>0.2</v>
      </c>
    </row>
    <row r="6146" spans="1:6" x14ac:dyDescent="0.25">
      <c r="A6146">
        <v>6145</v>
      </c>
      <c r="B6146">
        <v>43</v>
      </c>
      <c r="C6146">
        <v>0</v>
      </c>
      <c r="D6146">
        <v>0</v>
      </c>
      <c r="E6146">
        <v>0</v>
      </c>
      <c r="F6146">
        <v>0</v>
      </c>
    </row>
    <row r="6147" spans="1:6" x14ac:dyDescent="0.25">
      <c r="A6147">
        <v>6146</v>
      </c>
      <c r="B6147">
        <v>44</v>
      </c>
      <c r="C6147">
        <v>0</v>
      </c>
      <c r="D6147">
        <v>0</v>
      </c>
      <c r="E6147">
        <v>0</v>
      </c>
      <c r="F6147">
        <v>4.0317299999999996</v>
      </c>
    </row>
    <row r="6148" spans="1:6" x14ac:dyDescent="0.25">
      <c r="A6148">
        <v>6147</v>
      </c>
      <c r="B6148" t="s">
        <v>0</v>
      </c>
      <c r="C6148">
        <v>66</v>
      </c>
      <c r="D6148">
        <v>3484</v>
      </c>
      <c r="E6148">
        <v>80126936</v>
      </c>
    </row>
    <row r="6149" spans="1:6" x14ac:dyDescent="0.25">
      <c r="A6149">
        <v>6148</v>
      </c>
      <c r="B6149">
        <v>46</v>
      </c>
      <c r="C6149">
        <v>0</v>
      </c>
      <c r="D6149">
        <v>0</v>
      </c>
      <c r="E6149">
        <v>0</v>
      </c>
      <c r="F6149">
        <v>0</v>
      </c>
    </row>
    <row r="6150" spans="1:6" x14ac:dyDescent="0.25">
      <c r="A6150">
        <v>6149</v>
      </c>
      <c r="B6150">
        <v>2</v>
      </c>
      <c r="C6150">
        <v>0</v>
      </c>
      <c r="D6150">
        <v>0</v>
      </c>
      <c r="E6150">
        <v>0</v>
      </c>
      <c r="F6150">
        <v>99.220200000000006</v>
      </c>
    </row>
    <row r="6151" spans="1:6" x14ac:dyDescent="0.25">
      <c r="A6151">
        <v>6150</v>
      </c>
      <c r="B6151">
        <v>10</v>
      </c>
      <c r="C6151">
        <v>1</v>
      </c>
      <c r="D6151">
        <v>0</v>
      </c>
      <c r="E6151">
        <v>0</v>
      </c>
      <c r="F6151">
        <v>12038</v>
      </c>
    </row>
    <row r="6152" spans="1:6" x14ac:dyDescent="0.25">
      <c r="A6152">
        <v>6151</v>
      </c>
      <c r="B6152" t="s">
        <v>0</v>
      </c>
      <c r="C6152">
        <v>67</v>
      </c>
      <c r="D6152">
        <v>3484</v>
      </c>
      <c r="E6152">
        <v>80127212</v>
      </c>
    </row>
    <row r="6153" spans="1:6" x14ac:dyDescent="0.25">
      <c r="A6153">
        <v>6152</v>
      </c>
      <c r="B6153">
        <v>13</v>
      </c>
      <c r="C6153">
        <v>0</v>
      </c>
      <c r="D6153">
        <v>0</v>
      </c>
      <c r="E6153">
        <v>0</v>
      </c>
      <c r="F6153">
        <v>1603</v>
      </c>
    </row>
    <row r="6154" spans="1:6" x14ac:dyDescent="0.25">
      <c r="A6154">
        <v>6153</v>
      </c>
      <c r="B6154">
        <v>41</v>
      </c>
      <c r="C6154">
        <v>0</v>
      </c>
      <c r="D6154">
        <v>0</v>
      </c>
      <c r="E6154">
        <v>0</v>
      </c>
      <c r="F6154">
        <v>1</v>
      </c>
    </row>
    <row r="6155" spans="1:6" x14ac:dyDescent="0.25">
      <c r="A6155">
        <v>6154</v>
      </c>
      <c r="B6155">
        <v>42</v>
      </c>
      <c r="C6155">
        <v>0</v>
      </c>
      <c r="D6155">
        <v>0</v>
      </c>
      <c r="E6155">
        <v>0</v>
      </c>
      <c r="F6155">
        <v>0.2</v>
      </c>
    </row>
    <row r="6156" spans="1:6" x14ac:dyDescent="0.25">
      <c r="A6156">
        <v>6155</v>
      </c>
      <c r="B6156">
        <v>43</v>
      </c>
      <c r="C6156">
        <v>0</v>
      </c>
      <c r="D6156">
        <v>0</v>
      </c>
      <c r="E6156">
        <v>0</v>
      </c>
      <c r="F6156">
        <v>0</v>
      </c>
    </row>
    <row r="6157" spans="1:6" x14ac:dyDescent="0.25">
      <c r="A6157">
        <v>6156</v>
      </c>
      <c r="B6157">
        <v>44</v>
      </c>
      <c r="C6157">
        <v>0</v>
      </c>
      <c r="D6157">
        <v>0</v>
      </c>
      <c r="E6157">
        <v>0</v>
      </c>
      <c r="F6157">
        <v>1.0374300000000001</v>
      </c>
    </row>
    <row r="6158" spans="1:6" x14ac:dyDescent="0.25">
      <c r="A6158">
        <v>6157</v>
      </c>
      <c r="B6158">
        <v>45</v>
      </c>
      <c r="C6158">
        <v>0</v>
      </c>
      <c r="D6158">
        <v>0</v>
      </c>
      <c r="E6158">
        <v>0</v>
      </c>
      <c r="F6158">
        <v>4400</v>
      </c>
    </row>
    <row r="6159" spans="1:6" x14ac:dyDescent="0.25">
      <c r="A6159">
        <v>6158</v>
      </c>
      <c r="B6159">
        <v>46</v>
      </c>
      <c r="C6159">
        <v>0</v>
      </c>
      <c r="D6159">
        <v>0</v>
      </c>
      <c r="E6159">
        <v>0</v>
      </c>
      <c r="F6159">
        <v>0</v>
      </c>
    </row>
    <row r="6160" spans="1:6" x14ac:dyDescent="0.25">
      <c r="A6160">
        <v>6159</v>
      </c>
      <c r="B6160">
        <v>2</v>
      </c>
      <c r="C6160">
        <v>0</v>
      </c>
      <c r="D6160">
        <v>0</v>
      </c>
      <c r="E6160">
        <v>0</v>
      </c>
      <c r="F6160">
        <v>101.348</v>
      </c>
    </row>
    <row r="6161" spans="1:6" x14ac:dyDescent="0.25">
      <c r="A6161">
        <v>6160</v>
      </c>
      <c r="B6161">
        <v>10</v>
      </c>
      <c r="C6161">
        <v>1</v>
      </c>
      <c r="D6161">
        <v>0</v>
      </c>
      <c r="E6161">
        <v>0</v>
      </c>
      <c r="F6161">
        <v>11785</v>
      </c>
    </row>
    <row r="6162" spans="1:6" x14ac:dyDescent="0.25">
      <c r="A6162">
        <v>6161</v>
      </c>
      <c r="B6162">
        <v>13</v>
      </c>
      <c r="C6162">
        <v>0</v>
      </c>
      <c r="D6162">
        <v>0</v>
      </c>
      <c r="E6162">
        <v>0</v>
      </c>
      <c r="F6162">
        <v>1603</v>
      </c>
    </row>
    <row r="6163" spans="1:6" x14ac:dyDescent="0.25">
      <c r="A6163">
        <v>6162</v>
      </c>
      <c r="B6163">
        <v>41</v>
      </c>
      <c r="C6163">
        <v>0</v>
      </c>
      <c r="D6163">
        <v>0</v>
      </c>
      <c r="E6163">
        <v>0</v>
      </c>
      <c r="F6163">
        <v>1</v>
      </c>
    </row>
    <row r="6164" spans="1:6" x14ac:dyDescent="0.25">
      <c r="A6164">
        <v>6163</v>
      </c>
      <c r="B6164">
        <v>42</v>
      </c>
      <c r="C6164">
        <v>0</v>
      </c>
      <c r="D6164">
        <v>0</v>
      </c>
      <c r="E6164">
        <v>0</v>
      </c>
      <c r="F6164">
        <v>0.2</v>
      </c>
    </row>
    <row r="6165" spans="1:6" x14ac:dyDescent="0.25">
      <c r="A6165">
        <v>6164</v>
      </c>
      <c r="B6165">
        <v>43</v>
      </c>
      <c r="C6165">
        <v>0</v>
      </c>
      <c r="D6165">
        <v>0</v>
      </c>
      <c r="E6165">
        <v>0</v>
      </c>
      <c r="F6165">
        <v>0</v>
      </c>
    </row>
    <row r="6166" spans="1:6" x14ac:dyDescent="0.25">
      <c r="A6166">
        <v>6165</v>
      </c>
      <c r="B6166">
        <v>44</v>
      </c>
      <c r="C6166">
        <v>0</v>
      </c>
      <c r="D6166">
        <v>0</v>
      </c>
      <c r="E6166">
        <v>0</v>
      </c>
      <c r="F6166">
        <v>-0.94342800000000004</v>
      </c>
    </row>
    <row r="6167" spans="1:6" x14ac:dyDescent="0.25">
      <c r="A6167">
        <v>6166</v>
      </c>
      <c r="B6167">
        <v>45</v>
      </c>
      <c r="C6167">
        <v>0</v>
      </c>
      <c r="D6167">
        <v>0</v>
      </c>
      <c r="E6167">
        <v>0</v>
      </c>
      <c r="F6167">
        <v>4400</v>
      </c>
    </row>
    <row r="6168" spans="1:6" x14ac:dyDescent="0.25">
      <c r="A6168">
        <v>6167</v>
      </c>
      <c r="B6168">
        <v>46</v>
      </c>
      <c r="C6168">
        <v>0</v>
      </c>
      <c r="D6168">
        <v>0</v>
      </c>
      <c r="E6168">
        <v>0</v>
      </c>
      <c r="F6168">
        <v>0</v>
      </c>
    </row>
    <row r="6169" spans="1:6" x14ac:dyDescent="0.25">
      <c r="A6169">
        <v>6168</v>
      </c>
      <c r="B6169" t="s">
        <v>0</v>
      </c>
      <c r="C6169">
        <v>71</v>
      </c>
      <c r="D6169">
        <v>3484</v>
      </c>
      <c r="E6169">
        <v>80128291</v>
      </c>
    </row>
    <row r="6170" spans="1:6" x14ac:dyDescent="0.25">
      <c r="A6170">
        <v>6169</v>
      </c>
      <c r="B6170">
        <v>2</v>
      </c>
      <c r="C6170">
        <v>0</v>
      </c>
      <c r="D6170">
        <v>0</v>
      </c>
      <c r="E6170">
        <v>0</v>
      </c>
      <c r="F6170">
        <v>104.548</v>
      </c>
    </row>
    <row r="6171" spans="1:6" x14ac:dyDescent="0.25">
      <c r="A6171">
        <v>6170</v>
      </c>
      <c r="B6171">
        <v>10</v>
      </c>
      <c r="C6171">
        <v>1</v>
      </c>
      <c r="D6171">
        <v>0</v>
      </c>
      <c r="E6171">
        <v>0</v>
      </c>
      <c r="F6171">
        <v>11424</v>
      </c>
    </row>
    <row r="6172" spans="1:6" x14ac:dyDescent="0.25">
      <c r="A6172">
        <v>6171</v>
      </c>
      <c r="B6172">
        <v>13</v>
      </c>
      <c r="C6172">
        <v>0</v>
      </c>
      <c r="D6172">
        <v>0</v>
      </c>
      <c r="E6172">
        <v>0</v>
      </c>
      <c r="F6172">
        <v>1603</v>
      </c>
    </row>
    <row r="6173" spans="1:6" x14ac:dyDescent="0.25">
      <c r="A6173">
        <v>6172</v>
      </c>
      <c r="B6173">
        <v>41</v>
      </c>
      <c r="C6173">
        <v>0</v>
      </c>
      <c r="D6173">
        <v>0</v>
      </c>
      <c r="E6173">
        <v>0</v>
      </c>
      <c r="F6173">
        <v>1</v>
      </c>
    </row>
    <row r="6174" spans="1:6" x14ac:dyDescent="0.25">
      <c r="A6174">
        <v>6173</v>
      </c>
      <c r="B6174" t="s">
        <v>0</v>
      </c>
      <c r="C6174">
        <v>72</v>
      </c>
      <c r="D6174">
        <v>3484</v>
      </c>
      <c r="E6174">
        <v>80128555</v>
      </c>
    </row>
    <row r="6175" spans="1:6" x14ac:dyDescent="0.25">
      <c r="A6175">
        <v>6174</v>
      </c>
      <c r="B6175">
        <v>42</v>
      </c>
      <c r="C6175">
        <v>0</v>
      </c>
      <c r="D6175">
        <v>0</v>
      </c>
      <c r="E6175">
        <v>0</v>
      </c>
      <c r="F6175">
        <v>0.2</v>
      </c>
    </row>
    <row r="6176" spans="1:6" x14ac:dyDescent="0.25">
      <c r="A6176">
        <v>6175</v>
      </c>
      <c r="B6176">
        <v>43</v>
      </c>
      <c r="C6176">
        <v>0</v>
      </c>
      <c r="D6176">
        <v>0</v>
      </c>
      <c r="E6176">
        <v>0</v>
      </c>
      <c r="F6176">
        <v>0</v>
      </c>
    </row>
    <row r="6177" spans="1:6" x14ac:dyDescent="0.25">
      <c r="A6177">
        <v>6176</v>
      </c>
      <c r="B6177">
        <v>44</v>
      </c>
      <c r="C6177">
        <v>0</v>
      </c>
      <c r="D6177">
        <v>0</v>
      </c>
      <c r="E6177">
        <v>0</v>
      </c>
      <c r="F6177">
        <v>-2.95547</v>
      </c>
    </row>
    <row r="6178" spans="1:6" x14ac:dyDescent="0.25">
      <c r="A6178">
        <v>6177</v>
      </c>
      <c r="B6178">
        <v>45</v>
      </c>
      <c r="C6178">
        <v>0</v>
      </c>
      <c r="D6178">
        <v>0</v>
      </c>
      <c r="E6178">
        <v>0</v>
      </c>
      <c r="F6178">
        <v>4400</v>
      </c>
    </row>
    <row r="6179" spans="1:6" x14ac:dyDescent="0.25">
      <c r="A6179">
        <v>6178</v>
      </c>
      <c r="B6179" t="s">
        <v>0</v>
      </c>
      <c r="C6179">
        <v>73</v>
      </c>
      <c r="D6179">
        <v>3484</v>
      </c>
      <c r="E6179">
        <v>80128817</v>
      </c>
    </row>
    <row r="6180" spans="1:6" x14ac:dyDescent="0.25">
      <c r="A6180">
        <v>6179</v>
      </c>
      <c r="B6180">
        <v>46</v>
      </c>
      <c r="C6180">
        <v>0</v>
      </c>
      <c r="D6180">
        <v>0</v>
      </c>
      <c r="E6180">
        <v>0</v>
      </c>
      <c r="F6180">
        <v>0</v>
      </c>
    </row>
    <row r="6181" spans="1:6" x14ac:dyDescent="0.25">
      <c r="A6181">
        <v>6180</v>
      </c>
      <c r="B6181">
        <v>2</v>
      </c>
      <c r="C6181">
        <v>0</v>
      </c>
      <c r="D6181">
        <v>0</v>
      </c>
      <c r="E6181">
        <v>0</v>
      </c>
      <c r="F6181">
        <v>106.685</v>
      </c>
    </row>
    <row r="6182" spans="1:6" x14ac:dyDescent="0.25">
      <c r="A6182">
        <v>6181</v>
      </c>
      <c r="B6182">
        <v>10</v>
      </c>
      <c r="C6182">
        <v>1</v>
      </c>
      <c r="D6182">
        <v>0</v>
      </c>
      <c r="E6182">
        <v>0</v>
      </c>
      <c r="F6182">
        <v>11196</v>
      </c>
    </row>
    <row r="6183" spans="1:6" x14ac:dyDescent="0.25">
      <c r="A6183">
        <v>6182</v>
      </c>
      <c r="B6183">
        <v>13</v>
      </c>
      <c r="C6183">
        <v>0</v>
      </c>
      <c r="D6183">
        <v>0</v>
      </c>
      <c r="E6183">
        <v>0</v>
      </c>
      <c r="F6183">
        <v>1603</v>
      </c>
    </row>
    <row r="6184" spans="1:6" x14ac:dyDescent="0.25">
      <c r="A6184">
        <v>6183</v>
      </c>
      <c r="B6184">
        <v>41</v>
      </c>
      <c r="C6184">
        <v>0</v>
      </c>
      <c r="D6184">
        <v>0</v>
      </c>
      <c r="E6184">
        <v>0</v>
      </c>
      <c r="F6184">
        <v>1</v>
      </c>
    </row>
    <row r="6185" spans="1:6" x14ac:dyDescent="0.25">
      <c r="A6185">
        <v>6184</v>
      </c>
      <c r="B6185">
        <v>42</v>
      </c>
      <c r="C6185">
        <v>0</v>
      </c>
      <c r="D6185">
        <v>0</v>
      </c>
      <c r="E6185">
        <v>0</v>
      </c>
      <c r="F6185">
        <v>0.2</v>
      </c>
    </row>
    <row r="6186" spans="1:6" x14ac:dyDescent="0.25">
      <c r="A6186">
        <v>6185</v>
      </c>
      <c r="B6186">
        <v>43</v>
      </c>
      <c r="C6186">
        <v>0</v>
      </c>
      <c r="D6186">
        <v>0</v>
      </c>
      <c r="E6186">
        <v>0</v>
      </c>
      <c r="F6186">
        <v>0</v>
      </c>
    </row>
    <row r="6187" spans="1:6" x14ac:dyDescent="0.25">
      <c r="A6187">
        <v>6186</v>
      </c>
      <c r="B6187">
        <v>44</v>
      </c>
      <c r="C6187">
        <v>0</v>
      </c>
      <c r="D6187">
        <v>0</v>
      </c>
      <c r="E6187">
        <v>0</v>
      </c>
      <c r="F6187">
        <v>-4.96882</v>
      </c>
    </row>
    <row r="6188" spans="1:6" x14ac:dyDescent="0.25">
      <c r="A6188">
        <v>6187</v>
      </c>
      <c r="B6188">
        <v>45</v>
      </c>
      <c r="C6188">
        <v>0</v>
      </c>
      <c r="D6188">
        <v>0</v>
      </c>
      <c r="E6188">
        <v>0</v>
      </c>
      <c r="F6188">
        <v>4399.99</v>
      </c>
    </row>
    <row r="6189" spans="1:6" x14ac:dyDescent="0.25">
      <c r="A6189">
        <v>6188</v>
      </c>
      <c r="B6189">
        <v>46</v>
      </c>
      <c r="C6189">
        <v>0</v>
      </c>
      <c r="D6189">
        <v>0</v>
      </c>
      <c r="E6189">
        <v>0</v>
      </c>
      <c r="F6189">
        <v>0</v>
      </c>
    </row>
    <row r="6190" spans="1:6" x14ac:dyDescent="0.25">
      <c r="A6190">
        <v>6189</v>
      </c>
      <c r="B6190">
        <v>2</v>
      </c>
      <c r="C6190">
        <v>0</v>
      </c>
      <c r="D6190">
        <v>0</v>
      </c>
      <c r="E6190">
        <v>0</v>
      </c>
      <c r="F6190">
        <v>108.82</v>
      </c>
    </row>
    <row r="6191" spans="1:6" x14ac:dyDescent="0.25">
      <c r="A6191">
        <v>6190</v>
      </c>
      <c r="B6191">
        <v>10</v>
      </c>
      <c r="C6191">
        <v>1</v>
      </c>
      <c r="D6191">
        <v>0</v>
      </c>
      <c r="E6191">
        <v>0</v>
      </c>
      <c r="F6191">
        <v>10976</v>
      </c>
    </row>
    <row r="6192" spans="1:6" x14ac:dyDescent="0.25">
      <c r="A6192">
        <v>6191</v>
      </c>
      <c r="B6192">
        <v>13</v>
      </c>
      <c r="C6192">
        <v>0</v>
      </c>
      <c r="D6192">
        <v>0</v>
      </c>
      <c r="E6192">
        <v>0</v>
      </c>
      <c r="F6192">
        <v>1603</v>
      </c>
    </row>
    <row r="6193" spans="1:6" x14ac:dyDescent="0.25">
      <c r="A6193">
        <v>6192</v>
      </c>
      <c r="B6193">
        <v>41</v>
      </c>
      <c r="C6193">
        <v>0</v>
      </c>
      <c r="D6193">
        <v>0</v>
      </c>
      <c r="E6193">
        <v>0</v>
      </c>
      <c r="F6193">
        <v>1</v>
      </c>
    </row>
    <row r="6194" spans="1:6" x14ac:dyDescent="0.25">
      <c r="A6194">
        <v>6193</v>
      </c>
      <c r="B6194">
        <v>42</v>
      </c>
      <c r="C6194">
        <v>0</v>
      </c>
      <c r="D6194">
        <v>0</v>
      </c>
      <c r="E6194">
        <v>0</v>
      </c>
      <c r="F6194">
        <v>0.2</v>
      </c>
    </row>
    <row r="6195" spans="1:6" x14ac:dyDescent="0.25">
      <c r="A6195">
        <v>6194</v>
      </c>
      <c r="B6195" t="s">
        <v>0</v>
      </c>
      <c r="C6195">
        <v>77</v>
      </c>
      <c r="D6195">
        <v>3484</v>
      </c>
      <c r="E6195">
        <v>80129842</v>
      </c>
    </row>
    <row r="6196" spans="1:6" x14ac:dyDescent="0.25">
      <c r="A6196">
        <v>6195</v>
      </c>
      <c r="B6196">
        <v>44</v>
      </c>
      <c r="C6196">
        <v>0</v>
      </c>
      <c r="D6196">
        <v>0</v>
      </c>
      <c r="E6196">
        <v>0</v>
      </c>
      <c r="F6196">
        <v>-7.9772100000000004</v>
      </c>
    </row>
    <row r="6197" spans="1:6" x14ac:dyDescent="0.25">
      <c r="A6197">
        <v>6196</v>
      </c>
      <c r="B6197">
        <v>45</v>
      </c>
      <c r="C6197">
        <v>0</v>
      </c>
      <c r="D6197">
        <v>0</v>
      </c>
      <c r="E6197">
        <v>0</v>
      </c>
      <c r="F6197">
        <v>4399.99</v>
      </c>
    </row>
    <row r="6198" spans="1:6" x14ac:dyDescent="0.25">
      <c r="A6198">
        <v>6197</v>
      </c>
      <c r="B6198">
        <v>46</v>
      </c>
      <c r="C6198">
        <v>0</v>
      </c>
      <c r="D6198">
        <v>0</v>
      </c>
      <c r="E6198">
        <v>0</v>
      </c>
      <c r="F6198">
        <v>0</v>
      </c>
    </row>
    <row r="6199" spans="1:6" x14ac:dyDescent="0.25">
      <c r="A6199">
        <v>6198</v>
      </c>
      <c r="B6199" t="s">
        <v>0</v>
      </c>
      <c r="C6199">
        <v>78</v>
      </c>
      <c r="D6199">
        <v>3484</v>
      </c>
      <c r="E6199">
        <v>80130093</v>
      </c>
    </row>
    <row r="6200" spans="1:6" x14ac:dyDescent="0.25">
      <c r="A6200">
        <v>6199</v>
      </c>
      <c r="B6200">
        <v>10</v>
      </c>
      <c r="C6200">
        <v>1</v>
      </c>
      <c r="D6200">
        <v>0</v>
      </c>
      <c r="E6200">
        <v>0</v>
      </c>
      <c r="F6200">
        <v>10661</v>
      </c>
    </row>
    <row r="6201" spans="1:6" x14ac:dyDescent="0.25">
      <c r="A6201">
        <v>6200</v>
      </c>
      <c r="B6201">
        <v>13</v>
      </c>
      <c r="C6201">
        <v>0</v>
      </c>
      <c r="D6201">
        <v>0</v>
      </c>
      <c r="E6201">
        <v>0</v>
      </c>
      <c r="F6201">
        <v>1603</v>
      </c>
    </row>
    <row r="6202" spans="1:6" x14ac:dyDescent="0.25">
      <c r="A6202">
        <v>6201</v>
      </c>
      <c r="B6202">
        <v>41</v>
      </c>
      <c r="C6202">
        <v>0</v>
      </c>
      <c r="D6202">
        <v>0</v>
      </c>
      <c r="E6202">
        <v>0</v>
      </c>
      <c r="F6202">
        <v>1</v>
      </c>
    </row>
    <row r="6203" spans="1:6" x14ac:dyDescent="0.25">
      <c r="A6203">
        <v>6202</v>
      </c>
      <c r="B6203" t="s">
        <v>0</v>
      </c>
      <c r="C6203">
        <v>79</v>
      </c>
      <c r="D6203">
        <v>3484</v>
      </c>
      <c r="E6203">
        <v>80130343</v>
      </c>
    </row>
    <row r="6204" spans="1:6" x14ac:dyDescent="0.25">
      <c r="A6204">
        <v>6203</v>
      </c>
      <c r="B6204">
        <v>42</v>
      </c>
      <c r="C6204">
        <v>0</v>
      </c>
      <c r="D6204">
        <v>0</v>
      </c>
      <c r="E6204">
        <v>0</v>
      </c>
      <c r="F6204">
        <v>0.2</v>
      </c>
    </row>
    <row r="6205" spans="1:6" x14ac:dyDescent="0.25">
      <c r="A6205">
        <v>6204</v>
      </c>
      <c r="B6205">
        <v>43</v>
      </c>
      <c r="C6205">
        <v>0</v>
      </c>
      <c r="D6205">
        <v>0</v>
      </c>
      <c r="E6205">
        <v>0</v>
      </c>
      <c r="F6205">
        <v>0</v>
      </c>
    </row>
    <row r="6206" spans="1:6" x14ac:dyDescent="0.25">
      <c r="A6206">
        <v>6205</v>
      </c>
      <c r="B6206">
        <v>44</v>
      </c>
      <c r="C6206">
        <v>0</v>
      </c>
      <c r="D6206">
        <v>0</v>
      </c>
      <c r="E6206">
        <v>0</v>
      </c>
      <c r="F6206">
        <v>-9.9896600000000007</v>
      </c>
    </row>
    <row r="6207" spans="1:6" x14ac:dyDescent="0.25">
      <c r="A6207">
        <v>6206</v>
      </c>
      <c r="B6207">
        <v>45</v>
      </c>
      <c r="C6207">
        <v>0</v>
      </c>
      <c r="D6207">
        <v>0</v>
      </c>
      <c r="E6207">
        <v>0</v>
      </c>
      <c r="F6207">
        <v>4399.9799999999996</v>
      </c>
    </row>
    <row r="6208" spans="1:6" x14ac:dyDescent="0.25">
      <c r="A6208">
        <v>6207</v>
      </c>
      <c r="B6208">
        <v>46</v>
      </c>
      <c r="C6208">
        <v>0</v>
      </c>
      <c r="D6208">
        <v>0</v>
      </c>
      <c r="E6208">
        <v>0</v>
      </c>
      <c r="F6208">
        <v>0</v>
      </c>
    </row>
    <row r="6209" spans="1:6" x14ac:dyDescent="0.25">
      <c r="A6209">
        <v>6208</v>
      </c>
      <c r="B6209">
        <v>2</v>
      </c>
      <c r="C6209">
        <v>0</v>
      </c>
      <c r="D6209">
        <v>0</v>
      </c>
      <c r="E6209">
        <v>0</v>
      </c>
      <c r="F6209">
        <v>114.169</v>
      </c>
    </row>
    <row r="6210" spans="1:6" x14ac:dyDescent="0.25">
      <c r="A6210">
        <v>6209</v>
      </c>
      <c r="B6210">
        <v>10</v>
      </c>
      <c r="C6210">
        <v>1</v>
      </c>
      <c r="D6210">
        <v>0</v>
      </c>
      <c r="E6210">
        <v>0</v>
      </c>
      <c r="F6210">
        <v>10462</v>
      </c>
    </row>
    <row r="6211" spans="1:6" x14ac:dyDescent="0.25">
      <c r="A6211">
        <v>6210</v>
      </c>
      <c r="B6211" t="s">
        <v>0</v>
      </c>
      <c r="C6211">
        <v>81</v>
      </c>
      <c r="D6211">
        <v>3484</v>
      </c>
      <c r="E6211">
        <v>80130836</v>
      </c>
    </row>
    <row r="6212" spans="1:6" x14ac:dyDescent="0.25">
      <c r="A6212">
        <v>6211</v>
      </c>
      <c r="B6212">
        <v>41</v>
      </c>
      <c r="C6212">
        <v>0</v>
      </c>
      <c r="D6212">
        <v>0</v>
      </c>
      <c r="E6212">
        <v>0</v>
      </c>
      <c r="F6212">
        <v>1</v>
      </c>
    </row>
    <row r="6213" spans="1:6" x14ac:dyDescent="0.25">
      <c r="A6213">
        <v>6212</v>
      </c>
      <c r="B6213">
        <v>42</v>
      </c>
      <c r="C6213">
        <v>0</v>
      </c>
      <c r="D6213">
        <v>0</v>
      </c>
      <c r="E6213">
        <v>0</v>
      </c>
      <c r="F6213">
        <v>0.2</v>
      </c>
    </row>
    <row r="6214" spans="1:6" x14ac:dyDescent="0.25">
      <c r="A6214">
        <v>6213</v>
      </c>
      <c r="B6214">
        <v>43</v>
      </c>
      <c r="C6214">
        <v>0</v>
      </c>
      <c r="D6214">
        <v>0</v>
      </c>
      <c r="E6214">
        <v>0</v>
      </c>
      <c r="F6214">
        <v>0</v>
      </c>
    </row>
    <row r="6215" spans="1:6" x14ac:dyDescent="0.25">
      <c r="A6215">
        <v>6214</v>
      </c>
      <c r="B6215" t="s">
        <v>0</v>
      </c>
      <c r="C6215">
        <v>82</v>
      </c>
      <c r="D6215">
        <v>3484</v>
      </c>
      <c r="E6215">
        <v>80131079</v>
      </c>
    </row>
    <row r="6216" spans="1:6" x14ac:dyDescent="0.25">
      <c r="A6216">
        <v>6215</v>
      </c>
      <c r="B6216">
        <v>45</v>
      </c>
      <c r="C6216">
        <v>0</v>
      </c>
      <c r="D6216">
        <v>0</v>
      </c>
      <c r="E6216">
        <v>0</v>
      </c>
      <c r="F6216">
        <v>4399.97</v>
      </c>
    </row>
    <row r="6217" spans="1:6" x14ac:dyDescent="0.25">
      <c r="A6217">
        <v>6216</v>
      </c>
      <c r="B6217">
        <v>46</v>
      </c>
      <c r="C6217">
        <v>0</v>
      </c>
      <c r="D6217">
        <v>0</v>
      </c>
      <c r="E6217">
        <v>0</v>
      </c>
      <c r="F6217">
        <v>0</v>
      </c>
    </row>
    <row r="6218" spans="1:6" x14ac:dyDescent="0.25">
      <c r="A6218">
        <v>6217</v>
      </c>
      <c r="B6218">
        <v>2</v>
      </c>
      <c r="C6218">
        <v>0</v>
      </c>
      <c r="D6218">
        <v>0</v>
      </c>
      <c r="E6218">
        <v>0</v>
      </c>
      <c r="F6218">
        <v>116.31100000000001</v>
      </c>
    </row>
    <row r="6219" spans="1:6" x14ac:dyDescent="0.25">
      <c r="A6219">
        <v>6218</v>
      </c>
      <c r="B6219" t="s">
        <v>0</v>
      </c>
      <c r="C6219">
        <v>83</v>
      </c>
      <c r="D6219">
        <v>3484</v>
      </c>
      <c r="E6219">
        <v>80131320</v>
      </c>
    </row>
    <row r="6220" spans="1:6" x14ac:dyDescent="0.25">
      <c r="A6220">
        <v>6219</v>
      </c>
      <c r="B6220">
        <v>10</v>
      </c>
      <c r="C6220">
        <v>1</v>
      </c>
      <c r="D6220">
        <v>0</v>
      </c>
      <c r="E6220">
        <v>0</v>
      </c>
      <c r="F6220">
        <v>10269</v>
      </c>
    </row>
    <row r="6221" spans="1:6" x14ac:dyDescent="0.25">
      <c r="A6221">
        <v>6220</v>
      </c>
      <c r="B6221">
        <v>13</v>
      </c>
      <c r="C6221">
        <v>0</v>
      </c>
      <c r="D6221">
        <v>0</v>
      </c>
      <c r="E6221">
        <v>0</v>
      </c>
      <c r="F6221">
        <v>1603</v>
      </c>
    </row>
    <row r="6222" spans="1:6" x14ac:dyDescent="0.25">
      <c r="A6222">
        <v>6221</v>
      </c>
      <c r="B6222">
        <v>41</v>
      </c>
      <c r="C6222">
        <v>0</v>
      </c>
      <c r="D6222">
        <v>0</v>
      </c>
      <c r="E6222">
        <v>0</v>
      </c>
      <c r="F6222">
        <v>1</v>
      </c>
    </row>
    <row r="6223" spans="1:6" x14ac:dyDescent="0.25">
      <c r="A6223">
        <v>6222</v>
      </c>
      <c r="B6223" t="s">
        <v>0</v>
      </c>
      <c r="C6223">
        <v>84</v>
      </c>
      <c r="D6223">
        <v>3484</v>
      </c>
      <c r="E6223">
        <v>80131560</v>
      </c>
    </row>
    <row r="6224" spans="1:6" x14ac:dyDescent="0.25">
      <c r="A6224">
        <v>6223</v>
      </c>
      <c r="B6224">
        <v>43</v>
      </c>
      <c r="C6224">
        <v>0</v>
      </c>
      <c r="D6224">
        <v>0</v>
      </c>
      <c r="E6224">
        <v>0</v>
      </c>
      <c r="F6224">
        <v>0</v>
      </c>
    </row>
    <row r="6225" spans="1:6" x14ac:dyDescent="0.25">
      <c r="A6225">
        <v>6224</v>
      </c>
      <c r="B6225">
        <v>44</v>
      </c>
      <c r="C6225">
        <v>0</v>
      </c>
      <c r="D6225">
        <v>0</v>
      </c>
      <c r="E6225">
        <v>0</v>
      </c>
      <c r="F6225">
        <v>-15.037699999999999</v>
      </c>
    </row>
    <row r="6226" spans="1:6" x14ac:dyDescent="0.25">
      <c r="A6226">
        <v>6225</v>
      </c>
      <c r="B6226">
        <v>45</v>
      </c>
      <c r="C6226">
        <v>0</v>
      </c>
      <c r="D6226">
        <v>0</v>
      </c>
      <c r="E6226">
        <v>0</v>
      </c>
      <c r="F6226">
        <v>4399.96</v>
      </c>
    </row>
    <row r="6227" spans="1:6" x14ac:dyDescent="0.25">
      <c r="A6227">
        <v>6226</v>
      </c>
      <c r="B6227" t="s">
        <v>0</v>
      </c>
      <c r="C6227">
        <v>85</v>
      </c>
      <c r="D6227">
        <v>3484</v>
      </c>
      <c r="E6227">
        <v>80131798</v>
      </c>
    </row>
    <row r="6228" spans="1:6" x14ac:dyDescent="0.25">
      <c r="A6228">
        <v>6227</v>
      </c>
      <c r="B6228">
        <v>46</v>
      </c>
      <c r="C6228">
        <v>0</v>
      </c>
      <c r="D6228">
        <v>0</v>
      </c>
      <c r="E6228">
        <v>0</v>
      </c>
      <c r="F6228">
        <v>0</v>
      </c>
    </row>
    <row r="6229" spans="1:6" x14ac:dyDescent="0.25">
      <c r="A6229">
        <v>6228</v>
      </c>
      <c r="B6229">
        <v>2</v>
      </c>
      <c r="C6229">
        <v>0</v>
      </c>
      <c r="D6229">
        <v>0</v>
      </c>
      <c r="E6229">
        <v>0</v>
      </c>
      <c r="F6229">
        <v>119.52</v>
      </c>
    </row>
    <row r="6230" spans="1:6" x14ac:dyDescent="0.25">
      <c r="A6230">
        <v>6229</v>
      </c>
      <c r="B6230">
        <v>10</v>
      </c>
      <c r="C6230">
        <v>1</v>
      </c>
      <c r="D6230">
        <v>0</v>
      </c>
      <c r="E6230">
        <v>0</v>
      </c>
      <c r="F6230">
        <v>9993</v>
      </c>
    </row>
    <row r="6231" spans="1:6" x14ac:dyDescent="0.25">
      <c r="A6231">
        <v>6230</v>
      </c>
      <c r="B6231">
        <v>13</v>
      </c>
      <c r="C6231">
        <v>0</v>
      </c>
      <c r="D6231">
        <v>0</v>
      </c>
      <c r="E6231">
        <v>0</v>
      </c>
      <c r="F6231">
        <v>1603</v>
      </c>
    </row>
    <row r="6232" spans="1:6" x14ac:dyDescent="0.25">
      <c r="A6232">
        <v>6231</v>
      </c>
      <c r="B6232">
        <v>41</v>
      </c>
      <c r="C6232">
        <v>0</v>
      </c>
      <c r="D6232">
        <v>0</v>
      </c>
      <c r="E6232">
        <v>0</v>
      </c>
      <c r="F6232">
        <v>1</v>
      </c>
    </row>
    <row r="6233" spans="1:6" x14ac:dyDescent="0.25">
      <c r="A6233">
        <v>6232</v>
      </c>
      <c r="B6233">
        <v>42</v>
      </c>
      <c r="C6233">
        <v>0</v>
      </c>
      <c r="D6233">
        <v>0</v>
      </c>
      <c r="E6233">
        <v>0</v>
      </c>
      <c r="F6233">
        <v>0.2</v>
      </c>
    </row>
    <row r="6234" spans="1:6" x14ac:dyDescent="0.25">
      <c r="A6234">
        <v>6233</v>
      </c>
      <c r="B6234">
        <v>43</v>
      </c>
      <c r="C6234">
        <v>0</v>
      </c>
      <c r="D6234">
        <v>0</v>
      </c>
      <c r="E6234">
        <v>0</v>
      </c>
      <c r="F6234">
        <v>0</v>
      </c>
    </row>
    <row r="6235" spans="1:6" x14ac:dyDescent="0.25">
      <c r="A6235">
        <v>6234</v>
      </c>
      <c r="B6235" t="s">
        <v>0</v>
      </c>
      <c r="C6235">
        <v>87</v>
      </c>
      <c r="D6235">
        <v>3484</v>
      </c>
      <c r="E6235">
        <v>80132269</v>
      </c>
    </row>
    <row r="6236" spans="1:6" x14ac:dyDescent="0.25">
      <c r="A6236">
        <v>6235</v>
      </c>
      <c r="B6236">
        <v>45</v>
      </c>
      <c r="C6236">
        <v>0</v>
      </c>
      <c r="D6236">
        <v>0</v>
      </c>
      <c r="E6236">
        <v>0</v>
      </c>
      <c r="F6236">
        <v>4399.95</v>
      </c>
    </row>
    <row r="6237" spans="1:6" x14ac:dyDescent="0.25">
      <c r="A6237">
        <v>6236</v>
      </c>
      <c r="B6237">
        <v>46</v>
      </c>
      <c r="C6237">
        <v>0</v>
      </c>
      <c r="D6237">
        <v>0</v>
      </c>
      <c r="E6237">
        <v>0</v>
      </c>
      <c r="F6237">
        <v>0</v>
      </c>
    </row>
    <row r="6238" spans="1:6" x14ac:dyDescent="0.25">
      <c r="A6238">
        <v>6237</v>
      </c>
      <c r="B6238">
        <v>2</v>
      </c>
      <c r="C6238">
        <v>0</v>
      </c>
      <c r="D6238">
        <v>0</v>
      </c>
      <c r="E6238">
        <v>0</v>
      </c>
      <c r="F6238">
        <v>121.65</v>
      </c>
    </row>
    <row r="6239" spans="1:6" x14ac:dyDescent="0.25">
      <c r="A6239">
        <v>6238</v>
      </c>
      <c r="B6239">
        <v>10</v>
      </c>
      <c r="C6239">
        <v>1</v>
      </c>
      <c r="D6239">
        <v>0</v>
      </c>
      <c r="E6239">
        <v>0</v>
      </c>
      <c r="F6239">
        <v>9818</v>
      </c>
    </row>
    <row r="6240" spans="1:6" x14ac:dyDescent="0.25">
      <c r="A6240">
        <v>6239</v>
      </c>
      <c r="B6240">
        <v>13</v>
      </c>
      <c r="C6240">
        <v>0</v>
      </c>
      <c r="D6240">
        <v>0</v>
      </c>
      <c r="E6240">
        <v>0</v>
      </c>
      <c r="F6240">
        <v>1603</v>
      </c>
    </row>
    <row r="6241" spans="1:6" x14ac:dyDescent="0.25">
      <c r="A6241">
        <v>6240</v>
      </c>
      <c r="B6241">
        <v>41</v>
      </c>
      <c r="C6241">
        <v>0</v>
      </c>
      <c r="D6241">
        <v>0</v>
      </c>
      <c r="E6241">
        <v>0</v>
      </c>
      <c r="F6241">
        <v>1</v>
      </c>
    </row>
    <row r="6242" spans="1:6" x14ac:dyDescent="0.25">
      <c r="A6242">
        <v>6241</v>
      </c>
      <c r="B6242" t="s">
        <v>0</v>
      </c>
      <c r="C6242">
        <v>89</v>
      </c>
      <c r="D6242">
        <v>3484</v>
      </c>
      <c r="E6242">
        <v>80132733</v>
      </c>
    </row>
    <row r="6243" spans="1:6" x14ac:dyDescent="0.25">
      <c r="A6243">
        <v>6242</v>
      </c>
      <c r="B6243">
        <v>43</v>
      </c>
      <c r="C6243">
        <v>0</v>
      </c>
      <c r="D6243">
        <v>0</v>
      </c>
      <c r="E6243">
        <v>0</v>
      </c>
      <c r="F6243">
        <v>0</v>
      </c>
    </row>
    <row r="6244" spans="1:6" x14ac:dyDescent="0.25">
      <c r="A6244">
        <v>6243</v>
      </c>
      <c r="B6244">
        <v>44</v>
      </c>
      <c r="C6244">
        <v>0</v>
      </c>
      <c r="D6244">
        <v>0</v>
      </c>
      <c r="E6244">
        <v>0</v>
      </c>
      <c r="F6244">
        <v>-20.072399999999998</v>
      </c>
    </row>
    <row r="6245" spans="1:6" x14ac:dyDescent="0.25">
      <c r="A6245">
        <v>6244</v>
      </c>
      <c r="B6245">
        <v>45</v>
      </c>
      <c r="C6245">
        <v>0</v>
      </c>
      <c r="D6245">
        <v>0</v>
      </c>
      <c r="E6245">
        <v>0</v>
      </c>
      <c r="F6245">
        <v>4399.9399999999996</v>
      </c>
    </row>
    <row r="6246" spans="1:6" x14ac:dyDescent="0.25">
      <c r="A6246">
        <v>6245</v>
      </c>
      <c r="B6246">
        <v>46</v>
      </c>
      <c r="C6246">
        <v>0</v>
      </c>
      <c r="D6246">
        <v>0</v>
      </c>
      <c r="E6246">
        <v>0</v>
      </c>
      <c r="F6246">
        <v>0</v>
      </c>
    </row>
    <row r="6247" spans="1:6" x14ac:dyDescent="0.25">
      <c r="A6247">
        <v>6246</v>
      </c>
      <c r="B6247">
        <v>2</v>
      </c>
      <c r="C6247">
        <v>0</v>
      </c>
      <c r="D6247">
        <v>0</v>
      </c>
      <c r="E6247">
        <v>0</v>
      </c>
      <c r="F6247">
        <v>124.84399999999999</v>
      </c>
    </row>
    <row r="6248" spans="1:6" x14ac:dyDescent="0.25">
      <c r="A6248">
        <v>6247</v>
      </c>
      <c r="B6248">
        <v>10</v>
      </c>
      <c r="C6248">
        <v>1</v>
      </c>
      <c r="D6248">
        <v>0</v>
      </c>
      <c r="E6248">
        <v>0</v>
      </c>
      <c r="F6248">
        <v>9567</v>
      </c>
    </row>
    <row r="6249" spans="1:6" x14ac:dyDescent="0.25">
      <c r="A6249">
        <v>6248</v>
      </c>
      <c r="B6249" t="s">
        <v>0</v>
      </c>
      <c r="C6249">
        <v>91</v>
      </c>
      <c r="D6249">
        <v>3484</v>
      </c>
      <c r="E6249">
        <v>80133189</v>
      </c>
    </row>
    <row r="6250" spans="1:6" x14ac:dyDescent="0.25">
      <c r="A6250">
        <v>6249</v>
      </c>
      <c r="B6250">
        <v>41</v>
      </c>
      <c r="C6250">
        <v>0</v>
      </c>
      <c r="D6250">
        <v>0</v>
      </c>
      <c r="E6250">
        <v>0</v>
      </c>
      <c r="F6250">
        <v>1</v>
      </c>
    </row>
    <row r="6251" spans="1:6" x14ac:dyDescent="0.25">
      <c r="A6251">
        <v>6250</v>
      </c>
      <c r="B6251">
        <v>42</v>
      </c>
      <c r="C6251">
        <v>0</v>
      </c>
      <c r="D6251">
        <v>0</v>
      </c>
      <c r="E6251">
        <v>0</v>
      </c>
      <c r="F6251">
        <v>0.2</v>
      </c>
    </row>
    <row r="6252" spans="1:6" x14ac:dyDescent="0.25">
      <c r="A6252">
        <v>6251</v>
      </c>
      <c r="B6252">
        <v>43</v>
      </c>
      <c r="C6252">
        <v>0</v>
      </c>
      <c r="D6252">
        <v>0</v>
      </c>
      <c r="E6252">
        <v>0</v>
      </c>
      <c r="F6252">
        <v>0</v>
      </c>
    </row>
    <row r="6253" spans="1:6" x14ac:dyDescent="0.25">
      <c r="A6253">
        <v>6252</v>
      </c>
      <c r="B6253">
        <v>44</v>
      </c>
      <c r="C6253">
        <v>0</v>
      </c>
      <c r="D6253">
        <v>0</v>
      </c>
      <c r="E6253">
        <v>0</v>
      </c>
      <c r="F6253">
        <v>-23.087599999999998</v>
      </c>
    </row>
    <row r="6254" spans="1:6" x14ac:dyDescent="0.25">
      <c r="A6254">
        <v>6253</v>
      </c>
      <c r="B6254">
        <v>45</v>
      </c>
      <c r="C6254">
        <v>0</v>
      </c>
      <c r="D6254">
        <v>0</v>
      </c>
      <c r="E6254">
        <v>0</v>
      </c>
      <c r="F6254">
        <v>4399.92</v>
      </c>
    </row>
    <row r="6255" spans="1:6" x14ac:dyDescent="0.25">
      <c r="A6255">
        <v>6254</v>
      </c>
      <c r="B6255">
        <v>46</v>
      </c>
      <c r="C6255">
        <v>0</v>
      </c>
      <c r="D6255">
        <v>0</v>
      </c>
      <c r="E6255">
        <v>0</v>
      </c>
      <c r="F6255">
        <v>0</v>
      </c>
    </row>
    <row r="6256" spans="1:6" x14ac:dyDescent="0.25">
      <c r="A6256">
        <v>6255</v>
      </c>
      <c r="B6256" t="s">
        <v>0</v>
      </c>
      <c r="C6256">
        <v>93</v>
      </c>
      <c r="D6256">
        <v>3484</v>
      </c>
      <c r="E6256">
        <v>80133639</v>
      </c>
    </row>
    <row r="6257" spans="1:6" x14ac:dyDescent="0.25">
      <c r="A6257">
        <v>6256</v>
      </c>
      <c r="B6257">
        <v>2</v>
      </c>
      <c r="C6257">
        <v>0</v>
      </c>
      <c r="D6257">
        <v>0</v>
      </c>
      <c r="E6257">
        <v>0</v>
      </c>
      <c r="F6257">
        <v>128.03899999999999</v>
      </c>
    </row>
    <row r="6258" spans="1:6" x14ac:dyDescent="0.25">
      <c r="A6258">
        <v>6257</v>
      </c>
      <c r="B6258">
        <v>10</v>
      </c>
      <c r="C6258">
        <v>1</v>
      </c>
      <c r="D6258">
        <v>0</v>
      </c>
      <c r="E6258">
        <v>0</v>
      </c>
      <c r="F6258">
        <v>9328</v>
      </c>
    </row>
    <row r="6259" spans="1:6" x14ac:dyDescent="0.25">
      <c r="A6259">
        <v>6258</v>
      </c>
      <c r="B6259">
        <v>13</v>
      </c>
      <c r="C6259">
        <v>0</v>
      </c>
      <c r="D6259">
        <v>0</v>
      </c>
      <c r="E6259">
        <v>0</v>
      </c>
      <c r="F6259">
        <v>1603</v>
      </c>
    </row>
    <row r="6260" spans="1:6" x14ac:dyDescent="0.25">
      <c r="A6260">
        <v>6259</v>
      </c>
      <c r="B6260" t="s">
        <v>0</v>
      </c>
      <c r="C6260">
        <v>94</v>
      </c>
      <c r="D6260">
        <v>3484</v>
      </c>
      <c r="E6260">
        <v>80133862</v>
      </c>
    </row>
    <row r="6261" spans="1:6" x14ac:dyDescent="0.25">
      <c r="A6261">
        <v>6260</v>
      </c>
      <c r="B6261">
        <v>42</v>
      </c>
      <c r="C6261">
        <v>0</v>
      </c>
      <c r="D6261">
        <v>0</v>
      </c>
      <c r="E6261">
        <v>0</v>
      </c>
      <c r="F6261">
        <v>0.2</v>
      </c>
    </row>
    <row r="6262" spans="1:6" x14ac:dyDescent="0.25">
      <c r="A6262">
        <v>6261</v>
      </c>
      <c r="B6262">
        <v>43</v>
      </c>
      <c r="C6262">
        <v>0</v>
      </c>
      <c r="D6262">
        <v>0</v>
      </c>
      <c r="E6262">
        <v>0</v>
      </c>
      <c r="F6262">
        <v>0</v>
      </c>
    </row>
    <row r="6263" spans="1:6" x14ac:dyDescent="0.25">
      <c r="A6263">
        <v>6262</v>
      </c>
      <c r="B6263">
        <v>44</v>
      </c>
      <c r="C6263">
        <v>0</v>
      </c>
      <c r="D6263">
        <v>0</v>
      </c>
      <c r="E6263">
        <v>0</v>
      </c>
      <c r="F6263">
        <v>-25.113199999999999</v>
      </c>
    </row>
    <row r="6264" spans="1:6" x14ac:dyDescent="0.25">
      <c r="A6264">
        <v>6263</v>
      </c>
      <c r="B6264">
        <v>45</v>
      </c>
      <c r="C6264">
        <v>0</v>
      </c>
      <c r="D6264">
        <v>0</v>
      </c>
      <c r="E6264">
        <v>0</v>
      </c>
      <c r="F6264">
        <v>4399.8999999999996</v>
      </c>
    </row>
    <row r="6265" spans="1:6" x14ac:dyDescent="0.25">
      <c r="A6265">
        <v>6264</v>
      </c>
      <c r="B6265">
        <v>46</v>
      </c>
      <c r="C6265">
        <v>0</v>
      </c>
      <c r="D6265">
        <v>0</v>
      </c>
      <c r="E6265">
        <v>0</v>
      </c>
      <c r="F6265">
        <v>0</v>
      </c>
    </row>
    <row r="6266" spans="1:6" x14ac:dyDescent="0.25">
      <c r="A6266">
        <v>6265</v>
      </c>
      <c r="B6266">
        <v>2</v>
      </c>
      <c r="C6266">
        <v>0</v>
      </c>
      <c r="D6266">
        <v>0</v>
      </c>
      <c r="E6266">
        <v>0</v>
      </c>
      <c r="F6266">
        <v>130.16200000000001</v>
      </c>
    </row>
    <row r="6267" spans="1:6" x14ac:dyDescent="0.25">
      <c r="A6267">
        <v>6266</v>
      </c>
      <c r="B6267" t="s">
        <v>0</v>
      </c>
      <c r="C6267">
        <v>96</v>
      </c>
      <c r="D6267">
        <v>3484</v>
      </c>
      <c r="E6267">
        <v>80134304</v>
      </c>
    </row>
    <row r="6268" spans="1:6" x14ac:dyDescent="0.25">
      <c r="A6268">
        <v>6267</v>
      </c>
      <c r="B6268">
        <v>10</v>
      </c>
      <c r="C6268">
        <v>1</v>
      </c>
      <c r="D6268">
        <v>0</v>
      </c>
      <c r="E6268">
        <v>0</v>
      </c>
      <c r="F6268">
        <v>9176</v>
      </c>
    </row>
    <row r="6269" spans="1:6" x14ac:dyDescent="0.25">
      <c r="A6269">
        <v>6268</v>
      </c>
      <c r="B6269">
        <v>13</v>
      </c>
      <c r="C6269">
        <v>0</v>
      </c>
      <c r="D6269">
        <v>0</v>
      </c>
      <c r="E6269">
        <v>0</v>
      </c>
      <c r="F6269">
        <v>1603</v>
      </c>
    </row>
    <row r="6270" spans="1:6" x14ac:dyDescent="0.25">
      <c r="A6270">
        <v>6269</v>
      </c>
      <c r="B6270">
        <v>41</v>
      </c>
      <c r="C6270">
        <v>0</v>
      </c>
      <c r="D6270">
        <v>0</v>
      </c>
      <c r="E6270">
        <v>0</v>
      </c>
      <c r="F6270">
        <v>1</v>
      </c>
    </row>
    <row r="6271" spans="1:6" x14ac:dyDescent="0.25">
      <c r="A6271">
        <v>6270</v>
      </c>
      <c r="B6271" t="s">
        <v>0</v>
      </c>
      <c r="C6271">
        <v>97</v>
      </c>
      <c r="D6271">
        <v>3484</v>
      </c>
      <c r="E6271">
        <v>80134523</v>
      </c>
    </row>
    <row r="6272" spans="1:6" x14ac:dyDescent="0.25">
      <c r="A6272">
        <v>6271</v>
      </c>
      <c r="B6272">
        <v>43</v>
      </c>
      <c r="C6272">
        <v>0</v>
      </c>
      <c r="D6272">
        <v>0</v>
      </c>
      <c r="E6272">
        <v>0</v>
      </c>
      <c r="F6272">
        <v>0</v>
      </c>
    </row>
    <row r="6273" spans="1:6" x14ac:dyDescent="0.25">
      <c r="A6273">
        <v>6272</v>
      </c>
      <c r="B6273">
        <v>44</v>
      </c>
      <c r="C6273">
        <v>0</v>
      </c>
      <c r="D6273">
        <v>0</v>
      </c>
      <c r="E6273">
        <v>0</v>
      </c>
      <c r="F6273">
        <v>-28.1173</v>
      </c>
    </row>
    <row r="6274" spans="1:6" x14ac:dyDescent="0.25">
      <c r="A6274">
        <v>6273</v>
      </c>
      <c r="B6274">
        <v>45</v>
      </c>
      <c r="C6274">
        <v>0</v>
      </c>
      <c r="D6274">
        <v>0</v>
      </c>
      <c r="E6274">
        <v>0</v>
      </c>
      <c r="F6274">
        <v>4399.8900000000003</v>
      </c>
    </row>
    <row r="6275" spans="1:6" x14ac:dyDescent="0.25">
      <c r="A6275">
        <v>6274</v>
      </c>
      <c r="B6275">
        <v>46</v>
      </c>
      <c r="C6275">
        <v>0</v>
      </c>
      <c r="D6275">
        <v>0</v>
      </c>
      <c r="E6275">
        <v>0</v>
      </c>
      <c r="F6275">
        <v>0</v>
      </c>
    </row>
    <row r="6276" spans="1:6" x14ac:dyDescent="0.25">
      <c r="A6276">
        <v>6275</v>
      </c>
      <c r="B6276">
        <v>2</v>
      </c>
      <c r="C6276">
        <v>0</v>
      </c>
      <c r="D6276">
        <v>0</v>
      </c>
      <c r="E6276">
        <v>0</v>
      </c>
      <c r="F6276">
        <v>133.33799999999999</v>
      </c>
    </row>
    <row r="6277" spans="1:6" x14ac:dyDescent="0.25">
      <c r="A6277">
        <v>6276</v>
      </c>
      <c r="B6277">
        <v>10</v>
      </c>
      <c r="C6277">
        <v>1</v>
      </c>
      <c r="D6277">
        <v>0</v>
      </c>
      <c r="E6277">
        <v>0</v>
      </c>
      <c r="F6277">
        <v>8958</v>
      </c>
    </row>
    <row r="6278" spans="1:6" x14ac:dyDescent="0.25">
      <c r="A6278">
        <v>6277</v>
      </c>
      <c r="B6278" t="s">
        <v>0</v>
      </c>
      <c r="C6278">
        <v>99</v>
      </c>
      <c r="D6278">
        <v>3484</v>
      </c>
      <c r="E6278">
        <v>80134956</v>
      </c>
    </row>
    <row r="6279" spans="1:6" x14ac:dyDescent="0.25">
      <c r="A6279">
        <v>6278</v>
      </c>
      <c r="B6279">
        <v>13</v>
      </c>
      <c r="C6279">
        <v>0</v>
      </c>
      <c r="D6279">
        <v>0</v>
      </c>
      <c r="E6279">
        <v>0</v>
      </c>
      <c r="F6279">
        <v>1603</v>
      </c>
    </row>
    <row r="6280" spans="1:6" x14ac:dyDescent="0.25">
      <c r="A6280">
        <v>6279</v>
      </c>
      <c r="B6280">
        <v>41</v>
      </c>
      <c r="C6280">
        <v>0</v>
      </c>
      <c r="D6280">
        <v>0</v>
      </c>
      <c r="E6280">
        <v>0</v>
      </c>
      <c r="F6280">
        <v>1</v>
      </c>
    </row>
    <row r="6281" spans="1:6" x14ac:dyDescent="0.25">
      <c r="A6281">
        <v>6280</v>
      </c>
      <c r="B6281">
        <v>42</v>
      </c>
      <c r="C6281">
        <v>0</v>
      </c>
      <c r="D6281">
        <v>0</v>
      </c>
      <c r="E6281">
        <v>0</v>
      </c>
      <c r="F6281">
        <v>0.2</v>
      </c>
    </row>
    <row r="6282" spans="1:6" x14ac:dyDescent="0.25">
      <c r="A6282">
        <v>6281</v>
      </c>
      <c r="B6282" t="s">
        <v>0</v>
      </c>
      <c r="C6282">
        <v>100</v>
      </c>
      <c r="D6282">
        <v>3484</v>
      </c>
      <c r="E6282">
        <v>80135170</v>
      </c>
    </row>
    <row r="6283" spans="1:6" x14ac:dyDescent="0.25">
      <c r="A6283">
        <v>6282</v>
      </c>
      <c r="B6283">
        <v>44</v>
      </c>
      <c r="C6283">
        <v>0</v>
      </c>
      <c r="D6283">
        <v>0</v>
      </c>
      <c r="E6283">
        <v>0</v>
      </c>
      <c r="F6283">
        <v>-31.1401</v>
      </c>
    </row>
    <row r="6284" spans="1:6" x14ac:dyDescent="0.25">
      <c r="A6284">
        <v>6283</v>
      </c>
      <c r="B6284">
        <v>45</v>
      </c>
      <c r="C6284">
        <v>0</v>
      </c>
      <c r="D6284">
        <v>0</v>
      </c>
      <c r="E6284">
        <v>0</v>
      </c>
      <c r="F6284">
        <v>4399.8599999999997</v>
      </c>
    </row>
    <row r="6285" spans="1:6" x14ac:dyDescent="0.25">
      <c r="A6285">
        <v>6284</v>
      </c>
      <c r="B6285" t="s">
        <v>0</v>
      </c>
      <c r="C6285">
        <v>101</v>
      </c>
      <c r="D6285">
        <v>3484</v>
      </c>
      <c r="E6285">
        <v>80135382</v>
      </c>
    </row>
    <row r="6286" spans="1:6" x14ac:dyDescent="0.25">
      <c r="A6286">
        <v>6285</v>
      </c>
      <c r="B6286">
        <v>2</v>
      </c>
      <c r="C6286">
        <v>0</v>
      </c>
      <c r="D6286">
        <v>0</v>
      </c>
      <c r="E6286">
        <v>0</v>
      </c>
      <c r="F6286">
        <v>136.511</v>
      </c>
    </row>
    <row r="6287" spans="1:6" x14ac:dyDescent="0.25">
      <c r="A6287">
        <v>6286</v>
      </c>
      <c r="B6287">
        <v>10</v>
      </c>
      <c r="C6287">
        <v>1</v>
      </c>
      <c r="D6287">
        <v>0</v>
      </c>
      <c r="E6287">
        <v>0</v>
      </c>
      <c r="F6287">
        <v>8749</v>
      </c>
    </row>
    <row r="6288" spans="1:6" x14ac:dyDescent="0.25">
      <c r="A6288">
        <v>6287</v>
      </c>
      <c r="B6288">
        <v>13</v>
      </c>
      <c r="C6288">
        <v>0</v>
      </c>
      <c r="D6288">
        <v>0</v>
      </c>
      <c r="E6288">
        <v>0</v>
      </c>
      <c r="F6288">
        <v>1603</v>
      </c>
    </row>
    <row r="6289" spans="1:6" x14ac:dyDescent="0.25">
      <c r="A6289">
        <v>6288</v>
      </c>
      <c r="B6289">
        <v>41</v>
      </c>
      <c r="C6289">
        <v>0</v>
      </c>
      <c r="D6289">
        <v>0</v>
      </c>
      <c r="E6289">
        <v>0</v>
      </c>
      <c r="F6289">
        <v>1</v>
      </c>
    </row>
    <row r="6290" spans="1:6" x14ac:dyDescent="0.25">
      <c r="A6290">
        <v>6289</v>
      </c>
      <c r="B6290">
        <v>42</v>
      </c>
      <c r="C6290">
        <v>0</v>
      </c>
      <c r="D6290">
        <v>0</v>
      </c>
      <c r="E6290">
        <v>0</v>
      </c>
      <c r="F6290">
        <v>0.2</v>
      </c>
    </row>
    <row r="6291" spans="1:6" x14ac:dyDescent="0.25">
      <c r="A6291">
        <v>6290</v>
      </c>
      <c r="B6291">
        <v>43</v>
      </c>
      <c r="C6291">
        <v>0</v>
      </c>
      <c r="D6291">
        <v>0</v>
      </c>
      <c r="E6291">
        <v>0</v>
      </c>
      <c r="F6291">
        <v>0</v>
      </c>
    </row>
    <row r="6292" spans="1:6" x14ac:dyDescent="0.25">
      <c r="A6292">
        <v>6291</v>
      </c>
      <c r="B6292">
        <v>44</v>
      </c>
      <c r="C6292">
        <v>0</v>
      </c>
      <c r="D6292">
        <v>0</v>
      </c>
      <c r="E6292">
        <v>0</v>
      </c>
      <c r="F6292">
        <v>-34.132899999999999</v>
      </c>
    </row>
    <row r="6293" spans="1:6" x14ac:dyDescent="0.25">
      <c r="A6293">
        <v>6292</v>
      </c>
      <c r="B6293">
        <v>45</v>
      </c>
      <c r="C6293">
        <v>0</v>
      </c>
      <c r="D6293">
        <v>0</v>
      </c>
      <c r="E6293">
        <v>0</v>
      </c>
      <c r="F6293">
        <v>4399.84</v>
      </c>
    </row>
    <row r="6294" spans="1:6" x14ac:dyDescent="0.25">
      <c r="A6294">
        <v>6293</v>
      </c>
      <c r="B6294">
        <v>46</v>
      </c>
      <c r="C6294">
        <v>0</v>
      </c>
      <c r="D6294">
        <v>0</v>
      </c>
      <c r="E6294">
        <v>0</v>
      </c>
      <c r="F6294">
        <v>0</v>
      </c>
    </row>
    <row r="6295" spans="1:6" x14ac:dyDescent="0.25">
      <c r="A6295">
        <v>6294</v>
      </c>
      <c r="B6295" t="s">
        <v>0</v>
      </c>
      <c r="C6295">
        <v>104</v>
      </c>
      <c r="D6295">
        <v>3484</v>
      </c>
      <c r="E6295">
        <v>80136010</v>
      </c>
    </row>
    <row r="6296" spans="1:6" x14ac:dyDescent="0.25">
      <c r="A6296">
        <v>6295</v>
      </c>
      <c r="B6296">
        <v>2</v>
      </c>
      <c r="C6296">
        <v>0</v>
      </c>
      <c r="D6296">
        <v>0</v>
      </c>
      <c r="E6296">
        <v>0</v>
      </c>
      <c r="F6296">
        <v>139.67099999999999</v>
      </c>
    </row>
    <row r="6297" spans="1:6" x14ac:dyDescent="0.25">
      <c r="A6297">
        <v>6296</v>
      </c>
      <c r="B6297">
        <v>10</v>
      </c>
      <c r="C6297">
        <v>1</v>
      </c>
      <c r="D6297">
        <v>0</v>
      </c>
      <c r="E6297">
        <v>0</v>
      </c>
      <c r="F6297">
        <v>8551</v>
      </c>
    </row>
    <row r="6298" spans="1:6" x14ac:dyDescent="0.25">
      <c r="A6298">
        <v>6297</v>
      </c>
      <c r="B6298">
        <v>13</v>
      </c>
      <c r="C6298">
        <v>0</v>
      </c>
      <c r="D6298">
        <v>0</v>
      </c>
      <c r="E6298">
        <v>0</v>
      </c>
      <c r="F6298">
        <v>1603</v>
      </c>
    </row>
    <row r="6299" spans="1:6" x14ac:dyDescent="0.25">
      <c r="A6299">
        <v>6298</v>
      </c>
      <c r="B6299" t="s">
        <v>0</v>
      </c>
      <c r="C6299">
        <v>105</v>
      </c>
      <c r="D6299">
        <v>3484</v>
      </c>
      <c r="E6299">
        <v>80136216</v>
      </c>
    </row>
    <row r="6300" spans="1:6" x14ac:dyDescent="0.25">
      <c r="A6300">
        <v>6299</v>
      </c>
      <c r="B6300">
        <v>41</v>
      </c>
      <c r="C6300">
        <v>0</v>
      </c>
      <c r="D6300">
        <v>0</v>
      </c>
      <c r="E6300">
        <v>0</v>
      </c>
      <c r="F6300">
        <v>1</v>
      </c>
    </row>
    <row r="6301" spans="1:6" x14ac:dyDescent="0.25">
      <c r="A6301">
        <v>6300</v>
      </c>
      <c r="B6301">
        <v>42</v>
      </c>
      <c r="C6301">
        <v>0</v>
      </c>
      <c r="D6301">
        <v>0</v>
      </c>
      <c r="E6301">
        <v>0</v>
      </c>
      <c r="F6301">
        <v>0.2</v>
      </c>
    </row>
    <row r="6302" spans="1:6" x14ac:dyDescent="0.25">
      <c r="A6302">
        <v>6301</v>
      </c>
      <c r="B6302">
        <v>43</v>
      </c>
      <c r="C6302">
        <v>0</v>
      </c>
      <c r="D6302">
        <v>0</v>
      </c>
      <c r="E6302">
        <v>0</v>
      </c>
      <c r="F6302">
        <v>0</v>
      </c>
    </row>
    <row r="6303" spans="1:6" x14ac:dyDescent="0.25">
      <c r="A6303">
        <v>6302</v>
      </c>
      <c r="B6303" t="s">
        <v>0</v>
      </c>
      <c r="C6303">
        <v>106</v>
      </c>
      <c r="D6303">
        <v>3484</v>
      </c>
      <c r="E6303">
        <v>80136421</v>
      </c>
    </row>
    <row r="6304" spans="1:6" x14ac:dyDescent="0.25">
      <c r="A6304">
        <v>6303</v>
      </c>
      <c r="B6304">
        <v>45</v>
      </c>
      <c r="C6304">
        <v>0</v>
      </c>
      <c r="D6304">
        <v>0</v>
      </c>
      <c r="E6304">
        <v>0</v>
      </c>
      <c r="F6304">
        <v>4399.8100000000004</v>
      </c>
    </row>
    <row r="6305" spans="1:6" x14ac:dyDescent="0.25">
      <c r="A6305">
        <v>6304</v>
      </c>
      <c r="B6305">
        <v>46</v>
      </c>
      <c r="C6305">
        <v>0</v>
      </c>
      <c r="D6305">
        <v>0</v>
      </c>
      <c r="E6305">
        <v>0</v>
      </c>
      <c r="F6305">
        <v>0</v>
      </c>
    </row>
    <row r="6306" spans="1:6" x14ac:dyDescent="0.25">
      <c r="A6306">
        <v>6305</v>
      </c>
      <c r="B6306" t="s">
        <v>0</v>
      </c>
      <c r="C6306">
        <v>107</v>
      </c>
      <c r="D6306">
        <v>3484</v>
      </c>
      <c r="E6306">
        <v>80136625</v>
      </c>
    </row>
    <row r="6307" spans="1:6" x14ac:dyDescent="0.25">
      <c r="A6307">
        <v>6306</v>
      </c>
      <c r="B6307">
        <v>10</v>
      </c>
      <c r="C6307">
        <v>1</v>
      </c>
      <c r="D6307">
        <v>0</v>
      </c>
      <c r="E6307">
        <v>0</v>
      </c>
      <c r="F6307">
        <v>8361</v>
      </c>
    </row>
    <row r="6308" spans="1:6" x14ac:dyDescent="0.25">
      <c r="A6308">
        <v>6307</v>
      </c>
      <c r="B6308">
        <v>13</v>
      </c>
      <c r="C6308">
        <v>0</v>
      </c>
      <c r="D6308">
        <v>0</v>
      </c>
      <c r="E6308">
        <v>0</v>
      </c>
      <c r="F6308">
        <v>1603</v>
      </c>
    </row>
    <row r="6309" spans="1:6" x14ac:dyDescent="0.25">
      <c r="A6309">
        <v>6308</v>
      </c>
      <c r="B6309" t="s">
        <v>0</v>
      </c>
      <c r="C6309">
        <v>108</v>
      </c>
      <c r="D6309">
        <v>3484</v>
      </c>
      <c r="E6309">
        <v>80136827</v>
      </c>
    </row>
    <row r="6310" spans="1:6" x14ac:dyDescent="0.25">
      <c r="A6310">
        <v>6309</v>
      </c>
      <c r="B6310">
        <v>42</v>
      </c>
      <c r="C6310">
        <v>0</v>
      </c>
      <c r="D6310">
        <v>0</v>
      </c>
      <c r="E6310">
        <v>0</v>
      </c>
      <c r="F6310">
        <v>0.2</v>
      </c>
    </row>
    <row r="6311" spans="1:6" x14ac:dyDescent="0.25">
      <c r="A6311">
        <v>6310</v>
      </c>
      <c r="B6311">
        <v>43</v>
      </c>
      <c r="C6311">
        <v>0</v>
      </c>
      <c r="D6311">
        <v>0</v>
      </c>
      <c r="E6311">
        <v>0</v>
      </c>
      <c r="F6311">
        <v>0</v>
      </c>
    </row>
    <row r="6312" spans="1:6" x14ac:dyDescent="0.25">
      <c r="A6312">
        <v>6311</v>
      </c>
      <c r="B6312" t="s">
        <v>0</v>
      </c>
      <c r="C6312">
        <v>109</v>
      </c>
      <c r="D6312">
        <v>3484</v>
      </c>
      <c r="E6312">
        <v>80137029</v>
      </c>
    </row>
    <row r="6313" spans="1:6" x14ac:dyDescent="0.25">
      <c r="A6313">
        <v>6312</v>
      </c>
      <c r="B6313">
        <v>45</v>
      </c>
      <c r="C6313">
        <v>0</v>
      </c>
      <c r="D6313">
        <v>0</v>
      </c>
      <c r="E6313">
        <v>0</v>
      </c>
      <c r="F6313">
        <v>4399.78</v>
      </c>
    </row>
    <row r="6314" spans="1:6" x14ac:dyDescent="0.25">
      <c r="A6314">
        <v>6313</v>
      </c>
      <c r="B6314">
        <v>46</v>
      </c>
      <c r="C6314">
        <v>0</v>
      </c>
      <c r="D6314">
        <v>0</v>
      </c>
      <c r="E6314">
        <v>0</v>
      </c>
      <c r="F6314">
        <v>0</v>
      </c>
    </row>
    <row r="6315" spans="1:6" x14ac:dyDescent="0.25">
      <c r="A6315">
        <v>6314</v>
      </c>
      <c r="B6315" t="s">
        <v>0</v>
      </c>
      <c r="C6315">
        <v>110</v>
      </c>
      <c r="D6315">
        <v>3484</v>
      </c>
      <c r="E6315">
        <v>80137229</v>
      </c>
    </row>
    <row r="6316" spans="1:6" x14ac:dyDescent="0.25">
      <c r="A6316">
        <v>6315</v>
      </c>
      <c r="B6316">
        <v>10</v>
      </c>
      <c r="C6316">
        <v>1</v>
      </c>
      <c r="D6316">
        <v>0</v>
      </c>
      <c r="E6316">
        <v>0</v>
      </c>
      <c r="F6316">
        <v>8180</v>
      </c>
    </row>
    <row r="6317" spans="1:6" x14ac:dyDescent="0.25">
      <c r="A6317">
        <v>6316</v>
      </c>
      <c r="B6317">
        <v>13</v>
      </c>
      <c r="C6317">
        <v>0</v>
      </c>
      <c r="D6317">
        <v>0</v>
      </c>
      <c r="E6317">
        <v>0</v>
      </c>
      <c r="F6317">
        <v>1603</v>
      </c>
    </row>
    <row r="6318" spans="1:6" x14ac:dyDescent="0.25">
      <c r="A6318">
        <v>6317</v>
      </c>
      <c r="B6318" t="s">
        <v>0</v>
      </c>
      <c r="C6318">
        <v>111</v>
      </c>
      <c r="D6318">
        <v>3484</v>
      </c>
      <c r="E6318">
        <v>80137428</v>
      </c>
    </row>
    <row r="6319" spans="1:6" x14ac:dyDescent="0.25">
      <c r="A6319">
        <v>6318</v>
      </c>
      <c r="B6319">
        <v>42</v>
      </c>
      <c r="C6319">
        <v>0</v>
      </c>
      <c r="D6319">
        <v>0</v>
      </c>
      <c r="E6319">
        <v>0</v>
      </c>
      <c r="F6319">
        <v>0.2</v>
      </c>
    </row>
    <row r="6320" spans="1:6" x14ac:dyDescent="0.25">
      <c r="A6320">
        <v>6319</v>
      </c>
      <c r="B6320">
        <v>43</v>
      </c>
      <c r="C6320">
        <v>0</v>
      </c>
      <c r="D6320">
        <v>0</v>
      </c>
      <c r="E6320">
        <v>0</v>
      </c>
      <c r="F6320">
        <v>0</v>
      </c>
    </row>
    <row r="6321" spans="1:6" x14ac:dyDescent="0.25">
      <c r="A6321">
        <v>6320</v>
      </c>
      <c r="B6321" t="s">
        <v>0</v>
      </c>
      <c r="C6321">
        <v>112</v>
      </c>
      <c r="D6321">
        <v>3484</v>
      </c>
      <c r="E6321">
        <v>80137626</v>
      </c>
    </row>
    <row r="6322" spans="1:6" x14ac:dyDescent="0.25">
      <c r="A6322">
        <v>6321</v>
      </c>
      <c r="B6322">
        <v>45</v>
      </c>
      <c r="C6322">
        <v>0</v>
      </c>
      <c r="D6322">
        <v>0</v>
      </c>
      <c r="E6322">
        <v>0</v>
      </c>
      <c r="F6322">
        <v>4399.75</v>
      </c>
    </row>
    <row r="6323" spans="1:6" x14ac:dyDescent="0.25">
      <c r="A6323">
        <v>6322</v>
      </c>
      <c r="B6323">
        <v>46</v>
      </c>
      <c r="C6323">
        <v>0</v>
      </c>
      <c r="D6323">
        <v>0</v>
      </c>
      <c r="E6323">
        <v>0</v>
      </c>
      <c r="F6323">
        <v>0</v>
      </c>
    </row>
    <row r="6324" spans="1:6" x14ac:dyDescent="0.25">
      <c r="A6324">
        <v>6323</v>
      </c>
      <c r="B6324" t="s">
        <v>0</v>
      </c>
      <c r="C6324">
        <v>113</v>
      </c>
      <c r="D6324">
        <v>3484</v>
      </c>
      <c r="E6324">
        <v>80137823</v>
      </c>
    </row>
    <row r="6325" spans="1:6" x14ac:dyDescent="0.25">
      <c r="A6325">
        <v>6324</v>
      </c>
      <c r="B6325">
        <v>10</v>
      </c>
      <c r="C6325">
        <v>1</v>
      </c>
      <c r="D6325">
        <v>0</v>
      </c>
      <c r="E6325">
        <v>0</v>
      </c>
      <c r="F6325">
        <v>8008</v>
      </c>
    </row>
    <row r="6326" spans="1:6" x14ac:dyDescent="0.25">
      <c r="A6326">
        <v>6325</v>
      </c>
      <c r="B6326">
        <v>13</v>
      </c>
      <c r="C6326">
        <v>0</v>
      </c>
      <c r="D6326">
        <v>0</v>
      </c>
      <c r="E6326">
        <v>0</v>
      </c>
      <c r="F6326">
        <v>1603</v>
      </c>
    </row>
    <row r="6327" spans="1:6" x14ac:dyDescent="0.25">
      <c r="A6327">
        <v>6326</v>
      </c>
      <c r="B6327" t="s">
        <v>0</v>
      </c>
      <c r="C6327">
        <v>114</v>
      </c>
      <c r="D6327">
        <v>3484</v>
      </c>
      <c r="E6327">
        <v>80138018</v>
      </c>
    </row>
    <row r="6328" spans="1:6" x14ac:dyDescent="0.25">
      <c r="A6328">
        <v>6327</v>
      </c>
      <c r="B6328">
        <v>42</v>
      </c>
      <c r="C6328">
        <v>0</v>
      </c>
      <c r="D6328">
        <v>0</v>
      </c>
      <c r="E6328">
        <v>0</v>
      </c>
      <c r="F6328">
        <v>0.2</v>
      </c>
    </row>
    <row r="6329" spans="1:6" x14ac:dyDescent="0.25">
      <c r="A6329">
        <v>6328</v>
      </c>
      <c r="B6329">
        <v>43</v>
      </c>
      <c r="C6329">
        <v>0</v>
      </c>
      <c r="D6329">
        <v>0</v>
      </c>
      <c r="E6329">
        <v>0</v>
      </c>
      <c r="F6329">
        <v>0</v>
      </c>
    </row>
    <row r="6330" spans="1:6" x14ac:dyDescent="0.25">
      <c r="A6330">
        <v>6329</v>
      </c>
      <c r="B6330">
        <v>44</v>
      </c>
      <c r="C6330">
        <v>0</v>
      </c>
      <c r="D6330">
        <v>0</v>
      </c>
      <c r="E6330">
        <v>0</v>
      </c>
      <c r="F6330">
        <v>-45.167400000000001</v>
      </c>
    </row>
    <row r="6331" spans="1:6" x14ac:dyDescent="0.25">
      <c r="A6331">
        <v>6330</v>
      </c>
      <c r="B6331">
        <v>45</v>
      </c>
      <c r="C6331">
        <v>0</v>
      </c>
      <c r="D6331">
        <v>0</v>
      </c>
      <c r="E6331">
        <v>0</v>
      </c>
      <c r="F6331">
        <v>545.16700000000003</v>
      </c>
    </row>
    <row r="6332" spans="1:6" x14ac:dyDescent="0.25">
      <c r="A6332">
        <v>6331</v>
      </c>
      <c r="B6332">
        <v>46</v>
      </c>
      <c r="C6332">
        <v>0</v>
      </c>
      <c r="D6332">
        <v>0</v>
      </c>
      <c r="E6332">
        <v>0</v>
      </c>
      <c r="F6332">
        <v>0</v>
      </c>
    </row>
    <row r="6333" spans="1:6" x14ac:dyDescent="0.25">
      <c r="A6333">
        <v>6332</v>
      </c>
      <c r="B6333">
        <v>2</v>
      </c>
      <c r="C6333">
        <v>0</v>
      </c>
      <c r="D6333">
        <v>0</v>
      </c>
      <c r="E6333">
        <v>0</v>
      </c>
      <c r="F6333">
        <v>151.25800000000001</v>
      </c>
    </row>
    <row r="6334" spans="1:6" x14ac:dyDescent="0.25">
      <c r="A6334">
        <v>6333</v>
      </c>
      <c r="B6334">
        <v>10</v>
      </c>
      <c r="C6334">
        <v>1</v>
      </c>
      <c r="D6334">
        <v>0</v>
      </c>
      <c r="E6334">
        <v>0</v>
      </c>
      <c r="F6334">
        <v>8242</v>
      </c>
    </row>
    <row r="6335" spans="1:6" x14ac:dyDescent="0.25">
      <c r="A6335">
        <v>6334</v>
      </c>
      <c r="B6335">
        <v>13</v>
      </c>
      <c r="C6335">
        <v>0</v>
      </c>
      <c r="D6335">
        <v>0</v>
      </c>
      <c r="E6335">
        <v>0</v>
      </c>
      <c r="F6335">
        <v>1603</v>
      </c>
    </row>
    <row r="6336" spans="1:6" x14ac:dyDescent="0.25">
      <c r="A6336">
        <v>6335</v>
      </c>
      <c r="B6336" t="s">
        <v>0</v>
      </c>
      <c r="C6336">
        <v>117</v>
      </c>
      <c r="D6336">
        <v>3484</v>
      </c>
      <c r="E6336">
        <v>80138597</v>
      </c>
    </row>
    <row r="6337" spans="1:6" x14ac:dyDescent="0.25">
      <c r="A6337">
        <v>6336</v>
      </c>
      <c r="B6337">
        <v>42</v>
      </c>
      <c r="C6337">
        <v>0</v>
      </c>
      <c r="D6337">
        <v>0</v>
      </c>
      <c r="E6337">
        <v>0</v>
      </c>
      <c r="F6337">
        <v>0.2</v>
      </c>
    </row>
    <row r="6338" spans="1:6" x14ac:dyDescent="0.25">
      <c r="A6338">
        <v>6337</v>
      </c>
      <c r="B6338">
        <v>43</v>
      </c>
      <c r="C6338">
        <v>0</v>
      </c>
      <c r="D6338">
        <v>0</v>
      </c>
      <c r="E6338">
        <v>0</v>
      </c>
      <c r="F6338">
        <v>0</v>
      </c>
    </row>
    <row r="6339" spans="1:6" x14ac:dyDescent="0.25">
      <c r="A6339">
        <v>6338</v>
      </c>
      <c r="B6339" t="s">
        <v>0</v>
      </c>
      <c r="C6339">
        <v>118</v>
      </c>
      <c r="D6339">
        <v>3484</v>
      </c>
      <c r="E6339">
        <v>80138788</v>
      </c>
    </row>
    <row r="6340" spans="1:6" x14ac:dyDescent="0.25">
      <c r="A6340">
        <v>6339</v>
      </c>
      <c r="B6340">
        <v>45</v>
      </c>
      <c r="C6340">
        <v>0</v>
      </c>
      <c r="D6340">
        <v>0</v>
      </c>
      <c r="E6340">
        <v>0</v>
      </c>
      <c r="F6340">
        <v>545.16499999999996</v>
      </c>
    </row>
    <row r="6341" spans="1:6" x14ac:dyDescent="0.25">
      <c r="A6341">
        <v>6340</v>
      </c>
      <c r="B6341">
        <v>46</v>
      </c>
      <c r="C6341">
        <v>0</v>
      </c>
      <c r="D6341">
        <v>0</v>
      </c>
      <c r="E6341">
        <v>0</v>
      </c>
      <c r="F6341">
        <v>0</v>
      </c>
    </row>
    <row r="6342" spans="1:6" x14ac:dyDescent="0.25">
      <c r="A6342">
        <v>6341</v>
      </c>
      <c r="B6342" t="s">
        <v>0</v>
      </c>
      <c r="C6342">
        <v>119</v>
      </c>
      <c r="D6342">
        <v>3484</v>
      </c>
      <c r="E6342">
        <v>80138978</v>
      </c>
    </row>
    <row r="6343" spans="1:6" x14ac:dyDescent="0.25">
      <c r="A6343">
        <v>6342</v>
      </c>
      <c r="B6343">
        <v>2</v>
      </c>
      <c r="C6343">
        <v>0</v>
      </c>
      <c r="D6343">
        <v>0</v>
      </c>
      <c r="E6343">
        <v>0</v>
      </c>
      <c r="F6343">
        <v>155.417</v>
      </c>
    </row>
    <row r="6344" spans="1:6" x14ac:dyDescent="0.25">
      <c r="A6344">
        <v>6343</v>
      </c>
      <c r="B6344">
        <v>10</v>
      </c>
      <c r="C6344">
        <v>1</v>
      </c>
      <c r="D6344">
        <v>0</v>
      </c>
      <c r="E6344">
        <v>0</v>
      </c>
      <c r="F6344">
        <v>8062</v>
      </c>
    </row>
    <row r="6345" spans="1:6" x14ac:dyDescent="0.25">
      <c r="A6345">
        <v>6344</v>
      </c>
      <c r="B6345">
        <v>13</v>
      </c>
      <c r="C6345">
        <v>0</v>
      </c>
      <c r="D6345">
        <v>0</v>
      </c>
      <c r="E6345">
        <v>0</v>
      </c>
      <c r="F6345">
        <v>1603</v>
      </c>
    </row>
    <row r="6346" spans="1:6" x14ac:dyDescent="0.25">
      <c r="A6346">
        <v>6345</v>
      </c>
      <c r="B6346" t="s">
        <v>0</v>
      </c>
      <c r="C6346">
        <v>120</v>
      </c>
      <c r="D6346">
        <v>3484</v>
      </c>
      <c r="E6346">
        <v>80139167</v>
      </c>
    </row>
    <row r="6347" spans="1:6" x14ac:dyDescent="0.25">
      <c r="A6347">
        <v>6346</v>
      </c>
      <c r="B6347">
        <v>41</v>
      </c>
      <c r="C6347">
        <v>0</v>
      </c>
      <c r="D6347">
        <v>0</v>
      </c>
      <c r="E6347">
        <v>0</v>
      </c>
      <c r="F6347">
        <v>1</v>
      </c>
    </row>
    <row r="6348" spans="1:6" x14ac:dyDescent="0.25">
      <c r="A6348">
        <v>6347</v>
      </c>
      <c r="B6348">
        <v>42</v>
      </c>
      <c r="C6348">
        <v>0</v>
      </c>
      <c r="D6348">
        <v>0</v>
      </c>
      <c r="E6348">
        <v>0</v>
      </c>
      <c r="F6348">
        <v>0.2</v>
      </c>
    </row>
    <row r="6349" spans="1:6" x14ac:dyDescent="0.25">
      <c r="A6349">
        <v>6348</v>
      </c>
      <c r="B6349">
        <v>43</v>
      </c>
      <c r="C6349">
        <v>0</v>
      </c>
      <c r="D6349">
        <v>0</v>
      </c>
      <c r="E6349">
        <v>0</v>
      </c>
      <c r="F6349">
        <v>0</v>
      </c>
    </row>
    <row r="6350" spans="1:6" x14ac:dyDescent="0.25">
      <c r="A6350">
        <v>6349</v>
      </c>
      <c r="B6350">
        <v>44</v>
      </c>
      <c r="C6350">
        <v>0</v>
      </c>
      <c r="D6350">
        <v>0</v>
      </c>
      <c r="E6350">
        <v>0</v>
      </c>
      <c r="F6350">
        <v>-6.9397099999999998</v>
      </c>
    </row>
    <row r="6351" spans="1:6" x14ac:dyDescent="0.25">
      <c r="A6351">
        <v>6350</v>
      </c>
      <c r="B6351">
        <v>45</v>
      </c>
      <c r="C6351">
        <v>0</v>
      </c>
      <c r="D6351">
        <v>0</v>
      </c>
      <c r="E6351">
        <v>0</v>
      </c>
      <c r="F6351">
        <v>545.16099999999994</v>
      </c>
    </row>
    <row r="6352" spans="1:6" x14ac:dyDescent="0.25">
      <c r="A6352">
        <v>6351</v>
      </c>
      <c r="B6352">
        <v>46</v>
      </c>
      <c r="C6352">
        <v>0</v>
      </c>
      <c r="D6352">
        <v>0</v>
      </c>
      <c r="E6352">
        <v>0</v>
      </c>
      <c r="F6352">
        <v>0</v>
      </c>
    </row>
    <row r="6353" spans="1:6" x14ac:dyDescent="0.25">
      <c r="A6353">
        <v>6352</v>
      </c>
      <c r="B6353">
        <v>2</v>
      </c>
      <c r="C6353">
        <v>0</v>
      </c>
      <c r="D6353">
        <v>0</v>
      </c>
      <c r="E6353">
        <v>0</v>
      </c>
      <c r="F6353">
        <v>158.48400000000001</v>
      </c>
    </row>
    <row r="6354" spans="1:6" x14ac:dyDescent="0.25">
      <c r="A6354">
        <v>6353</v>
      </c>
      <c r="B6354">
        <v>10</v>
      </c>
      <c r="C6354">
        <v>1</v>
      </c>
      <c r="D6354">
        <v>0</v>
      </c>
      <c r="E6354">
        <v>0</v>
      </c>
      <c r="F6354">
        <v>7890</v>
      </c>
    </row>
    <row r="6355" spans="1:6" x14ac:dyDescent="0.25">
      <c r="A6355">
        <v>6354</v>
      </c>
      <c r="B6355" t="s">
        <v>0</v>
      </c>
      <c r="C6355">
        <v>123</v>
      </c>
      <c r="D6355">
        <v>3484</v>
      </c>
      <c r="E6355">
        <v>80139728</v>
      </c>
    </row>
    <row r="6356" spans="1:6" x14ac:dyDescent="0.25">
      <c r="A6356">
        <v>6355</v>
      </c>
      <c r="B6356">
        <v>41</v>
      </c>
      <c r="C6356">
        <v>0</v>
      </c>
      <c r="D6356">
        <v>0</v>
      </c>
      <c r="E6356">
        <v>0</v>
      </c>
      <c r="F6356">
        <v>1</v>
      </c>
    </row>
    <row r="6357" spans="1:6" x14ac:dyDescent="0.25">
      <c r="A6357">
        <v>6356</v>
      </c>
      <c r="B6357">
        <v>42</v>
      </c>
      <c r="C6357">
        <v>0</v>
      </c>
      <c r="D6357">
        <v>0</v>
      </c>
      <c r="E6357">
        <v>0</v>
      </c>
      <c r="F6357">
        <v>0.2</v>
      </c>
    </row>
    <row r="6358" spans="1:6" x14ac:dyDescent="0.25">
      <c r="A6358">
        <v>6357</v>
      </c>
      <c r="B6358" t="s">
        <v>0</v>
      </c>
      <c r="C6358">
        <v>124</v>
      </c>
      <c r="D6358">
        <v>3484</v>
      </c>
      <c r="E6358">
        <v>80139913</v>
      </c>
    </row>
    <row r="6359" spans="1:6" x14ac:dyDescent="0.25">
      <c r="A6359">
        <v>6358</v>
      </c>
      <c r="B6359">
        <v>44</v>
      </c>
      <c r="C6359">
        <v>0</v>
      </c>
      <c r="D6359">
        <v>0</v>
      </c>
      <c r="E6359">
        <v>0</v>
      </c>
      <c r="F6359">
        <v>-9.8218200000000007</v>
      </c>
    </row>
    <row r="6360" spans="1:6" x14ac:dyDescent="0.25">
      <c r="A6360">
        <v>6359</v>
      </c>
      <c r="B6360">
        <v>45</v>
      </c>
      <c r="C6360">
        <v>0</v>
      </c>
      <c r="D6360">
        <v>0</v>
      </c>
      <c r="E6360">
        <v>0</v>
      </c>
      <c r="F6360">
        <v>545.15499999999997</v>
      </c>
    </row>
    <row r="6361" spans="1:6" x14ac:dyDescent="0.25">
      <c r="A6361">
        <v>6360</v>
      </c>
      <c r="B6361" t="s">
        <v>0</v>
      </c>
      <c r="C6361">
        <v>125</v>
      </c>
      <c r="D6361">
        <v>3484</v>
      </c>
      <c r="E6361">
        <v>80140097</v>
      </c>
    </row>
    <row r="6362" spans="1:6" x14ac:dyDescent="0.25">
      <c r="A6362">
        <v>6361</v>
      </c>
      <c r="B6362">
        <v>46</v>
      </c>
      <c r="C6362">
        <v>0</v>
      </c>
      <c r="D6362">
        <v>0</v>
      </c>
      <c r="E6362">
        <v>0</v>
      </c>
      <c r="F6362">
        <v>0</v>
      </c>
    </row>
    <row r="6363" spans="1:6" x14ac:dyDescent="0.25">
      <c r="A6363">
        <v>6362</v>
      </c>
      <c r="B6363">
        <v>2</v>
      </c>
      <c r="C6363">
        <v>0</v>
      </c>
      <c r="D6363">
        <v>0</v>
      </c>
      <c r="E6363">
        <v>0</v>
      </c>
      <c r="F6363">
        <v>161.5</v>
      </c>
    </row>
    <row r="6364" spans="1:6" x14ac:dyDescent="0.25">
      <c r="A6364">
        <v>6363</v>
      </c>
      <c r="B6364">
        <v>10</v>
      </c>
      <c r="C6364">
        <v>1</v>
      </c>
      <c r="D6364">
        <v>0</v>
      </c>
      <c r="E6364">
        <v>0</v>
      </c>
      <c r="F6364">
        <v>7691</v>
      </c>
    </row>
    <row r="6365" spans="1:6" x14ac:dyDescent="0.25">
      <c r="A6365">
        <v>6364</v>
      </c>
      <c r="B6365">
        <v>13</v>
      </c>
      <c r="C6365">
        <v>0</v>
      </c>
      <c r="D6365">
        <v>0</v>
      </c>
      <c r="E6365">
        <v>0</v>
      </c>
      <c r="F6365">
        <v>1603</v>
      </c>
    </row>
    <row r="6366" spans="1:6" x14ac:dyDescent="0.25">
      <c r="A6366">
        <v>6365</v>
      </c>
      <c r="B6366">
        <v>41</v>
      </c>
      <c r="C6366">
        <v>0</v>
      </c>
      <c r="D6366">
        <v>0</v>
      </c>
      <c r="E6366">
        <v>0</v>
      </c>
      <c r="F6366">
        <v>1</v>
      </c>
    </row>
    <row r="6367" spans="1:6" x14ac:dyDescent="0.25">
      <c r="A6367">
        <v>6366</v>
      </c>
      <c r="B6367">
        <v>42</v>
      </c>
      <c r="C6367">
        <v>0</v>
      </c>
      <c r="D6367">
        <v>0</v>
      </c>
      <c r="E6367">
        <v>0</v>
      </c>
      <c r="F6367">
        <v>0.2</v>
      </c>
    </row>
    <row r="6368" spans="1:6" x14ac:dyDescent="0.25">
      <c r="A6368">
        <v>6367</v>
      </c>
      <c r="B6368">
        <v>43</v>
      </c>
      <c r="C6368">
        <v>0</v>
      </c>
      <c r="D6368">
        <v>0</v>
      </c>
      <c r="E6368">
        <v>0</v>
      </c>
      <c r="F6368">
        <v>0</v>
      </c>
    </row>
    <row r="6369" spans="1:6" x14ac:dyDescent="0.25">
      <c r="A6369">
        <v>6368</v>
      </c>
      <c r="B6369">
        <v>44</v>
      </c>
      <c r="C6369">
        <v>0</v>
      </c>
      <c r="D6369">
        <v>0</v>
      </c>
      <c r="E6369">
        <v>0</v>
      </c>
      <c r="F6369">
        <v>-12.685</v>
      </c>
    </row>
    <row r="6370" spans="1:6" x14ac:dyDescent="0.25">
      <c r="A6370">
        <v>6369</v>
      </c>
      <c r="B6370" t="s">
        <v>0</v>
      </c>
      <c r="C6370">
        <v>128</v>
      </c>
      <c r="D6370">
        <v>3484</v>
      </c>
      <c r="E6370">
        <v>80140644</v>
      </c>
    </row>
    <row r="6371" spans="1:6" x14ac:dyDescent="0.25">
      <c r="A6371">
        <v>6370</v>
      </c>
      <c r="B6371">
        <v>46</v>
      </c>
      <c r="C6371">
        <v>0</v>
      </c>
      <c r="D6371">
        <v>0</v>
      </c>
      <c r="E6371">
        <v>0</v>
      </c>
      <c r="F6371">
        <v>0</v>
      </c>
    </row>
    <row r="6372" spans="1:6" x14ac:dyDescent="0.25">
      <c r="A6372">
        <v>6371</v>
      </c>
      <c r="B6372">
        <v>2</v>
      </c>
      <c r="C6372">
        <v>0</v>
      </c>
      <c r="D6372">
        <v>0</v>
      </c>
      <c r="E6372">
        <v>0</v>
      </c>
      <c r="F6372">
        <v>164.477</v>
      </c>
    </row>
    <row r="6373" spans="1:6" x14ac:dyDescent="0.25">
      <c r="A6373">
        <v>6372</v>
      </c>
      <c r="B6373" t="s">
        <v>0</v>
      </c>
      <c r="C6373">
        <v>129</v>
      </c>
      <c r="D6373">
        <v>3484</v>
      </c>
      <c r="E6373">
        <v>80140824</v>
      </c>
    </row>
    <row r="6374" spans="1:6" x14ac:dyDescent="0.25">
      <c r="A6374">
        <v>6373</v>
      </c>
      <c r="B6374">
        <v>10</v>
      </c>
      <c r="C6374">
        <v>1</v>
      </c>
      <c r="D6374">
        <v>0</v>
      </c>
      <c r="E6374">
        <v>0</v>
      </c>
      <c r="F6374">
        <v>7528</v>
      </c>
    </row>
    <row r="6375" spans="1:6" x14ac:dyDescent="0.25">
      <c r="A6375">
        <v>6374</v>
      </c>
      <c r="B6375">
        <v>13</v>
      </c>
      <c r="C6375">
        <v>0</v>
      </c>
      <c r="D6375">
        <v>0</v>
      </c>
      <c r="E6375">
        <v>0</v>
      </c>
      <c r="F6375">
        <v>1603</v>
      </c>
    </row>
    <row r="6376" spans="1:6" x14ac:dyDescent="0.25">
      <c r="A6376">
        <v>6375</v>
      </c>
      <c r="B6376">
        <v>41</v>
      </c>
      <c r="C6376">
        <v>0</v>
      </c>
      <c r="D6376">
        <v>0</v>
      </c>
      <c r="E6376">
        <v>0</v>
      </c>
      <c r="F6376">
        <v>1</v>
      </c>
    </row>
    <row r="6377" spans="1:6" x14ac:dyDescent="0.25">
      <c r="A6377">
        <v>6376</v>
      </c>
      <c r="B6377">
        <v>42</v>
      </c>
      <c r="C6377">
        <v>0</v>
      </c>
      <c r="D6377">
        <v>0</v>
      </c>
      <c r="E6377">
        <v>0</v>
      </c>
      <c r="F6377">
        <v>0.2</v>
      </c>
    </row>
    <row r="6378" spans="1:6" x14ac:dyDescent="0.25">
      <c r="A6378">
        <v>6377</v>
      </c>
      <c r="B6378">
        <v>43</v>
      </c>
      <c r="C6378">
        <v>0</v>
      </c>
      <c r="D6378">
        <v>0</v>
      </c>
      <c r="E6378">
        <v>0</v>
      </c>
      <c r="F6378">
        <v>0</v>
      </c>
    </row>
    <row r="6379" spans="1:6" x14ac:dyDescent="0.25">
      <c r="A6379">
        <v>6378</v>
      </c>
      <c r="B6379" t="s">
        <v>0</v>
      </c>
      <c r="C6379">
        <v>131</v>
      </c>
      <c r="D6379">
        <v>3484</v>
      </c>
      <c r="E6379">
        <v>80141181</v>
      </c>
    </row>
    <row r="6380" spans="1:6" x14ac:dyDescent="0.25">
      <c r="A6380">
        <v>6379</v>
      </c>
      <c r="B6380">
        <v>45</v>
      </c>
      <c r="C6380">
        <v>0</v>
      </c>
      <c r="D6380">
        <v>0</v>
      </c>
      <c r="E6380">
        <v>0</v>
      </c>
      <c r="F6380">
        <v>545.13400000000001</v>
      </c>
    </row>
    <row r="6381" spans="1:6" x14ac:dyDescent="0.25">
      <c r="A6381">
        <v>6380</v>
      </c>
      <c r="B6381">
        <v>46</v>
      </c>
      <c r="C6381">
        <v>0</v>
      </c>
      <c r="D6381">
        <v>0</v>
      </c>
      <c r="E6381">
        <v>0</v>
      </c>
      <c r="F6381">
        <v>0</v>
      </c>
    </row>
    <row r="6382" spans="1:6" x14ac:dyDescent="0.25">
      <c r="A6382">
        <v>6381</v>
      </c>
      <c r="B6382" t="s">
        <v>0</v>
      </c>
      <c r="C6382">
        <v>132</v>
      </c>
      <c r="D6382">
        <v>3484</v>
      </c>
      <c r="E6382">
        <v>80141359</v>
      </c>
    </row>
    <row r="6383" spans="1:6" x14ac:dyDescent="0.25">
      <c r="A6383">
        <v>6382</v>
      </c>
      <c r="B6383">
        <v>2</v>
      </c>
      <c r="C6383">
        <v>0</v>
      </c>
      <c r="D6383">
        <v>0</v>
      </c>
      <c r="E6383">
        <v>0</v>
      </c>
      <c r="F6383">
        <v>168.40700000000001</v>
      </c>
    </row>
    <row r="6384" spans="1:6" x14ac:dyDescent="0.25">
      <c r="A6384">
        <v>6383</v>
      </c>
      <c r="B6384">
        <v>10</v>
      </c>
      <c r="C6384">
        <v>1</v>
      </c>
      <c r="D6384">
        <v>0</v>
      </c>
      <c r="E6384">
        <v>0</v>
      </c>
      <c r="F6384">
        <v>7321</v>
      </c>
    </row>
    <row r="6385" spans="1:6" x14ac:dyDescent="0.25">
      <c r="A6385">
        <v>6384</v>
      </c>
      <c r="B6385">
        <v>13</v>
      </c>
      <c r="C6385">
        <v>0</v>
      </c>
      <c r="D6385">
        <v>0</v>
      </c>
      <c r="E6385">
        <v>0</v>
      </c>
      <c r="F6385">
        <v>1603</v>
      </c>
    </row>
    <row r="6386" spans="1:6" x14ac:dyDescent="0.25">
      <c r="A6386">
        <v>6385</v>
      </c>
      <c r="B6386">
        <v>41</v>
      </c>
      <c r="C6386">
        <v>0</v>
      </c>
      <c r="D6386">
        <v>0</v>
      </c>
      <c r="E6386">
        <v>0</v>
      </c>
      <c r="F6386">
        <v>1</v>
      </c>
    </row>
    <row r="6387" spans="1:6" x14ac:dyDescent="0.25">
      <c r="A6387">
        <v>6386</v>
      </c>
      <c r="B6387">
        <v>42</v>
      </c>
      <c r="C6387">
        <v>0</v>
      </c>
      <c r="D6387">
        <v>0</v>
      </c>
      <c r="E6387">
        <v>0</v>
      </c>
      <c r="F6387">
        <v>0.2</v>
      </c>
    </row>
    <row r="6388" spans="1:6" x14ac:dyDescent="0.25">
      <c r="A6388">
        <v>6387</v>
      </c>
      <c r="B6388" t="s">
        <v>0</v>
      </c>
      <c r="C6388">
        <v>134</v>
      </c>
      <c r="D6388">
        <v>3484</v>
      </c>
      <c r="E6388">
        <v>80141713</v>
      </c>
    </row>
    <row r="6389" spans="1:6" x14ac:dyDescent="0.25">
      <c r="A6389">
        <v>6388</v>
      </c>
      <c r="B6389">
        <v>44</v>
      </c>
      <c r="C6389">
        <v>0</v>
      </c>
      <c r="D6389">
        <v>0</v>
      </c>
      <c r="E6389">
        <v>0</v>
      </c>
      <c r="F6389">
        <v>-19.225300000000001</v>
      </c>
    </row>
    <row r="6390" spans="1:6" x14ac:dyDescent="0.25">
      <c r="A6390">
        <v>6389</v>
      </c>
      <c r="B6390">
        <v>45</v>
      </c>
      <c r="C6390">
        <v>0</v>
      </c>
      <c r="D6390">
        <v>0</v>
      </c>
      <c r="E6390">
        <v>0</v>
      </c>
      <c r="F6390">
        <v>545.12300000000005</v>
      </c>
    </row>
    <row r="6391" spans="1:6" x14ac:dyDescent="0.25">
      <c r="A6391">
        <v>6390</v>
      </c>
      <c r="B6391" t="s">
        <v>0</v>
      </c>
      <c r="C6391">
        <v>135</v>
      </c>
      <c r="D6391">
        <v>3484</v>
      </c>
      <c r="E6391">
        <v>80141888</v>
      </c>
    </row>
    <row r="6392" spans="1:6" x14ac:dyDescent="0.25">
      <c r="A6392">
        <v>6391</v>
      </c>
      <c r="B6392">
        <v>46</v>
      </c>
      <c r="C6392">
        <v>0</v>
      </c>
      <c r="D6392">
        <v>0</v>
      </c>
      <c r="E6392">
        <v>0</v>
      </c>
      <c r="F6392">
        <v>0</v>
      </c>
    </row>
    <row r="6393" spans="1:6" x14ac:dyDescent="0.25">
      <c r="A6393">
        <v>6392</v>
      </c>
      <c r="B6393">
        <v>2</v>
      </c>
      <c r="C6393">
        <v>0</v>
      </c>
      <c r="D6393">
        <v>0</v>
      </c>
      <c r="E6393">
        <v>0</v>
      </c>
      <c r="F6393">
        <v>171.328</v>
      </c>
    </row>
    <row r="6394" spans="1:6" x14ac:dyDescent="0.25">
      <c r="A6394">
        <v>6393</v>
      </c>
      <c r="B6394">
        <v>10</v>
      </c>
      <c r="C6394">
        <v>1</v>
      </c>
      <c r="D6394">
        <v>0</v>
      </c>
      <c r="E6394">
        <v>0</v>
      </c>
      <c r="F6394">
        <v>7173</v>
      </c>
    </row>
    <row r="6395" spans="1:6" x14ac:dyDescent="0.25">
      <c r="A6395">
        <v>6394</v>
      </c>
      <c r="B6395">
        <v>13</v>
      </c>
      <c r="C6395">
        <v>0</v>
      </c>
      <c r="D6395">
        <v>0</v>
      </c>
      <c r="E6395">
        <v>0</v>
      </c>
      <c r="F6395">
        <v>1603</v>
      </c>
    </row>
    <row r="6396" spans="1:6" x14ac:dyDescent="0.25">
      <c r="A6396">
        <v>6395</v>
      </c>
      <c r="B6396">
        <v>41</v>
      </c>
      <c r="C6396">
        <v>0</v>
      </c>
      <c r="D6396">
        <v>0</v>
      </c>
      <c r="E6396">
        <v>0</v>
      </c>
      <c r="F6396">
        <v>1</v>
      </c>
    </row>
    <row r="6397" spans="1:6" x14ac:dyDescent="0.25">
      <c r="A6397">
        <v>6396</v>
      </c>
      <c r="B6397" t="s">
        <v>0</v>
      </c>
      <c r="C6397">
        <v>137</v>
      </c>
      <c r="D6397">
        <v>3484</v>
      </c>
      <c r="E6397">
        <v>80142235</v>
      </c>
    </row>
    <row r="6398" spans="1:6" x14ac:dyDescent="0.25">
      <c r="A6398">
        <v>6397</v>
      </c>
      <c r="B6398">
        <v>43</v>
      </c>
      <c r="C6398">
        <v>0</v>
      </c>
      <c r="D6398">
        <v>0</v>
      </c>
      <c r="E6398">
        <v>0</v>
      </c>
      <c r="F6398">
        <v>0</v>
      </c>
    </row>
    <row r="6399" spans="1:6" x14ac:dyDescent="0.25">
      <c r="A6399">
        <v>6398</v>
      </c>
      <c r="B6399">
        <v>44</v>
      </c>
      <c r="C6399">
        <v>0</v>
      </c>
      <c r="D6399">
        <v>0</v>
      </c>
      <c r="E6399">
        <v>0</v>
      </c>
      <c r="F6399">
        <v>-22.005199999999999</v>
      </c>
    </row>
    <row r="6400" spans="1:6" x14ac:dyDescent="0.25">
      <c r="A6400">
        <v>6399</v>
      </c>
      <c r="B6400">
        <v>45</v>
      </c>
      <c r="C6400">
        <v>0</v>
      </c>
      <c r="D6400">
        <v>0</v>
      </c>
      <c r="E6400">
        <v>0</v>
      </c>
      <c r="F6400">
        <v>545.10400000000004</v>
      </c>
    </row>
    <row r="6401" spans="1:6" x14ac:dyDescent="0.25">
      <c r="A6401">
        <v>6400</v>
      </c>
      <c r="B6401">
        <v>46</v>
      </c>
      <c r="C6401">
        <v>0</v>
      </c>
      <c r="D6401">
        <v>0</v>
      </c>
      <c r="E6401">
        <v>0</v>
      </c>
      <c r="F6401">
        <v>0</v>
      </c>
    </row>
    <row r="6402" spans="1:6" x14ac:dyDescent="0.25">
      <c r="A6402">
        <v>6401</v>
      </c>
      <c r="B6402" t="s">
        <v>0</v>
      </c>
      <c r="C6402">
        <v>139</v>
      </c>
      <c r="D6402">
        <v>3484</v>
      </c>
      <c r="E6402">
        <v>80142579</v>
      </c>
    </row>
    <row r="6403" spans="1:6" x14ac:dyDescent="0.25">
      <c r="A6403">
        <v>6402</v>
      </c>
      <c r="B6403">
        <v>10</v>
      </c>
      <c r="C6403">
        <v>1</v>
      </c>
      <c r="D6403">
        <v>0</v>
      </c>
      <c r="E6403">
        <v>0</v>
      </c>
      <c r="F6403">
        <v>6986</v>
      </c>
    </row>
    <row r="6404" spans="1:6" x14ac:dyDescent="0.25">
      <c r="A6404">
        <v>6403</v>
      </c>
      <c r="B6404">
        <v>13</v>
      </c>
      <c r="C6404">
        <v>0</v>
      </c>
      <c r="D6404">
        <v>0</v>
      </c>
      <c r="E6404">
        <v>0</v>
      </c>
      <c r="F6404">
        <v>1603</v>
      </c>
    </row>
    <row r="6405" spans="1:6" x14ac:dyDescent="0.25">
      <c r="A6405">
        <v>6404</v>
      </c>
      <c r="B6405" t="s">
        <v>0</v>
      </c>
      <c r="C6405">
        <v>140</v>
      </c>
      <c r="D6405">
        <v>3484</v>
      </c>
      <c r="E6405">
        <v>80142750</v>
      </c>
    </row>
    <row r="6406" spans="1:6" x14ac:dyDescent="0.25">
      <c r="A6406">
        <v>6405</v>
      </c>
      <c r="B6406">
        <v>41</v>
      </c>
      <c r="C6406">
        <v>0</v>
      </c>
      <c r="D6406">
        <v>0</v>
      </c>
      <c r="E6406">
        <v>0</v>
      </c>
      <c r="F6406">
        <v>1</v>
      </c>
    </row>
    <row r="6407" spans="1:6" x14ac:dyDescent="0.25">
      <c r="A6407">
        <v>6406</v>
      </c>
      <c r="B6407">
        <v>42</v>
      </c>
      <c r="C6407">
        <v>0</v>
      </c>
      <c r="D6407">
        <v>0</v>
      </c>
      <c r="E6407">
        <v>0</v>
      </c>
      <c r="F6407">
        <v>0.2</v>
      </c>
    </row>
    <row r="6408" spans="1:6" x14ac:dyDescent="0.25">
      <c r="A6408">
        <v>6407</v>
      </c>
      <c r="B6408" t="s">
        <v>0</v>
      </c>
      <c r="C6408">
        <v>141</v>
      </c>
      <c r="D6408">
        <v>3484</v>
      </c>
      <c r="E6408">
        <v>80142920</v>
      </c>
    </row>
    <row r="6409" spans="1:6" x14ac:dyDescent="0.25">
      <c r="A6409">
        <v>6408</v>
      </c>
      <c r="B6409">
        <v>44</v>
      </c>
      <c r="C6409">
        <v>0</v>
      </c>
      <c r="D6409">
        <v>0</v>
      </c>
      <c r="E6409">
        <v>0</v>
      </c>
      <c r="F6409">
        <v>-25.657399999999999</v>
      </c>
    </row>
    <row r="6410" spans="1:6" x14ac:dyDescent="0.25">
      <c r="A6410">
        <v>6409</v>
      </c>
      <c r="B6410">
        <v>45</v>
      </c>
      <c r="C6410">
        <v>0</v>
      </c>
      <c r="D6410">
        <v>0</v>
      </c>
      <c r="E6410">
        <v>0</v>
      </c>
      <c r="F6410">
        <v>545.08900000000006</v>
      </c>
    </row>
    <row r="6411" spans="1:6" x14ac:dyDescent="0.25">
      <c r="A6411">
        <v>6410</v>
      </c>
      <c r="B6411" t="s">
        <v>0</v>
      </c>
      <c r="C6411">
        <v>142</v>
      </c>
      <c r="D6411">
        <v>3484</v>
      </c>
      <c r="E6411">
        <v>80143089</v>
      </c>
    </row>
    <row r="6412" spans="1:6" x14ac:dyDescent="0.25">
      <c r="A6412">
        <v>6411</v>
      </c>
      <c r="B6412">
        <v>46</v>
      </c>
      <c r="C6412">
        <v>0</v>
      </c>
      <c r="D6412">
        <v>0</v>
      </c>
      <c r="E6412">
        <v>0</v>
      </c>
      <c r="F6412">
        <v>0</v>
      </c>
    </row>
    <row r="6413" spans="1:6" x14ac:dyDescent="0.25">
      <c r="A6413">
        <v>6412</v>
      </c>
      <c r="B6413">
        <v>2</v>
      </c>
      <c r="C6413">
        <v>0</v>
      </c>
      <c r="D6413">
        <v>0</v>
      </c>
      <c r="E6413">
        <v>0</v>
      </c>
      <c r="F6413">
        <v>178.042</v>
      </c>
    </row>
    <row r="6414" spans="1:6" x14ac:dyDescent="0.25">
      <c r="A6414">
        <v>6413</v>
      </c>
      <c r="B6414">
        <v>10</v>
      </c>
      <c r="C6414">
        <v>1</v>
      </c>
      <c r="D6414">
        <v>0</v>
      </c>
      <c r="E6414">
        <v>0</v>
      </c>
      <c r="F6414">
        <v>6853</v>
      </c>
    </row>
    <row r="6415" spans="1:6" x14ac:dyDescent="0.25">
      <c r="A6415">
        <v>6414</v>
      </c>
      <c r="B6415">
        <v>13</v>
      </c>
      <c r="C6415">
        <v>0</v>
      </c>
      <c r="D6415">
        <v>0</v>
      </c>
      <c r="E6415">
        <v>0</v>
      </c>
      <c r="F6415">
        <v>1603</v>
      </c>
    </row>
    <row r="6416" spans="1:6" x14ac:dyDescent="0.25">
      <c r="A6416">
        <v>6415</v>
      </c>
      <c r="B6416">
        <v>41</v>
      </c>
      <c r="C6416">
        <v>0</v>
      </c>
      <c r="D6416">
        <v>0</v>
      </c>
      <c r="E6416">
        <v>0</v>
      </c>
      <c r="F6416">
        <v>1</v>
      </c>
    </row>
    <row r="6417" spans="1:6" x14ac:dyDescent="0.25">
      <c r="A6417">
        <v>6416</v>
      </c>
      <c r="B6417" t="s">
        <v>0</v>
      </c>
      <c r="C6417">
        <v>144</v>
      </c>
      <c r="D6417">
        <v>3484</v>
      </c>
      <c r="E6417">
        <v>80143425</v>
      </c>
    </row>
    <row r="6418" spans="1:6" x14ac:dyDescent="0.25">
      <c r="A6418">
        <v>6417</v>
      </c>
      <c r="B6418">
        <v>42</v>
      </c>
      <c r="C6418">
        <v>0</v>
      </c>
      <c r="D6418">
        <v>0</v>
      </c>
      <c r="E6418">
        <v>0</v>
      </c>
      <c r="F6418">
        <v>0.2</v>
      </c>
    </row>
    <row r="6419" spans="1:6" x14ac:dyDescent="0.25">
      <c r="A6419">
        <v>6418</v>
      </c>
      <c r="B6419">
        <v>43</v>
      </c>
      <c r="C6419">
        <v>0</v>
      </c>
      <c r="D6419">
        <v>0</v>
      </c>
      <c r="E6419">
        <v>0</v>
      </c>
      <c r="F6419">
        <v>0</v>
      </c>
    </row>
    <row r="6420" spans="1:6" x14ac:dyDescent="0.25">
      <c r="A6420">
        <v>6419</v>
      </c>
      <c r="B6420">
        <v>44</v>
      </c>
      <c r="C6420">
        <v>0</v>
      </c>
      <c r="D6420">
        <v>0</v>
      </c>
      <c r="E6420">
        <v>0</v>
      </c>
      <c r="F6420">
        <v>-28.388200000000001</v>
      </c>
    </row>
    <row r="6421" spans="1:6" x14ac:dyDescent="0.25">
      <c r="A6421">
        <v>6420</v>
      </c>
      <c r="B6421">
        <v>45</v>
      </c>
      <c r="C6421">
        <v>0</v>
      </c>
      <c r="D6421">
        <v>0</v>
      </c>
      <c r="E6421">
        <v>0</v>
      </c>
      <c r="F6421">
        <v>545.06700000000001</v>
      </c>
    </row>
    <row r="6422" spans="1:6" x14ac:dyDescent="0.25">
      <c r="A6422">
        <v>6421</v>
      </c>
      <c r="B6422">
        <v>46</v>
      </c>
      <c r="C6422">
        <v>0</v>
      </c>
      <c r="D6422">
        <v>0</v>
      </c>
      <c r="E6422">
        <v>0</v>
      </c>
      <c r="F6422">
        <v>0</v>
      </c>
    </row>
    <row r="6423" spans="1:6" x14ac:dyDescent="0.25">
      <c r="A6423">
        <v>6422</v>
      </c>
      <c r="B6423" t="s">
        <v>0</v>
      </c>
      <c r="C6423">
        <v>146</v>
      </c>
      <c r="D6423">
        <v>3484</v>
      </c>
      <c r="E6423">
        <v>80143758</v>
      </c>
    </row>
    <row r="6424" spans="1:6" x14ac:dyDescent="0.25">
      <c r="A6424">
        <v>6423</v>
      </c>
      <c r="B6424">
        <v>2</v>
      </c>
      <c r="C6424">
        <v>0</v>
      </c>
      <c r="D6424">
        <v>0</v>
      </c>
      <c r="E6424">
        <v>0</v>
      </c>
      <c r="F6424">
        <v>181.833</v>
      </c>
    </row>
    <row r="6425" spans="1:6" x14ac:dyDescent="0.25">
      <c r="A6425">
        <v>6424</v>
      </c>
      <c r="B6425">
        <v>10</v>
      </c>
      <c r="C6425">
        <v>1</v>
      </c>
      <c r="D6425">
        <v>0</v>
      </c>
      <c r="E6425">
        <v>0</v>
      </c>
      <c r="F6425">
        <v>6682</v>
      </c>
    </row>
    <row r="6426" spans="1:6" x14ac:dyDescent="0.25">
      <c r="A6426">
        <v>6425</v>
      </c>
      <c r="B6426">
        <v>13</v>
      </c>
      <c r="C6426">
        <v>0</v>
      </c>
      <c r="D6426">
        <v>0</v>
      </c>
      <c r="E6426">
        <v>0</v>
      </c>
      <c r="F6426">
        <v>1603</v>
      </c>
    </row>
    <row r="6427" spans="1:6" x14ac:dyDescent="0.25">
      <c r="A6427">
        <v>6426</v>
      </c>
      <c r="B6427">
        <v>41</v>
      </c>
      <c r="C6427">
        <v>0</v>
      </c>
      <c r="D6427">
        <v>0</v>
      </c>
      <c r="E6427">
        <v>0</v>
      </c>
      <c r="F6427">
        <v>1</v>
      </c>
    </row>
    <row r="6428" spans="1:6" x14ac:dyDescent="0.25">
      <c r="A6428">
        <v>6427</v>
      </c>
      <c r="B6428">
        <v>42</v>
      </c>
      <c r="C6428">
        <v>0</v>
      </c>
      <c r="D6428">
        <v>0</v>
      </c>
      <c r="E6428">
        <v>0</v>
      </c>
      <c r="F6428">
        <v>0.2</v>
      </c>
    </row>
    <row r="6429" spans="1:6" x14ac:dyDescent="0.25">
      <c r="A6429">
        <v>6428</v>
      </c>
      <c r="B6429" t="s">
        <v>0</v>
      </c>
      <c r="C6429">
        <v>148</v>
      </c>
      <c r="D6429">
        <v>3484</v>
      </c>
      <c r="E6429">
        <v>80144088</v>
      </c>
    </row>
    <row r="6430" spans="1:6" x14ac:dyDescent="0.25">
      <c r="A6430">
        <v>6429</v>
      </c>
      <c r="B6430">
        <v>43</v>
      </c>
      <c r="C6430">
        <v>0</v>
      </c>
      <c r="D6430">
        <v>0</v>
      </c>
      <c r="E6430">
        <v>0</v>
      </c>
      <c r="F6430">
        <v>0</v>
      </c>
    </row>
    <row r="6431" spans="1:6" x14ac:dyDescent="0.25">
      <c r="A6431">
        <v>6430</v>
      </c>
      <c r="B6431">
        <v>44</v>
      </c>
      <c r="C6431">
        <v>0</v>
      </c>
      <c r="D6431">
        <v>0</v>
      </c>
      <c r="E6431">
        <v>0</v>
      </c>
      <c r="F6431">
        <v>-32.019500000000001</v>
      </c>
    </row>
    <row r="6432" spans="1:6" x14ac:dyDescent="0.25">
      <c r="A6432">
        <v>6431</v>
      </c>
      <c r="B6432">
        <v>45</v>
      </c>
      <c r="C6432">
        <v>0</v>
      </c>
      <c r="D6432">
        <v>0</v>
      </c>
      <c r="E6432">
        <v>0</v>
      </c>
      <c r="F6432">
        <v>545.048</v>
      </c>
    </row>
    <row r="6433" spans="1:6" x14ac:dyDescent="0.25">
      <c r="A6433">
        <v>6432</v>
      </c>
      <c r="B6433">
        <v>46</v>
      </c>
      <c r="C6433">
        <v>0</v>
      </c>
      <c r="D6433">
        <v>0</v>
      </c>
      <c r="E6433">
        <v>0</v>
      </c>
      <c r="F6433">
        <v>0</v>
      </c>
    </row>
    <row r="6434" spans="1:6" x14ac:dyDescent="0.25">
      <c r="A6434">
        <v>6433</v>
      </c>
      <c r="B6434">
        <v>2</v>
      </c>
      <c r="C6434">
        <v>0</v>
      </c>
      <c r="D6434">
        <v>0</v>
      </c>
      <c r="E6434">
        <v>0</v>
      </c>
      <c r="F6434">
        <v>184.65700000000001</v>
      </c>
    </row>
    <row r="6435" spans="1:6" x14ac:dyDescent="0.25">
      <c r="A6435">
        <v>6434</v>
      </c>
      <c r="B6435" t="s">
        <v>0</v>
      </c>
      <c r="C6435">
        <v>150</v>
      </c>
      <c r="D6435">
        <v>3484</v>
      </c>
      <c r="E6435">
        <v>80144415</v>
      </c>
    </row>
    <row r="6436" spans="1:6" x14ac:dyDescent="0.25">
      <c r="A6436">
        <v>6435</v>
      </c>
      <c r="B6436">
        <v>10</v>
      </c>
      <c r="C6436">
        <v>1</v>
      </c>
      <c r="D6436">
        <v>0</v>
      </c>
      <c r="E6436">
        <v>0</v>
      </c>
      <c r="F6436">
        <v>6559</v>
      </c>
    </row>
    <row r="6437" spans="1:6" x14ac:dyDescent="0.25">
      <c r="A6437">
        <v>6436</v>
      </c>
      <c r="B6437">
        <v>13</v>
      </c>
      <c r="C6437">
        <v>0</v>
      </c>
      <c r="D6437">
        <v>0</v>
      </c>
      <c r="E6437">
        <v>0</v>
      </c>
      <c r="F6437">
        <v>1603</v>
      </c>
    </row>
    <row r="6438" spans="1:6" x14ac:dyDescent="0.25">
      <c r="A6438">
        <v>6437</v>
      </c>
      <c r="B6438" t="s">
        <v>0</v>
      </c>
      <c r="C6438">
        <v>151</v>
      </c>
      <c r="D6438">
        <v>3484</v>
      </c>
      <c r="E6438">
        <v>80144577</v>
      </c>
    </row>
    <row r="6439" spans="1:6" x14ac:dyDescent="0.25">
      <c r="A6439">
        <v>6438</v>
      </c>
      <c r="B6439">
        <v>42</v>
      </c>
      <c r="C6439">
        <v>0</v>
      </c>
      <c r="D6439">
        <v>0</v>
      </c>
      <c r="E6439">
        <v>0</v>
      </c>
      <c r="F6439">
        <v>0.2</v>
      </c>
    </row>
    <row r="6440" spans="1:6" x14ac:dyDescent="0.25">
      <c r="A6440">
        <v>6439</v>
      </c>
      <c r="B6440">
        <v>43</v>
      </c>
      <c r="C6440">
        <v>0</v>
      </c>
      <c r="D6440">
        <v>0</v>
      </c>
      <c r="E6440">
        <v>0</v>
      </c>
      <c r="F6440">
        <v>0</v>
      </c>
    </row>
    <row r="6441" spans="1:6" x14ac:dyDescent="0.25">
      <c r="A6441">
        <v>6440</v>
      </c>
      <c r="B6441" t="s">
        <v>0</v>
      </c>
      <c r="C6441">
        <v>152</v>
      </c>
      <c r="D6441">
        <v>3484</v>
      </c>
      <c r="E6441">
        <v>80144739</v>
      </c>
    </row>
    <row r="6442" spans="1:6" x14ac:dyDescent="0.25">
      <c r="A6442">
        <v>6441</v>
      </c>
      <c r="B6442">
        <v>44</v>
      </c>
      <c r="C6442">
        <v>0</v>
      </c>
      <c r="D6442">
        <v>0</v>
      </c>
      <c r="E6442">
        <v>0</v>
      </c>
      <c r="F6442">
        <v>-35.600900000000003</v>
      </c>
    </row>
    <row r="6443" spans="1:6" x14ac:dyDescent="0.25">
      <c r="A6443">
        <v>6442</v>
      </c>
      <c r="B6443">
        <v>45</v>
      </c>
      <c r="C6443">
        <v>0</v>
      </c>
      <c r="D6443">
        <v>0</v>
      </c>
      <c r="E6443">
        <v>0</v>
      </c>
      <c r="F6443">
        <v>545.02099999999996</v>
      </c>
    </row>
    <row r="6444" spans="1:6" x14ac:dyDescent="0.25">
      <c r="A6444">
        <v>6443</v>
      </c>
      <c r="B6444" t="s">
        <v>0</v>
      </c>
      <c r="C6444">
        <v>153</v>
      </c>
      <c r="D6444">
        <v>3484</v>
      </c>
      <c r="E6444">
        <v>80144900</v>
      </c>
    </row>
    <row r="6445" spans="1:6" x14ac:dyDescent="0.25">
      <c r="A6445">
        <v>6444</v>
      </c>
      <c r="B6445">
        <v>2</v>
      </c>
      <c r="C6445">
        <v>0</v>
      </c>
      <c r="D6445">
        <v>0</v>
      </c>
      <c r="E6445">
        <v>0</v>
      </c>
      <c r="F6445">
        <v>188.41300000000001</v>
      </c>
    </row>
    <row r="6446" spans="1:6" x14ac:dyDescent="0.25">
      <c r="A6446">
        <v>6445</v>
      </c>
      <c r="B6446">
        <v>10</v>
      </c>
      <c r="C6446">
        <v>1</v>
      </c>
      <c r="D6446">
        <v>0</v>
      </c>
      <c r="E6446">
        <v>0</v>
      </c>
      <c r="F6446">
        <v>6402</v>
      </c>
    </row>
    <row r="6447" spans="1:6" x14ac:dyDescent="0.25">
      <c r="A6447">
        <v>6446</v>
      </c>
      <c r="B6447">
        <v>13</v>
      </c>
      <c r="C6447">
        <v>0</v>
      </c>
      <c r="D6447">
        <v>0</v>
      </c>
      <c r="E6447">
        <v>0</v>
      </c>
      <c r="F6447">
        <v>1603</v>
      </c>
    </row>
    <row r="6448" spans="1:6" x14ac:dyDescent="0.25">
      <c r="A6448">
        <v>6447</v>
      </c>
      <c r="B6448">
        <v>41</v>
      </c>
      <c r="C6448">
        <v>0</v>
      </c>
      <c r="D6448">
        <v>0</v>
      </c>
      <c r="E6448">
        <v>0</v>
      </c>
      <c r="F6448">
        <v>1</v>
      </c>
    </row>
    <row r="6449" spans="1:6" x14ac:dyDescent="0.25">
      <c r="A6449">
        <v>6448</v>
      </c>
      <c r="B6449" t="s">
        <v>0</v>
      </c>
      <c r="C6449">
        <v>155</v>
      </c>
      <c r="D6449">
        <v>3484</v>
      </c>
      <c r="E6449">
        <v>80145220</v>
      </c>
    </row>
    <row r="6450" spans="1:6" x14ac:dyDescent="0.25">
      <c r="A6450">
        <v>6449</v>
      </c>
      <c r="B6450">
        <v>42</v>
      </c>
      <c r="C6450">
        <v>0</v>
      </c>
      <c r="D6450">
        <v>0</v>
      </c>
      <c r="E6450">
        <v>0</v>
      </c>
      <c r="F6450">
        <v>0.2</v>
      </c>
    </row>
    <row r="6451" spans="1:6" x14ac:dyDescent="0.25">
      <c r="A6451">
        <v>6450</v>
      </c>
      <c r="B6451">
        <v>43</v>
      </c>
      <c r="C6451">
        <v>0</v>
      </c>
      <c r="D6451">
        <v>0</v>
      </c>
      <c r="E6451">
        <v>0</v>
      </c>
      <c r="F6451">
        <v>0</v>
      </c>
    </row>
    <row r="6452" spans="1:6" x14ac:dyDescent="0.25">
      <c r="A6452">
        <v>6451</v>
      </c>
      <c r="B6452">
        <v>44</v>
      </c>
      <c r="C6452">
        <v>0</v>
      </c>
      <c r="D6452">
        <v>0</v>
      </c>
      <c r="E6452">
        <v>0</v>
      </c>
      <c r="F6452">
        <v>-38.268900000000002</v>
      </c>
    </row>
    <row r="6453" spans="1:6" x14ac:dyDescent="0.25">
      <c r="A6453">
        <v>6452</v>
      </c>
      <c r="B6453">
        <v>45</v>
      </c>
      <c r="C6453">
        <v>0</v>
      </c>
      <c r="D6453">
        <v>0</v>
      </c>
      <c r="E6453">
        <v>0</v>
      </c>
      <c r="F6453">
        <v>544.99199999999996</v>
      </c>
    </row>
    <row r="6454" spans="1:6" x14ac:dyDescent="0.25">
      <c r="A6454">
        <v>6453</v>
      </c>
      <c r="B6454">
        <v>46</v>
      </c>
      <c r="C6454">
        <v>0</v>
      </c>
      <c r="D6454">
        <v>0</v>
      </c>
      <c r="E6454">
        <v>0</v>
      </c>
      <c r="F6454">
        <v>0</v>
      </c>
    </row>
    <row r="6455" spans="1:6" x14ac:dyDescent="0.25">
      <c r="A6455">
        <v>6454</v>
      </c>
      <c r="B6455" t="s">
        <v>0</v>
      </c>
      <c r="C6455">
        <v>157</v>
      </c>
      <c r="D6455">
        <v>3484</v>
      </c>
      <c r="E6455">
        <v>80145537</v>
      </c>
    </row>
    <row r="6456" spans="1:6" x14ac:dyDescent="0.25">
      <c r="A6456">
        <v>6455</v>
      </c>
      <c r="B6456">
        <v>2</v>
      </c>
      <c r="C6456">
        <v>0</v>
      </c>
      <c r="D6456">
        <v>0</v>
      </c>
      <c r="E6456">
        <v>0</v>
      </c>
      <c r="F6456">
        <v>192.13900000000001</v>
      </c>
    </row>
    <row r="6457" spans="1:6" x14ac:dyDescent="0.25">
      <c r="A6457">
        <v>6456</v>
      </c>
      <c r="B6457">
        <v>10</v>
      </c>
      <c r="C6457">
        <v>1</v>
      </c>
      <c r="D6457">
        <v>0</v>
      </c>
      <c r="E6457">
        <v>0</v>
      </c>
      <c r="F6457">
        <v>6252</v>
      </c>
    </row>
    <row r="6458" spans="1:6" x14ac:dyDescent="0.25">
      <c r="A6458">
        <v>6457</v>
      </c>
      <c r="B6458" t="s">
        <v>0</v>
      </c>
      <c r="C6458">
        <v>158</v>
      </c>
      <c r="D6458">
        <v>3484</v>
      </c>
      <c r="E6458">
        <v>80145695</v>
      </c>
    </row>
    <row r="6459" spans="1:6" x14ac:dyDescent="0.25">
      <c r="A6459">
        <v>6458</v>
      </c>
      <c r="B6459">
        <v>41</v>
      </c>
      <c r="C6459">
        <v>0</v>
      </c>
      <c r="D6459">
        <v>0</v>
      </c>
      <c r="E6459">
        <v>0</v>
      </c>
      <c r="F6459">
        <v>1</v>
      </c>
    </row>
    <row r="6460" spans="1:6" x14ac:dyDescent="0.25">
      <c r="A6460">
        <v>6459</v>
      </c>
      <c r="B6460">
        <v>42</v>
      </c>
      <c r="C6460">
        <v>0</v>
      </c>
      <c r="D6460">
        <v>0</v>
      </c>
      <c r="E6460">
        <v>0</v>
      </c>
      <c r="F6460">
        <v>0.2</v>
      </c>
    </row>
    <row r="6461" spans="1:6" x14ac:dyDescent="0.25">
      <c r="A6461">
        <v>6460</v>
      </c>
      <c r="B6461">
        <v>43</v>
      </c>
      <c r="C6461">
        <v>0</v>
      </c>
      <c r="D6461">
        <v>0</v>
      </c>
      <c r="E6461">
        <v>0</v>
      </c>
      <c r="F6461">
        <v>0</v>
      </c>
    </row>
    <row r="6462" spans="1:6" x14ac:dyDescent="0.25">
      <c r="A6462">
        <v>6461</v>
      </c>
      <c r="B6462">
        <v>44</v>
      </c>
      <c r="C6462">
        <v>0</v>
      </c>
      <c r="D6462">
        <v>0</v>
      </c>
      <c r="E6462">
        <v>0</v>
      </c>
      <c r="F6462">
        <v>-41.840400000000002</v>
      </c>
    </row>
    <row r="6463" spans="1:6" x14ac:dyDescent="0.25">
      <c r="A6463">
        <v>6462</v>
      </c>
      <c r="B6463" t="s">
        <v>0</v>
      </c>
      <c r="C6463">
        <v>160</v>
      </c>
      <c r="D6463">
        <v>3484</v>
      </c>
      <c r="E6463">
        <v>80146008</v>
      </c>
    </row>
    <row r="6464" spans="1:6" x14ac:dyDescent="0.25">
      <c r="A6464">
        <v>6463</v>
      </c>
      <c r="B6464">
        <v>45</v>
      </c>
      <c r="C6464">
        <v>0</v>
      </c>
      <c r="D6464">
        <v>0</v>
      </c>
      <c r="E6464">
        <v>0</v>
      </c>
      <c r="F6464">
        <v>544.96100000000001</v>
      </c>
    </row>
    <row r="6465" spans="1:6" x14ac:dyDescent="0.25">
      <c r="A6465">
        <v>6464</v>
      </c>
      <c r="B6465">
        <v>46</v>
      </c>
      <c r="C6465">
        <v>0</v>
      </c>
      <c r="D6465">
        <v>0</v>
      </c>
      <c r="E6465">
        <v>0</v>
      </c>
      <c r="F6465">
        <v>0</v>
      </c>
    </row>
    <row r="6466" spans="1:6" x14ac:dyDescent="0.25">
      <c r="A6466">
        <v>6465</v>
      </c>
      <c r="B6466" t="s">
        <v>0</v>
      </c>
      <c r="C6466">
        <v>161</v>
      </c>
      <c r="D6466">
        <v>3484</v>
      </c>
      <c r="E6466">
        <v>80146163</v>
      </c>
    </row>
    <row r="6467" spans="1:6" x14ac:dyDescent="0.25">
      <c r="A6467">
        <v>6466</v>
      </c>
      <c r="B6467">
        <v>10</v>
      </c>
      <c r="C6467">
        <v>1</v>
      </c>
      <c r="D6467">
        <v>0</v>
      </c>
      <c r="E6467">
        <v>0</v>
      </c>
      <c r="F6467">
        <v>6108</v>
      </c>
    </row>
    <row r="6468" spans="1:6" x14ac:dyDescent="0.25">
      <c r="A6468">
        <v>6467</v>
      </c>
      <c r="B6468">
        <v>13</v>
      </c>
      <c r="C6468">
        <v>0</v>
      </c>
      <c r="D6468">
        <v>0</v>
      </c>
      <c r="E6468">
        <v>0</v>
      </c>
      <c r="F6468">
        <v>1603</v>
      </c>
    </row>
    <row r="6469" spans="1:6" x14ac:dyDescent="0.25">
      <c r="A6469">
        <v>6468</v>
      </c>
      <c r="B6469">
        <v>41</v>
      </c>
      <c r="C6469">
        <v>0</v>
      </c>
      <c r="D6469">
        <v>0</v>
      </c>
      <c r="E6469">
        <v>0</v>
      </c>
      <c r="F6469">
        <v>1</v>
      </c>
    </row>
    <row r="6470" spans="1:6" x14ac:dyDescent="0.25">
      <c r="A6470">
        <v>6469</v>
      </c>
      <c r="B6470">
        <v>42</v>
      </c>
      <c r="C6470">
        <v>0</v>
      </c>
      <c r="D6470">
        <v>0</v>
      </c>
      <c r="E6470">
        <v>0</v>
      </c>
      <c r="F6470">
        <v>0.2</v>
      </c>
    </row>
    <row r="6471" spans="1:6" x14ac:dyDescent="0.25">
      <c r="A6471">
        <v>6470</v>
      </c>
      <c r="B6471" t="s">
        <v>0</v>
      </c>
      <c r="C6471">
        <v>163</v>
      </c>
      <c r="D6471">
        <v>3484</v>
      </c>
      <c r="E6471">
        <v>80146473</v>
      </c>
    </row>
    <row r="6472" spans="1:6" x14ac:dyDescent="0.25">
      <c r="A6472">
        <v>6471</v>
      </c>
      <c r="B6472">
        <v>43</v>
      </c>
      <c r="C6472">
        <v>0</v>
      </c>
      <c r="D6472">
        <v>0</v>
      </c>
      <c r="E6472">
        <v>0</v>
      </c>
      <c r="F6472">
        <v>0</v>
      </c>
    </row>
    <row r="6473" spans="1:6" x14ac:dyDescent="0.25">
      <c r="A6473">
        <v>6472</v>
      </c>
      <c r="B6473">
        <v>44</v>
      </c>
      <c r="C6473">
        <v>0</v>
      </c>
      <c r="D6473">
        <v>0</v>
      </c>
      <c r="E6473">
        <v>0</v>
      </c>
      <c r="F6473">
        <v>-45.390999999999998</v>
      </c>
    </row>
    <row r="6474" spans="1:6" x14ac:dyDescent="0.25">
      <c r="A6474">
        <v>6473</v>
      </c>
      <c r="B6474" t="s">
        <v>0</v>
      </c>
      <c r="C6474">
        <v>164</v>
      </c>
      <c r="D6474">
        <v>3484</v>
      </c>
      <c r="E6474">
        <v>80146627</v>
      </c>
    </row>
    <row r="6475" spans="1:6" x14ac:dyDescent="0.25">
      <c r="A6475">
        <v>6474</v>
      </c>
      <c r="B6475">
        <v>46</v>
      </c>
      <c r="C6475">
        <v>0</v>
      </c>
      <c r="D6475">
        <v>0</v>
      </c>
      <c r="E6475">
        <v>0</v>
      </c>
      <c r="F6475">
        <v>0</v>
      </c>
    </row>
    <row r="6476" spans="1:6" x14ac:dyDescent="0.25">
      <c r="A6476">
        <v>6475</v>
      </c>
      <c r="B6476">
        <v>2</v>
      </c>
      <c r="C6476">
        <v>0</v>
      </c>
      <c r="D6476">
        <v>0</v>
      </c>
      <c r="E6476">
        <v>0</v>
      </c>
      <c r="F6476">
        <v>198.61199999999999</v>
      </c>
    </row>
    <row r="6477" spans="1:6" x14ac:dyDescent="0.25">
      <c r="A6477">
        <v>6476</v>
      </c>
      <c r="B6477">
        <v>10</v>
      </c>
      <c r="C6477">
        <v>1</v>
      </c>
      <c r="D6477">
        <v>0</v>
      </c>
      <c r="E6477">
        <v>0</v>
      </c>
      <c r="F6477">
        <v>5970</v>
      </c>
    </row>
    <row r="6478" spans="1:6" x14ac:dyDescent="0.25">
      <c r="A6478">
        <v>6477</v>
      </c>
      <c r="B6478">
        <v>13</v>
      </c>
      <c r="C6478">
        <v>0</v>
      </c>
      <c r="D6478">
        <v>0</v>
      </c>
      <c r="E6478">
        <v>0</v>
      </c>
      <c r="F6478">
        <v>1603</v>
      </c>
    </row>
    <row r="6479" spans="1:6" x14ac:dyDescent="0.25">
      <c r="A6479">
        <v>6478</v>
      </c>
      <c r="B6479" t="s">
        <v>0</v>
      </c>
      <c r="C6479">
        <v>166</v>
      </c>
      <c r="D6479">
        <v>3484</v>
      </c>
      <c r="E6479">
        <v>80146933</v>
      </c>
    </row>
    <row r="6480" spans="1:6" x14ac:dyDescent="0.25">
      <c r="A6480">
        <v>6479</v>
      </c>
      <c r="B6480">
        <v>41</v>
      </c>
      <c r="C6480">
        <v>0</v>
      </c>
      <c r="D6480">
        <v>0</v>
      </c>
      <c r="E6480">
        <v>0</v>
      </c>
      <c r="F6480">
        <v>1</v>
      </c>
    </row>
    <row r="6481" spans="1:6" x14ac:dyDescent="0.25">
      <c r="A6481">
        <v>6480</v>
      </c>
      <c r="B6481">
        <v>42</v>
      </c>
      <c r="C6481">
        <v>0</v>
      </c>
      <c r="D6481">
        <v>0</v>
      </c>
      <c r="E6481">
        <v>0</v>
      </c>
      <c r="F6481">
        <v>0.2</v>
      </c>
    </row>
    <row r="6482" spans="1:6" x14ac:dyDescent="0.25">
      <c r="A6482">
        <v>6481</v>
      </c>
      <c r="B6482" t="s">
        <v>0</v>
      </c>
      <c r="C6482">
        <v>167</v>
      </c>
      <c r="D6482">
        <v>3484</v>
      </c>
      <c r="E6482">
        <v>80147085</v>
      </c>
    </row>
    <row r="6483" spans="1:6" x14ac:dyDescent="0.25">
      <c r="A6483">
        <v>6482</v>
      </c>
      <c r="B6483">
        <v>43</v>
      </c>
      <c r="C6483">
        <v>0</v>
      </c>
      <c r="D6483">
        <v>0</v>
      </c>
      <c r="E6483">
        <v>0</v>
      </c>
      <c r="F6483">
        <v>0</v>
      </c>
    </row>
    <row r="6484" spans="1:6" x14ac:dyDescent="0.25">
      <c r="A6484">
        <v>6483</v>
      </c>
      <c r="B6484">
        <v>44</v>
      </c>
      <c r="C6484">
        <v>0</v>
      </c>
      <c r="D6484">
        <v>0</v>
      </c>
      <c r="E6484">
        <v>0</v>
      </c>
      <c r="F6484">
        <v>-48.929299999999998</v>
      </c>
    </row>
    <row r="6485" spans="1:6" x14ac:dyDescent="0.25">
      <c r="A6485">
        <v>6484</v>
      </c>
      <c r="B6485" t="s">
        <v>0</v>
      </c>
      <c r="C6485">
        <v>168</v>
      </c>
      <c r="D6485">
        <v>3484</v>
      </c>
      <c r="E6485">
        <v>80147236</v>
      </c>
    </row>
    <row r="6486" spans="1:6" x14ac:dyDescent="0.25">
      <c r="A6486">
        <v>6485</v>
      </c>
      <c r="B6486">
        <v>46</v>
      </c>
      <c r="C6486">
        <v>0</v>
      </c>
      <c r="D6486">
        <v>0</v>
      </c>
      <c r="E6486">
        <v>0</v>
      </c>
      <c r="F6486">
        <v>0</v>
      </c>
    </row>
    <row r="6487" spans="1:6" x14ac:dyDescent="0.25">
      <c r="A6487">
        <v>6486</v>
      </c>
      <c r="B6487">
        <v>2</v>
      </c>
      <c r="C6487">
        <v>0</v>
      </c>
      <c r="D6487">
        <v>0</v>
      </c>
      <c r="E6487">
        <v>0</v>
      </c>
      <c r="F6487">
        <v>202.30099999999999</v>
      </c>
    </row>
    <row r="6488" spans="1:6" x14ac:dyDescent="0.25">
      <c r="A6488">
        <v>6487</v>
      </c>
      <c r="B6488">
        <v>10</v>
      </c>
      <c r="C6488">
        <v>1</v>
      </c>
      <c r="D6488">
        <v>0</v>
      </c>
      <c r="E6488">
        <v>0</v>
      </c>
      <c r="F6488">
        <v>5870</v>
      </c>
    </row>
    <row r="6489" spans="1:6" x14ac:dyDescent="0.25">
      <c r="A6489">
        <v>6488</v>
      </c>
      <c r="B6489">
        <v>13</v>
      </c>
      <c r="C6489">
        <v>0</v>
      </c>
      <c r="D6489">
        <v>0</v>
      </c>
      <c r="E6489">
        <v>0</v>
      </c>
      <c r="F6489">
        <v>1603</v>
      </c>
    </row>
    <row r="6490" spans="1:6" x14ac:dyDescent="0.25">
      <c r="A6490">
        <v>6489</v>
      </c>
      <c r="B6490" t="s">
        <v>0</v>
      </c>
      <c r="C6490">
        <v>170</v>
      </c>
      <c r="D6490">
        <v>3484</v>
      </c>
      <c r="E6490">
        <v>80147537</v>
      </c>
    </row>
    <row r="6491" spans="1:6" x14ac:dyDescent="0.25">
      <c r="A6491">
        <v>6490</v>
      </c>
      <c r="B6491">
        <v>41</v>
      </c>
      <c r="C6491">
        <v>0</v>
      </c>
      <c r="D6491">
        <v>0</v>
      </c>
      <c r="E6491">
        <v>0</v>
      </c>
      <c r="F6491">
        <v>1</v>
      </c>
    </row>
    <row r="6492" spans="1:6" x14ac:dyDescent="0.25">
      <c r="A6492">
        <v>6491</v>
      </c>
      <c r="B6492">
        <v>42</v>
      </c>
      <c r="C6492">
        <v>0</v>
      </c>
      <c r="D6492">
        <v>0</v>
      </c>
      <c r="E6492">
        <v>0</v>
      </c>
      <c r="F6492">
        <v>0.2</v>
      </c>
    </row>
    <row r="6493" spans="1:6" x14ac:dyDescent="0.25">
      <c r="A6493">
        <v>6492</v>
      </c>
      <c r="B6493" t="s">
        <v>0</v>
      </c>
      <c r="C6493">
        <v>171</v>
      </c>
      <c r="D6493">
        <v>3484</v>
      </c>
      <c r="E6493">
        <v>80147686</v>
      </c>
    </row>
    <row r="6494" spans="1:6" x14ac:dyDescent="0.25">
      <c r="A6494">
        <v>6493</v>
      </c>
      <c r="B6494">
        <v>44</v>
      </c>
      <c r="C6494">
        <v>0</v>
      </c>
      <c r="D6494">
        <v>0</v>
      </c>
      <c r="E6494">
        <v>0</v>
      </c>
      <c r="F6494">
        <v>-52.444699999999997</v>
      </c>
    </row>
    <row r="6495" spans="1:6" x14ac:dyDescent="0.25">
      <c r="A6495">
        <v>6494</v>
      </c>
      <c r="B6495" t="s">
        <v>0</v>
      </c>
      <c r="C6495">
        <v>172</v>
      </c>
      <c r="D6495">
        <v>3484</v>
      </c>
      <c r="E6495">
        <v>80147835</v>
      </c>
    </row>
    <row r="6496" spans="1:6" x14ac:dyDescent="0.25">
      <c r="A6496">
        <v>6495</v>
      </c>
      <c r="B6496">
        <v>46</v>
      </c>
      <c r="C6496">
        <v>0</v>
      </c>
      <c r="D6496">
        <v>0</v>
      </c>
      <c r="E6496">
        <v>0</v>
      </c>
      <c r="F6496">
        <v>0</v>
      </c>
    </row>
    <row r="6497" spans="1:6" x14ac:dyDescent="0.25">
      <c r="A6497">
        <v>6496</v>
      </c>
      <c r="B6497">
        <v>2</v>
      </c>
      <c r="C6497">
        <v>0</v>
      </c>
      <c r="D6497">
        <v>0</v>
      </c>
      <c r="E6497">
        <v>0</v>
      </c>
      <c r="F6497">
        <v>205.959</v>
      </c>
    </row>
    <row r="6498" spans="1:6" x14ac:dyDescent="0.25">
      <c r="A6498">
        <v>6497</v>
      </c>
      <c r="B6498">
        <v>10</v>
      </c>
      <c r="C6498">
        <v>1</v>
      </c>
      <c r="D6498">
        <v>0</v>
      </c>
      <c r="E6498">
        <v>0</v>
      </c>
      <c r="F6498">
        <v>5711</v>
      </c>
    </row>
    <row r="6499" spans="1:6" x14ac:dyDescent="0.25">
      <c r="A6499">
        <v>6498</v>
      </c>
      <c r="B6499">
        <v>13</v>
      </c>
      <c r="C6499">
        <v>0</v>
      </c>
      <c r="D6499">
        <v>0</v>
      </c>
      <c r="E6499">
        <v>0</v>
      </c>
      <c r="F6499">
        <v>1603</v>
      </c>
    </row>
    <row r="6500" spans="1:6" x14ac:dyDescent="0.25">
      <c r="A6500">
        <v>6499</v>
      </c>
      <c r="B6500" t="s">
        <v>0</v>
      </c>
      <c r="C6500">
        <v>174</v>
      </c>
      <c r="D6500">
        <v>3484</v>
      </c>
      <c r="E6500">
        <v>80148130</v>
      </c>
    </row>
    <row r="6501" spans="1:6" x14ac:dyDescent="0.25">
      <c r="A6501">
        <v>6500</v>
      </c>
      <c r="B6501">
        <v>41</v>
      </c>
      <c r="C6501">
        <v>0</v>
      </c>
      <c r="D6501">
        <v>0</v>
      </c>
      <c r="E6501">
        <v>0</v>
      </c>
      <c r="F6501">
        <v>1</v>
      </c>
    </row>
    <row r="6502" spans="1:6" x14ac:dyDescent="0.25">
      <c r="A6502">
        <v>6501</v>
      </c>
      <c r="B6502">
        <v>42</v>
      </c>
      <c r="C6502">
        <v>0</v>
      </c>
      <c r="D6502">
        <v>0</v>
      </c>
      <c r="E6502">
        <v>0</v>
      </c>
      <c r="F6502">
        <v>0.2</v>
      </c>
    </row>
    <row r="6503" spans="1:6" x14ac:dyDescent="0.25">
      <c r="A6503">
        <v>6502</v>
      </c>
      <c r="B6503" t="s">
        <v>0</v>
      </c>
      <c r="C6503">
        <v>175</v>
      </c>
      <c r="D6503">
        <v>3484</v>
      </c>
      <c r="E6503">
        <v>80148277</v>
      </c>
    </row>
    <row r="6504" spans="1:6" x14ac:dyDescent="0.25">
      <c r="A6504">
        <v>6503</v>
      </c>
      <c r="B6504">
        <v>43</v>
      </c>
      <c r="C6504">
        <v>0</v>
      </c>
      <c r="D6504">
        <v>0</v>
      </c>
      <c r="E6504">
        <v>0</v>
      </c>
      <c r="F6504">
        <v>0</v>
      </c>
    </row>
    <row r="6505" spans="1:6" x14ac:dyDescent="0.25">
      <c r="A6505">
        <v>6504</v>
      </c>
      <c r="B6505">
        <v>44</v>
      </c>
      <c r="C6505">
        <v>0</v>
      </c>
      <c r="D6505">
        <v>0</v>
      </c>
      <c r="E6505">
        <v>0</v>
      </c>
      <c r="F6505">
        <v>-55.944099999999999</v>
      </c>
    </row>
    <row r="6506" spans="1:6" x14ac:dyDescent="0.25">
      <c r="A6506">
        <v>6505</v>
      </c>
      <c r="B6506" t="s">
        <v>0</v>
      </c>
      <c r="C6506">
        <v>176</v>
      </c>
      <c r="D6506">
        <v>3484</v>
      </c>
      <c r="E6506">
        <v>80148424</v>
      </c>
    </row>
    <row r="6507" spans="1:6" x14ac:dyDescent="0.25">
      <c r="A6507">
        <v>6506</v>
      </c>
      <c r="B6507">
        <v>46</v>
      </c>
      <c r="C6507">
        <v>0</v>
      </c>
      <c r="D6507">
        <v>0</v>
      </c>
      <c r="E6507">
        <v>0</v>
      </c>
      <c r="F6507">
        <v>0</v>
      </c>
    </row>
    <row r="6508" spans="1:6" x14ac:dyDescent="0.25">
      <c r="A6508">
        <v>6507</v>
      </c>
      <c r="B6508" t="s">
        <v>0</v>
      </c>
      <c r="C6508">
        <v>177</v>
      </c>
      <c r="D6508">
        <v>3484</v>
      </c>
      <c r="E6508">
        <v>80148570</v>
      </c>
    </row>
    <row r="6509" spans="1:6" x14ac:dyDescent="0.25">
      <c r="A6509">
        <v>6508</v>
      </c>
      <c r="B6509">
        <v>10</v>
      </c>
      <c r="C6509">
        <v>1</v>
      </c>
      <c r="D6509">
        <v>0</v>
      </c>
      <c r="E6509">
        <v>0</v>
      </c>
      <c r="F6509">
        <v>5588</v>
      </c>
    </row>
    <row r="6510" spans="1:6" x14ac:dyDescent="0.25">
      <c r="A6510">
        <v>6509</v>
      </c>
      <c r="B6510">
        <v>13</v>
      </c>
      <c r="C6510">
        <v>0</v>
      </c>
      <c r="D6510">
        <v>0</v>
      </c>
      <c r="E6510">
        <v>0</v>
      </c>
      <c r="F6510">
        <v>1603</v>
      </c>
    </row>
    <row r="6511" spans="1:6" x14ac:dyDescent="0.25">
      <c r="A6511">
        <v>6510</v>
      </c>
      <c r="B6511">
        <v>41</v>
      </c>
      <c r="C6511">
        <v>0</v>
      </c>
      <c r="D6511">
        <v>0</v>
      </c>
      <c r="E6511">
        <v>0</v>
      </c>
      <c r="F6511">
        <v>1</v>
      </c>
    </row>
    <row r="6512" spans="1:6" x14ac:dyDescent="0.25">
      <c r="A6512">
        <v>6511</v>
      </c>
      <c r="B6512">
        <v>42</v>
      </c>
      <c r="C6512">
        <v>0</v>
      </c>
      <c r="D6512">
        <v>0</v>
      </c>
      <c r="E6512">
        <v>0</v>
      </c>
      <c r="F6512">
        <v>0.2</v>
      </c>
    </row>
    <row r="6513" spans="1:6" x14ac:dyDescent="0.25">
      <c r="A6513">
        <v>6512</v>
      </c>
      <c r="B6513">
        <v>43</v>
      </c>
      <c r="C6513">
        <v>0</v>
      </c>
      <c r="D6513">
        <v>0</v>
      </c>
      <c r="E6513">
        <v>0</v>
      </c>
      <c r="F6513">
        <v>0</v>
      </c>
    </row>
    <row r="6514" spans="1:6" x14ac:dyDescent="0.25">
      <c r="A6514">
        <v>6513</v>
      </c>
      <c r="B6514">
        <v>44</v>
      </c>
      <c r="C6514">
        <v>0</v>
      </c>
      <c r="D6514">
        <v>0</v>
      </c>
      <c r="E6514">
        <v>0</v>
      </c>
      <c r="F6514">
        <v>-58.560499999999998</v>
      </c>
    </row>
    <row r="6515" spans="1:6" x14ac:dyDescent="0.25">
      <c r="A6515">
        <v>6514</v>
      </c>
      <c r="B6515" t="s">
        <v>0</v>
      </c>
      <c r="C6515">
        <v>0</v>
      </c>
      <c r="D6515">
        <v>3485</v>
      </c>
      <c r="E6515">
        <v>80149005</v>
      </c>
    </row>
    <row r="6516" spans="1:6" x14ac:dyDescent="0.25">
      <c r="A6516">
        <v>6515</v>
      </c>
      <c r="B6516">
        <v>45</v>
      </c>
      <c r="C6516">
        <v>0</v>
      </c>
      <c r="D6516">
        <v>0</v>
      </c>
      <c r="E6516">
        <v>0</v>
      </c>
      <c r="F6516">
        <v>544.79399999999998</v>
      </c>
    </row>
    <row r="6517" spans="1:6" x14ac:dyDescent="0.25">
      <c r="A6517">
        <v>6516</v>
      </c>
      <c r="B6517">
        <v>46</v>
      </c>
      <c r="C6517">
        <v>0</v>
      </c>
      <c r="D6517">
        <v>0</v>
      </c>
      <c r="E6517">
        <v>0</v>
      </c>
      <c r="F6517">
        <v>0</v>
      </c>
    </row>
    <row r="6518" spans="1:6" x14ac:dyDescent="0.25">
      <c r="A6518">
        <v>6517</v>
      </c>
      <c r="B6518" t="s">
        <v>0</v>
      </c>
      <c r="C6518">
        <v>1</v>
      </c>
      <c r="D6518">
        <v>3485</v>
      </c>
      <c r="E6518">
        <v>80149149</v>
      </c>
    </row>
    <row r="6519" spans="1:6" x14ac:dyDescent="0.25">
      <c r="A6519">
        <v>6518</v>
      </c>
      <c r="B6519">
        <v>2</v>
      </c>
      <c r="C6519">
        <v>0</v>
      </c>
      <c r="D6519">
        <v>0</v>
      </c>
      <c r="E6519">
        <v>0</v>
      </c>
      <c r="F6519">
        <v>212.44200000000001</v>
      </c>
    </row>
    <row r="6520" spans="1:6" x14ac:dyDescent="0.25">
      <c r="A6520">
        <v>6519</v>
      </c>
      <c r="B6520">
        <v>10</v>
      </c>
      <c r="C6520">
        <v>1</v>
      </c>
      <c r="D6520">
        <v>0</v>
      </c>
      <c r="E6520">
        <v>0</v>
      </c>
      <c r="F6520">
        <v>5526</v>
      </c>
    </row>
    <row r="6521" spans="1:6" x14ac:dyDescent="0.25">
      <c r="A6521">
        <v>6520</v>
      </c>
      <c r="B6521" t="s">
        <v>0</v>
      </c>
      <c r="C6521">
        <v>2</v>
      </c>
      <c r="D6521">
        <v>3485</v>
      </c>
      <c r="E6521">
        <v>80149292</v>
      </c>
    </row>
    <row r="6522" spans="1:6" x14ac:dyDescent="0.25">
      <c r="A6522">
        <v>6521</v>
      </c>
      <c r="B6522">
        <v>41</v>
      </c>
      <c r="C6522">
        <v>0</v>
      </c>
      <c r="D6522">
        <v>0</v>
      </c>
      <c r="E6522">
        <v>0</v>
      </c>
      <c r="F6522">
        <v>1</v>
      </c>
    </row>
    <row r="6523" spans="1:6" x14ac:dyDescent="0.25">
      <c r="A6523">
        <v>6522</v>
      </c>
      <c r="B6523" t="s">
        <v>0</v>
      </c>
      <c r="C6523">
        <v>3</v>
      </c>
      <c r="D6523">
        <v>3485</v>
      </c>
      <c r="E6523">
        <v>80149434</v>
      </c>
    </row>
    <row r="6524" spans="1:6" x14ac:dyDescent="0.25">
      <c r="A6524">
        <v>6523</v>
      </c>
      <c r="B6524">
        <v>43</v>
      </c>
      <c r="C6524">
        <v>0</v>
      </c>
      <c r="D6524">
        <v>0</v>
      </c>
      <c r="E6524">
        <v>0</v>
      </c>
      <c r="F6524">
        <v>0</v>
      </c>
    </row>
    <row r="6525" spans="1:6" x14ac:dyDescent="0.25">
      <c r="A6525">
        <v>6524</v>
      </c>
      <c r="B6525">
        <v>44</v>
      </c>
      <c r="C6525">
        <v>0</v>
      </c>
      <c r="D6525">
        <v>0</v>
      </c>
      <c r="E6525">
        <v>0</v>
      </c>
      <c r="F6525">
        <v>-61.377200000000002</v>
      </c>
    </row>
    <row r="6526" spans="1:6" x14ac:dyDescent="0.25">
      <c r="A6526">
        <v>6525</v>
      </c>
      <c r="B6526">
        <v>45</v>
      </c>
      <c r="C6526">
        <v>0</v>
      </c>
      <c r="D6526">
        <v>0</v>
      </c>
      <c r="E6526">
        <v>0</v>
      </c>
      <c r="F6526">
        <v>544.75300000000004</v>
      </c>
    </row>
    <row r="6527" spans="1:6" x14ac:dyDescent="0.25">
      <c r="A6527">
        <v>6526</v>
      </c>
      <c r="B6527">
        <v>46</v>
      </c>
      <c r="C6527">
        <v>0</v>
      </c>
      <c r="D6527">
        <v>0</v>
      </c>
      <c r="E6527">
        <v>0</v>
      </c>
      <c r="F6527">
        <v>0</v>
      </c>
    </row>
    <row r="6528" spans="1:6" x14ac:dyDescent="0.25">
      <c r="A6528">
        <v>6527</v>
      </c>
      <c r="B6528">
        <v>2</v>
      </c>
      <c r="C6528">
        <v>0</v>
      </c>
      <c r="D6528">
        <v>0</v>
      </c>
      <c r="E6528">
        <v>0</v>
      </c>
      <c r="F6528">
        <v>216.38300000000001</v>
      </c>
    </row>
    <row r="6529" spans="1:6" x14ac:dyDescent="0.25">
      <c r="A6529">
        <v>6528</v>
      </c>
      <c r="B6529">
        <v>10</v>
      </c>
      <c r="C6529">
        <v>1</v>
      </c>
      <c r="D6529">
        <v>0</v>
      </c>
      <c r="E6529">
        <v>0</v>
      </c>
      <c r="F6529">
        <v>5401</v>
      </c>
    </row>
    <row r="6530" spans="1:6" x14ac:dyDescent="0.25">
      <c r="A6530">
        <v>6529</v>
      </c>
      <c r="B6530">
        <v>13</v>
      </c>
      <c r="C6530">
        <v>0</v>
      </c>
      <c r="D6530">
        <v>0</v>
      </c>
      <c r="E6530">
        <v>0</v>
      </c>
      <c r="F6530">
        <v>1603</v>
      </c>
    </row>
    <row r="6531" spans="1:6" x14ac:dyDescent="0.25">
      <c r="A6531">
        <v>6530</v>
      </c>
      <c r="B6531">
        <v>41</v>
      </c>
      <c r="C6531">
        <v>0</v>
      </c>
      <c r="D6531">
        <v>0</v>
      </c>
      <c r="E6531">
        <v>0</v>
      </c>
      <c r="F6531">
        <v>1</v>
      </c>
    </row>
    <row r="6532" spans="1:6" x14ac:dyDescent="0.25">
      <c r="A6532">
        <v>6531</v>
      </c>
      <c r="B6532" t="s">
        <v>0</v>
      </c>
      <c r="C6532">
        <v>7</v>
      </c>
      <c r="D6532">
        <v>3485</v>
      </c>
      <c r="E6532">
        <v>80149999</v>
      </c>
    </row>
    <row r="6533" spans="1:6" x14ac:dyDescent="0.25">
      <c r="A6533">
        <v>6532</v>
      </c>
      <c r="B6533">
        <v>42</v>
      </c>
      <c r="C6533">
        <v>0</v>
      </c>
      <c r="D6533">
        <v>0</v>
      </c>
      <c r="E6533">
        <v>0</v>
      </c>
      <c r="F6533">
        <v>0.2</v>
      </c>
    </row>
    <row r="6534" spans="1:6" x14ac:dyDescent="0.25">
      <c r="A6534">
        <v>6533</v>
      </c>
      <c r="B6534">
        <v>43</v>
      </c>
      <c r="C6534">
        <v>0</v>
      </c>
      <c r="D6534">
        <v>0</v>
      </c>
      <c r="E6534">
        <v>0</v>
      </c>
      <c r="F6534">
        <v>0</v>
      </c>
    </row>
    <row r="6535" spans="1:6" x14ac:dyDescent="0.25">
      <c r="A6535">
        <v>6534</v>
      </c>
      <c r="B6535" t="s">
        <v>0</v>
      </c>
      <c r="C6535">
        <v>8</v>
      </c>
      <c r="D6535">
        <v>3485</v>
      </c>
      <c r="E6535">
        <v>80150139</v>
      </c>
    </row>
    <row r="6536" spans="1:6" x14ac:dyDescent="0.25">
      <c r="A6536">
        <v>6535</v>
      </c>
      <c r="B6536">
        <v>44</v>
      </c>
      <c r="C6536">
        <v>0</v>
      </c>
      <c r="D6536">
        <v>0</v>
      </c>
      <c r="E6536">
        <v>0</v>
      </c>
      <c r="F6536">
        <v>-66.071299999999994</v>
      </c>
    </row>
    <row r="6537" spans="1:6" x14ac:dyDescent="0.25">
      <c r="A6537">
        <v>6536</v>
      </c>
      <c r="B6537">
        <v>45</v>
      </c>
      <c r="C6537">
        <v>0</v>
      </c>
      <c r="D6537">
        <v>0</v>
      </c>
      <c r="E6537">
        <v>0</v>
      </c>
      <c r="F6537">
        <v>544.70899999999995</v>
      </c>
    </row>
    <row r="6538" spans="1:6" x14ac:dyDescent="0.25">
      <c r="A6538">
        <v>6537</v>
      </c>
      <c r="B6538" t="s">
        <v>0</v>
      </c>
      <c r="C6538">
        <v>9</v>
      </c>
      <c r="D6538">
        <v>3485</v>
      </c>
      <c r="E6538">
        <v>80150278</v>
      </c>
    </row>
    <row r="6539" spans="1:6" x14ac:dyDescent="0.25">
      <c r="A6539">
        <v>6538</v>
      </c>
      <c r="B6539">
        <v>46</v>
      </c>
      <c r="C6539">
        <v>0</v>
      </c>
      <c r="D6539">
        <v>0</v>
      </c>
      <c r="E6539">
        <v>0</v>
      </c>
      <c r="F6539">
        <v>0</v>
      </c>
    </row>
    <row r="6540" spans="1:6" x14ac:dyDescent="0.25">
      <c r="A6540">
        <v>6539</v>
      </c>
      <c r="B6540">
        <v>2</v>
      </c>
      <c r="C6540">
        <v>0</v>
      </c>
      <c r="D6540">
        <v>0</v>
      </c>
      <c r="E6540">
        <v>0</v>
      </c>
      <c r="F6540">
        <v>220.25800000000001</v>
      </c>
    </row>
    <row r="6541" spans="1:6" x14ac:dyDescent="0.25">
      <c r="A6541">
        <v>6540</v>
      </c>
      <c r="B6541" t="s">
        <v>0</v>
      </c>
      <c r="C6541">
        <v>10</v>
      </c>
      <c r="D6541">
        <v>3485</v>
      </c>
      <c r="E6541">
        <v>80150416</v>
      </c>
    </row>
    <row r="6542" spans="1:6" x14ac:dyDescent="0.25">
      <c r="A6542">
        <v>6541</v>
      </c>
      <c r="B6542">
        <v>13</v>
      </c>
      <c r="C6542">
        <v>0</v>
      </c>
      <c r="D6542">
        <v>0</v>
      </c>
      <c r="E6542">
        <v>0</v>
      </c>
      <c r="F6542">
        <v>1603</v>
      </c>
    </row>
    <row r="6543" spans="1:6" x14ac:dyDescent="0.25">
      <c r="A6543">
        <v>6542</v>
      </c>
      <c r="B6543" t="s">
        <v>0</v>
      </c>
      <c r="C6543">
        <v>11</v>
      </c>
      <c r="D6543">
        <v>3485</v>
      </c>
      <c r="E6543">
        <v>80150555</v>
      </c>
    </row>
    <row r="6544" spans="1:6" x14ac:dyDescent="0.25">
      <c r="A6544">
        <v>6543</v>
      </c>
      <c r="B6544">
        <v>42</v>
      </c>
      <c r="C6544">
        <v>0</v>
      </c>
      <c r="D6544">
        <v>0</v>
      </c>
      <c r="E6544">
        <v>0</v>
      </c>
      <c r="F6544">
        <v>0.2</v>
      </c>
    </row>
    <row r="6545" spans="1:6" x14ac:dyDescent="0.25">
      <c r="A6545">
        <v>6544</v>
      </c>
      <c r="B6545" t="s">
        <v>0</v>
      </c>
      <c r="C6545">
        <v>12</v>
      </c>
      <c r="D6545">
        <v>3485</v>
      </c>
      <c r="E6545">
        <v>80150693</v>
      </c>
    </row>
    <row r="6546" spans="1:6" x14ac:dyDescent="0.25">
      <c r="A6546">
        <v>6545</v>
      </c>
      <c r="B6546">
        <v>44</v>
      </c>
      <c r="C6546">
        <v>0</v>
      </c>
      <c r="D6546">
        <v>0</v>
      </c>
      <c r="E6546">
        <v>0</v>
      </c>
      <c r="F6546">
        <v>-69.695599999999999</v>
      </c>
    </row>
    <row r="6547" spans="1:6" x14ac:dyDescent="0.25">
      <c r="A6547">
        <v>6546</v>
      </c>
      <c r="B6547" t="s">
        <v>0</v>
      </c>
      <c r="C6547">
        <v>13</v>
      </c>
      <c r="D6547">
        <v>3485</v>
      </c>
      <c r="E6547">
        <v>80150830</v>
      </c>
    </row>
    <row r="6548" spans="1:6" x14ac:dyDescent="0.25">
      <c r="A6548">
        <v>6547</v>
      </c>
      <c r="B6548">
        <v>46</v>
      </c>
      <c r="C6548">
        <v>0</v>
      </c>
      <c r="D6548">
        <v>0</v>
      </c>
      <c r="E6548">
        <v>0</v>
      </c>
      <c r="F6548">
        <v>0</v>
      </c>
    </row>
    <row r="6549" spans="1:6" x14ac:dyDescent="0.25">
      <c r="A6549">
        <v>6548</v>
      </c>
      <c r="B6549" t="s">
        <v>0</v>
      </c>
      <c r="C6549">
        <v>14</v>
      </c>
      <c r="D6549">
        <v>3485</v>
      </c>
      <c r="E6549">
        <v>80150967</v>
      </c>
    </row>
    <row r="6550" spans="1:6" x14ac:dyDescent="0.25">
      <c r="A6550">
        <v>6549</v>
      </c>
      <c r="B6550">
        <v>10</v>
      </c>
      <c r="C6550">
        <v>1</v>
      </c>
      <c r="D6550">
        <v>0</v>
      </c>
      <c r="E6550">
        <v>0</v>
      </c>
      <c r="F6550">
        <v>5146</v>
      </c>
    </row>
    <row r="6551" spans="1:6" x14ac:dyDescent="0.25">
      <c r="A6551">
        <v>6550</v>
      </c>
      <c r="B6551" t="s">
        <v>0</v>
      </c>
      <c r="C6551">
        <v>15</v>
      </c>
      <c r="D6551">
        <v>3485</v>
      </c>
      <c r="E6551">
        <v>80151103</v>
      </c>
    </row>
    <row r="6552" spans="1:6" x14ac:dyDescent="0.25">
      <c r="A6552">
        <v>6551</v>
      </c>
      <c r="B6552">
        <v>41</v>
      </c>
      <c r="C6552">
        <v>0</v>
      </c>
      <c r="D6552">
        <v>0</v>
      </c>
      <c r="E6552">
        <v>0</v>
      </c>
      <c r="F6552">
        <v>1</v>
      </c>
    </row>
    <row r="6553" spans="1:6" x14ac:dyDescent="0.25">
      <c r="A6553">
        <v>6552</v>
      </c>
      <c r="B6553">
        <v>42</v>
      </c>
      <c r="C6553">
        <v>0</v>
      </c>
      <c r="D6553">
        <v>0</v>
      </c>
      <c r="E6553">
        <v>0</v>
      </c>
      <c r="F6553">
        <v>0.2</v>
      </c>
    </row>
    <row r="6554" spans="1:6" x14ac:dyDescent="0.25">
      <c r="A6554">
        <v>6553</v>
      </c>
      <c r="B6554">
        <v>43</v>
      </c>
      <c r="C6554">
        <v>0</v>
      </c>
      <c r="D6554">
        <v>0</v>
      </c>
      <c r="E6554">
        <v>0</v>
      </c>
      <c r="F6554">
        <v>0</v>
      </c>
    </row>
    <row r="6555" spans="1:6" x14ac:dyDescent="0.25">
      <c r="A6555">
        <v>6554</v>
      </c>
      <c r="B6555">
        <v>44</v>
      </c>
      <c r="C6555">
        <v>0</v>
      </c>
      <c r="D6555">
        <v>0</v>
      </c>
      <c r="E6555">
        <v>0</v>
      </c>
      <c r="F6555">
        <v>-73.148399999999995</v>
      </c>
    </row>
    <row r="6556" spans="1:6" x14ac:dyDescent="0.25">
      <c r="A6556">
        <v>6555</v>
      </c>
      <c r="B6556">
        <v>45</v>
      </c>
      <c r="C6556">
        <v>0</v>
      </c>
      <c r="D6556">
        <v>0</v>
      </c>
      <c r="E6556">
        <v>0</v>
      </c>
      <c r="F6556">
        <v>544.60400000000004</v>
      </c>
    </row>
    <row r="6557" spans="1:6" x14ac:dyDescent="0.25">
      <c r="A6557">
        <v>6556</v>
      </c>
      <c r="B6557">
        <v>46</v>
      </c>
      <c r="C6557">
        <v>0</v>
      </c>
      <c r="D6557">
        <v>0</v>
      </c>
      <c r="E6557">
        <v>0</v>
      </c>
      <c r="F6557">
        <v>0</v>
      </c>
    </row>
    <row r="6558" spans="1:6" x14ac:dyDescent="0.25">
      <c r="A6558">
        <v>6557</v>
      </c>
      <c r="B6558">
        <v>2</v>
      </c>
      <c r="C6558">
        <v>0</v>
      </c>
      <c r="D6558">
        <v>0</v>
      </c>
      <c r="E6558">
        <v>0</v>
      </c>
      <c r="F6558">
        <v>228.38499999999999</v>
      </c>
    </row>
    <row r="6559" spans="1:6" x14ac:dyDescent="0.25">
      <c r="A6559">
        <v>6558</v>
      </c>
      <c r="B6559">
        <v>10</v>
      </c>
      <c r="C6559">
        <v>1</v>
      </c>
      <c r="D6559">
        <v>0</v>
      </c>
      <c r="E6559">
        <v>0</v>
      </c>
      <c r="F6559">
        <v>5046</v>
      </c>
    </row>
    <row r="6560" spans="1:6" x14ac:dyDescent="0.25">
      <c r="A6560">
        <v>6559</v>
      </c>
      <c r="B6560">
        <v>13</v>
      </c>
      <c r="C6560">
        <v>0</v>
      </c>
      <c r="D6560">
        <v>0</v>
      </c>
      <c r="E6560">
        <v>0</v>
      </c>
      <c r="F6560">
        <v>1603</v>
      </c>
    </row>
    <row r="6561" spans="1:6" x14ac:dyDescent="0.25">
      <c r="A6561">
        <v>6560</v>
      </c>
      <c r="B6561">
        <v>41</v>
      </c>
      <c r="C6561">
        <v>0</v>
      </c>
      <c r="D6561">
        <v>0</v>
      </c>
      <c r="E6561">
        <v>0</v>
      </c>
      <c r="F6561">
        <v>1</v>
      </c>
    </row>
    <row r="6562" spans="1:6" x14ac:dyDescent="0.25">
      <c r="A6562">
        <v>6561</v>
      </c>
      <c r="B6562">
        <v>42</v>
      </c>
      <c r="C6562">
        <v>0</v>
      </c>
      <c r="D6562">
        <v>0</v>
      </c>
      <c r="E6562">
        <v>0</v>
      </c>
      <c r="F6562">
        <v>0.2</v>
      </c>
    </row>
    <row r="6563" spans="1:6" x14ac:dyDescent="0.25">
      <c r="A6563">
        <v>6562</v>
      </c>
      <c r="B6563">
        <v>43</v>
      </c>
      <c r="C6563">
        <v>0</v>
      </c>
      <c r="D6563">
        <v>0</v>
      </c>
      <c r="E6563">
        <v>0</v>
      </c>
      <c r="F6563">
        <v>0</v>
      </c>
    </row>
    <row r="6564" spans="1:6" x14ac:dyDescent="0.25">
      <c r="A6564">
        <v>6563</v>
      </c>
      <c r="B6564">
        <v>44</v>
      </c>
      <c r="C6564">
        <v>0</v>
      </c>
      <c r="D6564">
        <v>0</v>
      </c>
      <c r="E6564">
        <v>0</v>
      </c>
      <c r="F6564">
        <v>-77.256500000000003</v>
      </c>
    </row>
    <row r="6565" spans="1:6" x14ac:dyDescent="0.25">
      <c r="A6565">
        <v>6564</v>
      </c>
      <c r="B6565">
        <v>45</v>
      </c>
      <c r="C6565">
        <v>0</v>
      </c>
      <c r="D6565">
        <v>0</v>
      </c>
      <c r="E6565">
        <v>0</v>
      </c>
      <c r="F6565">
        <v>544.55399999999997</v>
      </c>
    </row>
    <row r="6566" spans="1:6" x14ac:dyDescent="0.25">
      <c r="A6566">
        <v>6565</v>
      </c>
      <c r="B6566">
        <v>46</v>
      </c>
      <c r="C6566">
        <v>0</v>
      </c>
      <c r="D6566">
        <v>0</v>
      </c>
      <c r="E6566">
        <v>0</v>
      </c>
      <c r="F6566">
        <v>0</v>
      </c>
    </row>
    <row r="6567" spans="1:6" x14ac:dyDescent="0.25">
      <c r="A6567">
        <v>6566</v>
      </c>
      <c r="B6567">
        <v>2</v>
      </c>
      <c r="C6567">
        <v>0</v>
      </c>
      <c r="D6567">
        <v>0</v>
      </c>
      <c r="E6567">
        <v>0</v>
      </c>
      <c r="F6567">
        <v>231.77199999999999</v>
      </c>
    </row>
    <row r="6568" spans="1:6" x14ac:dyDescent="0.25">
      <c r="A6568">
        <v>6567</v>
      </c>
      <c r="B6568">
        <v>10</v>
      </c>
      <c r="C6568">
        <v>1</v>
      </c>
      <c r="D6568">
        <v>0</v>
      </c>
      <c r="E6568">
        <v>0</v>
      </c>
      <c r="F6568">
        <v>4952</v>
      </c>
    </row>
    <row r="6569" spans="1:6" x14ac:dyDescent="0.25">
      <c r="A6569">
        <v>6568</v>
      </c>
      <c r="B6569">
        <v>13</v>
      </c>
      <c r="C6569">
        <v>0</v>
      </c>
      <c r="D6569">
        <v>0</v>
      </c>
      <c r="E6569">
        <v>0</v>
      </c>
      <c r="F6569">
        <v>1603</v>
      </c>
    </row>
    <row r="6570" spans="1:6" x14ac:dyDescent="0.25">
      <c r="A6570">
        <v>6569</v>
      </c>
      <c r="B6570">
        <v>41</v>
      </c>
      <c r="C6570">
        <v>0</v>
      </c>
      <c r="D6570">
        <v>0</v>
      </c>
      <c r="E6570">
        <v>0</v>
      </c>
      <c r="F6570">
        <v>1</v>
      </c>
    </row>
    <row r="6571" spans="1:6" x14ac:dyDescent="0.25">
      <c r="A6571">
        <v>6570</v>
      </c>
      <c r="B6571">
        <v>42</v>
      </c>
      <c r="C6571">
        <v>0</v>
      </c>
      <c r="D6571">
        <v>0</v>
      </c>
      <c r="E6571">
        <v>0</v>
      </c>
      <c r="F6571">
        <v>0.2</v>
      </c>
    </row>
    <row r="6572" spans="1:6" x14ac:dyDescent="0.25">
      <c r="A6572">
        <v>6571</v>
      </c>
      <c r="B6572">
        <v>43</v>
      </c>
      <c r="C6572">
        <v>0</v>
      </c>
      <c r="D6572">
        <v>0</v>
      </c>
      <c r="E6572">
        <v>0</v>
      </c>
      <c r="F6572">
        <v>0</v>
      </c>
    </row>
    <row r="6573" spans="1:6" x14ac:dyDescent="0.25">
      <c r="A6573">
        <v>6572</v>
      </c>
      <c r="B6573">
        <v>44</v>
      </c>
      <c r="C6573">
        <v>0</v>
      </c>
      <c r="D6573">
        <v>0</v>
      </c>
      <c r="E6573">
        <v>0</v>
      </c>
      <c r="F6573">
        <v>-80.456299999999999</v>
      </c>
    </row>
    <row r="6574" spans="1:6" x14ac:dyDescent="0.25">
      <c r="A6574">
        <v>6573</v>
      </c>
      <c r="B6574">
        <v>45</v>
      </c>
      <c r="C6574">
        <v>0</v>
      </c>
      <c r="D6574">
        <v>0</v>
      </c>
      <c r="E6574">
        <v>0</v>
      </c>
      <c r="F6574">
        <v>544.49</v>
      </c>
    </row>
    <row r="6575" spans="1:6" x14ac:dyDescent="0.25">
      <c r="A6575">
        <v>6574</v>
      </c>
      <c r="B6575">
        <v>46</v>
      </c>
      <c r="C6575">
        <v>0</v>
      </c>
      <c r="D6575">
        <v>0</v>
      </c>
      <c r="E6575">
        <v>0</v>
      </c>
      <c r="F6575">
        <v>0</v>
      </c>
    </row>
    <row r="6576" spans="1:6" x14ac:dyDescent="0.25">
      <c r="A6576">
        <v>6575</v>
      </c>
      <c r="B6576">
        <v>2</v>
      </c>
      <c r="C6576">
        <v>0</v>
      </c>
      <c r="D6576">
        <v>0</v>
      </c>
      <c r="E6576">
        <v>0</v>
      </c>
      <c r="F6576">
        <v>235.88800000000001</v>
      </c>
    </row>
    <row r="6577" spans="1:6" x14ac:dyDescent="0.25">
      <c r="A6577">
        <v>6576</v>
      </c>
      <c r="B6577">
        <v>10</v>
      </c>
      <c r="C6577">
        <v>1</v>
      </c>
      <c r="D6577">
        <v>0</v>
      </c>
      <c r="E6577">
        <v>0</v>
      </c>
      <c r="F6577">
        <v>4842</v>
      </c>
    </row>
    <row r="6578" spans="1:6" x14ac:dyDescent="0.25">
      <c r="A6578">
        <v>6577</v>
      </c>
      <c r="B6578">
        <v>13</v>
      </c>
      <c r="C6578">
        <v>0</v>
      </c>
      <c r="D6578">
        <v>0</v>
      </c>
      <c r="E6578">
        <v>0</v>
      </c>
      <c r="F6578">
        <v>1603</v>
      </c>
    </row>
    <row r="6579" spans="1:6" x14ac:dyDescent="0.25">
      <c r="A6579">
        <v>6578</v>
      </c>
      <c r="B6579">
        <v>41</v>
      </c>
      <c r="C6579">
        <v>0</v>
      </c>
      <c r="D6579">
        <v>0</v>
      </c>
      <c r="E6579">
        <v>0</v>
      </c>
      <c r="F6579">
        <v>1</v>
      </c>
    </row>
    <row r="6580" spans="1:6" x14ac:dyDescent="0.25">
      <c r="A6580">
        <v>6579</v>
      </c>
      <c r="B6580">
        <v>42</v>
      </c>
      <c r="C6580">
        <v>0</v>
      </c>
      <c r="D6580">
        <v>0</v>
      </c>
      <c r="E6580">
        <v>0</v>
      </c>
      <c r="F6580">
        <v>0.2</v>
      </c>
    </row>
    <row r="6581" spans="1:6" x14ac:dyDescent="0.25">
      <c r="A6581">
        <v>6580</v>
      </c>
      <c r="B6581">
        <v>43</v>
      </c>
      <c r="C6581">
        <v>0</v>
      </c>
      <c r="D6581">
        <v>0</v>
      </c>
      <c r="E6581">
        <v>0</v>
      </c>
      <c r="F6581">
        <v>0</v>
      </c>
    </row>
    <row r="6582" spans="1:6" x14ac:dyDescent="0.25">
      <c r="A6582">
        <v>6581</v>
      </c>
      <c r="B6582">
        <v>44</v>
      </c>
      <c r="C6582">
        <v>0</v>
      </c>
      <c r="D6582">
        <v>0</v>
      </c>
      <c r="E6582">
        <v>0</v>
      </c>
      <c r="F6582">
        <v>-84.3035</v>
      </c>
    </row>
    <row r="6583" spans="1:6" x14ac:dyDescent="0.25">
      <c r="A6583">
        <v>6582</v>
      </c>
      <c r="B6583">
        <v>45</v>
      </c>
      <c r="C6583">
        <v>0</v>
      </c>
      <c r="D6583">
        <v>0</v>
      </c>
      <c r="E6583">
        <v>0</v>
      </c>
      <c r="F6583">
        <v>544.43700000000001</v>
      </c>
    </row>
    <row r="6584" spans="1:6" x14ac:dyDescent="0.25">
      <c r="A6584">
        <v>6583</v>
      </c>
      <c r="B6584">
        <v>46</v>
      </c>
      <c r="C6584">
        <v>0</v>
      </c>
      <c r="D6584">
        <v>0</v>
      </c>
      <c r="E6584">
        <v>0</v>
      </c>
      <c r="F6584">
        <v>0</v>
      </c>
    </row>
    <row r="6585" spans="1:6" x14ac:dyDescent="0.25">
      <c r="A6585">
        <v>6584</v>
      </c>
      <c r="B6585" t="s">
        <v>0</v>
      </c>
      <c r="C6585">
        <v>32</v>
      </c>
      <c r="D6585">
        <v>3485</v>
      </c>
      <c r="E6585">
        <v>80153369</v>
      </c>
    </row>
    <row r="6586" spans="1:6" x14ac:dyDescent="0.25">
      <c r="A6586">
        <v>6585</v>
      </c>
      <c r="B6586">
        <v>10</v>
      </c>
      <c r="C6586">
        <v>1</v>
      </c>
      <c r="D6586">
        <v>0</v>
      </c>
      <c r="E6586">
        <v>0</v>
      </c>
      <c r="F6586">
        <v>4739</v>
      </c>
    </row>
    <row r="6587" spans="1:6" x14ac:dyDescent="0.25">
      <c r="A6587">
        <v>6586</v>
      </c>
      <c r="B6587" t="s">
        <v>0</v>
      </c>
      <c r="C6587">
        <v>33</v>
      </c>
      <c r="D6587">
        <v>3485</v>
      </c>
      <c r="E6587">
        <v>80153499</v>
      </c>
    </row>
    <row r="6588" spans="1:6" x14ac:dyDescent="0.25">
      <c r="A6588">
        <v>6587</v>
      </c>
      <c r="B6588">
        <v>41</v>
      </c>
      <c r="C6588">
        <v>0</v>
      </c>
      <c r="D6588">
        <v>0</v>
      </c>
      <c r="E6588">
        <v>0</v>
      </c>
      <c r="F6588">
        <v>1</v>
      </c>
    </row>
    <row r="6589" spans="1:6" x14ac:dyDescent="0.25">
      <c r="A6589">
        <v>6588</v>
      </c>
      <c r="B6589" t="s">
        <v>0</v>
      </c>
      <c r="C6589">
        <v>34</v>
      </c>
      <c r="D6589">
        <v>3485</v>
      </c>
      <c r="E6589">
        <v>80153628</v>
      </c>
    </row>
    <row r="6590" spans="1:6" x14ac:dyDescent="0.25">
      <c r="A6590">
        <v>6589</v>
      </c>
      <c r="B6590">
        <v>43</v>
      </c>
      <c r="C6590">
        <v>0</v>
      </c>
      <c r="D6590">
        <v>0</v>
      </c>
      <c r="E6590">
        <v>0</v>
      </c>
      <c r="F6590">
        <v>0</v>
      </c>
    </row>
    <row r="6591" spans="1:6" x14ac:dyDescent="0.25">
      <c r="A6591">
        <v>6590</v>
      </c>
      <c r="B6591" t="s">
        <v>0</v>
      </c>
      <c r="C6591">
        <v>35</v>
      </c>
      <c r="D6591">
        <v>3485</v>
      </c>
      <c r="E6591">
        <v>80153757</v>
      </c>
    </row>
    <row r="6592" spans="1:6" x14ac:dyDescent="0.25">
      <c r="A6592">
        <v>6591</v>
      </c>
      <c r="B6592">
        <v>45</v>
      </c>
      <c r="C6592">
        <v>0</v>
      </c>
      <c r="D6592">
        <v>0</v>
      </c>
      <c r="E6592">
        <v>0</v>
      </c>
      <c r="F6592">
        <v>544.37</v>
      </c>
    </row>
    <row r="6593" spans="1:6" x14ac:dyDescent="0.25">
      <c r="A6593">
        <v>6592</v>
      </c>
      <c r="B6593" t="s">
        <v>0</v>
      </c>
      <c r="C6593">
        <v>36</v>
      </c>
      <c r="D6593">
        <v>3485</v>
      </c>
      <c r="E6593">
        <v>80153886</v>
      </c>
    </row>
    <row r="6594" spans="1:6" x14ac:dyDescent="0.25">
      <c r="A6594">
        <v>6593</v>
      </c>
      <c r="B6594">
        <v>2</v>
      </c>
      <c r="C6594">
        <v>0</v>
      </c>
      <c r="D6594">
        <v>0</v>
      </c>
      <c r="E6594">
        <v>0</v>
      </c>
      <c r="F6594">
        <v>242.95099999999999</v>
      </c>
    </row>
    <row r="6595" spans="1:6" x14ac:dyDescent="0.25">
      <c r="A6595">
        <v>6594</v>
      </c>
      <c r="B6595" t="s">
        <v>0</v>
      </c>
      <c r="C6595">
        <v>37</v>
      </c>
      <c r="D6595">
        <v>3485</v>
      </c>
      <c r="E6595">
        <v>80154015</v>
      </c>
    </row>
    <row r="6596" spans="1:6" x14ac:dyDescent="0.25">
      <c r="A6596">
        <v>6595</v>
      </c>
      <c r="B6596">
        <v>13</v>
      </c>
      <c r="C6596">
        <v>0</v>
      </c>
      <c r="D6596">
        <v>0</v>
      </c>
      <c r="E6596">
        <v>0</v>
      </c>
      <c r="F6596">
        <v>1603</v>
      </c>
    </row>
    <row r="6597" spans="1:6" x14ac:dyDescent="0.25">
      <c r="A6597">
        <v>6596</v>
      </c>
      <c r="B6597" t="s">
        <v>0</v>
      </c>
      <c r="C6597">
        <v>38</v>
      </c>
      <c r="D6597">
        <v>3485</v>
      </c>
      <c r="E6597">
        <v>80154144</v>
      </c>
    </row>
    <row r="6598" spans="1:6" x14ac:dyDescent="0.25">
      <c r="A6598">
        <v>6597</v>
      </c>
      <c r="B6598">
        <v>41</v>
      </c>
      <c r="C6598">
        <v>0</v>
      </c>
      <c r="D6598">
        <v>0</v>
      </c>
      <c r="E6598">
        <v>0</v>
      </c>
      <c r="F6598">
        <v>1</v>
      </c>
    </row>
    <row r="6599" spans="1:6" x14ac:dyDescent="0.25">
      <c r="A6599">
        <v>6598</v>
      </c>
      <c r="B6599">
        <v>42</v>
      </c>
      <c r="C6599">
        <v>0</v>
      </c>
      <c r="D6599">
        <v>0</v>
      </c>
      <c r="E6599">
        <v>0</v>
      </c>
      <c r="F6599">
        <v>0.2</v>
      </c>
    </row>
    <row r="6600" spans="1:6" x14ac:dyDescent="0.25">
      <c r="A6600">
        <v>6599</v>
      </c>
      <c r="B6600" t="s">
        <v>0</v>
      </c>
      <c r="C6600">
        <v>39</v>
      </c>
      <c r="D6600">
        <v>3485</v>
      </c>
      <c r="E6600">
        <v>80154272</v>
      </c>
    </row>
    <row r="6601" spans="1:6" x14ac:dyDescent="0.25">
      <c r="A6601">
        <v>6600</v>
      </c>
      <c r="B6601">
        <v>43</v>
      </c>
      <c r="C6601">
        <v>0</v>
      </c>
      <c r="D6601">
        <v>0</v>
      </c>
      <c r="E6601">
        <v>0</v>
      </c>
      <c r="F6601">
        <v>0</v>
      </c>
    </row>
    <row r="6602" spans="1:6" x14ac:dyDescent="0.25">
      <c r="A6602">
        <v>6601</v>
      </c>
      <c r="B6602">
        <v>44</v>
      </c>
      <c r="C6602">
        <v>0</v>
      </c>
      <c r="D6602">
        <v>0</v>
      </c>
      <c r="E6602">
        <v>0</v>
      </c>
      <c r="F6602">
        <v>-90.9893</v>
      </c>
    </row>
    <row r="6603" spans="1:6" x14ac:dyDescent="0.25">
      <c r="A6603">
        <v>6602</v>
      </c>
      <c r="B6603" t="s">
        <v>0</v>
      </c>
      <c r="C6603">
        <v>40</v>
      </c>
      <c r="D6603">
        <v>3485</v>
      </c>
      <c r="E6603">
        <v>80154399</v>
      </c>
    </row>
    <row r="6604" spans="1:6" x14ac:dyDescent="0.25">
      <c r="A6604">
        <v>6603</v>
      </c>
      <c r="B6604">
        <v>45</v>
      </c>
      <c r="C6604">
        <v>0</v>
      </c>
      <c r="D6604">
        <v>0</v>
      </c>
      <c r="E6604">
        <v>0</v>
      </c>
      <c r="F6604">
        <v>544.29999999999995</v>
      </c>
    </row>
    <row r="6605" spans="1:6" x14ac:dyDescent="0.25">
      <c r="A6605">
        <v>6604</v>
      </c>
      <c r="B6605">
        <v>46</v>
      </c>
      <c r="C6605">
        <v>0</v>
      </c>
      <c r="D6605">
        <v>0</v>
      </c>
      <c r="E6605">
        <v>0</v>
      </c>
      <c r="F6605">
        <v>0</v>
      </c>
    </row>
    <row r="6606" spans="1:6" x14ac:dyDescent="0.25">
      <c r="A6606">
        <v>6605</v>
      </c>
      <c r="B6606">
        <v>2</v>
      </c>
      <c r="C6606">
        <v>0</v>
      </c>
      <c r="D6606">
        <v>0</v>
      </c>
      <c r="E6606">
        <v>0</v>
      </c>
      <c r="F6606">
        <v>246.75700000000001</v>
      </c>
    </row>
    <row r="6607" spans="1:6" x14ac:dyDescent="0.25">
      <c r="A6607">
        <v>6606</v>
      </c>
      <c r="B6607">
        <v>10</v>
      </c>
      <c r="C6607">
        <v>1</v>
      </c>
      <c r="D6607">
        <v>0</v>
      </c>
      <c r="E6607">
        <v>0</v>
      </c>
      <c r="F6607">
        <v>4569</v>
      </c>
    </row>
    <row r="6608" spans="1:6" x14ac:dyDescent="0.25">
      <c r="A6608">
        <v>6607</v>
      </c>
      <c r="B6608">
        <v>13</v>
      </c>
      <c r="C6608">
        <v>0</v>
      </c>
      <c r="D6608">
        <v>0</v>
      </c>
      <c r="E6608">
        <v>0</v>
      </c>
      <c r="F6608">
        <v>1603</v>
      </c>
    </row>
    <row r="6609" spans="1:6" x14ac:dyDescent="0.25">
      <c r="A6609">
        <v>6608</v>
      </c>
      <c r="B6609">
        <v>41</v>
      </c>
      <c r="C6609">
        <v>0</v>
      </c>
      <c r="D6609">
        <v>0</v>
      </c>
      <c r="E6609">
        <v>0</v>
      </c>
      <c r="F6609">
        <v>1</v>
      </c>
    </row>
    <row r="6610" spans="1:6" x14ac:dyDescent="0.25">
      <c r="A6610">
        <v>6609</v>
      </c>
      <c r="B6610">
        <v>42</v>
      </c>
      <c r="C6610">
        <v>0</v>
      </c>
      <c r="D6610">
        <v>0</v>
      </c>
      <c r="E6610">
        <v>0</v>
      </c>
      <c r="F6610">
        <v>0.2</v>
      </c>
    </row>
    <row r="6611" spans="1:6" x14ac:dyDescent="0.25">
      <c r="A6611">
        <v>6610</v>
      </c>
      <c r="B6611">
        <v>43</v>
      </c>
      <c r="C6611">
        <v>0</v>
      </c>
      <c r="D6611">
        <v>0</v>
      </c>
      <c r="E6611">
        <v>0</v>
      </c>
      <c r="F6611">
        <v>0</v>
      </c>
    </row>
    <row r="6612" spans="1:6" x14ac:dyDescent="0.25">
      <c r="A6612">
        <v>6611</v>
      </c>
      <c r="B6612">
        <v>44</v>
      </c>
      <c r="C6612">
        <v>0</v>
      </c>
      <c r="D6612">
        <v>0</v>
      </c>
      <c r="E6612">
        <v>0</v>
      </c>
      <c r="F6612">
        <v>-94.5916</v>
      </c>
    </row>
    <row r="6613" spans="1:6" x14ac:dyDescent="0.25">
      <c r="A6613">
        <v>6612</v>
      </c>
      <c r="B6613" t="s">
        <v>0</v>
      </c>
      <c r="C6613">
        <v>45</v>
      </c>
      <c r="D6613">
        <v>3485</v>
      </c>
      <c r="E6613">
        <v>80155031</v>
      </c>
    </row>
    <row r="6614" spans="1:6" x14ac:dyDescent="0.25">
      <c r="A6614">
        <v>6613</v>
      </c>
      <c r="B6614">
        <v>46</v>
      </c>
      <c r="C6614">
        <v>0</v>
      </c>
      <c r="D6614">
        <v>0</v>
      </c>
      <c r="E6614">
        <v>0</v>
      </c>
      <c r="F6614">
        <v>0</v>
      </c>
    </row>
    <row r="6615" spans="1:6" x14ac:dyDescent="0.25">
      <c r="A6615">
        <v>6614</v>
      </c>
      <c r="B6615" t="s">
        <v>0</v>
      </c>
      <c r="C6615">
        <v>46</v>
      </c>
      <c r="D6615">
        <v>3485</v>
      </c>
      <c r="E6615">
        <v>80155156</v>
      </c>
    </row>
    <row r="6616" spans="1:6" x14ac:dyDescent="0.25">
      <c r="A6616">
        <v>6615</v>
      </c>
      <c r="B6616">
        <v>10</v>
      </c>
      <c r="C6616">
        <v>1</v>
      </c>
      <c r="D6616">
        <v>0</v>
      </c>
      <c r="E6616">
        <v>0</v>
      </c>
      <c r="F6616">
        <v>4480</v>
      </c>
    </row>
    <row r="6617" spans="1:6" x14ac:dyDescent="0.25">
      <c r="A6617">
        <v>6616</v>
      </c>
      <c r="B6617" t="s">
        <v>0</v>
      </c>
      <c r="C6617">
        <v>47</v>
      </c>
      <c r="D6617">
        <v>3485</v>
      </c>
      <c r="E6617">
        <v>80155281</v>
      </c>
    </row>
    <row r="6618" spans="1:6" x14ac:dyDescent="0.25">
      <c r="A6618">
        <v>6617</v>
      </c>
      <c r="B6618">
        <v>41</v>
      </c>
      <c r="C6618">
        <v>0</v>
      </c>
      <c r="D6618">
        <v>0</v>
      </c>
      <c r="E6618">
        <v>0</v>
      </c>
      <c r="F6618">
        <v>1</v>
      </c>
    </row>
    <row r="6619" spans="1:6" x14ac:dyDescent="0.25">
      <c r="A6619">
        <v>6618</v>
      </c>
      <c r="B6619" t="s">
        <v>0</v>
      </c>
      <c r="C6619">
        <v>48</v>
      </c>
      <c r="D6619">
        <v>3485</v>
      </c>
      <c r="E6619">
        <v>80155406</v>
      </c>
    </row>
    <row r="6620" spans="1:6" x14ac:dyDescent="0.25">
      <c r="A6620">
        <v>6619</v>
      </c>
      <c r="B6620">
        <v>42</v>
      </c>
      <c r="C6620">
        <v>0</v>
      </c>
      <c r="D6620">
        <v>0</v>
      </c>
      <c r="E6620">
        <v>0</v>
      </c>
      <c r="F6620">
        <v>0.2</v>
      </c>
    </row>
    <row r="6621" spans="1:6" x14ac:dyDescent="0.25">
      <c r="A6621">
        <v>6620</v>
      </c>
      <c r="B6621">
        <v>43</v>
      </c>
      <c r="C6621">
        <v>0</v>
      </c>
      <c r="D6621">
        <v>0</v>
      </c>
      <c r="E6621">
        <v>0</v>
      </c>
      <c r="F6621">
        <v>0</v>
      </c>
    </row>
    <row r="6622" spans="1:6" x14ac:dyDescent="0.25">
      <c r="A6622">
        <v>6621</v>
      </c>
      <c r="B6622" t="s">
        <v>0</v>
      </c>
      <c r="C6622">
        <v>49</v>
      </c>
      <c r="D6622">
        <v>3485</v>
      </c>
      <c r="E6622">
        <v>80155530</v>
      </c>
    </row>
    <row r="6623" spans="1:6" x14ac:dyDescent="0.25">
      <c r="A6623">
        <v>6622</v>
      </c>
      <c r="B6623">
        <v>44</v>
      </c>
      <c r="C6623">
        <v>0</v>
      </c>
      <c r="D6623">
        <v>0</v>
      </c>
      <c r="E6623">
        <v>0</v>
      </c>
      <c r="F6623">
        <v>-98.136399999999995</v>
      </c>
    </row>
    <row r="6624" spans="1:6" x14ac:dyDescent="0.25">
      <c r="A6624">
        <v>6623</v>
      </c>
      <c r="B6624">
        <v>45</v>
      </c>
      <c r="C6624">
        <v>0</v>
      </c>
      <c r="D6624">
        <v>0</v>
      </c>
      <c r="E6624">
        <v>0</v>
      </c>
      <c r="F6624">
        <v>544.16999999999996</v>
      </c>
    </row>
    <row r="6625" spans="1:6" x14ac:dyDescent="0.25">
      <c r="A6625">
        <v>6624</v>
      </c>
      <c r="B6625">
        <v>46</v>
      </c>
      <c r="C6625">
        <v>0</v>
      </c>
      <c r="D6625">
        <v>0</v>
      </c>
      <c r="E6625">
        <v>0</v>
      </c>
      <c r="F6625">
        <v>0</v>
      </c>
    </row>
    <row r="6626" spans="1:6" x14ac:dyDescent="0.25">
      <c r="A6626">
        <v>6625</v>
      </c>
      <c r="B6626">
        <v>2</v>
      </c>
      <c r="C6626">
        <v>0</v>
      </c>
      <c r="D6626">
        <v>0</v>
      </c>
      <c r="E6626">
        <v>0</v>
      </c>
      <c r="F6626">
        <v>253.446</v>
      </c>
    </row>
    <row r="6627" spans="1:6" x14ac:dyDescent="0.25">
      <c r="A6627">
        <v>6626</v>
      </c>
      <c r="B6627">
        <v>10</v>
      </c>
      <c r="C6627">
        <v>1</v>
      </c>
      <c r="D6627">
        <v>0</v>
      </c>
      <c r="E6627">
        <v>0</v>
      </c>
      <c r="F6627">
        <v>4396</v>
      </c>
    </row>
    <row r="6628" spans="1:6" x14ac:dyDescent="0.25">
      <c r="A6628">
        <v>6627</v>
      </c>
      <c r="B6628" t="s">
        <v>0</v>
      </c>
      <c r="C6628">
        <v>52</v>
      </c>
      <c r="D6628">
        <v>3485</v>
      </c>
      <c r="E6628">
        <v>80155902</v>
      </c>
    </row>
    <row r="6629" spans="1:6" x14ac:dyDescent="0.25">
      <c r="A6629">
        <v>6628</v>
      </c>
      <c r="B6629">
        <v>41</v>
      </c>
      <c r="C6629">
        <v>0</v>
      </c>
      <c r="D6629">
        <v>0</v>
      </c>
      <c r="E6629">
        <v>0</v>
      </c>
      <c r="F6629">
        <v>1</v>
      </c>
    </row>
    <row r="6630" spans="1:6" x14ac:dyDescent="0.25">
      <c r="A6630">
        <v>6629</v>
      </c>
      <c r="B6630" t="s">
        <v>0</v>
      </c>
      <c r="C6630">
        <v>53</v>
      </c>
      <c r="D6630">
        <v>3485</v>
      </c>
      <c r="E6630">
        <v>80156025</v>
      </c>
    </row>
    <row r="6631" spans="1:6" x14ac:dyDescent="0.25">
      <c r="A6631">
        <v>6630</v>
      </c>
      <c r="B6631">
        <v>43</v>
      </c>
      <c r="C6631">
        <v>0</v>
      </c>
      <c r="D6631">
        <v>0</v>
      </c>
      <c r="E6631">
        <v>0</v>
      </c>
      <c r="F6631">
        <v>0</v>
      </c>
    </row>
    <row r="6632" spans="1:6" x14ac:dyDescent="0.25">
      <c r="A6632">
        <v>6631</v>
      </c>
      <c r="B6632" t="s">
        <v>0</v>
      </c>
      <c r="C6632">
        <v>54</v>
      </c>
      <c r="D6632">
        <v>3485</v>
      </c>
      <c r="E6632">
        <v>80156148</v>
      </c>
    </row>
    <row r="6633" spans="1:6" x14ac:dyDescent="0.25">
      <c r="A6633">
        <v>6632</v>
      </c>
      <c r="B6633">
        <v>45</v>
      </c>
      <c r="C6633">
        <v>0</v>
      </c>
      <c r="D6633">
        <v>0</v>
      </c>
      <c r="E6633">
        <v>0</v>
      </c>
      <c r="F6633">
        <v>544.096</v>
      </c>
    </row>
    <row r="6634" spans="1:6" x14ac:dyDescent="0.25">
      <c r="A6634">
        <v>6633</v>
      </c>
      <c r="B6634" t="s">
        <v>0</v>
      </c>
      <c r="C6634">
        <v>55</v>
      </c>
      <c r="D6634">
        <v>3485</v>
      </c>
      <c r="E6634">
        <v>80156271</v>
      </c>
    </row>
    <row r="6635" spans="1:6" x14ac:dyDescent="0.25">
      <c r="A6635">
        <v>6634</v>
      </c>
      <c r="B6635">
        <v>46</v>
      </c>
      <c r="C6635">
        <v>0</v>
      </c>
      <c r="D6635">
        <v>0</v>
      </c>
      <c r="E6635">
        <v>0</v>
      </c>
      <c r="F6635">
        <v>0</v>
      </c>
    </row>
    <row r="6636" spans="1:6" x14ac:dyDescent="0.25">
      <c r="A6636">
        <v>6635</v>
      </c>
      <c r="B6636">
        <v>2</v>
      </c>
      <c r="C6636">
        <v>0</v>
      </c>
      <c r="D6636">
        <v>0</v>
      </c>
      <c r="E6636">
        <v>0</v>
      </c>
      <c r="F6636">
        <v>257.08</v>
      </c>
    </row>
    <row r="6637" spans="1:6" x14ac:dyDescent="0.25">
      <c r="A6637">
        <v>6636</v>
      </c>
      <c r="B6637" t="s">
        <v>0</v>
      </c>
      <c r="C6637">
        <v>56</v>
      </c>
      <c r="D6637">
        <v>3485</v>
      </c>
      <c r="E6637">
        <v>80156394</v>
      </c>
    </row>
    <row r="6638" spans="1:6" x14ac:dyDescent="0.25">
      <c r="A6638">
        <v>6637</v>
      </c>
      <c r="B6638">
        <v>10</v>
      </c>
      <c r="C6638">
        <v>1</v>
      </c>
      <c r="D6638">
        <v>0</v>
      </c>
      <c r="E6638">
        <v>0</v>
      </c>
      <c r="F6638">
        <v>4331</v>
      </c>
    </row>
    <row r="6639" spans="1:6" x14ac:dyDescent="0.25">
      <c r="A6639">
        <v>6638</v>
      </c>
      <c r="B6639">
        <v>13</v>
      </c>
      <c r="C6639">
        <v>0</v>
      </c>
      <c r="D6639">
        <v>0</v>
      </c>
      <c r="E6639">
        <v>0</v>
      </c>
      <c r="F6639">
        <v>1603</v>
      </c>
    </row>
    <row r="6640" spans="1:6" x14ac:dyDescent="0.25">
      <c r="A6640">
        <v>6639</v>
      </c>
      <c r="B6640">
        <v>41</v>
      </c>
      <c r="C6640">
        <v>0</v>
      </c>
      <c r="D6640">
        <v>0</v>
      </c>
      <c r="E6640">
        <v>0</v>
      </c>
      <c r="F6640">
        <v>1</v>
      </c>
    </row>
    <row r="6641" spans="1:6" x14ac:dyDescent="0.25">
      <c r="A6641">
        <v>6640</v>
      </c>
      <c r="B6641">
        <v>42</v>
      </c>
      <c r="C6641">
        <v>0</v>
      </c>
      <c r="D6641">
        <v>0</v>
      </c>
      <c r="E6641">
        <v>0</v>
      </c>
      <c r="F6641">
        <v>0.2</v>
      </c>
    </row>
    <row r="6642" spans="1:6" x14ac:dyDescent="0.25">
      <c r="A6642">
        <v>6641</v>
      </c>
      <c r="B6642">
        <v>43</v>
      </c>
      <c r="C6642">
        <v>0</v>
      </c>
      <c r="D6642">
        <v>0</v>
      </c>
      <c r="E6642">
        <v>0</v>
      </c>
      <c r="F6642">
        <v>0</v>
      </c>
    </row>
    <row r="6643" spans="1:6" x14ac:dyDescent="0.25">
      <c r="A6643">
        <v>6642</v>
      </c>
      <c r="B6643" t="s">
        <v>0</v>
      </c>
      <c r="C6643">
        <v>59</v>
      </c>
      <c r="D6643">
        <v>3485</v>
      </c>
      <c r="E6643">
        <v>80156759</v>
      </c>
    </row>
    <row r="6644" spans="1:6" x14ac:dyDescent="0.25">
      <c r="A6644">
        <v>6643</v>
      </c>
      <c r="B6644">
        <v>45</v>
      </c>
      <c r="C6644">
        <v>0</v>
      </c>
      <c r="D6644">
        <v>0</v>
      </c>
      <c r="E6644">
        <v>0</v>
      </c>
      <c r="F6644">
        <v>544.01900000000001</v>
      </c>
    </row>
    <row r="6645" spans="1:6" x14ac:dyDescent="0.25">
      <c r="A6645">
        <v>6644</v>
      </c>
      <c r="B6645" t="s">
        <v>0</v>
      </c>
      <c r="C6645">
        <v>60</v>
      </c>
      <c r="D6645">
        <v>3485</v>
      </c>
      <c r="E6645">
        <v>80156880</v>
      </c>
    </row>
    <row r="6646" spans="1:6" x14ac:dyDescent="0.25">
      <c r="A6646">
        <v>6645</v>
      </c>
      <c r="B6646">
        <v>46</v>
      </c>
      <c r="C6646">
        <v>0</v>
      </c>
      <c r="D6646">
        <v>0</v>
      </c>
      <c r="E6646">
        <v>0</v>
      </c>
      <c r="F6646">
        <v>0</v>
      </c>
    </row>
    <row r="6647" spans="1:6" x14ac:dyDescent="0.25">
      <c r="A6647">
        <v>6646</v>
      </c>
      <c r="B6647">
        <v>2</v>
      </c>
      <c r="C6647">
        <v>0</v>
      </c>
      <c r="D6647">
        <v>0</v>
      </c>
      <c r="E6647">
        <v>0</v>
      </c>
      <c r="F6647">
        <v>260.68200000000002</v>
      </c>
    </row>
    <row r="6648" spans="1:6" x14ac:dyDescent="0.25">
      <c r="A6648">
        <v>6647</v>
      </c>
      <c r="B6648" t="s">
        <v>0</v>
      </c>
      <c r="C6648">
        <v>61</v>
      </c>
      <c r="D6648">
        <v>3485</v>
      </c>
      <c r="E6648">
        <v>80157000</v>
      </c>
    </row>
    <row r="6649" spans="1:6" x14ac:dyDescent="0.25">
      <c r="A6649">
        <v>6648</v>
      </c>
      <c r="B6649">
        <v>10</v>
      </c>
      <c r="C6649">
        <v>1</v>
      </c>
      <c r="D6649">
        <v>0</v>
      </c>
      <c r="E6649">
        <v>0</v>
      </c>
      <c r="F6649">
        <v>4252</v>
      </c>
    </row>
    <row r="6650" spans="1:6" x14ac:dyDescent="0.25">
      <c r="A6650">
        <v>6649</v>
      </c>
      <c r="B6650">
        <v>13</v>
      </c>
      <c r="C6650">
        <v>0</v>
      </c>
      <c r="D6650">
        <v>0</v>
      </c>
      <c r="E6650">
        <v>0</v>
      </c>
      <c r="F6650">
        <v>1603</v>
      </c>
    </row>
    <row r="6651" spans="1:6" x14ac:dyDescent="0.25">
      <c r="A6651">
        <v>6650</v>
      </c>
      <c r="B6651">
        <v>41</v>
      </c>
      <c r="C6651">
        <v>0</v>
      </c>
      <c r="D6651">
        <v>0</v>
      </c>
      <c r="E6651">
        <v>0</v>
      </c>
      <c r="F6651">
        <v>1</v>
      </c>
    </row>
    <row r="6652" spans="1:6" x14ac:dyDescent="0.25">
      <c r="A6652">
        <v>6651</v>
      </c>
      <c r="B6652">
        <v>42</v>
      </c>
      <c r="C6652">
        <v>0</v>
      </c>
      <c r="D6652">
        <v>0</v>
      </c>
      <c r="E6652">
        <v>0</v>
      </c>
      <c r="F6652">
        <v>0.2</v>
      </c>
    </row>
    <row r="6653" spans="1:6" x14ac:dyDescent="0.25">
      <c r="A6653">
        <v>6652</v>
      </c>
      <c r="B6653">
        <v>43</v>
      </c>
      <c r="C6653">
        <v>0</v>
      </c>
      <c r="D6653">
        <v>0</v>
      </c>
      <c r="E6653">
        <v>0</v>
      </c>
      <c r="F6653">
        <v>0</v>
      </c>
    </row>
    <row r="6654" spans="1:6" x14ac:dyDescent="0.25">
      <c r="A6654">
        <v>6653</v>
      </c>
      <c r="B6654" t="s">
        <v>0</v>
      </c>
      <c r="C6654">
        <v>64</v>
      </c>
      <c r="D6654">
        <v>3485</v>
      </c>
      <c r="E6654">
        <v>80157360</v>
      </c>
    </row>
    <row r="6655" spans="1:6" x14ac:dyDescent="0.25">
      <c r="A6655">
        <v>6654</v>
      </c>
      <c r="B6655">
        <v>45</v>
      </c>
      <c r="C6655">
        <v>0</v>
      </c>
      <c r="D6655">
        <v>0</v>
      </c>
      <c r="E6655">
        <v>0</v>
      </c>
      <c r="F6655">
        <v>543.94200000000001</v>
      </c>
    </row>
    <row r="6656" spans="1:6" x14ac:dyDescent="0.25">
      <c r="A6656">
        <v>6655</v>
      </c>
      <c r="B6656" t="s">
        <v>0</v>
      </c>
      <c r="C6656">
        <v>65</v>
      </c>
      <c r="D6656">
        <v>3485</v>
      </c>
      <c r="E6656">
        <v>80157479</v>
      </c>
    </row>
    <row r="6657" spans="1:6" x14ac:dyDescent="0.25">
      <c r="A6657">
        <v>6656</v>
      </c>
      <c r="B6657">
        <v>2</v>
      </c>
      <c r="C6657">
        <v>0</v>
      </c>
      <c r="D6657">
        <v>0</v>
      </c>
      <c r="E6657">
        <v>0</v>
      </c>
      <c r="F6657">
        <v>264.25599999999997</v>
      </c>
    </row>
    <row r="6658" spans="1:6" x14ac:dyDescent="0.25">
      <c r="A6658">
        <v>6657</v>
      </c>
      <c r="B6658" t="s">
        <v>0</v>
      </c>
      <c r="C6658">
        <v>66</v>
      </c>
      <c r="D6658">
        <v>3485</v>
      </c>
      <c r="E6658">
        <v>80157598</v>
      </c>
    </row>
    <row r="6659" spans="1:6" x14ac:dyDescent="0.25">
      <c r="A6659">
        <v>6658</v>
      </c>
      <c r="B6659">
        <v>10</v>
      </c>
      <c r="C6659">
        <v>1</v>
      </c>
      <c r="D6659">
        <v>0</v>
      </c>
      <c r="E6659">
        <v>0</v>
      </c>
      <c r="F6659">
        <v>4176</v>
      </c>
    </row>
    <row r="6660" spans="1:6" x14ac:dyDescent="0.25">
      <c r="A6660">
        <v>6659</v>
      </c>
      <c r="B6660">
        <v>13</v>
      </c>
      <c r="C6660">
        <v>0</v>
      </c>
      <c r="D6660">
        <v>0</v>
      </c>
      <c r="E6660">
        <v>0</v>
      </c>
      <c r="F6660">
        <v>1603</v>
      </c>
    </row>
    <row r="6661" spans="1:6" x14ac:dyDescent="0.25">
      <c r="A6661">
        <v>6660</v>
      </c>
      <c r="B6661">
        <v>41</v>
      </c>
      <c r="C6661">
        <v>0</v>
      </c>
      <c r="D6661">
        <v>0</v>
      </c>
      <c r="E6661">
        <v>0</v>
      </c>
      <c r="F6661">
        <v>1</v>
      </c>
    </row>
    <row r="6662" spans="1:6" x14ac:dyDescent="0.25">
      <c r="A6662">
        <v>6661</v>
      </c>
      <c r="B6662">
        <v>42</v>
      </c>
      <c r="C6662">
        <v>0</v>
      </c>
      <c r="D6662">
        <v>0</v>
      </c>
      <c r="E6662">
        <v>0</v>
      </c>
      <c r="F6662">
        <v>0.2</v>
      </c>
    </row>
    <row r="6663" spans="1:6" x14ac:dyDescent="0.25">
      <c r="A6663">
        <v>6662</v>
      </c>
      <c r="B6663">
        <v>43</v>
      </c>
      <c r="C6663">
        <v>0</v>
      </c>
      <c r="D6663">
        <v>0</v>
      </c>
      <c r="E6663">
        <v>0</v>
      </c>
      <c r="F6663">
        <v>0</v>
      </c>
    </row>
    <row r="6664" spans="1:6" x14ac:dyDescent="0.25">
      <c r="A6664">
        <v>6663</v>
      </c>
      <c r="B6664" t="s">
        <v>0</v>
      </c>
      <c r="C6664">
        <v>69</v>
      </c>
      <c r="D6664">
        <v>3485</v>
      </c>
      <c r="E6664">
        <v>80157955</v>
      </c>
    </row>
    <row r="6665" spans="1:6" x14ac:dyDescent="0.25">
      <c r="A6665">
        <v>6664</v>
      </c>
      <c r="B6665">
        <v>45</v>
      </c>
      <c r="C6665">
        <v>0</v>
      </c>
      <c r="D6665">
        <v>0</v>
      </c>
      <c r="E6665">
        <v>0</v>
      </c>
      <c r="F6665">
        <v>543.86199999999997</v>
      </c>
    </row>
    <row r="6666" spans="1:6" x14ac:dyDescent="0.25">
      <c r="A6666">
        <v>6665</v>
      </c>
      <c r="B6666" t="s">
        <v>0</v>
      </c>
      <c r="C6666">
        <v>70</v>
      </c>
      <c r="D6666">
        <v>3485</v>
      </c>
      <c r="E6666">
        <v>80158073</v>
      </c>
    </row>
    <row r="6667" spans="1:6" x14ac:dyDescent="0.25">
      <c r="A6667">
        <v>6666</v>
      </c>
      <c r="B6667">
        <v>46</v>
      </c>
      <c r="C6667">
        <v>0</v>
      </c>
      <c r="D6667">
        <v>0</v>
      </c>
      <c r="E6667">
        <v>0</v>
      </c>
      <c r="F6667">
        <v>0</v>
      </c>
    </row>
    <row r="6668" spans="1:6" x14ac:dyDescent="0.25">
      <c r="A6668">
        <v>6667</v>
      </c>
      <c r="B6668">
        <v>2</v>
      </c>
      <c r="C6668">
        <v>0</v>
      </c>
      <c r="D6668">
        <v>0</v>
      </c>
      <c r="E6668">
        <v>0</v>
      </c>
      <c r="F6668">
        <v>267.78800000000001</v>
      </c>
    </row>
    <row r="6669" spans="1:6" x14ac:dyDescent="0.25">
      <c r="A6669">
        <v>6668</v>
      </c>
      <c r="B6669">
        <v>10</v>
      </c>
      <c r="C6669">
        <v>1</v>
      </c>
      <c r="D6669">
        <v>0</v>
      </c>
      <c r="E6669">
        <v>0</v>
      </c>
      <c r="F6669">
        <v>4103</v>
      </c>
    </row>
    <row r="6670" spans="1:6" x14ac:dyDescent="0.25">
      <c r="A6670">
        <v>6669</v>
      </c>
      <c r="B6670">
        <v>13</v>
      </c>
      <c r="C6670">
        <v>0</v>
      </c>
      <c r="D6670">
        <v>0</v>
      </c>
      <c r="E6670">
        <v>0</v>
      </c>
      <c r="F6670">
        <v>1603</v>
      </c>
    </row>
    <row r="6671" spans="1:6" x14ac:dyDescent="0.25">
      <c r="A6671">
        <v>6670</v>
      </c>
      <c r="B6671">
        <v>41</v>
      </c>
      <c r="C6671">
        <v>0</v>
      </c>
      <c r="D6671">
        <v>0</v>
      </c>
      <c r="E6671">
        <v>0</v>
      </c>
      <c r="F6671">
        <v>1</v>
      </c>
    </row>
    <row r="6672" spans="1:6" x14ac:dyDescent="0.25">
      <c r="A6672">
        <v>6671</v>
      </c>
      <c r="B6672" t="s">
        <v>0</v>
      </c>
      <c r="C6672">
        <v>73</v>
      </c>
      <c r="D6672">
        <v>3485</v>
      </c>
      <c r="E6672">
        <v>80158426</v>
      </c>
    </row>
    <row r="6673" spans="1:6" x14ac:dyDescent="0.25">
      <c r="A6673">
        <v>6672</v>
      </c>
      <c r="B6673">
        <v>43</v>
      </c>
      <c r="C6673">
        <v>0</v>
      </c>
      <c r="D6673">
        <v>0</v>
      </c>
      <c r="E6673">
        <v>0</v>
      </c>
      <c r="F6673">
        <v>0</v>
      </c>
    </row>
    <row r="6674" spans="1:6" x14ac:dyDescent="0.25">
      <c r="A6674">
        <v>6673</v>
      </c>
      <c r="B6674" t="s">
        <v>0</v>
      </c>
      <c r="C6674">
        <v>74</v>
      </c>
      <c r="D6674">
        <v>3485</v>
      </c>
      <c r="E6674">
        <v>80158543</v>
      </c>
    </row>
    <row r="6675" spans="1:6" x14ac:dyDescent="0.25">
      <c r="A6675">
        <v>6674</v>
      </c>
      <c r="B6675">
        <v>44</v>
      </c>
      <c r="C6675">
        <v>0</v>
      </c>
      <c r="D6675">
        <v>0</v>
      </c>
      <c r="E6675">
        <v>0</v>
      </c>
      <c r="F6675">
        <v>-115.28700000000001</v>
      </c>
    </row>
    <row r="6676" spans="1:6" x14ac:dyDescent="0.25">
      <c r="A6676">
        <v>6675</v>
      </c>
      <c r="B6676">
        <v>45</v>
      </c>
      <c r="C6676">
        <v>0</v>
      </c>
      <c r="D6676">
        <v>0</v>
      </c>
      <c r="E6676">
        <v>0</v>
      </c>
      <c r="F6676">
        <v>543.78200000000004</v>
      </c>
    </row>
    <row r="6677" spans="1:6" x14ac:dyDescent="0.25">
      <c r="A6677">
        <v>6676</v>
      </c>
      <c r="B6677">
        <v>46</v>
      </c>
      <c r="C6677">
        <v>0</v>
      </c>
      <c r="D6677">
        <v>0</v>
      </c>
      <c r="E6677">
        <v>0</v>
      </c>
      <c r="F6677">
        <v>0</v>
      </c>
    </row>
    <row r="6678" spans="1:6" x14ac:dyDescent="0.25">
      <c r="A6678">
        <v>6677</v>
      </c>
      <c r="B6678">
        <v>2</v>
      </c>
      <c r="C6678">
        <v>0</v>
      </c>
      <c r="D6678">
        <v>0</v>
      </c>
      <c r="E6678">
        <v>0</v>
      </c>
      <c r="F6678">
        <v>271.31799999999998</v>
      </c>
    </row>
    <row r="6679" spans="1:6" x14ac:dyDescent="0.25">
      <c r="A6679">
        <v>6678</v>
      </c>
      <c r="B6679">
        <v>10</v>
      </c>
      <c r="C6679">
        <v>1</v>
      </c>
      <c r="D6679">
        <v>0</v>
      </c>
      <c r="E6679">
        <v>0</v>
      </c>
      <c r="F6679">
        <v>4018</v>
      </c>
    </row>
    <row r="6680" spans="1:6" x14ac:dyDescent="0.25">
      <c r="A6680">
        <v>6679</v>
      </c>
      <c r="B6680" t="s">
        <v>0</v>
      </c>
      <c r="C6680">
        <v>77</v>
      </c>
      <c r="D6680">
        <v>3485</v>
      </c>
      <c r="E6680">
        <v>80158893</v>
      </c>
    </row>
    <row r="6681" spans="1:6" x14ac:dyDescent="0.25">
      <c r="A6681">
        <v>6680</v>
      </c>
      <c r="B6681">
        <v>41</v>
      </c>
      <c r="C6681">
        <v>0</v>
      </c>
      <c r="D6681">
        <v>0</v>
      </c>
      <c r="E6681">
        <v>0</v>
      </c>
      <c r="F6681">
        <v>1</v>
      </c>
    </row>
    <row r="6682" spans="1:6" x14ac:dyDescent="0.25">
      <c r="A6682">
        <v>6681</v>
      </c>
      <c r="B6682" t="s">
        <v>0</v>
      </c>
      <c r="C6682">
        <v>78</v>
      </c>
      <c r="D6682">
        <v>3485</v>
      </c>
      <c r="E6682">
        <v>80159009</v>
      </c>
    </row>
    <row r="6683" spans="1:6" x14ac:dyDescent="0.25">
      <c r="A6683">
        <v>6682</v>
      </c>
      <c r="B6683">
        <v>42</v>
      </c>
      <c r="C6683">
        <v>0</v>
      </c>
      <c r="D6683">
        <v>0</v>
      </c>
      <c r="E6683">
        <v>0</v>
      </c>
      <c r="F6683">
        <v>0.2</v>
      </c>
    </row>
    <row r="6684" spans="1:6" x14ac:dyDescent="0.25">
      <c r="A6684">
        <v>6683</v>
      </c>
      <c r="B6684">
        <v>43</v>
      </c>
      <c r="C6684">
        <v>0</v>
      </c>
      <c r="D6684">
        <v>0</v>
      </c>
      <c r="E6684">
        <v>0</v>
      </c>
      <c r="F6684">
        <v>0</v>
      </c>
    </row>
    <row r="6685" spans="1:6" x14ac:dyDescent="0.25">
      <c r="A6685">
        <v>6684</v>
      </c>
      <c r="B6685">
        <v>44</v>
      </c>
      <c r="C6685">
        <v>0</v>
      </c>
      <c r="D6685">
        <v>0</v>
      </c>
      <c r="E6685">
        <v>0</v>
      </c>
      <c r="F6685">
        <v>-118.642</v>
      </c>
    </row>
    <row r="6686" spans="1:6" x14ac:dyDescent="0.25">
      <c r="A6686">
        <v>6685</v>
      </c>
      <c r="B6686">
        <v>45</v>
      </c>
      <c r="C6686">
        <v>0</v>
      </c>
      <c r="D6686">
        <v>0</v>
      </c>
      <c r="E6686">
        <v>0</v>
      </c>
      <c r="F6686">
        <v>543.70000000000005</v>
      </c>
    </row>
    <row r="6687" spans="1:6" x14ac:dyDescent="0.25">
      <c r="A6687">
        <v>6686</v>
      </c>
      <c r="B6687">
        <v>46</v>
      </c>
      <c r="C6687">
        <v>0</v>
      </c>
      <c r="D6687">
        <v>0</v>
      </c>
      <c r="E6687">
        <v>0</v>
      </c>
      <c r="F6687">
        <v>0</v>
      </c>
    </row>
    <row r="6688" spans="1:6" x14ac:dyDescent="0.25">
      <c r="A6688">
        <v>6687</v>
      </c>
      <c r="B6688" t="s">
        <v>0</v>
      </c>
      <c r="C6688">
        <v>81</v>
      </c>
      <c r="D6688">
        <v>3485</v>
      </c>
      <c r="E6688">
        <v>80159355</v>
      </c>
    </row>
    <row r="6689" spans="1:6" x14ac:dyDescent="0.25">
      <c r="A6689">
        <v>6688</v>
      </c>
      <c r="B6689">
        <v>10</v>
      </c>
      <c r="C6689">
        <v>1</v>
      </c>
      <c r="D6689">
        <v>0</v>
      </c>
      <c r="E6689">
        <v>0</v>
      </c>
      <c r="F6689">
        <v>3950</v>
      </c>
    </row>
    <row r="6690" spans="1:6" x14ac:dyDescent="0.25">
      <c r="A6690">
        <v>6689</v>
      </c>
      <c r="B6690" t="s">
        <v>0</v>
      </c>
      <c r="C6690">
        <v>82</v>
      </c>
      <c r="D6690">
        <v>3485</v>
      </c>
      <c r="E6690">
        <v>80159469</v>
      </c>
    </row>
    <row r="6691" spans="1:6" x14ac:dyDescent="0.25">
      <c r="A6691">
        <v>6690</v>
      </c>
      <c r="B6691">
        <v>13</v>
      </c>
      <c r="C6691">
        <v>0</v>
      </c>
      <c r="D6691">
        <v>0</v>
      </c>
      <c r="E6691">
        <v>0</v>
      </c>
      <c r="F6691">
        <v>1603</v>
      </c>
    </row>
    <row r="6692" spans="1:6" x14ac:dyDescent="0.25">
      <c r="A6692">
        <v>6691</v>
      </c>
      <c r="B6692">
        <v>41</v>
      </c>
      <c r="C6692">
        <v>0</v>
      </c>
      <c r="D6692">
        <v>0</v>
      </c>
      <c r="E6692">
        <v>0</v>
      </c>
      <c r="F6692">
        <v>1</v>
      </c>
    </row>
    <row r="6693" spans="1:6" x14ac:dyDescent="0.25">
      <c r="A6693">
        <v>6692</v>
      </c>
      <c r="B6693">
        <v>42</v>
      </c>
      <c r="C6693">
        <v>0</v>
      </c>
      <c r="D6693">
        <v>0</v>
      </c>
      <c r="E6693">
        <v>0</v>
      </c>
      <c r="F6693">
        <v>0.2</v>
      </c>
    </row>
    <row r="6694" spans="1:6" x14ac:dyDescent="0.25">
      <c r="A6694">
        <v>6693</v>
      </c>
      <c r="B6694" t="s">
        <v>0</v>
      </c>
      <c r="C6694">
        <v>84</v>
      </c>
      <c r="D6694">
        <v>3485</v>
      </c>
      <c r="E6694">
        <v>80159697</v>
      </c>
    </row>
    <row r="6695" spans="1:6" x14ac:dyDescent="0.25">
      <c r="A6695">
        <v>6694</v>
      </c>
      <c r="B6695">
        <v>44</v>
      </c>
      <c r="C6695">
        <v>0</v>
      </c>
      <c r="D6695">
        <v>0</v>
      </c>
      <c r="E6695">
        <v>0</v>
      </c>
      <c r="F6695">
        <v>-121.994</v>
      </c>
    </row>
    <row r="6696" spans="1:6" x14ac:dyDescent="0.25">
      <c r="A6696">
        <v>6695</v>
      </c>
      <c r="B6696" t="s">
        <v>0</v>
      </c>
      <c r="C6696">
        <v>85</v>
      </c>
      <c r="D6696">
        <v>3485</v>
      </c>
      <c r="E6696">
        <v>80159811</v>
      </c>
    </row>
    <row r="6697" spans="1:6" x14ac:dyDescent="0.25">
      <c r="A6697">
        <v>6696</v>
      </c>
      <c r="B6697">
        <v>45</v>
      </c>
      <c r="C6697">
        <v>0</v>
      </c>
      <c r="D6697">
        <v>0</v>
      </c>
      <c r="E6697">
        <v>0</v>
      </c>
      <c r="F6697">
        <v>543.6</v>
      </c>
    </row>
    <row r="6698" spans="1:6" x14ac:dyDescent="0.25">
      <c r="A6698">
        <v>6697</v>
      </c>
      <c r="B6698">
        <v>46</v>
      </c>
      <c r="C6698">
        <v>0</v>
      </c>
      <c r="D6698">
        <v>0</v>
      </c>
      <c r="E6698">
        <v>0</v>
      </c>
      <c r="F6698">
        <v>0</v>
      </c>
    </row>
    <row r="6699" spans="1:6" x14ac:dyDescent="0.25">
      <c r="A6699">
        <v>6698</v>
      </c>
      <c r="B6699">
        <v>2</v>
      </c>
      <c r="C6699">
        <v>0</v>
      </c>
      <c r="D6699">
        <v>0</v>
      </c>
      <c r="E6699">
        <v>0</v>
      </c>
      <c r="F6699">
        <v>278.99599999999998</v>
      </c>
    </row>
    <row r="6700" spans="1:6" x14ac:dyDescent="0.25">
      <c r="A6700">
        <v>6699</v>
      </c>
      <c r="B6700">
        <v>10</v>
      </c>
      <c r="C6700">
        <v>1</v>
      </c>
      <c r="D6700">
        <v>0</v>
      </c>
      <c r="E6700">
        <v>0</v>
      </c>
      <c r="F6700">
        <v>3884</v>
      </c>
    </row>
    <row r="6701" spans="1:6" x14ac:dyDescent="0.25">
      <c r="A6701">
        <v>6700</v>
      </c>
      <c r="B6701">
        <v>13</v>
      </c>
      <c r="C6701">
        <v>0</v>
      </c>
      <c r="D6701">
        <v>0</v>
      </c>
      <c r="E6701">
        <v>0</v>
      </c>
      <c r="F6701">
        <v>1603</v>
      </c>
    </row>
    <row r="6702" spans="1:6" x14ac:dyDescent="0.25">
      <c r="A6702">
        <v>6701</v>
      </c>
      <c r="B6702" t="s">
        <v>0</v>
      </c>
      <c r="C6702">
        <v>88</v>
      </c>
      <c r="D6702">
        <v>3485</v>
      </c>
      <c r="E6702">
        <v>80160151</v>
      </c>
    </row>
    <row r="6703" spans="1:6" x14ac:dyDescent="0.25">
      <c r="A6703">
        <v>6702</v>
      </c>
      <c r="B6703">
        <v>42</v>
      </c>
      <c r="C6703">
        <v>0</v>
      </c>
      <c r="D6703">
        <v>0</v>
      </c>
      <c r="E6703">
        <v>0</v>
      </c>
      <c r="F6703">
        <v>0.2</v>
      </c>
    </row>
    <row r="6704" spans="1:6" x14ac:dyDescent="0.25">
      <c r="A6704">
        <v>6703</v>
      </c>
      <c r="B6704" t="s">
        <v>0</v>
      </c>
      <c r="C6704">
        <v>89</v>
      </c>
      <c r="D6704">
        <v>3485</v>
      </c>
      <c r="E6704">
        <v>80160264</v>
      </c>
    </row>
    <row r="6705" spans="1:6" x14ac:dyDescent="0.25">
      <c r="A6705">
        <v>6704</v>
      </c>
      <c r="B6705">
        <v>43</v>
      </c>
      <c r="C6705">
        <v>0</v>
      </c>
      <c r="D6705">
        <v>0</v>
      </c>
      <c r="E6705">
        <v>0</v>
      </c>
      <c r="F6705">
        <v>0</v>
      </c>
    </row>
    <row r="6706" spans="1:6" x14ac:dyDescent="0.25">
      <c r="A6706">
        <v>6705</v>
      </c>
      <c r="B6706">
        <v>44</v>
      </c>
      <c r="C6706">
        <v>0</v>
      </c>
      <c r="D6706">
        <v>0</v>
      </c>
      <c r="E6706">
        <v>0</v>
      </c>
      <c r="F6706">
        <v>-125.316</v>
      </c>
    </row>
    <row r="6707" spans="1:6" x14ac:dyDescent="0.25">
      <c r="A6707">
        <v>6706</v>
      </c>
      <c r="B6707">
        <v>45</v>
      </c>
      <c r="C6707">
        <v>0</v>
      </c>
      <c r="D6707">
        <v>0</v>
      </c>
      <c r="E6707">
        <v>0</v>
      </c>
      <c r="F6707">
        <v>543.51499999999999</v>
      </c>
    </row>
    <row r="6708" spans="1:6" x14ac:dyDescent="0.25">
      <c r="A6708">
        <v>6707</v>
      </c>
      <c r="B6708" t="s">
        <v>0</v>
      </c>
      <c r="C6708">
        <v>91</v>
      </c>
      <c r="D6708">
        <v>3485</v>
      </c>
      <c r="E6708">
        <v>80160488</v>
      </c>
    </row>
    <row r="6709" spans="1:6" x14ac:dyDescent="0.25">
      <c r="A6709">
        <v>6708</v>
      </c>
      <c r="B6709">
        <v>2</v>
      </c>
      <c r="C6709">
        <v>0</v>
      </c>
      <c r="D6709">
        <v>0</v>
      </c>
      <c r="E6709">
        <v>0</v>
      </c>
      <c r="F6709">
        <v>282.46800000000002</v>
      </c>
    </row>
    <row r="6710" spans="1:6" x14ac:dyDescent="0.25">
      <c r="A6710">
        <v>6709</v>
      </c>
      <c r="B6710" t="s">
        <v>0</v>
      </c>
      <c r="C6710">
        <v>92</v>
      </c>
      <c r="D6710">
        <v>3485</v>
      </c>
      <c r="E6710">
        <v>80160600</v>
      </c>
    </row>
    <row r="6711" spans="1:6" x14ac:dyDescent="0.25">
      <c r="A6711">
        <v>6710</v>
      </c>
      <c r="B6711">
        <v>10</v>
      </c>
      <c r="C6711">
        <v>1</v>
      </c>
      <c r="D6711">
        <v>0</v>
      </c>
      <c r="E6711">
        <v>0</v>
      </c>
      <c r="F6711">
        <v>3819</v>
      </c>
    </row>
    <row r="6712" spans="1:6" x14ac:dyDescent="0.25">
      <c r="A6712">
        <v>6711</v>
      </c>
      <c r="B6712">
        <v>13</v>
      </c>
      <c r="C6712">
        <v>0</v>
      </c>
      <c r="D6712">
        <v>0</v>
      </c>
      <c r="E6712">
        <v>0</v>
      </c>
      <c r="F6712">
        <v>1603</v>
      </c>
    </row>
    <row r="6713" spans="1:6" x14ac:dyDescent="0.25">
      <c r="A6713">
        <v>6712</v>
      </c>
      <c r="B6713">
        <v>41</v>
      </c>
      <c r="C6713">
        <v>0</v>
      </c>
      <c r="D6713">
        <v>0</v>
      </c>
      <c r="E6713">
        <v>0</v>
      </c>
      <c r="F6713">
        <v>1</v>
      </c>
    </row>
    <row r="6714" spans="1:6" x14ac:dyDescent="0.25">
      <c r="A6714">
        <v>6713</v>
      </c>
      <c r="B6714" t="s">
        <v>0</v>
      </c>
      <c r="C6714">
        <v>94</v>
      </c>
      <c r="D6714">
        <v>3485</v>
      </c>
      <c r="E6714">
        <v>80160823</v>
      </c>
    </row>
    <row r="6715" spans="1:6" x14ac:dyDescent="0.25">
      <c r="A6715">
        <v>6714</v>
      </c>
      <c r="B6715">
        <v>43</v>
      </c>
      <c r="C6715">
        <v>0</v>
      </c>
      <c r="D6715">
        <v>0</v>
      </c>
      <c r="E6715">
        <v>0</v>
      </c>
      <c r="F6715">
        <v>0</v>
      </c>
    </row>
    <row r="6716" spans="1:6" x14ac:dyDescent="0.25">
      <c r="A6716">
        <v>6715</v>
      </c>
      <c r="B6716" t="s">
        <v>0</v>
      </c>
      <c r="C6716">
        <v>95</v>
      </c>
      <c r="D6716">
        <v>3485</v>
      </c>
      <c r="E6716">
        <v>80160934</v>
      </c>
    </row>
    <row r="6717" spans="1:6" x14ac:dyDescent="0.25">
      <c r="A6717">
        <v>6716</v>
      </c>
      <c r="B6717">
        <v>44</v>
      </c>
      <c r="C6717">
        <v>0</v>
      </c>
      <c r="D6717">
        <v>0</v>
      </c>
      <c r="E6717">
        <v>0</v>
      </c>
      <c r="F6717">
        <v>-129.30000000000001</v>
      </c>
    </row>
    <row r="6718" spans="1:6" x14ac:dyDescent="0.25">
      <c r="A6718">
        <v>6717</v>
      </c>
      <c r="B6718">
        <v>45</v>
      </c>
      <c r="C6718">
        <v>0</v>
      </c>
      <c r="D6718">
        <v>0</v>
      </c>
      <c r="E6718">
        <v>0</v>
      </c>
      <c r="F6718">
        <v>543.428</v>
      </c>
    </row>
    <row r="6719" spans="1:6" x14ac:dyDescent="0.25">
      <c r="A6719">
        <v>6718</v>
      </c>
      <c r="B6719">
        <v>46</v>
      </c>
      <c r="C6719">
        <v>0</v>
      </c>
      <c r="D6719">
        <v>0</v>
      </c>
      <c r="E6719">
        <v>0</v>
      </c>
      <c r="F6719">
        <v>0</v>
      </c>
    </row>
    <row r="6720" spans="1:6" x14ac:dyDescent="0.25">
      <c r="A6720">
        <v>6719</v>
      </c>
      <c r="B6720" t="s">
        <v>0</v>
      </c>
      <c r="C6720">
        <v>97</v>
      </c>
      <c r="D6720">
        <v>3485</v>
      </c>
      <c r="E6720">
        <v>80161157</v>
      </c>
    </row>
    <row r="6721" spans="1:6" x14ac:dyDescent="0.25">
      <c r="A6721">
        <v>6720</v>
      </c>
      <c r="B6721">
        <v>10</v>
      </c>
      <c r="C6721">
        <v>1</v>
      </c>
      <c r="D6721">
        <v>0</v>
      </c>
      <c r="E6721">
        <v>0</v>
      </c>
      <c r="F6721">
        <v>3744</v>
      </c>
    </row>
    <row r="6722" spans="1:6" x14ac:dyDescent="0.25">
      <c r="A6722">
        <v>6721</v>
      </c>
      <c r="B6722" t="s">
        <v>0</v>
      </c>
      <c r="C6722">
        <v>98</v>
      </c>
      <c r="D6722">
        <v>3485</v>
      </c>
      <c r="E6722">
        <v>80161268</v>
      </c>
    </row>
    <row r="6723" spans="1:6" x14ac:dyDescent="0.25">
      <c r="A6723">
        <v>6722</v>
      </c>
      <c r="B6723">
        <v>13</v>
      </c>
      <c r="C6723">
        <v>0</v>
      </c>
      <c r="D6723">
        <v>0</v>
      </c>
      <c r="E6723">
        <v>0</v>
      </c>
      <c r="F6723">
        <v>1603</v>
      </c>
    </row>
    <row r="6724" spans="1:6" x14ac:dyDescent="0.25">
      <c r="A6724">
        <v>6723</v>
      </c>
      <c r="B6724">
        <v>41</v>
      </c>
      <c r="C6724">
        <v>0</v>
      </c>
      <c r="D6724">
        <v>0</v>
      </c>
      <c r="E6724">
        <v>0</v>
      </c>
      <c r="F6724">
        <v>1</v>
      </c>
    </row>
    <row r="6725" spans="1:6" x14ac:dyDescent="0.25">
      <c r="A6725">
        <v>6724</v>
      </c>
      <c r="B6725">
        <v>42</v>
      </c>
      <c r="C6725">
        <v>0</v>
      </c>
      <c r="D6725">
        <v>0</v>
      </c>
      <c r="E6725">
        <v>0</v>
      </c>
      <c r="F6725">
        <v>0.2</v>
      </c>
    </row>
    <row r="6726" spans="1:6" x14ac:dyDescent="0.25">
      <c r="A6726">
        <v>6725</v>
      </c>
      <c r="B6726" t="s">
        <v>0</v>
      </c>
      <c r="C6726">
        <v>100</v>
      </c>
      <c r="D6726">
        <v>3485</v>
      </c>
      <c r="E6726">
        <v>80161488</v>
      </c>
    </row>
    <row r="6727" spans="1:6" x14ac:dyDescent="0.25">
      <c r="A6727">
        <v>6726</v>
      </c>
      <c r="B6727">
        <v>44</v>
      </c>
      <c r="C6727">
        <v>0</v>
      </c>
      <c r="D6727">
        <v>0</v>
      </c>
      <c r="E6727">
        <v>0</v>
      </c>
      <c r="F6727">
        <v>-132.607</v>
      </c>
    </row>
    <row r="6728" spans="1:6" x14ac:dyDescent="0.25">
      <c r="A6728">
        <v>6727</v>
      </c>
      <c r="B6728" t="s">
        <v>0</v>
      </c>
      <c r="C6728">
        <v>101</v>
      </c>
      <c r="D6728">
        <v>3485</v>
      </c>
      <c r="E6728">
        <v>80161597</v>
      </c>
    </row>
    <row r="6729" spans="1:6" x14ac:dyDescent="0.25">
      <c r="A6729">
        <v>6728</v>
      </c>
      <c r="B6729">
        <v>45</v>
      </c>
      <c r="C6729">
        <v>0</v>
      </c>
      <c r="D6729">
        <v>0</v>
      </c>
      <c r="E6729">
        <v>0</v>
      </c>
      <c r="F6729">
        <v>543.32299999999998</v>
      </c>
    </row>
    <row r="6730" spans="1:6" x14ac:dyDescent="0.25">
      <c r="A6730">
        <v>6729</v>
      </c>
      <c r="B6730">
        <v>46</v>
      </c>
      <c r="C6730">
        <v>0</v>
      </c>
      <c r="D6730">
        <v>0</v>
      </c>
      <c r="E6730">
        <v>0</v>
      </c>
      <c r="F6730">
        <v>0</v>
      </c>
    </row>
    <row r="6731" spans="1:6" x14ac:dyDescent="0.25">
      <c r="A6731">
        <v>6730</v>
      </c>
      <c r="B6731">
        <v>2</v>
      </c>
      <c r="C6731">
        <v>0</v>
      </c>
      <c r="D6731">
        <v>0</v>
      </c>
      <c r="E6731">
        <v>0</v>
      </c>
      <c r="F6731">
        <v>290.04000000000002</v>
      </c>
    </row>
    <row r="6732" spans="1:6" x14ac:dyDescent="0.25">
      <c r="A6732">
        <v>6731</v>
      </c>
      <c r="B6732" t="s">
        <v>0</v>
      </c>
      <c r="C6732">
        <v>103</v>
      </c>
      <c r="D6732">
        <v>3485</v>
      </c>
      <c r="E6732">
        <v>80161815</v>
      </c>
    </row>
    <row r="6733" spans="1:6" x14ac:dyDescent="0.25">
      <c r="A6733">
        <v>6732</v>
      </c>
      <c r="B6733">
        <v>13</v>
      </c>
      <c r="C6733">
        <v>0</v>
      </c>
      <c r="D6733">
        <v>0</v>
      </c>
      <c r="E6733">
        <v>0</v>
      </c>
      <c r="F6733">
        <v>1603</v>
      </c>
    </row>
    <row r="6734" spans="1:6" x14ac:dyDescent="0.25">
      <c r="A6734">
        <v>6733</v>
      </c>
      <c r="B6734">
        <v>41</v>
      </c>
      <c r="C6734">
        <v>0</v>
      </c>
      <c r="D6734">
        <v>0</v>
      </c>
      <c r="E6734">
        <v>0</v>
      </c>
      <c r="F6734">
        <v>1</v>
      </c>
    </row>
    <row r="6735" spans="1:6" x14ac:dyDescent="0.25">
      <c r="A6735">
        <v>6734</v>
      </c>
      <c r="B6735" t="s">
        <v>0</v>
      </c>
      <c r="C6735">
        <v>105</v>
      </c>
      <c r="D6735">
        <v>3485</v>
      </c>
      <c r="E6735">
        <v>80162033</v>
      </c>
    </row>
    <row r="6736" spans="1:6" x14ac:dyDescent="0.25">
      <c r="A6736">
        <v>6735</v>
      </c>
      <c r="B6736">
        <v>43</v>
      </c>
      <c r="C6736">
        <v>0</v>
      </c>
      <c r="D6736">
        <v>0</v>
      </c>
      <c r="E6736">
        <v>0</v>
      </c>
      <c r="F6736">
        <v>0</v>
      </c>
    </row>
    <row r="6737" spans="1:6" x14ac:dyDescent="0.25">
      <c r="A6737">
        <v>6736</v>
      </c>
      <c r="B6737" t="s">
        <v>0</v>
      </c>
      <c r="C6737">
        <v>106</v>
      </c>
      <c r="D6737">
        <v>3485</v>
      </c>
      <c r="E6737">
        <v>80162141</v>
      </c>
    </row>
    <row r="6738" spans="1:6" x14ac:dyDescent="0.25">
      <c r="A6738">
        <v>6737</v>
      </c>
      <c r="B6738">
        <v>44</v>
      </c>
      <c r="C6738">
        <v>0</v>
      </c>
      <c r="D6738">
        <v>0</v>
      </c>
      <c r="E6738">
        <v>0</v>
      </c>
      <c r="F6738">
        <v>-136.554</v>
      </c>
    </row>
    <row r="6739" spans="1:6" x14ac:dyDescent="0.25">
      <c r="A6739">
        <v>6738</v>
      </c>
      <c r="B6739">
        <v>45</v>
      </c>
      <c r="C6739">
        <v>0</v>
      </c>
      <c r="D6739">
        <v>0</v>
      </c>
      <c r="E6739">
        <v>0</v>
      </c>
      <c r="F6739">
        <v>543.23400000000004</v>
      </c>
    </row>
    <row r="6740" spans="1:6" x14ac:dyDescent="0.25">
      <c r="A6740">
        <v>6739</v>
      </c>
      <c r="B6740">
        <v>46</v>
      </c>
      <c r="C6740">
        <v>0</v>
      </c>
      <c r="D6740">
        <v>0</v>
      </c>
      <c r="E6740">
        <v>0</v>
      </c>
      <c r="F6740">
        <v>0</v>
      </c>
    </row>
    <row r="6741" spans="1:6" x14ac:dyDescent="0.25">
      <c r="A6741">
        <v>6740</v>
      </c>
      <c r="B6741" t="s">
        <v>0</v>
      </c>
      <c r="C6741">
        <v>108</v>
      </c>
      <c r="D6741">
        <v>3485</v>
      </c>
      <c r="E6741">
        <v>80162357</v>
      </c>
    </row>
    <row r="6742" spans="1:6" x14ac:dyDescent="0.25">
      <c r="A6742">
        <v>6741</v>
      </c>
      <c r="B6742">
        <v>10</v>
      </c>
      <c r="C6742">
        <v>1</v>
      </c>
      <c r="D6742">
        <v>0</v>
      </c>
      <c r="E6742">
        <v>0</v>
      </c>
      <c r="F6742">
        <v>3613</v>
      </c>
    </row>
    <row r="6743" spans="1:6" x14ac:dyDescent="0.25">
      <c r="A6743">
        <v>6742</v>
      </c>
      <c r="B6743" t="s">
        <v>0</v>
      </c>
      <c r="C6743">
        <v>109</v>
      </c>
      <c r="D6743">
        <v>3485</v>
      </c>
      <c r="E6743">
        <v>80162465</v>
      </c>
    </row>
    <row r="6744" spans="1:6" x14ac:dyDescent="0.25">
      <c r="A6744">
        <v>6743</v>
      </c>
      <c r="B6744">
        <v>13</v>
      </c>
      <c r="C6744">
        <v>0</v>
      </c>
      <c r="D6744">
        <v>0</v>
      </c>
      <c r="E6744">
        <v>0</v>
      </c>
      <c r="F6744">
        <v>1603</v>
      </c>
    </row>
    <row r="6745" spans="1:6" x14ac:dyDescent="0.25">
      <c r="A6745">
        <v>6744</v>
      </c>
      <c r="B6745">
        <v>41</v>
      </c>
      <c r="C6745">
        <v>0</v>
      </c>
      <c r="D6745">
        <v>0</v>
      </c>
      <c r="E6745">
        <v>0</v>
      </c>
      <c r="F6745">
        <v>1</v>
      </c>
    </row>
    <row r="6746" spans="1:6" x14ac:dyDescent="0.25">
      <c r="A6746">
        <v>6745</v>
      </c>
      <c r="B6746">
        <v>42</v>
      </c>
      <c r="C6746">
        <v>0</v>
      </c>
      <c r="D6746">
        <v>0</v>
      </c>
      <c r="E6746">
        <v>0</v>
      </c>
      <c r="F6746">
        <v>0.2</v>
      </c>
    </row>
    <row r="6747" spans="1:6" x14ac:dyDescent="0.25">
      <c r="A6747">
        <v>6746</v>
      </c>
      <c r="B6747" t="s">
        <v>0</v>
      </c>
      <c r="C6747">
        <v>111</v>
      </c>
      <c r="D6747">
        <v>3485</v>
      </c>
      <c r="E6747">
        <v>80162679</v>
      </c>
    </row>
    <row r="6748" spans="1:6" x14ac:dyDescent="0.25">
      <c r="A6748">
        <v>6747</v>
      </c>
      <c r="B6748">
        <v>44</v>
      </c>
      <c r="C6748">
        <v>0</v>
      </c>
      <c r="D6748">
        <v>0</v>
      </c>
      <c r="E6748">
        <v>0</v>
      </c>
      <c r="F6748">
        <v>-139.83000000000001</v>
      </c>
    </row>
    <row r="6749" spans="1:6" x14ac:dyDescent="0.25">
      <c r="A6749">
        <v>6748</v>
      </c>
      <c r="B6749">
        <v>45</v>
      </c>
      <c r="C6749">
        <v>0</v>
      </c>
      <c r="D6749">
        <v>0</v>
      </c>
      <c r="E6749">
        <v>0</v>
      </c>
      <c r="F6749">
        <v>543.12599999999998</v>
      </c>
    </row>
    <row r="6750" spans="1:6" x14ac:dyDescent="0.25">
      <c r="A6750">
        <v>6749</v>
      </c>
      <c r="B6750" t="s">
        <v>0</v>
      </c>
      <c r="C6750">
        <v>113</v>
      </c>
      <c r="D6750">
        <v>3485</v>
      </c>
      <c r="E6750">
        <v>80162892</v>
      </c>
    </row>
    <row r="6751" spans="1:6" x14ac:dyDescent="0.25">
      <c r="A6751">
        <v>6750</v>
      </c>
      <c r="B6751">
        <v>2</v>
      </c>
      <c r="C6751">
        <v>0</v>
      </c>
      <c r="D6751">
        <v>0</v>
      </c>
      <c r="E6751">
        <v>0</v>
      </c>
      <c r="F6751">
        <v>297.53100000000001</v>
      </c>
    </row>
    <row r="6752" spans="1:6" x14ac:dyDescent="0.25">
      <c r="A6752">
        <v>6751</v>
      </c>
      <c r="B6752" t="s">
        <v>0</v>
      </c>
      <c r="C6752">
        <v>114</v>
      </c>
      <c r="D6752">
        <v>3485</v>
      </c>
      <c r="E6752">
        <v>80162999</v>
      </c>
    </row>
    <row r="6753" spans="1:6" x14ac:dyDescent="0.25">
      <c r="A6753">
        <v>6752</v>
      </c>
      <c r="B6753">
        <v>10</v>
      </c>
      <c r="C6753">
        <v>1</v>
      </c>
      <c r="D6753">
        <v>0</v>
      </c>
      <c r="E6753">
        <v>0</v>
      </c>
      <c r="F6753">
        <v>3556</v>
      </c>
    </row>
    <row r="6754" spans="1:6" x14ac:dyDescent="0.25">
      <c r="A6754">
        <v>6753</v>
      </c>
      <c r="B6754">
        <v>13</v>
      </c>
      <c r="C6754">
        <v>0</v>
      </c>
      <c r="D6754">
        <v>0</v>
      </c>
      <c r="E6754">
        <v>0</v>
      </c>
      <c r="F6754">
        <v>1603</v>
      </c>
    </row>
    <row r="6755" spans="1:6" x14ac:dyDescent="0.25">
      <c r="A6755">
        <v>6754</v>
      </c>
      <c r="B6755">
        <v>41</v>
      </c>
      <c r="C6755">
        <v>0</v>
      </c>
      <c r="D6755">
        <v>0</v>
      </c>
      <c r="E6755">
        <v>0</v>
      </c>
      <c r="F6755">
        <v>1</v>
      </c>
    </row>
    <row r="6756" spans="1:6" x14ac:dyDescent="0.25">
      <c r="A6756">
        <v>6755</v>
      </c>
      <c r="B6756" t="s">
        <v>0</v>
      </c>
      <c r="C6756">
        <v>116</v>
      </c>
      <c r="D6756">
        <v>3485</v>
      </c>
      <c r="E6756">
        <v>80163211</v>
      </c>
    </row>
    <row r="6757" spans="1:6" x14ac:dyDescent="0.25">
      <c r="A6757">
        <v>6756</v>
      </c>
      <c r="B6757">
        <v>43</v>
      </c>
      <c r="C6757">
        <v>0</v>
      </c>
      <c r="D6757">
        <v>0</v>
      </c>
      <c r="E6757">
        <v>0</v>
      </c>
      <c r="F6757">
        <v>0</v>
      </c>
    </row>
    <row r="6758" spans="1:6" x14ac:dyDescent="0.25">
      <c r="A6758">
        <v>6757</v>
      </c>
      <c r="B6758">
        <v>44</v>
      </c>
      <c r="C6758">
        <v>0</v>
      </c>
      <c r="D6758">
        <v>0</v>
      </c>
      <c r="E6758">
        <v>0</v>
      </c>
      <c r="F6758">
        <v>-143.72999999999999</v>
      </c>
    </row>
    <row r="6759" spans="1:6" x14ac:dyDescent="0.25">
      <c r="A6759">
        <v>6758</v>
      </c>
      <c r="B6759" t="s">
        <v>0</v>
      </c>
      <c r="C6759">
        <v>118</v>
      </c>
      <c r="D6759">
        <v>3485</v>
      </c>
      <c r="E6759">
        <v>80163423</v>
      </c>
    </row>
    <row r="6760" spans="1:6" x14ac:dyDescent="0.25">
      <c r="A6760">
        <v>6759</v>
      </c>
      <c r="B6760">
        <v>46</v>
      </c>
      <c r="C6760">
        <v>0</v>
      </c>
      <c r="D6760">
        <v>0</v>
      </c>
      <c r="E6760">
        <v>0</v>
      </c>
      <c r="F6760">
        <v>0</v>
      </c>
    </row>
    <row r="6761" spans="1:6" x14ac:dyDescent="0.25">
      <c r="A6761">
        <v>6760</v>
      </c>
      <c r="B6761" t="s">
        <v>0</v>
      </c>
      <c r="C6761">
        <v>119</v>
      </c>
      <c r="D6761">
        <v>3485</v>
      </c>
      <c r="E6761">
        <v>80163528</v>
      </c>
    </row>
    <row r="6762" spans="1:6" x14ac:dyDescent="0.25">
      <c r="A6762">
        <v>6761</v>
      </c>
      <c r="B6762">
        <v>2</v>
      </c>
      <c r="C6762">
        <v>0</v>
      </c>
      <c r="D6762">
        <v>0</v>
      </c>
      <c r="E6762">
        <v>0</v>
      </c>
      <c r="F6762">
        <v>301.59199999999998</v>
      </c>
    </row>
    <row r="6763" spans="1:6" x14ac:dyDescent="0.25">
      <c r="A6763">
        <v>6762</v>
      </c>
      <c r="B6763">
        <v>10</v>
      </c>
      <c r="C6763">
        <v>1</v>
      </c>
      <c r="D6763">
        <v>0</v>
      </c>
      <c r="E6763">
        <v>0</v>
      </c>
      <c r="F6763">
        <v>3490</v>
      </c>
    </row>
    <row r="6764" spans="1:6" x14ac:dyDescent="0.25">
      <c r="A6764">
        <v>6763</v>
      </c>
      <c r="B6764">
        <v>13</v>
      </c>
      <c r="C6764">
        <v>0</v>
      </c>
      <c r="D6764">
        <v>0</v>
      </c>
      <c r="E6764">
        <v>0</v>
      </c>
      <c r="F6764">
        <v>1603</v>
      </c>
    </row>
    <row r="6765" spans="1:6" x14ac:dyDescent="0.25">
      <c r="A6765">
        <v>6764</v>
      </c>
      <c r="B6765" t="s">
        <v>0</v>
      </c>
      <c r="C6765">
        <v>121</v>
      </c>
      <c r="D6765">
        <v>3485</v>
      </c>
      <c r="E6765">
        <v>80163739</v>
      </c>
    </row>
    <row r="6766" spans="1:6" x14ac:dyDescent="0.25">
      <c r="A6766">
        <v>6765</v>
      </c>
      <c r="B6766">
        <v>41</v>
      </c>
      <c r="C6766">
        <v>0</v>
      </c>
      <c r="D6766">
        <v>0</v>
      </c>
      <c r="E6766">
        <v>0</v>
      </c>
      <c r="F6766">
        <v>1</v>
      </c>
    </row>
    <row r="6767" spans="1:6" x14ac:dyDescent="0.25">
      <c r="A6767">
        <v>6766</v>
      </c>
      <c r="B6767">
        <v>42</v>
      </c>
      <c r="C6767">
        <v>0</v>
      </c>
      <c r="D6767">
        <v>0</v>
      </c>
      <c r="E6767">
        <v>0</v>
      </c>
      <c r="F6767">
        <v>0.2</v>
      </c>
    </row>
    <row r="6768" spans="1:6" x14ac:dyDescent="0.25">
      <c r="A6768">
        <v>6767</v>
      </c>
      <c r="B6768">
        <v>43</v>
      </c>
      <c r="C6768">
        <v>0</v>
      </c>
      <c r="D6768">
        <v>0</v>
      </c>
      <c r="E6768">
        <v>0</v>
      </c>
      <c r="F6768">
        <v>0</v>
      </c>
    </row>
    <row r="6769" spans="1:6" x14ac:dyDescent="0.25">
      <c r="A6769">
        <v>6768</v>
      </c>
      <c r="B6769" t="s">
        <v>0</v>
      </c>
      <c r="C6769">
        <v>123</v>
      </c>
      <c r="D6769">
        <v>3485</v>
      </c>
      <c r="E6769">
        <v>80163948</v>
      </c>
    </row>
    <row r="6770" spans="1:6" x14ac:dyDescent="0.25">
      <c r="A6770">
        <v>6769</v>
      </c>
      <c r="B6770">
        <v>45</v>
      </c>
      <c r="C6770">
        <v>0</v>
      </c>
      <c r="D6770">
        <v>0</v>
      </c>
      <c r="E6770">
        <v>0</v>
      </c>
      <c r="F6770">
        <v>542.92399999999998</v>
      </c>
    </row>
    <row r="6771" spans="1:6" x14ac:dyDescent="0.25">
      <c r="A6771">
        <v>6770</v>
      </c>
      <c r="B6771">
        <v>46</v>
      </c>
      <c r="C6771">
        <v>0</v>
      </c>
      <c r="D6771">
        <v>0</v>
      </c>
      <c r="E6771">
        <v>0</v>
      </c>
      <c r="F6771">
        <v>0</v>
      </c>
    </row>
    <row r="6772" spans="1:6" x14ac:dyDescent="0.25">
      <c r="A6772">
        <v>6771</v>
      </c>
      <c r="B6772" t="s">
        <v>0</v>
      </c>
      <c r="C6772">
        <v>125</v>
      </c>
      <c r="D6772">
        <v>3485</v>
      </c>
      <c r="E6772">
        <v>80164156</v>
      </c>
    </row>
    <row r="6773" spans="1:6" x14ac:dyDescent="0.25">
      <c r="A6773">
        <v>6772</v>
      </c>
      <c r="B6773">
        <v>10</v>
      </c>
      <c r="C6773">
        <v>1</v>
      </c>
      <c r="D6773">
        <v>0</v>
      </c>
      <c r="E6773">
        <v>0</v>
      </c>
      <c r="F6773">
        <v>3425</v>
      </c>
    </row>
    <row r="6774" spans="1:6" x14ac:dyDescent="0.25">
      <c r="A6774">
        <v>6773</v>
      </c>
      <c r="B6774" t="s">
        <v>0</v>
      </c>
      <c r="C6774">
        <v>126</v>
      </c>
      <c r="D6774">
        <v>3485</v>
      </c>
      <c r="E6774">
        <v>80164260</v>
      </c>
    </row>
    <row r="6775" spans="1:6" x14ac:dyDescent="0.25">
      <c r="A6775">
        <v>6774</v>
      </c>
      <c r="B6775">
        <v>13</v>
      </c>
      <c r="C6775">
        <v>0</v>
      </c>
      <c r="D6775">
        <v>0</v>
      </c>
      <c r="E6775">
        <v>0</v>
      </c>
      <c r="F6775">
        <v>1603</v>
      </c>
    </row>
    <row r="6776" spans="1:6" x14ac:dyDescent="0.25">
      <c r="A6776">
        <v>6775</v>
      </c>
      <c r="B6776" t="s">
        <v>0</v>
      </c>
      <c r="C6776">
        <v>127</v>
      </c>
      <c r="D6776">
        <v>3485</v>
      </c>
      <c r="E6776">
        <v>80164364</v>
      </c>
    </row>
    <row r="6777" spans="1:6" x14ac:dyDescent="0.25">
      <c r="A6777">
        <v>6776</v>
      </c>
      <c r="B6777">
        <v>42</v>
      </c>
      <c r="C6777">
        <v>0</v>
      </c>
      <c r="D6777">
        <v>0</v>
      </c>
      <c r="E6777">
        <v>0</v>
      </c>
      <c r="F6777">
        <v>0.2</v>
      </c>
    </row>
    <row r="6778" spans="1:6" x14ac:dyDescent="0.25">
      <c r="A6778">
        <v>6777</v>
      </c>
      <c r="B6778" t="s">
        <v>0</v>
      </c>
      <c r="C6778">
        <v>128</v>
      </c>
      <c r="D6778">
        <v>3485</v>
      </c>
      <c r="E6778">
        <v>80164468</v>
      </c>
    </row>
    <row r="6779" spans="1:6" x14ac:dyDescent="0.25">
      <c r="A6779">
        <v>6778</v>
      </c>
      <c r="B6779">
        <v>43</v>
      </c>
      <c r="C6779">
        <v>0</v>
      </c>
      <c r="D6779">
        <v>0</v>
      </c>
      <c r="E6779">
        <v>0</v>
      </c>
      <c r="F6779">
        <v>0</v>
      </c>
    </row>
    <row r="6780" spans="1:6" x14ac:dyDescent="0.25">
      <c r="A6780">
        <v>6779</v>
      </c>
      <c r="B6780">
        <v>44</v>
      </c>
      <c r="C6780">
        <v>0</v>
      </c>
      <c r="D6780">
        <v>0</v>
      </c>
      <c r="E6780">
        <v>0</v>
      </c>
      <c r="F6780">
        <v>-150.86799999999999</v>
      </c>
    </row>
    <row r="6781" spans="1:6" x14ac:dyDescent="0.25">
      <c r="A6781">
        <v>6780</v>
      </c>
      <c r="B6781">
        <v>45</v>
      </c>
      <c r="C6781">
        <v>0</v>
      </c>
      <c r="D6781">
        <v>0</v>
      </c>
      <c r="E6781">
        <v>0</v>
      </c>
      <c r="F6781">
        <v>542.81100000000004</v>
      </c>
    </row>
    <row r="6782" spans="1:6" x14ac:dyDescent="0.25">
      <c r="A6782">
        <v>6781</v>
      </c>
      <c r="B6782" t="s">
        <v>0</v>
      </c>
      <c r="C6782">
        <v>130</v>
      </c>
      <c r="D6782">
        <v>3485</v>
      </c>
      <c r="E6782">
        <v>80164675</v>
      </c>
    </row>
    <row r="6783" spans="1:6" x14ac:dyDescent="0.25">
      <c r="A6783">
        <v>6782</v>
      </c>
      <c r="B6783">
        <v>46</v>
      </c>
      <c r="C6783">
        <v>0</v>
      </c>
      <c r="D6783">
        <v>0</v>
      </c>
      <c r="E6783">
        <v>0</v>
      </c>
      <c r="F6783">
        <v>0</v>
      </c>
    </row>
    <row r="6784" spans="1:6" x14ac:dyDescent="0.25">
      <c r="A6784">
        <v>6783</v>
      </c>
      <c r="B6784">
        <v>2</v>
      </c>
      <c r="C6784">
        <v>0</v>
      </c>
      <c r="D6784">
        <v>0</v>
      </c>
      <c r="E6784">
        <v>0</v>
      </c>
      <c r="F6784">
        <v>309.00599999999997</v>
      </c>
    </row>
    <row r="6785" spans="1:6" x14ac:dyDescent="0.25">
      <c r="A6785">
        <v>6784</v>
      </c>
      <c r="B6785">
        <v>10</v>
      </c>
      <c r="C6785">
        <v>1</v>
      </c>
      <c r="D6785">
        <v>0</v>
      </c>
      <c r="E6785">
        <v>0</v>
      </c>
      <c r="F6785">
        <v>3363</v>
      </c>
    </row>
    <row r="6786" spans="1:6" x14ac:dyDescent="0.25">
      <c r="A6786">
        <v>6785</v>
      </c>
      <c r="B6786" t="s">
        <v>0</v>
      </c>
      <c r="C6786">
        <v>132</v>
      </c>
      <c r="D6786">
        <v>3485</v>
      </c>
      <c r="E6786">
        <v>80164881</v>
      </c>
    </row>
    <row r="6787" spans="1:6" x14ac:dyDescent="0.25">
      <c r="A6787">
        <v>6786</v>
      </c>
      <c r="B6787">
        <v>41</v>
      </c>
      <c r="C6787">
        <v>0</v>
      </c>
      <c r="D6787">
        <v>0</v>
      </c>
      <c r="E6787">
        <v>0</v>
      </c>
      <c r="F6787">
        <v>1</v>
      </c>
    </row>
    <row r="6788" spans="1:6" x14ac:dyDescent="0.25">
      <c r="A6788">
        <v>6787</v>
      </c>
      <c r="B6788">
        <v>42</v>
      </c>
      <c r="C6788">
        <v>0</v>
      </c>
      <c r="D6788">
        <v>0</v>
      </c>
      <c r="E6788">
        <v>0</v>
      </c>
      <c r="F6788">
        <v>0.2</v>
      </c>
    </row>
    <row r="6789" spans="1:6" x14ac:dyDescent="0.25">
      <c r="A6789">
        <v>6788</v>
      </c>
      <c r="B6789" t="s">
        <v>0</v>
      </c>
      <c r="C6789">
        <v>134</v>
      </c>
      <c r="D6789">
        <v>3485</v>
      </c>
      <c r="E6789">
        <v>80165085</v>
      </c>
    </row>
    <row r="6790" spans="1:6" x14ac:dyDescent="0.25">
      <c r="A6790">
        <v>6789</v>
      </c>
      <c r="B6790">
        <v>44</v>
      </c>
      <c r="C6790">
        <v>0</v>
      </c>
      <c r="D6790">
        <v>0</v>
      </c>
      <c r="E6790">
        <v>0</v>
      </c>
      <c r="F6790">
        <v>-154.78899999999999</v>
      </c>
    </row>
    <row r="6791" spans="1:6" x14ac:dyDescent="0.25">
      <c r="A6791">
        <v>6790</v>
      </c>
      <c r="B6791">
        <v>45</v>
      </c>
      <c r="C6791">
        <v>0</v>
      </c>
      <c r="D6791">
        <v>0</v>
      </c>
      <c r="E6791">
        <v>0</v>
      </c>
      <c r="F6791">
        <v>542.697</v>
      </c>
    </row>
    <row r="6792" spans="1:6" x14ac:dyDescent="0.25">
      <c r="A6792">
        <v>6791</v>
      </c>
      <c r="B6792" t="s">
        <v>0</v>
      </c>
      <c r="C6792">
        <v>136</v>
      </c>
      <c r="D6792">
        <v>3485</v>
      </c>
      <c r="E6792">
        <v>80165289</v>
      </c>
    </row>
    <row r="6793" spans="1:6" x14ac:dyDescent="0.25">
      <c r="A6793">
        <v>6792</v>
      </c>
      <c r="B6793">
        <v>2</v>
      </c>
      <c r="C6793">
        <v>0</v>
      </c>
      <c r="D6793">
        <v>0</v>
      </c>
      <c r="E6793">
        <v>0</v>
      </c>
      <c r="F6793">
        <v>313.09300000000002</v>
      </c>
    </row>
    <row r="6794" spans="1:6" x14ac:dyDescent="0.25">
      <c r="A6794">
        <v>6793</v>
      </c>
      <c r="B6794">
        <v>10</v>
      </c>
      <c r="C6794">
        <v>1</v>
      </c>
      <c r="D6794">
        <v>0</v>
      </c>
      <c r="E6794">
        <v>0</v>
      </c>
      <c r="F6794">
        <v>3311</v>
      </c>
    </row>
    <row r="6795" spans="1:6" x14ac:dyDescent="0.25">
      <c r="A6795">
        <v>6794</v>
      </c>
      <c r="B6795" t="s">
        <v>0</v>
      </c>
      <c r="C6795">
        <v>138</v>
      </c>
      <c r="D6795">
        <v>3485</v>
      </c>
      <c r="E6795">
        <v>80165493</v>
      </c>
    </row>
    <row r="6796" spans="1:6" x14ac:dyDescent="0.25">
      <c r="A6796">
        <v>6795</v>
      </c>
      <c r="B6796">
        <v>41</v>
      </c>
      <c r="C6796">
        <v>0</v>
      </c>
      <c r="D6796">
        <v>0</v>
      </c>
      <c r="E6796">
        <v>0</v>
      </c>
      <c r="F6796">
        <v>1</v>
      </c>
    </row>
    <row r="6797" spans="1:6" x14ac:dyDescent="0.25">
      <c r="A6797">
        <v>6796</v>
      </c>
      <c r="B6797">
        <v>42</v>
      </c>
      <c r="C6797">
        <v>0</v>
      </c>
      <c r="D6797">
        <v>0</v>
      </c>
      <c r="E6797">
        <v>0</v>
      </c>
      <c r="F6797">
        <v>0.2</v>
      </c>
    </row>
    <row r="6798" spans="1:6" x14ac:dyDescent="0.25">
      <c r="A6798">
        <v>6797</v>
      </c>
      <c r="B6798" t="s">
        <v>0</v>
      </c>
      <c r="C6798">
        <v>140</v>
      </c>
      <c r="D6798">
        <v>3485</v>
      </c>
      <c r="E6798">
        <v>80165695</v>
      </c>
    </row>
    <row r="6799" spans="1:6" x14ac:dyDescent="0.25">
      <c r="A6799">
        <v>6798</v>
      </c>
      <c r="B6799">
        <v>44</v>
      </c>
      <c r="C6799">
        <v>0</v>
      </c>
      <c r="D6799">
        <v>0</v>
      </c>
      <c r="E6799">
        <v>0</v>
      </c>
      <c r="F6799">
        <v>-158.67599999999999</v>
      </c>
    </row>
    <row r="6800" spans="1:6" x14ac:dyDescent="0.25">
      <c r="A6800">
        <v>6799</v>
      </c>
      <c r="B6800" t="s">
        <v>0</v>
      </c>
      <c r="C6800">
        <v>141</v>
      </c>
      <c r="D6800">
        <v>3485</v>
      </c>
      <c r="E6800">
        <v>80165796</v>
      </c>
    </row>
    <row r="6801" spans="1:6" x14ac:dyDescent="0.25">
      <c r="A6801">
        <v>6800</v>
      </c>
      <c r="B6801">
        <v>45</v>
      </c>
      <c r="C6801">
        <v>0</v>
      </c>
      <c r="D6801">
        <v>0</v>
      </c>
      <c r="E6801">
        <v>0</v>
      </c>
      <c r="F6801">
        <v>542.58199999999999</v>
      </c>
    </row>
    <row r="6802" spans="1:6" x14ac:dyDescent="0.25">
      <c r="A6802">
        <v>6801</v>
      </c>
      <c r="B6802" t="s">
        <v>0</v>
      </c>
      <c r="C6802">
        <v>142</v>
      </c>
      <c r="D6802">
        <v>3485</v>
      </c>
      <c r="E6802">
        <v>80165896</v>
      </c>
    </row>
    <row r="6803" spans="1:6" x14ac:dyDescent="0.25">
      <c r="A6803">
        <v>6802</v>
      </c>
      <c r="B6803">
        <v>2</v>
      </c>
      <c r="C6803">
        <v>0</v>
      </c>
      <c r="D6803">
        <v>0</v>
      </c>
      <c r="E6803">
        <v>0</v>
      </c>
      <c r="F6803">
        <v>317.113</v>
      </c>
    </row>
    <row r="6804" spans="1:6" x14ac:dyDescent="0.25">
      <c r="A6804">
        <v>6803</v>
      </c>
      <c r="B6804" t="s">
        <v>0</v>
      </c>
      <c r="C6804">
        <v>143</v>
      </c>
      <c r="D6804">
        <v>3485</v>
      </c>
      <c r="E6804">
        <v>80165996</v>
      </c>
    </row>
    <row r="6805" spans="1:6" x14ac:dyDescent="0.25">
      <c r="A6805">
        <v>6804</v>
      </c>
      <c r="B6805">
        <v>10</v>
      </c>
      <c r="C6805">
        <v>1</v>
      </c>
      <c r="D6805">
        <v>0</v>
      </c>
      <c r="E6805">
        <v>0</v>
      </c>
      <c r="F6805">
        <v>3252</v>
      </c>
    </row>
    <row r="6806" spans="1:6" x14ac:dyDescent="0.25">
      <c r="A6806">
        <v>6805</v>
      </c>
      <c r="B6806" t="s">
        <v>0</v>
      </c>
      <c r="C6806">
        <v>144</v>
      </c>
      <c r="D6806">
        <v>3485</v>
      </c>
      <c r="E6806">
        <v>80166096</v>
      </c>
    </row>
    <row r="6807" spans="1:6" x14ac:dyDescent="0.25">
      <c r="A6807">
        <v>6806</v>
      </c>
      <c r="B6807">
        <v>41</v>
      </c>
      <c r="C6807">
        <v>0</v>
      </c>
      <c r="D6807">
        <v>0</v>
      </c>
      <c r="E6807">
        <v>0</v>
      </c>
      <c r="F6807">
        <v>1</v>
      </c>
    </row>
    <row r="6808" spans="1:6" x14ac:dyDescent="0.25">
      <c r="A6808">
        <v>6807</v>
      </c>
      <c r="B6808">
        <v>42</v>
      </c>
      <c r="C6808">
        <v>0</v>
      </c>
      <c r="D6808">
        <v>0</v>
      </c>
      <c r="E6808">
        <v>0</v>
      </c>
      <c r="F6808">
        <v>0.2</v>
      </c>
    </row>
    <row r="6809" spans="1:6" x14ac:dyDescent="0.25">
      <c r="A6809">
        <v>6808</v>
      </c>
      <c r="B6809" t="s">
        <v>0</v>
      </c>
      <c r="C6809">
        <v>146</v>
      </c>
      <c r="D6809">
        <v>3485</v>
      </c>
      <c r="E6809">
        <v>80166296</v>
      </c>
    </row>
    <row r="6810" spans="1:6" x14ac:dyDescent="0.25">
      <c r="A6810">
        <v>6809</v>
      </c>
      <c r="B6810">
        <v>44</v>
      </c>
      <c r="C6810">
        <v>0</v>
      </c>
      <c r="D6810">
        <v>0</v>
      </c>
      <c r="E6810">
        <v>0</v>
      </c>
      <c r="F6810">
        <v>-162.52500000000001</v>
      </c>
    </row>
    <row r="6811" spans="1:6" x14ac:dyDescent="0.25">
      <c r="A6811">
        <v>6810</v>
      </c>
      <c r="B6811">
        <v>45</v>
      </c>
      <c r="C6811">
        <v>0</v>
      </c>
      <c r="D6811">
        <v>0</v>
      </c>
      <c r="E6811">
        <v>0</v>
      </c>
      <c r="F6811">
        <v>542.46500000000003</v>
      </c>
    </row>
    <row r="6812" spans="1:6" x14ac:dyDescent="0.25">
      <c r="A6812">
        <v>6811</v>
      </c>
      <c r="B6812" t="s">
        <v>0</v>
      </c>
      <c r="C6812">
        <v>148</v>
      </c>
      <c r="D6812">
        <v>3485</v>
      </c>
      <c r="E6812">
        <v>80166494</v>
      </c>
    </row>
    <row r="6813" spans="1:6" x14ac:dyDescent="0.25">
      <c r="A6813">
        <v>6812</v>
      </c>
      <c r="B6813">
        <v>2</v>
      </c>
      <c r="C6813">
        <v>0</v>
      </c>
      <c r="D6813">
        <v>0</v>
      </c>
      <c r="E6813">
        <v>0</v>
      </c>
      <c r="F6813">
        <v>321.09199999999998</v>
      </c>
    </row>
    <row r="6814" spans="1:6" x14ac:dyDescent="0.25">
      <c r="A6814">
        <v>6813</v>
      </c>
      <c r="B6814">
        <v>10</v>
      </c>
      <c r="C6814">
        <v>1</v>
      </c>
      <c r="D6814">
        <v>0</v>
      </c>
      <c r="E6814">
        <v>0</v>
      </c>
      <c r="F6814">
        <v>3195</v>
      </c>
    </row>
    <row r="6815" spans="1:6" x14ac:dyDescent="0.25">
      <c r="A6815">
        <v>6814</v>
      </c>
      <c r="B6815" t="s">
        <v>0</v>
      </c>
      <c r="C6815">
        <v>150</v>
      </c>
      <c r="D6815">
        <v>3485</v>
      </c>
      <c r="E6815">
        <v>80166692</v>
      </c>
    </row>
    <row r="6816" spans="1:6" x14ac:dyDescent="0.25">
      <c r="A6816">
        <v>6815</v>
      </c>
      <c r="B6816">
        <v>41</v>
      </c>
      <c r="C6816">
        <v>0</v>
      </c>
      <c r="D6816">
        <v>0</v>
      </c>
      <c r="E6816">
        <v>0</v>
      </c>
      <c r="F6816">
        <v>1</v>
      </c>
    </row>
    <row r="6817" spans="1:6" x14ac:dyDescent="0.25">
      <c r="A6817">
        <v>6816</v>
      </c>
      <c r="B6817">
        <v>42</v>
      </c>
      <c r="C6817">
        <v>0</v>
      </c>
      <c r="D6817">
        <v>0</v>
      </c>
      <c r="E6817">
        <v>0</v>
      </c>
      <c r="F6817">
        <v>0.2</v>
      </c>
    </row>
    <row r="6818" spans="1:6" x14ac:dyDescent="0.25">
      <c r="A6818">
        <v>6817</v>
      </c>
      <c r="B6818" t="s">
        <v>0</v>
      </c>
      <c r="C6818">
        <v>152</v>
      </c>
      <c r="D6818">
        <v>3485</v>
      </c>
      <c r="E6818">
        <v>80166889</v>
      </c>
    </row>
    <row r="6819" spans="1:6" x14ac:dyDescent="0.25">
      <c r="A6819">
        <v>6818</v>
      </c>
      <c r="B6819">
        <v>44</v>
      </c>
      <c r="C6819">
        <v>0</v>
      </c>
      <c r="D6819">
        <v>0</v>
      </c>
      <c r="E6819">
        <v>0</v>
      </c>
      <c r="F6819">
        <v>-166.35900000000001</v>
      </c>
    </row>
    <row r="6820" spans="1:6" x14ac:dyDescent="0.25">
      <c r="A6820">
        <v>6819</v>
      </c>
      <c r="B6820">
        <v>45</v>
      </c>
      <c r="C6820">
        <v>0</v>
      </c>
      <c r="D6820">
        <v>0</v>
      </c>
      <c r="E6820">
        <v>0</v>
      </c>
      <c r="F6820">
        <v>542.346</v>
      </c>
    </row>
    <row r="6821" spans="1:6" x14ac:dyDescent="0.25">
      <c r="A6821">
        <v>6820</v>
      </c>
      <c r="B6821" t="s">
        <v>0</v>
      </c>
      <c r="C6821">
        <v>154</v>
      </c>
      <c r="D6821">
        <v>3485</v>
      </c>
      <c r="E6821">
        <v>80167085</v>
      </c>
    </row>
    <row r="6822" spans="1:6" x14ac:dyDescent="0.25">
      <c r="A6822">
        <v>6821</v>
      </c>
      <c r="B6822">
        <v>2</v>
      </c>
      <c r="C6822">
        <v>0</v>
      </c>
      <c r="D6822">
        <v>0</v>
      </c>
      <c r="E6822">
        <v>0</v>
      </c>
      <c r="F6822">
        <v>325.09800000000001</v>
      </c>
    </row>
    <row r="6823" spans="1:6" x14ac:dyDescent="0.25">
      <c r="A6823">
        <v>6822</v>
      </c>
      <c r="B6823">
        <v>10</v>
      </c>
      <c r="C6823">
        <v>1</v>
      </c>
      <c r="D6823">
        <v>0</v>
      </c>
      <c r="E6823">
        <v>0</v>
      </c>
      <c r="F6823">
        <v>3129</v>
      </c>
    </row>
    <row r="6824" spans="1:6" x14ac:dyDescent="0.25">
      <c r="A6824">
        <v>6823</v>
      </c>
      <c r="B6824" t="s">
        <v>0</v>
      </c>
      <c r="C6824">
        <v>156</v>
      </c>
      <c r="D6824">
        <v>3485</v>
      </c>
      <c r="E6824">
        <v>80167281</v>
      </c>
    </row>
    <row r="6825" spans="1:6" x14ac:dyDescent="0.25">
      <c r="A6825">
        <v>6824</v>
      </c>
      <c r="B6825">
        <v>13</v>
      </c>
      <c r="C6825">
        <v>0</v>
      </c>
      <c r="D6825">
        <v>0</v>
      </c>
      <c r="E6825">
        <v>0</v>
      </c>
      <c r="F6825">
        <v>1603</v>
      </c>
    </row>
    <row r="6826" spans="1:6" x14ac:dyDescent="0.25">
      <c r="A6826">
        <v>6825</v>
      </c>
      <c r="B6826">
        <v>41</v>
      </c>
      <c r="C6826">
        <v>0</v>
      </c>
      <c r="D6826">
        <v>0</v>
      </c>
      <c r="E6826">
        <v>0</v>
      </c>
      <c r="F6826">
        <v>1</v>
      </c>
    </row>
    <row r="6827" spans="1:6" x14ac:dyDescent="0.25">
      <c r="A6827">
        <v>6826</v>
      </c>
      <c r="B6827">
        <v>42</v>
      </c>
      <c r="C6827">
        <v>0</v>
      </c>
      <c r="D6827">
        <v>0</v>
      </c>
      <c r="E6827">
        <v>0</v>
      </c>
      <c r="F6827">
        <v>0.2</v>
      </c>
    </row>
    <row r="6828" spans="1:6" x14ac:dyDescent="0.25">
      <c r="A6828">
        <v>6827</v>
      </c>
      <c r="B6828" t="s">
        <v>0</v>
      </c>
      <c r="C6828">
        <v>158</v>
      </c>
      <c r="D6828">
        <v>3485</v>
      </c>
      <c r="E6828">
        <v>80167477</v>
      </c>
    </row>
    <row r="6829" spans="1:6" x14ac:dyDescent="0.25">
      <c r="A6829">
        <v>6828</v>
      </c>
      <c r="B6829">
        <v>43</v>
      </c>
      <c r="C6829">
        <v>0</v>
      </c>
      <c r="D6829">
        <v>0</v>
      </c>
      <c r="E6829">
        <v>0</v>
      </c>
      <c r="F6829">
        <v>0</v>
      </c>
    </row>
    <row r="6830" spans="1:6" x14ac:dyDescent="0.25">
      <c r="A6830">
        <v>6829</v>
      </c>
      <c r="B6830" t="s">
        <v>0</v>
      </c>
      <c r="C6830">
        <v>159</v>
      </c>
      <c r="D6830">
        <v>3485</v>
      </c>
      <c r="E6830">
        <v>80167574</v>
      </c>
    </row>
    <row r="6831" spans="1:6" x14ac:dyDescent="0.25">
      <c r="A6831">
        <v>6830</v>
      </c>
      <c r="B6831">
        <v>44</v>
      </c>
      <c r="C6831">
        <v>0</v>
      </c>
      <c r="D6831">
        <v>0</v>
      </c>
      <c r="E6831">
        <v>0</v>
      </c>
      <c r="F6831">
        <v>-170.84800000000001</v>
      </c>
    </row>
    <row r="6832" spans="1:6" x14ac:dyDescent="0.25">
      <c r="A6832">
        <v>6831</v>
      </c>
      <c r="B6832" t="s">
        <v>0</v>
      </c>
      <c r="C6832">
        <v>160</v>
      </c>
      <c r="D6832">
        <v>3485</v>
      </c>
      <c r="E6832">
        <v>80167671</v>
      </c>
    </row>
    <row r="6833" spans="1:6" x14ac:dyDescent="0.25">
      <c r="A6833">
        <v>6832</v>
      </c>
      <c r="B6833">
        <v>45</v>
      </c>
      <c r="C6833">
        <v>0</v>
      </c>
      <c r="D6833">
        <v>0</v>
      </c>
      <c r="E6833">
        <v>0</v>
      </c>
      <c r="F6833">
        <v>542.20600000000002</v>
      </c>
    </row>
    <row r="6834" spans="1:6" x14ac:dyDescent="0.25">
      <c r="A6834">
        <v>6833</v>
      </c>
      <c r="B6834" t="s">
        <v>0</v>
      </c>
      <c r="C6834">
        <v>161</v>
      </c>
      <c r="D6834">
        <v>3485</v>
      </c>
      <c r="E6834">
        <v>80167768</v>
      </c>
    </row>
    <row r="6835" spans="1:6" x14ac:dyDescent="0.25">
      <c r="A6835">
        <v>6834</v>
      </c>
      <c r="B6835">
        <v>2</v>
      </c>
      <c r="C6835">
        <v>0</v>
      </c>
      <c r="D6835">
        <v>0</v>
      </c>
      <c r="E6835">
        <v>0</v>
      </c>
      <c r="F6835">
        <v>329.74599999999998</v>
      </c>
    </row>
    <row r="6836" spans="1:6" x14ac:dyDescent="0.25">
      <c r="A6836">
        <v>6835</v>
      </c>
      <c r="B6836" t="s">
        <v>0</v>
      </c>
      <c r="C6836">
        <v>162</v>
      </c>
      <c r="D6836">
        <v>3485</v>
      </c>
      <c r="E6836">
        <v>80167864</v>
      </c>
    </row>
    <row r="6837" spans="1:6" x14ac:dyDescent="0.25">
      <c r="A6837">
        <v>6836</v>
      </c>
      <c r="B6837">
        <v>10</v>
      </c>
      <c r="C6837">
        <v>1</v>
      </c>
      <c r="D6837">
        <v>0</v>
      </c>
      <c r="E6837">
        <v>0</v>
      </c>
      <c r="F6837">
        <v>3075</v>
      </c>
    </row>
    <row r="6838" spans="1:6" x14ac:dyDescent="0.25">
      <c r="A6838">
        <v>6837</v>
      </c>
      <c r="B6838" t="s">
        <v>0</v>
      </c>
      <c r="C6838">
        <v>163</v>
      </c>
      <c r="D6838">
        <v>3485</v>
      </c>
      <c r="E6838">
        <v>80167960</v>
      </c>
    </row>
    <row r="6839" spans="1:6" x14ac:dyDescent="0.25">
      <c r="A6839">
        <v>6838</v>
      </c>
      <c r="B6839">
        <v>41</v>
      </c>
      <c r="C6839">
        <v>0</v>
      </c>
      <c r="D6839">
        <v>0</v>
      </c>
      <c r="E6839">
        <v>0</v>
      </c>
      <c r="F6839">
        <v>1</v>
      </c>
    </row>
    <row r="6840" spans="1:6" x14ac:dyDescent="0.25">
      <c r="A6840">
        <v>6839</v>
      </c>
      <c r="B6840">
        <v>42</v>
      </c>
      <c r="C6840">
        <v>0</v>
      </c>
      <c r="D6840">
        <v>0</v>
      </c>
      <c r="E6840">
        <v>0</v>
      </c>
      <c r="F6840">
        <v>0.2</v>
      </c>
    </row>
    <row r="6841" spans="1:6" x14ac:dyDescent="0.25">
      <c r="A6841">
        <v>6840</v>
      </c>
      <c r="B6841" t="s">
        <v>0</v>
      </c>
      <c r="C6841">
        <v>165</v>
      </c>
      <c r="D6841">
        <v>3485</v>
      </c>
      <c r="E6841">
        <v>80168153</v>
      </c>
    </row>
    <row r="6842" spans="1:6" x14ac:dyDescent="0.25">
      <c r="A6842">
        <v>6841</v>
      </c>
      <c r="B6842">
        <v>44</v>
      </c>
      <c r="C6842">
        <v>0</v>
      </c>
      <c r="D6842">
        <v>0</v>
      </c>
      <c r="E6842">
        <v>0</v>
      </c>
      <c r="F6842">
        <v>-174.66399999999999</v>
      </c>
    </row>
    <row r="6843" spans="1:6" x14ac:dyDescent="0.25">
      <c r="A6843">
        <v>6842</v>
      </c>
      <c r="B6843">
        <v>45</v>
      </c>
      <c r="C6843">
        <v>0</v>
      </c>
      <c r="D6843">
        <v>0</v>
      </c>
      <c r="E6843">
        <v>0</v>
      </c>
      <c r="F6843">
        <v>542.08500000000004</v>
      </c>
    </row>
    <row r="6844" spans="1:6" x14ac:dyDescent="0.25">
      <c r="A6844">
        <v>6843</v>
      </c>
      <c r="B6844" t="s">
        <v>0</v>
      </c>
      <c r="C6844">
        <v>167</v>
      </c>
      <c r="D6844">
        <v>3485</v>
      </c>
      <c r="E6844">
        <v>80168345</v>
      </c>
    </row>
    <row r="6845" spans="1:6" x14ac:dyDescent="0.25">
      <c r="A6845">
        <v>6844</v>
      </c>
      <c r="B6845">
        <v>46</v>
      </c>
      <c r="C6845">
        <v>0</v>
      </c>
      <c r="D6845">
        <v>0</v>
      </c>
      <c r="E6845">
        <v>0</v>
      </c>
      <c r="F6845">
        <v>0</v>
      </c>
    </row>
    <row r="6846" spans="1:6" x14ac:dyDescent="0.25">
      <c r="A6846">
        <v>6845</v>
      </c>
      <c r="B6846" t="s">
        <v>0</v>
      </c>
      <c r="C6846">
        <v>168</v>
      </c>
      <c r="D6846">
        <v>3485</v>
      </c>
      <c r="E6846">
        <v>80168441</v>
      </c>
    </row>
    <row r="6847" spans="1:6" x14ac:dyDescent="0.25">
      <c r="A6847">
        <v>6846</v>
      </c>
      <c r="B6847">
        <v>10</v>
      </c>
      <c r="C6847">
        <v>1</v>
      </c>
      <c r="D6847">
        <v>0</v>
      </c>
      <c r="E6847">
        <v>0</v>
      </c>
      <c r="F6847">
        <v>3013</v>
      </c>
    </row>
    <row r="6848" spans="1:6" x14ac:dyDescent="0.25">
      <c r="A6848">
        <v>6847</v>
      </c>
      <c r="B6848" t="s">
        <v>0</v>
      </c>
      <c r="C6848">
        <v>169</v>
      </c>
      <c r="D6848">
        <v>3485</v>
      </c>
      <c r="E6848">
        <v>80168537</v>
      </c>
    </row>
    <row r="6849" spans="1:6" x14ac:dyDescent="0.25">
      <c r="A6849">
        <v>6848</v>
      </c>
      <c r="B6849">
        <v>13</v>
      </c>
      <c r="C6849">
        <v>0</v>
      </c>
      <c r="D6849">
        <v>0</v>
      </c>
      <c r="E6849">
        <v>0</v>
      </c>
      <c r="F6849">
        <v>1604</v>
      </c>
    </row>
    <row r="6850" spans="1:6" x14ac:dyDescent="0.25">
      <c r="A6850">
        <v>6849</v>
      </c>
      <c r="B6850" t="s">
        <v>0</v>
      </c>
      <c r="C6850">
        <v>170</v>
      </c>
      <c r="D6850">
        <v>3485</v>
      </c>
      <c r="E6850">
        <v>80168633</v>
      </c>
    </row>
    <row r="6851" spans="1:6" x14ac:dyDescent="0.25">
      <c r="A6851">
        <v>6850</v>
      </c>
      <c r="B6851">
        <v>42</v>
      </c>
      <c r="C6851">
        <v>0</v>
      </c>
      <c r="D6851">
        <v>0</v>
      </c>
      <c r="E6851">
        <v>0</v>
      </c>
      <c r="F6851">
        <v>0.2</v>
      </c>
    </row>
    <row r="6852" spans="1:6" x14ac:dyDescent="0.25">
      <c r="A6852">
        <v>6851</v>
      </c>
      <c r="B6852">
        <v>43</v>
      </c>
      <c r="C6852">
        <v>0</v>
      </c>
      <c r="D6852">
        <v>0</v>
      </c>
      <c r="E6852">
        <v>0</v>
      </c>
      <c r="F6852">
        <v>0</v>
      </c>
    </row>
    <row r="6853" spans="1:6" x14ac:dyDescent="0.25">
      <c r="A6853">
        <v>6852</v>
      </c>
      <c r="B6853" t="s">
        <v>0</v>
      </c>
      <c r="C6853">
        <v>172</v>
      </c>
      <c r="D6853">
        <v>3485</v>
      </c>
      <c r="E6853">
        <v>80168823</v>
      </c>
    </row>
    <row r="6854" spans="1:6" x14ac:dyDescent="0.25">
      <c r="A6854">
        <v>6853</v>
      </c>
      <c r="B6854">
        <v>45</v>
      </c>
      <c r="C6854">
        <v>0</v>
      </c>
      <c r="D6854">
        <v>0</v>
      </c>
      <c r="E6854">
        <v>0</v>
      </c>
      <c r="F6854">
        <v>541.96299999999997</v>
      </c>
    </row>
    <row r="6855" spans="1:6" x14ac:dyDescent="0.25">
      <c r="A6855">
        <v>6854</v>
      </c>
      <c r="B6855">
        <v>46</v>
      </c>
      <c r="C6855">
        <v>0</v>
      </c>
      <c r="D6855">
        <v>0</v>
      </c>
      <c r="E6855">
        <v>0</v>
      </c>
      <c r="F6855">
        <v>0</v>
      </c>
    </row>
    <row r="6856" spans="1:6" x14ac:dyDescent="0.25">
      <c r="A6856">
        <v>6855</v>
      </c>
      <c r="B6856" t="s">
        <v>0</v>
      </c>
      <c r="C6856">
        <v>174</v>
      </c>
      <c r="D6856">
        <v>3485</v>
      </c>
      <c r="E6856">
        <v>80169012</v>
      </c>
    </row>
    <row r="6857" spans="1:6" x14ac:dyDescent="0.25">
      <c r="A6857">
        <v>6856</v>
      </c>
      <c r="B6857">
        <v>2</v>
      </c>
      <c r="C6857">
        <v>0</v>
      </c>
      <c r="D6857">
        <v>0</v>
      </c>
      <c r="E6857">
        <v>0</v>
      </c>
      <c r="F6857">
        <v>338.315</v>
      </c>
    </row>
    <row r="6858" spans="1:6" x14ac:dyDescent="0.25">
      <c r="A6858">
        <v>6857</v>
      </c>
      <c r="B6858" t="s">
        <v>0</v>
      </c>
      <c r="C6858">
        <v>175</v>
      </c>
      <c r="D6858">
        <v>3485</v>
      </c>
      <c r="E6858">
        <v>80169106</v>
      </c>
    </row>
    <row r="6859" spans="1:6" x14ac:dyDescent="0.25">
      <c r="A6859">
        <v>6858</v>
      </c>
      <c r="B6859">
        <v>13</v>
      </c>
      <c r="C6859">
        <v>0</v>
      </c>
      <c r="D6859">
        <v>0</v>
      </c>
      <c r="E6859">
        <v>0</v>
      </c>
      <c r="F6859">
        <v>1604</v>
      </c>
    </row>
    <row r="6860" spans="1:6" x14ac:dyDescent="0.25">
      <c r="A6860">
        <v>6859</v>
      </c>
      <c r="B6860">
        <v>41</v>
      </c>
      <c r="C6860">
        <v>0</v>
      </c>
      <c r="D6860">
        <v>0</v>
      </c>
      <c r="E6860">
        <v>0</v>
      </c>
      <c r="F6860">
        <v>1</v>
      </c>
    </row>
    <row r="6861" spans="1:6" x14ac:dyDescent="0.25">
      <c r="A6861">
        <v>6860</v>
      </c>
      <c r="B6861" t="s">
        <v>0</v>
      </c>
      <c r="C6861">
        <v>177</v>
      </c>
      <c r="D6861">
        <v>3485</v>
      </c>
      <c r="E6861">
        <v>80169295</v>
      </c>
    </row>
    <row r="6862" spans="1:6" x14ac:dyDescent="0.25">
      <c r="A6862">
        <v>6861</v>
      </c>
      <c r="B6862">
        <v>43</v>
      </c>
      <c r="C6862">
        <v>0</v>
      </c>
      <c r="D6862">
        <v>0</v>
      </c>
      <c r="E6862">
        <v>0</v>
      </c>
      <c r="F6862">
        <v>0</v>
      </c>
    </row>
    <row r="6863" spans="1:6" x14ac:dyDescent="0.25">
      <c r="A6863">
        <v>6862</v>
      </c>
      <c r="B6863">
        <v>44</v>
      </c>
      <c r="C6863">
        <v>0</v>
      </c>
      <c r="D6863">
        <v>0</v>
      </c>
      <c r="E6863">
        <v>0</v>
      </c>
      <c r="F6863">
        <v>-182.899</v>
      </c>
    </row>
    <row r="6864" spans="1:6" x14ac:dyDescent="0.25">
      <c r="A6864">
        <v>6863</v>
      </c>
      <c r="B6864">
        <v>45</v>
      </c>
      <c r="C6864">
        <v>0</v>
      </c>
      <c r="D6864">
        <v>0</v>
      </c>
      <c r="E6864">
        <v>0</v>
      </c>
      <c r="F6864">
        <v>541.83900000000006</v>
      </c>
    </row>
    <row r="6865" spans="1:6" x14ac:dyDescent="0.25">
      <c r="A6865">
        <v>6864</v>
      </c>
      <c r="B6865" t="s">
        <v>0</v>
      </c>
      <c r="C6865">
        <v>0</v>
      </c>
      <c r="D6865">
        <v>3486</v>
      </c>
      <c r="E6865">
        <v>80169578</v>
      </c>
    </row>
    <row r="6866" spans="1:6" x14ac:dyDescent="0.25">
      <c r="A6866">
        <v>6865</v>
      </c>
      <c r="B6866">
        <v>46</v>
      </c>
      <c r="C6866">
        <v>0</v>
      </c>
      <c r="D6866">
        <v>0</v>
      </c>
      <c r="E6866">
        <v>0</v>
      </c>
      <c r="F6866">
        <v>0</v>
      </c>
    </row>
    <row r="6867" spans="1:6" x14ac:dyDescent="0.25">
      <c r="A6867">
        <v>6866</v>
      </c>
      <c r="B6867" t="s">
        <v>0</v>
      </c>
      <c r="C6867">
        <v>1</v>
      </c>
      <c r="D6867">
        <v>3486</v>
      </c>
      <c r="E6867">
        <v>80169673</v>
      </c>
    </row>
    <row r="6868" spans="1:6" x14ac:dyDescent="0.25">
      <c r="A6868">
        <v>6867</v>
      </c>
      <c r="B6868">
        <v>2</v>
      </c>
      <c r="C6868">
        <v>0</v>
      </c>
      <c r="D6868">
        <v>0</v>
      </c>
      <c r="E6868">
        <v>0</v>
      </c>
      <c r="F6868">
        <v>341.483</v>
      </c>
    </row>
    <row r="6869" spans="1:6" x14ac:dyDescent="0.25">
      <c r="A6869">
        <v>6868</v>
      </c>
      <c r="B6869" t="s">
        <v>0</v>
      </c>
      <c r="C6869">
        <v>2</v>
      </c>
      <c r="D6869">
        <v>3486</v>
      </c>
      <c r="E6869">
        <v>80169767</v>
      </c>
    </row>
    <row r="6870" spans="1:6" x14ac:dyDescent="0.25">
      <c r="A6870">
        <v>6869</v>
      </c>
      <c r="B6870">
        <v>13</v>
      </c>
      <c r="C6870">
        <v>0</v>
      </c>
      <c r="D6870">
        <v>0</v>
      </c>
      <c r="E6870">
        <v>0</v>
      </c>
      <c r="F6870">
        <v>1604</v>
      </c>
    </row>
    <row r="6871" spans="1:6" x14ac:dyDescent="0.25">
      <c r="A6871">
        <v>6870</v>
      </c>
      <c r="B6871">
        <v>41</v>
      </c>
      <c r="C6871">
        <v>0</v>
      </c>
      <c r="D6871">
        <v>0</v>
      </c>
      <c r="E6871">
        <v>0</v>
      </c>
      <c r="F6871">
        <v>1</v>
      </c>
    </row>
    <row r="6872" spans="1:6" x14ac:dyDescent="0.25">
      <c r="A6872">
        <v>6871</v>
      </c>
      <c r="B6872" t="s">
        <v>0</v>
      </c>
      <c r="C6872">
        <v>4</v>
      </c>
      <c r="D6872">
        <v>3486</v>
      </c>
      <c r="E6872">
        <v>80169955</v>
      </c>
    </row>
    <row r="6873" spans="1:6" x14ac:dyDescent="0.25">
      <c r="A6873">
        <v>6872</v>
      </c>
      <c r="B6873">
        <v>43</v>
      </c>
      <c r="C6873">
        <v>0</v>
      </c>
      <c r="D6873">
        <v>0</v>
      </c>
      <c r="E6873">
        <v>0</v>
      </c>
      <c r="F6873">
        <v>0</v>
      </c>
    </row>
    <row r="6874" spans="1:6" x14ac:dyDescent="0.25">
      <c r="A6874">
        <v>6873</v>
      </c>
      <c r="B6874">
        <v>44</v>
      </c>
      <c r="C6874">
        <v>0</v>
      </c>
      <c r="D6874">
        <v>0</v>
      </c>
      <c r="E6874">
        <v>0</v>
      </c>
      <c r="F6874">
        <v>-185.249</v>
      </c>
    </row>
    <row r="6875" spans="1:6" x14ac:dyDescent="0.25">
      <c r="A6875">
        <v>6874</v>
      </c>
      <c r="B6875" t="s">
        <v>0</v>
      </c>
      <c r="C6875">
        <v>6</v>
      </c>
      <c r="D6875">
        <v>3486</v>
      </c>
      <c r="E6875">
        <v>80170143</v>
      </c>
    </row>
    <row r="6876" spans="1:6" x14ac:dyDescent="0.25">
      <c r="A6876">
        <v>6875</v>
      </c>
      <c r="B6876">
        <v>45</v>
      </c>
      <c r="C6876">
        <v>0</v>
      </c>
      <c r="D6876">
        <v>0</v>
      </c>
      <c r="E6876">
        <v>0</v>
      </c>
      <c r="F6876">
        <v>541.71299999999997</v>
      </c>
    </row>
    <row r="6877" spans="1:6" x14ac:dyDescent="0.25">
      <c r="A6877">
        <v>6876</v>
      </c>
      <c r="B6877" t="s">
        <v>0</v>
      </c>
      <c r="C6877">
        <v>7</v>
      </c>
      <c r="D6877">
        <v>3486</v>
      </c>
      <c r="E6877">
        <v>80170237</v>
      </c>
    </row>
    <row r="6878" spans="1:6" x14ac:dyDescent="0.25">
      <c r="A6878">
        <v>6877</v>
      </c>
      <c r="B6878">
        <v>2</v>
      </c>
      <c r="C6878">
        <v>0</v>
      </c>
      <c r="D6878">
        <v>0</v>
      </c>
      <c r="E6878">
        <v>0</v>
      </c>
      <c r="F6878">
        <v>344.25400000000002</v>
      </c>
    </row>
    <row r="6879" spans="1:6" x14ac:dyDescent="0.25">
      <c r="A6879">
        <v>6878</v>
      </c>
      <c r="B6879">
        <v>10</v>
      </c>
      <c r="C6879">
        <v>1</v>
      </c>
      <c r="D6879">
        <v>0</v>
      </c>
      <c r="E6879">
        <v>0</v>
      </c>
      <c r="F6879">
        <v>2887</v>
      </c>
    </row>
    <row r="6880" spans="1:6" x14ac:dyDescent="0.25">
      <c r="A6880">
        <v>6879</v>
      </c>
      <c r="B6880" t="s">
        <v>0</v>
      </c>
      <c r="C6880">
        <v>9</v>
      </c>
      <c r="D6880">
        <v>3486</v>
      </c>
      <c r="E6880">
        <v>80170425</v>
      </c>
    </row>
    <row r="6881" spans="1:6" x14ac:dyDescent="0.25">
      <c r="A6881">
        <v>6880</v>
      </c>
      <c r="B6881">
        <v>41</v>
      </c>
      <c r="C6881">
        <v>0</v>
      </c>
      <c r="D6881">
        <v>0</v>
      </c>
      <c r="E6881">
        <v>0</v>
      </c>
      <c r="F6881">
        <v>1</v>
      </c>
    </row>
    <row r="6882" spans="1:6" x14ac:dyDescent="0.25">
      <c r="A6882">
        <v>6881</v>
      </c>
      <c r="B6882">
        <v>42</v>
      </c>
      <c r="C6882">
        <v>0</v>
      </c>
      <c r="D6882">
        <v>0</v>
      </c>
      <c r="E6882">
        <v>0</v>
      </c>
      <c r="F6882">
        <v>0.2</v>
      </c>
    </row>
    <row r="6883" spans="1:6" x14ac:dyDescent="0.25">
      <c r="A6883">
        <v>6882</v>
      </c>
      <c r="B6883" t="s">
        <v>0</v>
      </c>
      <c r="C6883">
        <v>11</v>
      </c>
      <c r="D6883">
        <v>3486</v>
      </c>
      <c r="E6883">
        <v>80170613</v>
      </c>
    </row>
    <row r="6884" spans="1:6" x14ac:dyDescent="0.25">
      <c r="A6884">
        <v>6883</v>
      </c>
      <c r="B6884">
        <v>43</v>
      </c>
      <c r="C6884">
        <v>0</v>
      </c>
      <c r="D6884">
        <v>0</v>
      </c>
      <c r="E6884">
        <v>0</v>
      </c>
      <c r="F6884">
        <v>0</v>
      </c>
    </row>
    <row r="6885" spans="1:6" x14ac:dyDescent="0.25">
      <c r="A6885">
        <v>6884</v>
      </c>
      <c r="B6885" t="s">
        <v>0</v>
      </c>
      <c r="C6885">
        <v>12</v>
      </c>
      <c r="D6885">
        <v>3486</v>
      </c>
      <c r="E6885">
        <v>80170707</v>
      </c>
    </row>
    <row r="6886" spans="1:6" x14ac:dyDescent="0.25">
      <c r="A6886">
        <v>6885</v>
      </c>
      <c r="B6886">
        <v>45</v>
      </c>
      <c r="C6886">
        <v>0</v>
      </c>
      <c r="D6886">
        <v>0</v>
      </c>
      <c r="E6886">
        <v>0</v>
      </c>
      <c r="F6886">
        <v>541.58600000000001</v>
      </c>
    </row>
    <row r="6887" spans="1:6" x14ac:dyDescent="0.25">
      <c r="A6887">
        <v>6886</v>
      </c>
      <c r="B6887" t="s">
        <v>0</v>
      </c>
      <c r="C6887">
        <v>13</v>
      </c>
      <c r="D6887">
        <v>3486</v>
      </c>
      <c r="E6887">
        <v>80170801</v>
      </c>
    </row>
    <row r="6888" spans="1:6" x14ac:dyDescent="0.25">
      <c r="A6888">
        <v>6887</v>
      </c>
      <c r="B6888">
        <v>46</v>
      </c>
      <c r="C6888">
        <v>0</v>
      </c>
      <c r="D6888">
        <v>0</v>
      </c>
      <c r="E6888">
        <v>0</v>
      </c>
      <c r="F6888">
        <v>0</v>
      </c>
    </row>
    <row r="6889" spans="1:6" x14ac:dyDescent="0.25">
      <c r="A6889">
        <v>6888</v>
      </c>
      <c r="B6889" t="s">
        <v>0</v>
      </c>
      <c r="C6889">
        <v>14</v>
      </c>
      <c r="D6889">
        <v>3486</v>
      </c>
      <c r="E6889">
        <v>80170896</v>
      </c>
    </row>
    <row r="6890" spans="1:6" x14ac:dyDescent="0.25">
      <c r="A6890">
        <v>6889</v>
      </c>
      <c r="B6890">
        <v>10</v>
      </c>
      <c r="C6890">
        <v>1</v>
      </c>
      <c r="D6890">
        <v>0</v>
      </c>
      <c r="E6890">
        <v>0</v>
      </c>
      <c r="F6890">
        <v>2862</v>
      </c>
    </row>
    <row r="6891" spans="1:6" x14ac:dyDescent="0.25">
      <c r="A6891">
        <v>6890</v>
      </c>
      <c r="B6891">
        <v>13</v>
      </c>
      <c r="C6891">
        <v>0</v>
      </c>
      <c r="D6891">
        <v>0</v>
      </c>
      <c r="E6891">
        <v>0</v>
      </c>
      <c r="F6891">
        <v>1604</v>
      </c>
    </row>
    <row r="6892" spans="1:6" x14ac:dyDescent="0.25">
      <c r="A6892">
        <v>6891</v>
      </c>
      <c r="B6892" t="s">
        <v>0</v>
      </c>
      <c r="C6892">
        <v>16</v>
      </c>
      <c r="D6892">
        <v>3486</v>
      </c>
      <c r="E6892">
        <v>80171086</v>
      </c>
    </row>
    <row r="6893" spans="1:6" x14ac:dyDescent="0.25">
      <c r="A6893">
        <v>6892</v>
      </c>
      <c r="B6893">
        <v>41</v>
      </c>
      <c r="C6893">
        <v>0</v>
      </c>
      <c r="D6893">
        <v>0</v>
      </c>
      <c r="E6893">
        <v>0</v>
      </c>
      <c r="F6893">
        <v>1</v>
      </c>
    </row>
    <row r="6894" spans="1:6" x14ac:dyDescent="0.25">
      <c r="A6894">
        <v>6893</v>
      </c>
      <c r="B6894">
        <v>42</v>
      </c>
      <c r="C6894">
        <v>0</v>
      </c>
      <c r="D6894">
        <v>0</v>
      </c>
      <c r="E6894">
        <v>0</v>
      </c>
      <c r="F6894">
        <v>0.2</v>
      </c>
    </row>
    <row r="6895" spans="1:6" x14ac:dyDescent="0.25">
      <c r="A6895">
        <v>6894</v>
      </c>
      <c r="B6895">
        <v>43</v>
      </c>
      <c r="C6895">
        <v>0</v>
      </c>
      <c r="D6895">
        <v>0</v>
      </c>
      <c r="E6895">
        <v>0</v>
      </c>
      <c r="F6895">
        <v>0</v>
      </c>
    </row>
    <row r="6896" spans="1:6" x14ac:dyDescent="0.25">
      <c r="A6896">
        <v>6895</v>
      </c>
      <c r="B6896" t="s">
        <v>0</v>
      </c>
      <c r="C6896">
        <v>18</v>
      </c>
      <c r="D6896">
        <v>3486</v>
      </c>
      <c r="E6896">
        <v>80171276</v>
      </c>
    </row>
    <row r="6897" spans="1:6" x14ac:dyDescent="0.25">
      <c r="A6897">
        <v>6896</v>
      </c>
      <c r="B6897">
        <v>44</v>
      </c>
      <c r="C6897">
        <v>0</v>
      </c>
      <c r="D6897">
        <v>0</v>
      </c>
      <c r="E6897">
        <v>0</v>
      </c>
      <c r="F6897">
        <v>-188.614</v>
      </c>
    </row>
    <row r="6898" spans="1:6" x14ac:dyDescent="0.25">
      <c r="A6898">
        <v>6897</v>
      </c>
      <c r="B6898" t="s">
        <v>0</v>
      </c>
      <c r="C6898">
        <v>19</v>
      </c>
      <c r="D6898">
        <v>3486</v>
      </c>
      <c r="E6898">
        <v>80171370</v>
      </c>
    </row>
    <row r="6899" spans="1:6" x14ac:dyDescent="0.25">
      <c r="A6899">
        <v>6898</v>
      </c>
      <c r="B6899">
        <v>46</v>
      </c>
      <c r="C6899">
        <v>0</v>
      </c>
      <c r="D6899">
        <v>0</v>
      </c>
      <c r="E6899">
        <v>0</v>
      </c>
      <c r="F6899">
        <v>0</v>
      </c>
    </row>
    <row r="6900" spans="1:6" x14ac:dyDescent="0.25">
      <c r="A6900">
        <v>6899</v>
      </c>
      <c r="B6900">
        <v>2</v>
      </c>
      <c r="C6900">
        <v>0</v>
      </c>
      <c r="D6900">
        <v>0</v>
      </c>
      <c r="E6900">
        <v>0</v>
      </c>
      <c r="F6900">
        <v>347.40100000000001</v>
      </c>
    </row>
    <row r="6901" spans="1:6" x14ac:dyDescent="0.25">
      <c r="A6901">
        <v>6900</v>
      </c>
      <c r="B6901" t="s">
        <v>0</v>
      </c>
      <c r="C6901">
        <v>21</v>
      </c>
      <c r="D6901">
        <v>3486</v>
      </c>
      <c r="E6901">
        <v>80171560</v>
      </c>
    </row>
    <row r="6902" spans="1:6" x14ac:dyDescent="0.25">
      <c r="A6902">
        <v>6901</v>
      </c>
      <c r="B6902">
        <v>13</v>
      </c>
      <c r="C6902">
        <v>0</v>
      </c>
      <c r="D6902">
        <v>0</v>
      </c>
      <c r="E6902">
        <v>0</v>
      </c>
      <c r="F6902">
        <v>1604</v>
      </c>
    </row>
    <row r="6903" spans="1:6" x14ac:dyDescent="0.25">
      <c r="A6903">
        <v>6902</v>
      </c>
      <c r="B6903">
        <v>41</v>
      </c>
      <c r="C6903">
        <v>0</v>
      </c>
      <c r="D6903">
        <v>0</v>
      </c>
      <c r="E6903">
        <v>0</v>
      </c>
      <c r="F6903">
        <v>1</v>
      </c>
    </row>
    <row r="6904" spans="1:6" x14ac:dyDescent="0.25">
      <c r="A6904">
        <v>6903</v>
      </c>
      <c r="B6904" t="s">
        <v>0</v>
      </c>
      <c r="C6904">
        <v>23</v>
      </c>
      <c r="D6904">
        <v>3486</v>
      </c>
      <c r="E6904">
        <v>80171749</v>
      </c>
    </row>
    <row r="6905" spans="1:6" x14ac:dyDescent="0.25">
      <c r="A6905">
        <v>6904</v>
      </c>
      <c r="B6905">
        <v>42</v>
      </c>
      <c r="C6905">
        <v>0</v>
      </c>
      <c r="D6905">
        <v>0</v>
      </c>
      <c r="E6905">
        <v>0</v>
      </c>
      <c r="F6905">
        <v>0.2</v>
      </c>
    </row>
    <row r="6906" spans="1:6" x14ac:dyDescent="0.25">
      <c r="A6906">
        <v>6905</v>
      </c>
      <c r="B6906" t="s">
        <v>0</v>
      </c>
      <c r="C6906">
        <v>24</v>
      </c>
      <c r="D6906">
        <v>3486</v>
      </c>
      <c r="E6906">
        <v>80171844</v>
      </c>
    </row>
    <row r="6907" spans="1:6" x14ac:dyDescent="0.25">
      <c r="A6907">
        <v>6906</v>
      </c>
      <c r="B6907">
        <v>44</v>
      </c>
      <c r="C6907">
        <v>0</v>
      </c>
      <c r="D6907">
        <v>0</v>
      </c>
      <c r="E6907">
        <v>0</v>
      </c>
      <c r="F6907">
        <v>-189.20699999999999</v>
      </c>
    </row>
    <row r="6908" spans="1:6" x14ac:dyDescent="0.25">
      <c r="A6908">
        <v>6907</v>
      </c>
      <c r="B6908" t="s">
        <v>0</v>
      </c>
      <c r="C6908">
        <v>25</v>
      </c>
      <c r="D6908">
        <v>3486</v>
      </c>
      <c r="E6908">
        <v>80171939</v>
      </c>
    </row>
    <row r="6909" spans="1:6" x14ac:dyDescent="0.25">
      <c r="A6909">
        <v>6908</v>
      </c>
      <c r="B6909">
        <v>45</v>
      </c>
      <c r="C6909">
        <v>0</v>
      </c>
      <c r="D6909">
        <v>0</v>
      </c>
      <c r="E6909">
        <v>0</v>
      </c>
      <c r="F6909">
        <v>541.30499999999995</v>
      </c>
    </row>
    <row r="6910" spans="1:6" x14ac:dyDescent="0.25">
      <c r="A6910">
        <v>6909</v>
      </c>
      <c r="B6910" t="s">
        <v>0</v>
      </c>
      <c r="C6910">
        <v>26</v>
      </c>
      <c r="D6910">
        <v>3486</v>
      </c>
      <c r="E6910">
        <v>80172034</v>
      </c>
    </row>
    <row r="6911" spans="1:6" x14ac:dyDescent="0.25">
      <c r="A6911">
        <v>6910</v>
      </c>
      <c r="B6911">
        <v>2</v>
      </c>
      <c r="C6911">
        <v>0</v>
      </c>
      <c r="D6911">
        <v>0</v>
      </c>
      <c r="E6911">
        <v>0</v>
      </c>
      <c r="F6911">
        <v>348</v>
      </c>
    </row>
    <row r="6912" spans="1:6" x14ac:dyDescent="0.25">
      <c r="A6912">
        <v>6911</v>
      </c>
      <c r="B6912">
        <v>10</v>
      </c>
      <c r="C6912">
        <v>1</v>
      </c>
      <c r="D6912">
        <v>0</v>
      </c>
      <c r="E6912">
        <v>0</v>
      </c>
      <c r="F6912">
        <v>2841</v>
      </c>
    </row>
    <row r="6913" spans="1:6" x14ac:dyDescent="0.25">
      <c r="A6913">
        <v>6912</v>
      </c>
      <c r="B6913" t="s">
        <v>0</v>
      </c>
      <c r="C6913">
        <v>28</v>
      </c>
      <c r="D6913">
        <v>3486</v>
      </c>
      <c r="E6913">
        <v>80172224</v>
      </c>
    </row>
    <row r="6914" spans="1:6" x14ac:dyDescent="0.25">
      <c r="A6914">
        <v>6913</v>
      </c>
      <c r="B6914">
        <v>13</v>
      </c>
      <c r="C6914">
        <v>0</v>
      </c>
      <c r="D6914">
        <v>0</v>
      </c>
      <c r="E6914">
        <v>0</v>
      </c>
      <c r="F6914">
        <v>1604</v>
      </c>
    </row>
    <row r="6915" spans="1:6" x14ac:dyDescent="0.25">
      <c r="A6915">
        <v>6914</v>
      </c>
      <c r="B6915">
        <v>41</v>
      </c>
      <c r="C6915">
        <v>0</v>
      </c>
      <c r="D6915">
        <v>0</v>
      </c>
      <c r="E6915">
        <v>0</v>
      </c>
      <c r="F6915">
        <v>1</v>
      </c>
    </row>
    <row r="6916" spans="1:6" x14ac:dyDescent="0.25">
      <c r="A6916">
        <v>6915</v>
      </c>
      <c r="B6916">
        <v>42</v>
      </c>
      <c r="C6916">
        <v>0</v>
      </c>
      <c r="D6916">
        <v>0</v>
      </c>
      <c r="E6916">
        <v>0</v>
      </c>
      <c r="F6916">
        <v>0.2</v>
      </c>
    </row>
    <row r="6917" spans="1:6" x14ac:dyDescent="0.25">
      <c r="A6917">
        <v>6916</v>
      </c>
      <c r="B6917" t="s">
        <v>0</v>
      </c>
      <c r="C6917">
        <v>30</v>
      </c>
      <c r="D6917">
        <v>3486</v>
      </c>
      <c r="E6917">
        <v>80172414</v>
      </c>
    </row>
    <row r="6918" spans="1:6" x14ac:dyDescent="0.25">
      <c r="A6918">
        <v>6917</v>
      </c>
      <c r="B6918">
        <v>43</v>
      </c>
      <c r="C6918">
        <v>0</v>
      </c>
      <c r="D6918">
        <v>0</v>
      </c>
      <c r="E6918">
        <v>0</v>
      </c>
      <c r="F6918">
        <v>0</v>
      </c>
    </row>
    <row r="6919" spans="1:6" x14ac:dyDescent="0.25">
      <c r="A6919">
        <v>6918</v>
      </c>
      <c r="B6919" t="s">
        <v>0</v>
      </c>
      <c r="C6919">
        <v>31</v>
      </c>
      <c r="D6919">
        <v>3486</v>
      </c>
      <c r="E6919">
        <v>80172509</v>
      </c>
    </row>
    <row r="6920" spans="1:6" x14ac:dyDescent="0.25">
      <c r="A6920">
        <v>6919</v>
      </c>
      <c r="B6920">
        <v>45</v>
      </c>
      <c r="C6920">
        <v>0</v>
      </c>
      <c r="D6920">
        <v>0</v>
      </c>
      <c r="E6920">
        <v>0</v>
      </c>
      <c r="F6920">
        <v>541.17499999999995</v>
      </c>
    </row>
    <row r="6921" spans="1:6" x14ac:dyDescent="0.25">
      <c r="A6921">
        <v>6920</v>
      </c>
      <c r="B6921">
        <v>46</v>
      </c>
      <c r="C6921">
        <v>0</v>
      </c>
      <c r="D6921">
        <v>0</v>
      </c>
      <c r="E6921">
        <v>0</v>
      </c>
      <c r="F6921">
        <v>0</v>
      </c>
    </row>
    <row r="6922" spans="1:6" x14ac:dyDescent="0.25">
      <c r="A6922">
        <v>6921</v>
      </c>
      <c r="B6922" t="s">
        <v>0</v>
      </c>
      <c r="C6922">
        <v>33</v>
      </c>
      <c r="D6922">
        <v>3486</v>
      </c>
      <c r="E6922">
        <v>80172699</v>
      </c>
    </row>
    <row r="6923" spans="1:6" x14ac:dyDescent="0.25">
      <c r="A6923">
        <v>6922</v>
      </c>
      <c r="B6923">
        <v>10</v>
      </c>
      <c r="C6923">
        <v>1</v>
      </c>
      <c r="D6923">
        <v>0</v>
      </c>
      <c r="E6923">
        <v>0</v>
      </c>
      <c r="F6923">
        <v>2838</v>
      </c>
    </row>
    <row r="6924" spans="1:6" x14ac:dyDescent="0.25">
      <c r="A6924">
        <v>6923</v>
      </c>
      <c r="B6924">
        <v>13</v>
      </c>
      <c r="C6924">
        <v>0</v>
      </c>
      <c r="D6924">
        <v>0</v>
      </c>
      <c r="E6924">
        <v>0</v>
      </c>
      <c r="F6924">
        <v>1604</v>
      </c>
    </row>
    <row r="6925" spans="1:6" x14ac:dyDescent="0.25">
      <c r="A6925">
        <v>6924</v>
      </c>
      <c r="B6925" t="s">
        <v>0</v>
      </c>
      <c r="C6925">
        <v>35</v>
      </c>
      <c r="D6925">
        <v>3486</v>
      </c>
      <c r="E6925">
        <v>80172889</v>
      </c>
    </row>
    <row r="6926" spans="1:6" x14ac:dyDescent="0.25">
      <c r="A6926">
        <v>6925</v>
      </c>
      <c r="B6926">
        <v>41</v>
      </c>
      <c r="C6926">
        <v>0</v>
      </c>
      <c r="D6926">
        <v>0</v>
      </c>
      <c r="E6926">
        <v>0</v>
      </c>
      <c r="F6926">
        <v>1</v>
      </c>
    </row>
    <row r="6927" spans="1:6" x14ac:dyDescent="0.25">
      <c r="A6927">
        <v>6926</v>
      </c>
      <c r="B6927">
        <v>42</v>
      </c>
      <c r="C6927">
        <v>0</v>
      </c>
      <c r="D6927">
        <v>0</v>
      </c>
      <c r="E6927">
        <v>0</v>
      </c>
      <c r="F6927">
        <v>0.2</v>
      </c>
    </row>
    <row r="6928" spans="1:6" x14ac:dyDescent="0.25">
      <c r="A6928">
        <v>6927</v>
      </c>
      <c r="B6928">
        <v>43</v>
      </c>
      <c r="C6928">
        <v>0</v>
      </c>
      <c r="D6928">
        <v>0</v>
      </c>
      <c r="E6928">
        <v>0</v>
      </c>
      <c r="F6928">
        <v>0</v>
      </c>
    </row>
    <row r="6929" spans="1:6" x14ac:dyDescent="0.25">
      <c r="A6929">
        <v>6928</v>
      </c>
      <c r="B6929" t="s">
        <v>0</v>
      </c>
      <c r="C6929">
        <v>37</v>
      </c>
      <c r="D6929">
        <v>3486</v>
      </c>
      <c r="E6929">
        <v>80173080</v>
      </c>
    </row>
    <row r="6930" spans="1:6" x14ac:dyDescent="0.25">
      <c r="A6930">
        <v>6929</v>
      </c>
      <c r="B6930">
        <v>44</v>
      </c>
      <c r="C6930">
        <v>0</v>
      </c>
      <c r="D6930">
        <v>0</v>
      </c>
      <c r="E6930">
        <v>0</v>
      </c>
      <c r="F6930">
        <v>-189.31299999999999</v>
      </c>
    </row>
    <row r="6931" spans="1:6" x14ac:dyDescent="0.25">
      <c r="A6931">
        <v>6930</v>
      </c>
      <c r="B6931" t="s">
        <v>0</v>
      </c>
      <c r="C6931">
        <v>38</v>
      </c>
      <c r="D6931">
        <v>3486</v>
      </c>
      <c r="E6931">
        <v>80173176</v>
      </c>
    </row>
    <row r="6932" spans="1:6" x14ac:dyDescent="0.25">
      <c r="A6932">
        <v>6931</v>
      </c>
      <c r="B6932">
        <v>46</v>
      </c>
      <c r="C6932">
        <v>0</v>
      </c>
      <c r="D6932">
        <v>0</v>
      </c>
      <c r="E6932">
        <v>0</v>
      </c>
      <c r="F6932">
        <v>0</v>
      </c>
    </row>
    <row r="6933" spans="1:6" x14ac:dyDescent="0.25">
      <c r="A6933">
        <v>6932</v>
      </c>
      <c r="B6933">
        <v>2</v>
      </c>
      <c r="C6933">
        <v>0</v>
      </c>
      <c r="D6933">
        <v>0</v>
      </c>
      <c r="E6933">
        <v>0</v>
      </c>
      <c r="F6933">
        <v>348.20699999999999</v>
      </c>
    </row>
    <row r="6934" spans="1:6" x14ac:dyDescent="0.25">
      <c r="A6934">
        <v>6933</v>
      </c>
      <c r="B6934" t="s">
        <v>0</v>
      </c>
      <c r="C6934">
        <v>40</v>
      </c>
      <c r="D6934">
        <v>3486</v>
      </c>
      <c r="E6934">
        <v>80173366</v>
      </c>
    </row>
    <row r="6935" spans="1:6" x14ac:dyDescent="0.25">
      <c r="A6935">
        <v>6934</v>
      </c>
      <c r="B6935">
        <v>13</v>
      </c>
      <c r="C6935">
        <v>0</v>
      </c>
      <c r="D6935">
        <v>0</v>
      </c>
      <c r="E6935">
        <v>0</v>
      </c>
      <c r="F6935">
        <v>1604</v>
      </c>
    </row>
    <row r="6936" spans="1:6" x14ac:dyDescent="0.25">
      <c r="A6936">
        <v>6935</v>
      </c>
      <c r="B6936">
        <v>41</v>
      </c>
      <c r="C6936">
        <v>0</v>
      </c>
      <c r="D6936">
        <v>0</v>
      </c>
      <c r="E6936">
        <v>0</v>
      </c>
      <c r="F6936">
        <v>1</v>
      </c>
    </row>
    <row r="6937" spans="1:6" x14ac:dyDescent="0.25">
      <c r="A6937">
        <v>6936</v>
      </c>
      <c r="B6937" t="s">
        <v>0</v>
      </c>
      <c r="C6937">
        <v>42</v>
      </c>
      <c r="D6937">
        <v>3486</v>
      </c>
      <c r="E6937">
        <v>80173556</v>
      </c>
    </row>
    <row r="6938" spans="1:6" x14ac:dyDescent="0.25">
      <c r="A6938">
        <v>6937</v>
      </c>
      <c r="B6938">
        <v>42</v>
      </c>
      <c r="C6938">
        <v>0</v>
      </c>
      <c r="D6938">
        <v>0</v>
      </c>
      <c r="E6938">
        <v>0</v>
      </c>
      <c r="F6938">
        <v>0.2</v>
      </c>
    </row>
    <row r="6939" spans="1:6" x14ac:dyDescent="0.25">
      <c r="A6939">
        <v>6938</v>
      </c>
      <c r="B6939">
        <v>43</v>
      </c>
      <c r="C6939">
        <v>0</v>
      </c>
      <c r="D6939">
        <v>0</v>
      </c>
      <c r="E6939">
        <v>0</v>
      </c>
      <c r="F6939">
        <v>0</v>
      </c>
    </row>
    <row r="6940" spans="1:6" x14ac:dyDescent="0.25">
      <c r="A6940">
        <v>6939</v>
      </c>
      <c r="B6940">
        <v>44</v>
      </c>
      <c r="C6940">
        <v>0</v>
      </c>
      <c r="D6940">
        <v>0</v>
      </c>
      <c r="E6940">
        <v>0</v>
      </c>
      <c r="F6940">
        <v>-189.00800000000001</v>
      </c>
    </row>
    <row r="6941" spans="1:6" x14ac:dyDescent="0.25">
      <c r="A6941">
        <v>6940</v>
      </c>
      <c r="B6941" t="s">
        <v>0</v>
      </c>
      <c r="C6941">
        <v>44</v>
      </c>
      <c r="D6941">
        <v>3486</v>
      </c>
      <c r="E6941">
        <v>80173746</v>
      </c>
    </row>
    <row r="6942" spans="1:6" x14ac:dyDescent="0.25">
      <c r="A6942">
        <v>6941</v>
      </c>
      <c r="B6942">
        <v>45</v>
      </c>
      <c r="C6942">
        <v>0</v>
      </c>
      <c r="D6942">
        <v>0</v>
      </c>
      <c r="E6942">
        <v>0</v>
      </c>
      <c r="F6942">
        <v>540.89300000000003</v>
      </c>
    </row>
    <row r="6943" spans="1:6" x14ac:dyDescent="0.25">
      <c r="A6943">
        <v>6942</v>
      </c>
      <c r="B6943" t="s">
        <v>0</v>
      </c>
      <c r="C6943">
        <v>45</v>
      </c>
      <c r="D6943">
        <v>3486</v>
      </c>
      <c r="E6943">
        <v>80173842</v>
      </c>
    </row>
    <row r="6944" spans="1:6" x14ac:dyDescent="0.25">
      <c r="A6944">
        <v>6943</v>
      </c>
      <c r="B6944">
        <v>2</v>
      </c>
      <c r="C6944">
        <v>0</v>
      </c>
      <c r="D6944">
        <v>0</v>
      </c>
      <c r="E6944">
        <v>0</v>
      </c>
      <c r="F6944">
        <v>347.99599999999998</v>
      </c>
    </row>
    <row r="6945" spans="1:6" x14ac:dyDescent="0.25">
      <c r="A6945">
        <v>6944</v>
      </c>
      <c r="B6945">
        <v>10</v>
      </c>
      <c r="C6945">
        <v>1</v>
      </c>
      <c r="D6945">
        <v>0</v>
      </c>
      <c r="E6945">
        <v>0</v>
      </c>
      <c r="F6945">
        <v>2841</v>
      </c>
    </row>
    <row r="6946" spans="1:6" x14ac:dyDescent="0.25">
      <c r="A6946">
        <v>6945</v>
      </c>
      <c r="B6946" t="s">
        <v>0</v>
      </c>
      <c r="C6946">
        <v>47</v>
      </c>
      <c r="D6946">
        <v>3486</v>
      </c>
      <c r="E6946">
        <v>80174034</v>
      </c>
    </row>
    <row r="6947" spans="1:6" x14ac:dyDescent="0.25">
      <c r="A6947">
        <v>6946</v>
      </c>
      <c r="B6947">
        <v>41</v>
      </c>
      <c r="C6947">
        <v>0</v>
      </c>
      <c r="D6947">
        <v>0</v>
      </c>
      <c r="E6947">
        <v>0</v>
      </c>
      <c r="F6947">
        <v>1</v>
      </c>
    </row>
    <row r="6948" spans="1:6" x14ac:dyDescent="0.25">
      <c r="A6948">
        <v>6947</v>
      </c>
      <c r="B6948">
        <v>42</v>
      </c>
      <c r="C6948">
        <v>0</v>
      </c>
      <c r="D6948">
        <v>0</v>
      </c>
      <c r="E6948">
        <v>0</v>
      </c>
      <c r="F6948">
        <v>0.2</v>
      </c>
    </row>
    <row r="6949" spans="1:6" x14ac:dyDescent="0.25">
      <c r="A6949">
        <v>6948</v>
      </c>
      <c r="B6949" t="s">
        <v>0</v>
      </c>
      <c r="C6949">
        <v>49</v>
      </c>
      <c r="D6949">
        <v>3486</v>
      </c>
      <c r="E6949">
        <v>80174225</v>
      </c>
    </row>
    <row r="6950" spans="1:6" x14ac:dyDescent="0.25">
      <c r="A6950">
        <v>6949</v>
      </c>
      <c r="B6950">
        <v>43</v>
      </c>
      <c r="C6950">
        <v>0</v>
      </c>
      <c r="D6950">
        <v>0</v>
      </c>
      <c r="E6950">
        <v>0</v>
      </c>
      <c r="F6950">
        <v>0</v>
      </c>
    </row>
    <row r="6951" spans="1:6" x14ac:dyDescent="0.25">
      <c r="A6951">
        <v>6950</v>
      </c>
      <c r="B6951">
        <v>44</v>
      </c>
      <c r="C6951">
        <v>0</v>
      </c>
      <c r="D6951">
        <v>0</v>
      </c>
      <c r="E6951">
        <v>0</v>
      </c>
      <c r="F6951">
        <v>-188.553</v>
      </c>
    </row>
    <row r="6952" spans="1:6" x14ac:dyDescent="0.25">
      <c r="A6952">
        <v>6951</v>
      </c>
      <c r="B6952">
        <v>45</v>
      </c>
      <c r="C6952">
        <v>0</v>
      </c>
      <c r="D6952">
        <v>0</v>
      </c>
      <c r="E6952">
        <v>0</v>
      </c>
      <c r="F6952">
        <v>540.76199999999994</v>
      </c>
    </row>
    <row r="6953" spans="1:6" x14ac:dyDescent="0.25">
      <c r="A6953">
        <v>6952</v>
      </c>
      <c r="B6953" t="s">
        <v>0</v>
      </c>
      <c r="C6953">
        <v>51</v>
      </c>
      <c r="D6953">
        <v>3486</v>
      </c>
      <c r="E6953">
        <v>80174417</v>
      </c>
    </row>
    <row r="6954" spans="1:6" x14ac:dyDescent="0.25">
      <c r="A6954">
        <v>6953</v>
      </c>
      <c r="B6954">
        <v>46</v>
      </c>
      <c r="C6954">
        <v>0</v>
      </c>
      <c r="D6954">
        <v>0</v>
      </c>
      <c r="E6954">
        <v>0</v>
      </c>
      <c r="F6954">
        <v>0</v>
      </c>
    </row>
    <row r="6955" spans="1:6" x14ac:dyDescent="0.25">
      <c r="A6955">
        <v>6954</v>
      </c>
      <c r="B6955" t="s">
        <v>0</v>
      </c>
      <c r="C6955">
        <v>52</v>
      </c>
      <c r="D6955">
        <v>3486</v>
      </c>
      <c r="E6955">
        <v>80174513</v>
      </c>
    </row>
    <row r="6956" spans="1:6" x14ac:dyDescent="0.25">
      <c r="A6956">
        <v>6955</v>
      </c>
      <c r="B6956">
        <v>10</v>
      </c>
      <c r="C6956">
        <v>1</v>
      </c>
      <c r="D6956">
        <v>0</v>
      </c>
      <c r="E6956">
        <v>0</v>
      </c>
      <c r="F6956">
        <v>2846</v>
      </c>
    </row>
    <row r="6957" spans="1:6" x14ac:dyDescent="0.25">
      <c r="A6957">
        <v>6956</v>
      </c>
      <c r="B6957">
        <v>13</v>
      </c>
      <c r="C6957">
        <v>0</v>
      </c>
      <c r="D6957">
        <v>0</v>
      </c>
      <c r="E6957">
        <v>0</v>
      </c>
      <c r="F6957">
        <v>1604</v>
      </c>
    </row>
    <row r="6958" spans="1:6" x14ac:dyDescent="0.25">
      <c r="A6958">
        <v>6957</v>
      </c>
      <c r="B6958" t="s">
        <v>0</v>
      </c>
      <c r="C6958">
        <v>54</v>
      </c>
      <c r="D6958">
        <v>3486</v>
      </c>
      <c r="E6958">
        <v>80174705</v>
      </c>
    </row>
    <row r="6959" spans="1:6" x14ac:dyDescent="0.25">
      <c r="A6959">
        <v>6958</v>
      </c>
      <c r="B6959">
        <v>42</v>
      </c>
      <c r="C6959">
        <v>0</v>
      </c>
      <c r="D6959">
        <v>0</v>
      </c>
      <c r="E6959">
        <v>0</v>
      </c>
      <c r="F6959">
        <v>0.2</v>
      </c>
    </row>
    <row r="6960" spans="1:6" x14ac:dyDescent="0.25">
      <c r="A6960">
        <v>6959</v>
      </c>
      <c r="B6960">
        <v>43</v>
      </c>
      <c r="C6960">
        <v>0</v>
      </c>
      <c r="D6960">
        <v>0</v>
      </c>
      <c r="E6960">
        <v>0</v>
      </c>
      <c r="F6960">
        <v>0</v>
      </c>
    </row>
    <row r="6961" spans="1:6" x14ac:dyDescent="0.25">
      <c r="A6961">
        <v>6960</v>
      </c>
      <c r="B6961" t="s">
        <v>0</v>
      </c>
      <c r="C6961">
        <v>56</v>
      </c>
      <c r="D6961">
        <v>3486</v>
      </c>
      <c r="E6961">
        <v>80174897</v>
      </c>
    </row>
    <row r="6962" spans="1:6" x14ac:dyDescent="0.25">
      <c r="A6962">
        <v>6961</v>
      </c>
      <c r="B6962">
        <v>44</v>
      </c>
      <c r="C6962">
        <v>0</v>
      </c>
      <c r="D6962">
        <v>0</v>
      </c>
      <c r="E6962">
        <v>0</v>
      </c>
      <c r="F6962">
        <v>-187.911</v>
      </c>
    </row>
    <row r="6963" spans="1:6" x14ac:dyDescent="0.25">
      <c r="A6963">
        <v>6962</v>
      </c>
      <c r="B6963">
        <v>45</v>
      </c>
      <c r="C6963">
        <v>0</v>
      </c>
      <c r="D6963">
        <v>0</v>
      </c>
      <c r="E6963">
        <v>0</v>
      </c>
      <c r="F6963">
        <v>540.63199999999995</v>
      </c>
    </row>
    <row r="6964" spans="1:6" x14ac:dyDescent="0.25">
      <c r="A6964">
        <v>6963</v>
      </c>
      <c r="B6964">
        <v>46</v>
      </c>
      <c r="C6964">
        <v>0</v>
      </c>
      <c r="D6964">
        <v>0</v>
      </c>
      <c r="E6964">
        <v>0</v>
      </c>
      <c r="F6964">
        <v>0</v>
      </c>
    </row>
    <row r="6965" spans="1:6" x14ac:dyDescent="0.25">
      <c r="A6965">
        <v>6964</v>
      </c>
      <c r="B6965" t="s">
        <v>0</v>
      </c>
      <c r="C6965">
        <v>58</v>
      </c>
      <c r="D6965">
        <v>3486</v>
      </c>
      <c r="E6965">
        <v>80175089</v>
      </c>
    </row>
    <row r="6966" spans="1:6" x14ac:dyDescent="0.25">
      <c r="A6966">
        <v>6965</v>
      </c>
      <c r="B6966">
        <v>2</v>
      </c>
      <c r="C6966">
        <v>0</v>
      </c>
      <c r="D6966">
        <v>0</v>
      </c>
      <c r="E6966">
        <v>0</v>
      </c>
      <c r="F6966">
        <v>347.13600000000002</v>
      </c>
    </row>
    <row r="6967" spans="1:6" x14ac:dyDescent="0.25">
      <c r="A6967">
        <v>6966</v>
      </c>
      <c r="B6967" t="s">
        <v>0</v>
      </c>
      <c r="C6967">
        <v>59</v>
      </c>
      <c r="D6967">
        <v>3486</v>
      </c>
      <c r="E6967">
        <v>80175185</v>
      </c>
    </row>
    <row r="6968" spans="1:6" x14ac:dyDescent="0.25">
      <c r="A6968">
        <v>6967</v>
      </c>
      <c r="B6968">
        <v>13</v>
      </c>
      <c r="C6968">
        <v>0</v>
      </c>
      <c r="D6968">
        <v>0</v>
      </c>
      <c r="E6968">
        <v>0</v>
      </c>
      <c r="F6968">
        <v>1604</v>
      </c>
    </row>
    <row r="6969" spans="1:6" x14ac:dyDescent="0.25">
      <c r="A6969">
        <v>6968</v>
      </c>
      <c r="B6969" t="s">
        <v>0</v>
      </c>
      <c r="C6969">
        <v>60</v>
      </c>
      <c r="D6969">
        <v>3486</v>
      </c>
      <c r="E6969">
        <v>80175281</v>
      </c>
    </row>
    <row r="6970" spans="1:6" x14ac:dyDescent="0.25">
      <c r="A6970">
        <v>6969</v>
      </c>
      <c r="B6970">
        <v>41</v>
      </c>
      <c r="C6970">
        <v>0</v>
      </c>
      <c r="D6970">
        <v>0</v>
      </c>
      <c r="E6970">
        <v>0</v>
      </c>
      <c r="F6970">
        <v>1</v>
      </c>
    </row>
    <row r="6971" spans="1:6" x14ac:dyDescent="0.25">
      <c r="A6971">
        <v>6970</v>
      </c>
      <c r="B6971" t="s">
        <v>0</v>
      </c>
      <c r="C6971">
        <v>61</v>
      </c>
      <c r="D6971">
        <v>3486</v>
      </c>
      <c r="E6971">
        <v>80175378</v>
      </c>
    </row>
    <row r="6972" spans="1:6" x14ac:dyDescent="0.25">
      <c r="A6972">
        <v>6971</v>
      </c>
      <c r="B6972">
        <v>43</v>
      </c>
      <c r="C6972">
        <v>0</v>
      </c>
      <c r="D6972">
        <v>0</v>
      </c>
      <c r="E6972">
        <v>0</v>
      </c>
      <c r="F6972">
        <v>0</v>
      </c>
    </row>
    <row r="6973" spans="1:6" x14ac:dyDescent="0.25">
      <c r="A6973">
        <v>6972</v>
      </c>
      <c r="B6973">
        <v>44</v>
      </c>
      <c r="C6973">
        <v>0</v>
      </c>
      <c r="D6973">
        <v>0</v>
      </c>
      <c r="E6973">
        <v>0</v>
      </c>
      <c r="F6973">
        <v>-187.267</v>
      </c>
    </row>
    <row r="6974" spans="1:6" x14ac:dyDescent="0.25">
      <c r="A6974">
        <v>6973</v>
      </c>
      <c r="B6974" t="s">
        <v>0</v>
      </c>
      <c r="C6974">
        <v>63</v>
      </c>
      <c r="D6974">
        <v>3486</v>
      </c>
      <c r="E6974">
        <v>80175570</v>
      </c>
    </row>
    <row r="6975" spans="1:6" x14ac:dyDescent="0.25">
      <c r="A6975">
        <v>6974</v>
      </c>
      <c r="B6975">
        <v>46</v>
      </c>
      <c r="C6975">
        <v>0</v>
      </c>
      <c r="D6975">
        <v>0</v>
      </c>
      <c r="E6975">
        <v>0</v>
      </c>
      <c r="F6975">
        <v>0</v>
      </c>
    </row>
    <row r="6976" spans="1:6" x14ac:dyDescent="0.25">
      <c r="A6976">
        <v>6975</v>
      </c>
      <c r="B6976">
        <v>2</v>
      </c>
      <c r="C6976">
        <v>0</v>
      </c>
      <c r="D6976">
        <v>0</v>
      </c>
      <c r="E6976">
        <v>0</v>
      </c>
      <c r="F6976">
        <v>346.62099999999998</v>
      </c>
    </row>
    <row r="6977" spans="1:6" x14ac:dyDescent="0.25">
      <c r="A6977">
        <v>6976</v>
      </c>
      <c r="B6977" t="s">
        <v>0</v>
      </c>
      <c r="C6977">
        <v>65</v>
      </c>
      <c r="D6977">
        <v>3486</v>
      </c>
      <c r="E6977">
        <v>80175763</v>
      </c>
    </row>
    <row r="6978" spans="1:6" x14ac:dyDescent="0.25">
      <c r="A6978">
        <v>6977</v>
      </c>
      <c r="B6978">
        <v>10</v>
      </c>
      <c r="C6978">
        <v>1</v>
      </c>
      <c r="D6978">
        <v>0</v>
      </c>
      <c r="E6978">
        <v>0</v>
      </c>
      <c r="F6978">
        <v>2858</v>
      </c>
    </row>
    <row r="6979" spans="1:6" x14ac:dyDescent="0.25">
      <c r="A6979">
        <v>6978</v>
      </c>
      <c r="B6979">
        <v>13</v>
      </c>
      <c r="C6979">
        <v>0</v>
      </c>
      <c r="D6979">
        <v>0</v>
      </c>
      <c r="E6979">
        <v>0</v>
      </c>
      <c r="F6979">
        <v>1604</v>
      </c>
    </row>
    <row r="6980" spans="1:6" x14ac:dyDescent="0.25">
      <c r="A6980">
        <v>6979</v>
      </c>
      <c r="B6980">
        <v>41</v>
      </c>
      <c r="C6980">
        <v>0</v>
      </c>
      <c r="D6980">
        <v>0</v>
      </c>
      <c r="E6980">
        <v>0</v>
      </c>
      <c r="F6980">
        <v>1</v>
      </c>
    </row>
    <row r="6981" spans="1:6" x14ac:dyDescent="0.25">
      <c r="A6981">
        <v>6980</v>
      </c>
      <c r="B6981" t="s">
        <v>0</v>
      </c>
      <c r="C6981">
        <v>67</v>
      </c>
      <c r="D6981">
        <v>3486</v>
      </c>
      <c r="E6981">
        <v>80175956</v>
      </c>
    </row>
    <row r="6982" spans="1:6" x14ac:dyDescent="0.25">
      <c r="A6982">
        <v>6981</v>
      </c>
      <c r="B6982">
        <v>42</v>
      </c>
      <c r="C6982">
        <v>0</v>
      </c>
      <c r="D6982">
        <v>0</v>
      </c>
      <c r="E6982">
        <v>0</v>
      </c>
      <c r="F6982">
        <v>0.2</v>
      </c>
    </row>
    <row r="6983" spans="1:6" x14ac:dyDescent="0.25">
      <c r="A6983">
        <v>6982</v>
      </c>
      <c r="B6983" t="s">
        <v>0</v>
      </c>
      <c r="C6983">
        <v>68</v>
      </c>
      <c r="D6983">
        <v>3486</v>
      </c>
      <c r="E6983">
        <v>80176052</v>
      </c>
    </row>
    <row r="6984" spans="1:6" x14ac:dyDescent="0.25">
      <c r="A6984">
        <v>6983</v>
      </c>
      <c r="B6984">
        <v>44</v>
      </c>
      <c r="C6984">
        <v>0</v>
      </c>
      <c r="D6984">
        <v>0</v>
      </c>
      <c r="E6984">
        <v>0</v>
      </c>
      <c r="F6984">
        <v>-186.583</v>
      </c>
    </row>
    <row r="6985" spans="1:6" x14ac:dyDescent="0.25">
      <c r="A6985">
        <v>6984</v>
      </c>
      <c r="B6985">
        <v>45</v>
      </c>
      <c r="C6985">
        <v>0</v>
      </c>
      <c r="D6985">
        <v>0</v>
      </c>
      <c r="E6985">
        <v>0</v>
      </c>
      <c r="F6985">
        <v>540.35</v>
      </c>
    </row>
    <row r="6986" spans="1:6" x14ac:dyDescent="0.25">
      <c r="A6986">
        <v>6985</v>
      </c>
      <c r="B6986" t="s">
        <v>0</v>
      </c>
      <c r="C6986">
        <v>70</v>
      </c>
      <c r="D6986">
        <v>3486</v>
      </c>
      <c r="E6986">
        <v>80176246</v>
      </c>
    </row>
    <row r="6987" spans="1:6" x14ac:dyDescent="0.25">
      <c r="A6987">
        <v>6986</v>
      </c>
      <c r="B6987">
        <v>2</v>
      </c>
      <c r="C6987">
        <v>0</v>
      </c>
      <c r="D6987">
        <v>0</v>
      </c>
      <c r="E6987">
        <v>0</v>
      </c>
      <c r="F6987">
        <v>346.07</v>
      </c>
    </row>
    <row r="6988" spans="1:6" x14ac:dyDescent="0.25">
      <c r="A6988">
        <v>6987</v>
      </c>
      <c r="B6988">
        <v>10</v>
      </c>
      <c r="C6988">
        <v>1</v>
      </c>
      <c r="D6988">
        <v>0</v>
      </c>
      <c r="E6988">
        <v>0</v>
      </c>
      <c r="F6988">
        <v>2865</v>
      </c>
    </row>
    <row r="6989" spans="1:6" x14ac:dyDescent="0.25">
      <c r="A6989">
        <v>6988</v>
      </c>
      <c r="B6989" t="s">
        <v>0</v>
      </c>
      <c r="C6989">
        <v>72</v>
      </c>
      <c r="D6989">
        <v>3486</v>
      </c>
      <c r="E6989">
        <v>80176439</v>
      </c>
    </row>
    <row r="6990" spans="1:6" x14ac:dyDescent="0.25">
      <c r="A6990">
        <v>6989</v>
      </c>
      <c r="B6990">
        <v>13</v>
      </c>
      <c r="C6990">
        <v>0</v>
      </c>
      <c r="D6990">
        <v>0</v>
      </c>
      <c r="E6990">
        <v>0</v>
      </c>
      <c r="F6990">
        <v>1604</v>
      </c>
    </row>
    <row r="6991" spans="1:6" x14ac:dyDescent="0.25">
      <c r="A6991">
        <v>6990</v>
      </c>
      <c r="B6991">
        <v>41</v>
      </c>
      <c r="C6991">
        <v>0</v>
      </c>
      <c r="D6991">
        <v>0</v>
      </c>
      <c r="E6991">
        <v>0</v>
      </c>
      <c r="F6991">
        <v>1</v>
      </c>
    </row>
    <row r="6992" spans="1:6" x14ac:dyDescent="0.25">
      <c r="A6992">
        <v>6991</v>
      </c>
      <c r="B6992">
        <v>42</v>
      </c>
      <c r="C6992">
        <v>0</v>
      </c>
      <c r="D6992">
        <v>0</v>
      </c>
      <c r="E6992">
        <v>0</v>
      </c>
      <c r="F6992">
        <v>0.2</v>
      </c>
    </row>
    <row r="6993" spans="1:6" x14ac:dyDescent="0.25">
      <c r="A6993">
        <v>6992</v>
      </c>
      <c r="B6993" t="s">
        <v>0</v>
      </c>
      <c r="C6993">
        <v>74</v>
      </c>
      <c r="D6993">
        <v>3486</v>
      </c>
      <c r="E6993">
        <v>80176631</v>
      </c>
    </row>
    <row r="6994" spans="1:6" x14ac:dyDescent="0.25">
      <c r="A6994">
        <v>6993</v>
      </c>
      <c r="B6994">
        <v>43</v>
      </c>
      <c r="C6994">
        <v>0</v>
      </c>
      <c r="D6994">
        <v>0</v>
      </c>
      <c r="E6994">
        <v>0</v>
      </c>
      <c r="F6994">
        <v>0</v>
      </c>
    </row>
    <row r="6995" spans="1:6" x14ac:dyDescent="0.25">
      <c r="A6995">
        <v>6994</v>
      </c>
      <c r="B6995" t="s">
        <v>0</v>
      </c>
      <c r="C6995">
        <v>75</v>
      </c>
      <c r="D6995">
        <v>3486</v>
      </c>
      <c r="E6995">
        <v>80176728</v>
      </c>
    </row>
    <row r="6996" spans="1:6" x14ac:dyDescent="0.25">
      <c r="A6996">
        <v>6995</v>
      </c>
      <c r="B6996">
        <v>45</v>
      </c>
      <c r="C6996">
        <v>0</v>
      </c>
      <c r="D6996">
        <v>0</v>
      </c>
      <c r="E6996">
        <v>0</v>
      </c>
      <c r="F6996">
        <v>540.22</v>
      </c>
    </row>
    <row r="6997" spans="1:6" x14ac:dyDescent="0.25">
      <c r="A6997">
        <v>6996</v>
      </c>
      <c r="B6997" t="s">
        <v>0</v>
      </c>
      <c r="C6997">
        <v>76</v>
      </c>
      <c r="D6997">
        <v>3486</v>
      </c>
      <c r="E6997">
        <v>80176825</v>
      </c>
    </row>
    <row r="6998" spans="1:6" x14ac:dyDescent="0.25">
      <c r="A6998">
        <v>6997</v>
      </c>
      <c r="B6998">
        <v>46</v>
      </c>
      <c r="C6998">
        <v>0</v>
      </c>
      <c r="D6998">
        <v>0</v>
      </c>
      <c r="E6998">
        <v>0</v>
      </c>
      <c r="F6998">
        <v>0</v>
      </c>
    </row>
    <row r="6999" spans="1:6" x14ac:dyDescent="0.25">
      <c r="A6999">
        <v>6998</v>
      </c>
      <c r="B6999" t="s">
        <v>0</v>
      </c>
      <c r="C6999">
        <v>77</v>
      </c>
      <c r="D6999">
        <v>3486</v>
      </c>
      <c r="E6999">
        <v>80176922</v>
      </c>
    </row>
    <row r="7000" spans="1:6" x14ac:dyDescent="0.25">
      <c r="A7000">
        <v>6999</v>
      </c>
      <c r="B7000">
        <v>10</v>
      </c>
      <c r="C7000">
        <v>1</v>
      </c>
      <c r="D7000">
        <v>0</v>
      </c>
      <c r="E7000">
        <v>0</v>
      </c>
      <c r="F7000">
        <v>2874</v>
      </c>
    </row>
    <row r="7001" spans="1:6" x14ac:dyDescent="0.25">
      <c r="A7001">
        <v>7000</v>
      </c>
      <c r="B7001">
        <v>13</v>
      </c>
      <c r="C7001">
        <v>0</v>
      </c>
      <c r="D7001">
        <v>0</v>
      </c>
      <c r="E7001">
        <v>0</v>
      </c>
      <c r="F7001">
        <v>1604</v>
      </c>
    </row>
    <row r="7002" spans="1:6" x14ac:dyDescent="0.25">
      <c r="A7002">
        <v>7001</v>
      </c>
      <c r="B7002" t="s">
        <v>0</v>
      </c>
      <c r="C7002">
        <v>79</v>
      </c>
      <c r="D7002">
        <v>3486</v>
      </c>
      <c r="E7002">
        <v>80177114</v>
      </c>
    </row>
    <row r="7003" spans="1:6" x14ac:dyDescent="0.25">
      <c r="A7003">
        <v>7002</v>
      </c>
      <c r="B7003">
        <v>42</v>
      </c>
      <c r="C7003">
        <v>0</v>
      </c>
      <c r="D7003">
        <v>0</v>
      </c>
      <c r="E7003">
        <v>0</v>
      </c>
      <c r="F7003">
        <v>0.2</v>
      </c>
    </row>
    <row r="7004" spans="1:6" x14ac:dyDescent="0.25">
      <c r="A7004">
        <v>7003</v>
      </c>
      <c r="B7004">
        <v>43</v>
      </c>
      <c r="C7004">
        <v>0</v>
      </c>
      <c r="D7004">
        <v>0</v>
      </c>
      <c r="E7004">
        <v>0</v>
      </c>
      <c r="F7004">
        <v>0</v>
      </c>
    </row>
    <row r="7005" spans="1:6" x14ac:dyDescent="0.25">
      <c r="A7005">
        <v>7004</v>
      </c>
      <c r="B7005" t="s">
        <v>0</v>
      </c>
      <c r="C7005">
        <v>81</v>
      </c>
      <c r="D7005">
        <v>3486</v>
      </c>
      <c r="E7005">
        <v>80177307</v>
      </c>
    </row>
    <row r="7006" spans="1:6" x14ac:dyDescent="0.25">
      <c r="A7006">
        <v>7005</v>
      </c>
      <c r="B7006">
        <v>45</v>
      </c>
      <c r="C7006">
        <v>0</v>
      </c>
      <c r="D7006">
        <v>0</v>
      </c>
      <c r="E7006">
        <v>0</v>
      </c>
      <c r="F7006">
        <v>540.09</v>
      </c>
    </row>
    <row r="7007" spans="1:6" x14ac:dyDescent="0.25">
      <c r="A7007">
        <v>7006</v>
      </c>
      <c r="B7007">
        <v>46</v>
      </c>
      <c r="C7007">
        <v>0</v>
      </c>
      <c r="D7007">
        <v>0</v>
      </c>
      <c r="E7007">
        <v>0</v>
      </c>
      <c r="F7007">
        <v>0</v>
      </c>
    </row>
    <row r="7008" spans="1:6" x14ac:dyDescent="0.25">
      <c r="A7008">
        <v>7007</v>
      </c>
      <c r="B7008" t="s">
        <v>0</v>
      </c>
      <c r="C7008">
        <v>83</v>
      </c>
      <c r="D7008">
        <v>3486</v>
      </c>
      <c r="E7008">
        <v>80177500</v>
      </c>
    </row>
    <row r="7009" spans="1:6" x14ac:dyDescent="0.25">
      <c r="A7009">
        <v>7008</v>
      </c>
      <c r="B7009">
        <v>2</v>
      </c>
      <c r="C7009">
        <v>0</v>
      </c>
      <c r="D7009">
        <v>0</v>
      </c>
      <c r="E7009">
        <v>0</v>
      </c>
      <c r="F7009">
        <v>344.74299999999999</v>
      </c>
    </row>
    <row r="7010" spans="1:6" x14ac:dyDescent="0.25">
      <c r="A7010">
        <v>7009</v>
      </c>
      <c r="B7010">
        <v>10</v>
      </c>
      <c r="C7010">
        <v>1</v>
      </c>
      <c r="D7010">
        <v>0</v>
      </c>
      <c r="E7010">
        <v>0</v>
      </c>
      <c r="F7010">
        <v>2882</v>
      </c>
    </row>
    <row r="7011" spans="1:6" x14ac:dyDescent="0.25">
      <c r="A7011">
        <v>7010</v>
      </c>
      <c r="B7011">
        <v>13</v>
      </c>
      <c r="C7011">
        <v>0</v>
      </c>
      <c r="D7011">
        <v>0</v>
      </c>
      <c r="E7011">
        <v>0</v>
      </c>
      <c r="F7011">
        <v>1604</v>
      </c>
    </row>
    <row r="7012" spans="1:6" x14ac:dyDescent="0.25">
      <c r="A7012">
        <v>7011</v>
      </c>
      <c r="B7012" t="s">
        <v>0</v>
      </c>
      <c r="C7012">
        <v>85</v>
      </c>
      <c r="D7012">
        <v>3486</v>
      </c>
      <c r="E7012">
        <v>80177694</v>
      </c>
    </row>
    <row r="7013" spans="1:6" x14ac:dyDescent="0.25">
      <c r="A7013">
        <v>7012</v>
      </c>
      <c r="B7013">
        <v>41</v>
      </c>
      <c r="C7013">
        <v>0</v>
      </c>
      <c r="D7013">
        <v>0</v>
      </c>
      <c r="E7013">
        <v>0</v>
      </c>
      <c r="F7013">
        <v>1</v>
      </c>
    </row>
    <row r="7014" spans="1:6" x14ac:dyDescent="0.25">
      <c r="A7014">
        <v>7013</v>
      </c>
      <c r="B7014" t="s">
        <v>0</v>
      </c>
      <c r="C7014">
        <v>86</v>
      </c>
      <c r="D7014">
        <v>3486</v>
      </c>
      <c r="E7014">
        <v>80177790</v>
      </c>
    </row>
    <row r="7015" spans="1:6" x14ac:dyDescent="0.25">
      <c r="A7015">
        <v>7014</v>
      </c>
      <c r="B7015">
        <v>43</v>
      </c>
      <c r="C7015">
        <v>0</v>
      </c>
      <c r="D7015">
        <v>0</v>
      </c>
      <c r="E7015">
        <v>0</v>
      </c>
      <c r="F7015">
        <v>0</v>
      </c>
    </row>
    <row r="7016" spans="1:6" x14ac:dyDescent="0.25">
      <c r="A7016">
        <v>7015</v>
      </c>
      <c r="B7016" t="s">
        <v>0</v>
      </c>
      <c r="C7016">
        <v>87</v>
      </c>
      <c r="D7016">
        <v>3486</v>
      </c>
      <c r="E7016">
        <v>80177887</v>
      </c>
    </row>
    <row r="7017" spans="1:6" x14ac:dyDescent="0.25">
      <c r="A7017">
        <v>7016</v>
      </c>
      <c r="B7017">
        <v>44</v>
      </c>
      <c r="C7017">
        <v>0</v>
      </c>
      <c r="D7017">
        <v>0</v>
      </c>
      <c r="E7017">
        <v>0</v>
      </c>
      <c r="F7017">
        <v>-184.191</v>
      </c>
    </row>
    <row r="7018" spans="1:6" x14ac:dyDescent="0.25">
      <c r="A7018">
        <v>7017</v>
      </c>
      <c r="B7018" t="s">
        <v>0</v>
      </c>
      <c r="C7018">
        <v>88</v>
      </c>
      <c r="D7018">
        <v>3486</v>
      </c>
      <c r="E7018">
        <v>80177984</v>
      </c>
    </row>
    <row r="7019" spans="1:6" x14ac:dyDescent="0.25">
      <c r="A7019">
        <v>7018</v>
      </c>
      <c r="B7019">
        <v>46</v>
      </c>
      <c r="C7019">
        <v>0</v>
      </c>
      <c r="D7019">
        <v>0</v>
      </c>
      <c r="E7019">
        <v>0</v>
      </c>
      <c r="F7019">
        <v>0</v>
      </c>
    </row>
    <row r="7020" spans="1:6" x14ac:dyDescent="0.25">
      <c r="A7020">
        <v>7019</v>
      </c>
      <c r="B7020">
        <v>2</v>
      </c>
      <c r="C7020">
        <v>0</v>
      </c>
      <c r="D7020">
        <v>0</v>
      </c>
      <c r="E7020">
        <v>0</v>
      </c>
      <c r="F7020">
        <v>344.11</v>
      </c>
    </row>
    <row r="7021" spans="1:6" x14ac:dyDescent="0.25">
      <c r="A7021">
        <v>7020</v>
      </c>
      <c r="B7021" t="s">
        <v>0</v>
      </c>
      <c r="C7021">
        <v>90</v>
      </c>
      <c r="D7021">
        <v>3486</v>
      </c>
      <c r="E7021">
        <v>80178178</v>
      </c>
    </row>
    <row r="7022" spans="1:6" x14ac:dyDescent="0.25">
      <c r="A7022">
        <v>7021</v>
      </c>
      <c r="B7022">
        <v>13</v>
      </c>
      <c r="C7022">
        <v>0</v>
      </c>
      <c r="D7022">
        <v>0</v>
      </c>
      <c r="E7022">
        <v>0</v>
      </c>
      <c r="F7022">
        <v>1604</v>
      </c>
    </row>
    <row r="7023" spans="1:6" x14ac:dyDescent="0.25">
      <c r="A7023">
        <v>7022</v>
      </c>
      <c r="B7023">
        <v>41</v>
      </c>
      <c r="C7023">
        <v>0</v>
      </c>
      <c r="D7023">
        <v>0</v>
      </c>
      <c r="E7023">
        <v>0</v>
      </c>
      <c r="F7023">
        <v>1</v>
      </c>
    </row>
    <row r="7024" spans="1:6" x14ac:dyDescent="0.25">
      <c r="A7024">
        <v>7023</v>
      </c>
      <c r="B7024" t="s">
        <v>0</v>
      </c>
      <c r="C7024">
        <v>92</v>
      </c>
      <c r="D7024">
        <v>3486</v>
      </c>
      <c r="E7024">
        <v>80178372</v>
      </c>
    </row>
    <row r="7025" spans="1:6" x14ac:dyDescent="0.25">
      <c r="A7025">
        <v>7024</v>
      </c>
      <c r="B7025">
        <v>42</v>
      </c>
      <c r="C7025">
        <v>0</v>
      </c>
      <c r="D7025">
        <v>0</v>
      </c>
      <c r="E7025">
        <v>0</v>
      </c>
      <c r="F7025">
        <v>0.2</v>
      </c>
    </row>
    <row r="7026" spans="1:6" x14ac:dyDescent="0.25">
      <c r="A7026">
        <v>7025</v>
      </c>
      <c r="B7026">
        <v>43</v>
      </c>
      <c r="C7026">
        <v>0</v>
      </c>
      <c r="D7026">
        <v>0</v>
      </c>
      <c r="E7026">
        <v>0</v>
      </c>
      <c r="F7026">
        <v>0</v>
      </c>
    </row>
    <row r="7027" spans="1:6" x14ac:dyDescent="0.25">
      <c r="A7027">
        <v>7026</v>
      </c>
      <c r="B7027">
        <v>44</v>
      </c>
      <c r="C7027">
        <v>0</v>
      </c>
      <c r="D7027">
        <v>0</v>
      </c>
      <c r="E7027">
        <v>0</v>
      </c>
      <c r="F7027">
        <v>-183.39500000000001</v>
      </c>
    </row>
    <row r="7028" spans="1:6" x14ac:dyDescent="0.25">
      <c r="A7028">
        <v>7027</v>
      </c>
      <c r="B7028" t="s">
        <v>0</v>
      </c>
      <c r="C7028">
        <v>94</v>
      </c>
      <c r="D7028">
        <v>3486</v>
      </c>
      <c r="E7028">
        <v>80178566</v>
      </c>
    </row>
    <row r="7029" spans="1:6" x14ac:dyDescent="0.25">
      <c r="A7029">
        <v>7028</v>
      </c>
      <c r="B7029">
        <v>45</v>
      </c>
      <c r="C7029">
        <v>0</v>
      </c>
      <c r="D7029">
        <v>0</v>
      </c>
      <c r="E7029">
        <v>0</v>
      </c>
      <c r="F7029">
        <v>539.80999999999995</v>
      </c>
    </row>
    <row r="7030" spans="1:6" x14ac:dyDescent="0.25">
      <c r="A7030">
        <v>7029</v>
      </c>
      <c r="B7030" t="s">
        <v>0</v>
      </c>
      <c r="C7030">
        <v>95</v>
      </c>
      <c r="D7030">
        <v>3486</v>
      </c>
      <c r="E7030">
        <v>80178663</v>
      </c>
    </row>
    <row r="7031" spans="1:6" x14ac:dyDescent="0.25">
      <c r="A7031">
        <v>7030</v>
      </c>
      <c r="B7031">
        <v>2</v>
      </c>
      <c r="C7031">
        <v>0</v>
      </c>
      <c r="D7031">
        <v>0</v>
      </c>
      <c r="E7031">
        <v>0</v>
      </c>
      <c r="F7031">
        <v>343.459</v>
      </c>
    </row>
    <row r="7032" spans="1:6" x14ac:dyDescent="0.25">
      <c r="A7032">
        <v>7031</v>
      </c>
      <c r="B7032" t="s">
        <v>0</v>
      </c>
      <c r="C7032">
        <v>96</v>
      </c>
      <c r="D7032">
        <v>3486</v>
      </c>
      <c r="E7032">
        <v>80178760</v>
      </c>
    </row>
    <row r="7033" spans="1:6" x14ac:dyDescent="0.25">
      <c r="A7033">
        <v>7032</v>
      </c>
      <c r="B7033">
        <v>10</v>
      </c>
      <c r="C7033">
        <v>1</v>
      </c>
      <c r="D7033">
        <v>0</v>
      </c>
      <c r="E7033">
        <v>0</v>
      </c>
      <c r="F7033">
        <v>2898</v>
      </c>
    </row>
    <row r="7034" spans="1:6" x14ac:dyDescent="0.25">
      <c r="A7034">
        <v>7033</v>
      </c>
      <c r="B7034" t="s">
        <v>0</v>
      </c>
      <c r="C7034">
        <v>97</v>
      </c>
      <c r="D7034">
        <v>3486</v>
      </c>
      <c r="E7034">
        <v>80178857</v>
      </c>
    </row>
    <row r="7035" spans="1:6" x14ac:dyDescent="0.25">
      <c r="A7035">
        <v>7034</v>
      </c>
      <c r="B7035">
        <v>41</v>
      </c>
      <c r="C7035">
        <v>0</v>
      </c>
      <c r="D7035">
        <v>0</v>
      </c>
      <c r="E7035">
        <v>0</v>
      </c>
      <c r="F7035">
        <v>1</v>
      </c>
    </row>
    <row r="7036" spans="1:6" x14ac:dyDescent="0.25">
      <c r="A7036">
        <v>7035</v>
      </c>
      <c r="B7036">
        <v>42</v>
      </c>
      <c r="C7036">
        <v>0</v>
      </c>
      <c r="D7036">
        <v>0</v>
      </c>
      <c r="E7036">
        <v>0</v>
      </c>
      <c r="F7036">
        <v>0.2</v>
      </c>
    </row>
    <row r="7037" spans="1:6" x14ac:dyDescent="0.25">
      <c r="A7037">
        <v>7036</v>
      </c>
      <c r="B7037" t="s">
        <v>0</v>
      </c>
      <c r="C7037">
        <v>99</v>
      </c>
      <c r="D7037">
        <v>3486</v>
      </c>
      <c r="E7037">
        <v>80179051</v>
      </c>
    </row>
    <row r="7038" spans="1:6" x14ac:dyDescent="0.25">
      <c r="A7038">
        <v>7037</v>
      </c>
      <c r="B7038">
        <v>44</v>
      </c>
      <c r="C7038">
        <v>0</v>
      </c>
      <c r="D7038">
        <v>0</v>
      </c>
      <c r="E7038">
        <v>0</v>
      </c>
      <c r="F7038">
        <v>-182.58500000000001</v>
      </c>
    </row>
    <row r="7039" spans="1:6" x14ac:dyDescent="0.25">
      <c r="A7039">
        <v>7038</v>
      </c>
      <c r="B7039">
        <v>45</v>
      </c>
      <c r="C7039">
        <v>0</v>
      </c>
      <c r="D7039">
        <v>0</v>
      </c>
      <c r="E7039">
        <v>0</v>
      </c>
      <c r="F7039">
        <v>539.68200000000002</v>
      </c>
    </row>
    <row r="7040" spans="1:6" x14ac:dyDescent="0.25">
      <c r="A7040">
        <v>7039</v>
      </c>
      <c r="B7040" t="s">
        <v>0</v>
      </c>
      <c r="C7040">
        <v>101</v>
      </c>
      <c r="D7040">
        <v>3486</v>
      </c>
      <c r="E7040">
        <v>80179247</v>
      </c>
    </row>
    <row r="7041" spans="1:6" x14ac:dyDescent="0.25">
      <c r="A7041">
        <v>7040</v>
      </c>
      <c r="B7041">
        <v>2</v>
      </c>
      <c r="C7041">
        <v>0</v>
      </c>
      <c r="D7041">
        <v>0</v>
      </c>
      <c r="E7041">
        <v>0</v>
      </c>
      <c r="F7041">
        <v>342.79599999999999</v>
      </c>
    </row>
    <row r="7042" spans="1:6" x14ac:dyDescent="0.25">
      <c r="A7042">
        <v>7041</v>
      </c>
      <c r="B7042">
        <v>10</v>
      </c>
      <c r="C7042">
        <v>1</v>
      </c>
      <c r="D7042">
        <v>0</v>
      </c>
      <c r="E7042">
        <v>0</v>
      </c>
      <c r="F7042">
        <v>2907</v>
      </c>
    </row>
    <row r="7043" spans="1:6" x14ac:dyDescent="0.25">
      <c r="A7043">
        <v>7042</v>
      </c>
      <c r="B7043" t="s">
        <v>0</v>
      </c>
      <c r="C7043">
        <v>103</v>
      </c>
      <c r="D7043">
        <v>3486</v>
      </c>
      <c r="E7043">
        <v>80179443</v>
      </c>
    </row>
    <row r="7044" spans="1:6" x14ac:dyDescent="0.25">
      <c r="A7044">
        <v>7043</v>
      </c>
      <c r="B7044">
        <v>13</v>
      </c>
      <c r="C7044">
        <v>0</v>
      </c>
      <c r="D7044">
        <v>0</v>
      </c>
      <c r="E7044">
        <v>0</v>
      </c>
      <c r="F7044">
        <v>1604</v>
      </c>
    </row>
    <row r="7045" spans="1:6" x14ac:dyDescent="0.25">
      <c r="A7045">
        <v>7044</v>
      </c>
      <c r="B7045">
        <v>41</v>
      </c>
      <c r="C7045">
        <v>0</v>
      </c>
      <c r="D7045">
        <v>0</v>
      </c>
      <c r="E7045">
        <v>0</v>
      </c>
      <c r="F7045">
        <v>1</v>
      </c>
    </row>
    <row r="7046" spans="1:6" x14ac:dyDescent="0.25">
      <c r="A7046">
        <v>7045</v>
      </c>
      <c r="B7046">
        <v>42</v>
      </c>
      <c r="C7046">
        <v>0</v>
      </c>
      <c r="D7046">
        <v>0</v>
      </c>
      <c r="E7046">
        <v>0</v>
      </c>
      <c r="F7046">
        <v>0.2</v>
      </c>
    </row>
    <row r="7047" spans="1:6" x14ac:dyDescent="0.25">
      <c r="A7047">
        <v>7046</v>
      </c>
      <c r="B7047" t="s">
        <v>0</v>
      </c>
      <c r="C7047">
        <v>105</v>
      </c>
      <c r="D7047">
        <v>3486</v>
      </c>
      <c r="E7047">
        <v>80179639</v>
      </c>
    </row>
    <row r="7048" spans="1:6" x14ac:dyDescent="0.25">
      <c r="A7048">
        <v>7047</v>
      </c>
      <c r="B7048">
        <v>43</v>
      </c>
      <c r="C7048">
        <v>0</v>
      </c>
      <c r="D7048">
        <v>0</v>
      </c>
      <c r="E7048">
        <v>0</v>
      </c>
      <c r="F7048">
        <v>0</v>
      </c>
    </row>
    <row r="7049" spans="1:6" x14ac:dyDescent="0.25">
      <c r="A7049">
        <v>7048</v>
      </c>
      <c r="B7049" t="s">
        <v>0</v>
      </c>
      <c r="C7049">
        <v>106</v>
      </c>
      <c r="D7049">
        <v>3486</v>
      </c>
      <c r="E7049">
        <v>80179737</v>
      </c>
    </row>
    <row r="7050" spans="1:6" x14ac:dyDescent="0.25">
      <c r="A7050">
        <v>7049</v>
      </c>
      <c r="B7050">
        <v>45</v>
      </c>
      <c r="C7050">
        <v>0</v>
      </c>
      <c r="D7050">
        <v>0</v>
      </c>
      <c r="E7050">
        <v>0</v>
      </c>
      <c r="F7050">
        <v>539.553</v>
      </c>
    </row>
    <row r="7051" spans="1:6" x14ac:dyDescent="0.25">
      <c r="A7051">
        <v>7050</v>
      </c>
      <c r="B7051" t="s">
        <v>0</v>
      </c>
      <c r="C7051">
        <v>107</v>
      </c>
      <c r="D7051">
        <v>3486</v>
      </c>
      <c r="E7051">
        <v>80179835</v>
      </c>
    </row>
    <row r="7052" spans="1:6" x14ac:dyDescent="0.25">
      <c r="A7052">
        <v>7051</v>
      </c>
      <c r="B7052">
        <v>46</v>
      </c>
      <c r="C7052">
        <v>0</v>
      </c>
      <c r="D7052">
        <v>0</v>
      </c>
      <c r="E7052">
        <v>0</v>
      </c>
      <c r="F7052">
        <v>0</v>
      </c>
    </row>
    <row r="7053" spans="1:6" x14ac:dyDescent="0.25">
      <c r="A7053">
        <v>7052</v>
      </c>
      <c r="B7053" t="s">
        <v>0</v>
      </c>
      <c r="C7053">
        <v>108</v>
      </c>
      <c r="D7053">
        <v>3486</v>
      </c>
      <c r="E7053">
        <v>80179932</v>
      </c>
    </row>
    <row r="7054" spans="1:6" x14ac:dyDescent="0.25">
      <c r="A7054">
        <v>7053</v>
      </c>
      <c r="B7054">
        <v>10</v>
      </c>
      <c r="C7054">
        <v>1</v>
      </c>
      <c r="D7054">
        <v>0</v>
      </c>
      <c r="E7054">
        <v>0</v>
      </c>
      <c r="F7054">
        <v>2916</v>
      </c>
    </row>
    <row r="7055" spans="1:6" x14ac:dyDescent="0.25">
      <c r="A7055">
        <v>7054</v>
      </c>
      <c r="B7055">
        <v>13</v>
      </c>
      <c r="C7055">
        <v>0</v>
      </c>
      <c r="D7055">
        <v>0</v>
      </c>
      <c r="E7055">
        <v>0</v>
      </c>
      <c r="F7055">
        <v>1604</v>
      </c>
    </row>
    <row r="7056" spans="1:6" x14ac:dyDescent="0.25">
      <c r="A7056">
        <v>7055</v>
      </c>
      <c r="B7056" t="s">
        <v>0</v>
      </c>
      <c r="C7056">
        <v>110</v>
      </c>
      <c r="D7056">
        <v>3486</v>
      </c>
      <c r="E7056">
        <v>80180126</v>
      </c>
    </row>
    <row r="7057" spans="1:6" x14ac:dyDescent="0.25">
      <c r="A7057">
        <v>7056</v>
      </c>
      <c r="B7057">
        <v>42</v>
      </c>
      <c r="C7057">
        <v>0</v>
      </c>
      <c r="D7057">
        <v>0</v>
      </c>
      <c r="E7057">
        <v>0</v>
      </c>
      <c r="F7057">
        <v>0.2</v>
      </c>
    </row>
    <row r="7058" spans="1:6" x14ac:dyDescent="0.25">
      <c r="A7058">
        <v>7057</v>
      </c>
      <c r="B7058">
        <v>43</v>
      </c>
      <c r="C7058">
        <v>0</v>
      </c>
      <c r="D7058">
        <v>0</v>
      </c>
      <c r="E7058">
        <v>0</v>
      </c>
      <c r="F7058">
        <v>0</v>
      </c>
    </row>
    <row r="7059" spans="1:6" x14ac:dyDescent="0.25">
      <c r="A7059">
        <v>7058</v>
      </c>
      <c r="B7059" t="s">
        <v>0</v>
      </c>
      <c r="C7059">
        <v>112</v>
      </c>
      <c r="D7059">
        <v>3486</v>
      </c>
      <c r="E7059">
        <v>80180322</v>
      </c>
    </row>
    <row r="7060" spans="1:6" x14ac:dyDescent="0.25">
      <c r="A7060">
        <v>7059</v>
      </c>
      <c r="B7060">
        <v>45</v>
      </c>
      <c r="C7060">
        <v>0</v>
      </c>
      <c r="D7060">
        <v>0</v>
      </c>
      <c r="E7060">
        <v>0</v>
      </c>
      <c r="F7060">
        <v>539.42600000000004</v>
      </c>
    </row>
    <row r="7061" spans="1:6" x14ac:dyDescent="0.25">
      <c r="A7061">
        <v>7060</v>
      </c>
      <c r="B7061">
        <v>46</v>
      </c>
      <c r="C7061">
        <v>0</v>
      </c>
      <c r="D7061">
        <v>0</v>
      </c>
      <c r="E7061">
        <v>0</v>
      </c>
      <c r="F7061">
        <v>0</v>
      </c>
    </row>
    <row r="7062" spans="1:6" x14ac:dyDescent="0.25">
      <c r="A7062">
        <v>7061</v>
      </c>
      <c r="B7062" t="s">
        <v>0</v>
      </c>
      <c r="C7062">
        <v>114</v>
      </c>
      <c r="D7062">
        <v>3486</v>
      </c>
      <c r="E7062">
        <v>80180518</v>
      </c>
    </row>
    <row r="7063" spans="1:6" x14ac:dyDescent="0.25">
      <c r="A7063">
        <v>7062</v>
      </c>
      <c r="B7063">
        <v>2</v>
      </c>
      <c r="C7063">
        <v>0</v>
      </c>
      <c r="D7063">
        <v>0</v>
      </c>
      <c r="E7063">
        <v>0</v>
      </c>
      <c r="F7063">
        <v>341.35399999999998</v>
      </c>
    </row>
    <row r="7064" spans="1:6" x14ac:dyDescent="0.25">
      <c r="A7064">
        <v>7063</v>
      </c>
      <c r="B7064">
        <v>10</v>
      </c>
      <c r="C7064">
        <v>1</v>
      </c>
      <c r="D7064">
        <v>0</v>
      </c>
      <c r="E7064">
        <v>0</v>
      </c>
      <c r="F7064">
        <v>2924</v>
      </c>
    </row>
    <row r="7065" spans="1:6" x14ac:dyDescent="0.25">
      <c r="A7065">
        <v>7064</v>
      </c>
      <c r="B7065">
        <v>13</v>
      </c>
      <c r="C7065">
        <v>0</v>
      </c>
      <c r="D7065">
        <v>0</v>
      </c>
      <c r="E7065">
        <v>0</v>
      </c>
      <c r="F7065">
        <v>1604</v>
      </c>
    </row>
    <row r="7066" spans="1:6" x14ac:dyDescent="0.25">
      <c r="A7066">
        <v>7065</v>
      </c>
      <c r="B7066" t="s">
        <v>0</v>
      </c>
      <c r="C7066">
        <v>116</v>
      </c>
      <c r="D7066">
        <v>3486</v>
      </c>
      <c r="E7066">
        <v>80180714</v>
      </c>
    </row>
    <row r="7067" spans="1:6" x14ac:dyDescent="0.25">
      <c r="A7067">
        <v>7066</v>
      </c>
      <c r="B7067">
        <v>41</v>
      </c>
      <c r="C7067">
        <v>0</v>
      </c>
      <c r="D7067">
        <v>0</v>
      </c>
      <c r="E7067">
        <v>0</v>
      </c>
      <c r="F7067">
        <v>1</v>
      </c>
    </row>
    <row r="7068" spans="1:6" x14ac:dyDescent="0.25">
      <c r="A7068">
        <v>7067</v>
      </c>
      <c r="B7068">
        <v>42</v>
      </c>
      <c r="C7068">
        <v>0</v>
      </c>
      <c r="D7068">
        <v>0</v>
      </c>
      <c r="E7068">
        <v>0</v>
      </c>
      <c r="F7068">
        <v>0.2</v>
      </c>
    </row>
    <row r="7069" spans="1:6" x14ac:dyDescent="0.25">
      <c r="A7069">
        <v>7068</v>
      </c>
      <c r="B7069">
        <v>43</v>
      </c>
      <c r="C7069">
        <v>0</v>
      </c>
      <c r="D7069">
        <v>0</v>
      </c>
      <c r="E7069">
        <v>0</v>
      </c>
      <c r="F7069">
        <v>0</v>
      </c>
    </row>
    <row r="7070" spans="1:6" x14ac:dyDescent="0.25">
      <c r="A7070">
        <v>7069</v>
      </c>
      <c r="B7070" t="s">
        <v>0</v>
      </c>
      <c r="C7070">
        <v>118</v>
      </c>
      <c r="D7070">
        <v>3486</v>
      </c>
      <c r="E7070">
        <v>80180910</v>
      </c>
    </row>
    <row r="7071" spans="1:6" x14ac:dyDescent="0.25">
      <c r="A7071">
        <v>7070</v>
      </c>
      <c r="B7071">
        <v>44</v>
      </c>
      <c r="C7071">
        <v>0</v>
      </c>
      <c r="D7071">
        <v>0</v>
      </c>
      <c r="E7071">
        <v>0</v>
      </c>
      <c r="F7071">
        <v>-180.018</v>
      </c>
    </row>
    <row r="7072" spans="1:6" x14ac:dyDescent="0.25">
      <c r="A7072">
        <v>7071</v>
      </c>
      <c r="B7072" t="s">
        <v>0</v>
      </c>
      <c r="C7072">
        <v>119</v>
      </c>
      <c r="D7072">
        <v>3486</v>
      </c>
      <c r="E7072">
        <v>80181008</v>
      </c>
    </row>
    <row r="7073" spans="1:6" x14ac:dyDescent="0.25">
      <c r="A7073">
        <v>7072</v>
      </c>
      <c r="B7073">
        <v>46</v>
      </c>
      <c r="C7073">
        <v>0</v>
      </c>
      <c r="D7073">
        <v>0</v>
      </c>
      <c r="E7073">
        <v>0</v>
      </c>
      <c r="F7073">
        <v>0</v>
      </c>
    </row>
    <row r="7074" spans="1:6" x14ac:dyDescent="0.25">
      <c r="A7074">
        <v>7073</v>
      </c>
      <c r="B7074" t="s">
        <v>0</v>
      </c>
      <c r="C7074">
        <v>120</v>
      </c>
      <c r="D7074">
        <v>3486</v>
      </c>
      <c r="E7074">
        <v>80181106</v>
      </c>
    </row>
    <row r="7075" spans="1:6" x14ac:dyDescent="0.25">
      <c r="A7075">
        <v>7074</v>
      </c>
      <c r="B7075">
        <v>2</v>
      </c>
      <c r="C7075">
        <v>0</v>
      </c>
      <c r="D7075">
        <v>0</v>
      </c>
      <c r="E7075">
        <v>0</v>
      </c>
      <c r="F7075">
        <v>340.70400000000001</v>
      </c>
    </row>
    <row r="7076" spans="1:6" x14ac:dyDescent="0.25">
      <c r="A7076">
        <v>7075</v>
      </c>
      <c r="B7076" t="s">
        <v>0</v>
      </c>
      <c r="C7076">
        <v>121</v>
      </c>
      <c r="D7076">
        <v>3486</v>
      </c>
      <c r="E7076">
        <v>80181204</v>
      </c>
    </row>
    <row r="7077" spans="1:6" x14ac:dyDescent="0.25">
      <c r="A7077">
        <v>7076</v>
      </c>
      <c r="B7077">
        <v>13</v>
      </c>
      <c r="C7077">
        <v>0</v>
      </c>
      <c r="D7077">
        <v>0</v>
      </c>
      <c r="E7077">
        <v>0</v>
      </c>
      <c r="F7077">
        <v>1604</v>
      </c>
    </row>
    <row r="7078" spans="1:6" x14ac:dyDescent="0.25">
      <c r="A7078">
        <v>7077</v>
      </c>
      <c r="B7078" t="s">
        <v>0</v>
      </c>
      <c r="C7078">
        <v>122</v>
      </c>
      <c r="D7078">
        <v>3486</v>
      </c>
      <c r="E7078">
        <v>80181302</v>
      </c>
    </row>
    <row r="7079" spans="1:6" x14ac:dyDescent="0.25">
      <c r="A7079">
        <v>7078</v>
      </c>
      <c r="B7079">
        <v>41</v>
      </c>
      <c r="C7079">
        <v>0</v>
      </c>
      <c r="D7079">
        <v>0</v>
      </c>
      <c r="E7079">
        <v>0</v>
      </c>
      <c r="F7079">
        <v>1</v>
      </c>
    </row>
    <row r="7080" spans="1:6" x14ac:dyDescent="0.25">
      <c r="A7080">
        <v>7079</v>
      </c>
      <c r="B7080" t="s">
        <v>0</v>
      </c>
      <c r="C7080">
        <v>123</v>
      </c>
      <c r="D7080">
        <v>3486</v>
      </c>
      <c r="E7080">
        <v>80181400</v>
      </c>
    </row>
    <row r="7081" spans="1:6" x14ac:dyDescent="0.25">
      <c r="A7081">
        <v>7080</v>
      </c>
      <c r="B7081">
        <v>43</v>
      </c>
      <c r="C7081">
        <v>0</v>
      </c>
      <c r="D7081">
        <v>0</v>
      </c>
      <c r="E7081">
        <v>0</v>
      </c>
      <c r="F7081">
        <v>0</v>
      </c>
    </row>
    <row r="7082" spans="1:6" x14ac:dyDescent="0.25">
      <c r="A7082">
        <v>7081</v>
      </c>
      <c r="B7082">
        <v>44</v>
      </c>
      <c r="C7082">
        <v>0</v>
      </c>
      <c r="D7082">
        <v>0</v>
      </c>
      <c r="E7082">
        <v>0</v>
      </c>
      <c r="F7082">
        <v>-179.22800000000001</v>
      </c>
    </row>
    <row r="7083" spans="1:6" x14ac:dyDescent="0.25">
      <c r="A7083">
        <v>7082</v>
      </c>
      <c r="B7083" t="s">
        <v>0</v>
      </c>
      <c r="C7083">
        <v>125</v>
      </c>
      <c r="D7083">
        <v>3486</v>
      </c>
      <c r="E7083">
        <v>80181596</v>
      </c>
    </row>
    <row r="7084" spans="1:6" x14ac:dyDescent="0.25">
      <c r="A7084">
        <v>7083</v>
      </c>
      <c r="B7084">
        <v>46</v>
      </c>
      <c r="C7084">
        <v>0</v>
      </c>
      <c r="D7084">
        <v>0</v>
      </c>
      <c r="E7084">
        <v>0</v>
      </c>
      <c r="F7084">
        <v>0</v>
      </c>
    </row>
    <row r="7085" spans="1:6" x14ac:dyDescent="0.25">
      <c r="A7085">
        <v>7084</v>
      </c>
      <c r="B7085">
        <v>2</v>
      </c>
      <c r="C7085">
        <v>0</v>
      </c>
      <c r="D7085">
        <v>0</v>
      </c>
      <c r="E7085">
        <v>0</v>
      </c>
      <c r="F7085">
        <v>340.03699999999998</v>
      </c>
    </row>
    <row r="7086" spans="1:6" x14ac:dyDescent="0.25">
      <c r="A7086">
        <v>7085</v>
      </c>
      <c r="B7086" t="s">
        <v>0</v>
      </c>
      <c r="C7086">
        <v>127</v>
      </c>
      <c r="D7086">
        <v>3486</v>
      </c>
      <c r="E7086">
        <v>80181793</v>
      </c>
    </row>
    <row r="7087" spans="1:6" x14ac:dyDescent="0.25">
      <c r="A7087">
        <v>7086</v>
      </c>
      <c r="B7087">
        <v>13</v>
      </c>
      <c r="C7087">
        <v>0</v>
      </c>
      <c r="D7087">
        <v>0</v>
      </c>
      <c r="E7087">
        <v>0</v>
      </c>
      <c r="F7087">
        <v>1604</v>
      </c>
    </row>
    <row r="7088" spans="1:6" x14ac:dyDescent="0.25">
      <c r="A7088">
        <v>7087</v>
      </c>
      <c r="B7088">
        <v>41</v>
      </c>
      <c r="C7088">
        <v>0</v>
      </c>
      <c r="D7088">
        <v>0</v>
      </c>
      <c r="E7088">
        <v>0</v>
      </c>
      <c r="F7088">
        <v>1</v>
      </c>
    </row>
    <row r="7089" spans="1:6" x14ac:dyDescent="0.25">
      <c r="A7089">
        <v>7088</v>
      </c>
      <c r="B7089" t="s">
        <v>0</v>
      </c>
      <c r="C7089">
        <v>129</v>
      </c>
      <c r="D7089">
        <v>3486</v>
      </c>
      <c r="E7089">
        <v>80181989</v>
      </c>
    </row>
    <row r="7090" spans="1:6" x14ac:dyDescent="0.25">
      <c r="A7090">
        <v>7089</v>
      </c>
      <c r="B7090">
        <v>42</v>
      </c>
      <c r="C7090">
        <v>0</v>
      </c>
      <c r="D7090">
        <v>0</v>
      </c>
      <c r="E7090">
        <v>0</v>
      </c>
      <c r="F7090">
        <v>0.2</v>
      </c>
    </row>
    <row r="7091" spans="1:6" x14ac:dyDescent="0.25">
      <c r="A7091">
        <v>7090</v>
      </c>
      <c r="B7091">
        <v>43</v>
      </c>
      <c r="C7091">
        <v>0</v>
      </c>
      <c r="D7091">
        <v>0</v>
      </c>
      <c r="E7091">
        <v>0</v>
      </c>
      <c r="F7091">
        <v>0</v>
      </c>
    </row>
    <row r="7092" spans="1:6" x14ac:dyDescent="0.25">
      <c r="A7092">
        <v>7091</v>
      </c>
      <c r="B7092">
        <v>44</v>
      </c>
      <c r="C7092">
        <v>0</v>
      </c>
      <c r="D7092">
        <v>0</v>
      </c>
      <c r="E7092">
        <v>0</v>
      </c>
      <c r="F7092">
        <v>-178.40700000000001</v>
      </c>
    </row>
    <row r="7093" spans="1:6" x14ac:dyDescent="0.25">
      <c r="A7093">
        <v>7092</v>
      </c>
      <c r="B7093" t="s">
        <v>0</v>
      </c>
      <c r="C7093">
        <v>131</v>
      </c>
      <c r="D7093">
        <v>3486</v>
      </c>
      <c r="E7093">
        <v>80182185</v>
      </c>
    </row>
    <row r="7094" spans="1:6" x14ac:dyDescent="0.25">
      <c r="A7094">
        <v>7093</v>
      </c>
      <c r="B7094">
        <v>45</v>
      </c>
      <c r="C7094">
        <v>0</v>
      </c>
      <c r="D7094">
        <v>0</v>
      </c>
      <c r="E7094">
        <v>0</v>
      </c>
      <c r="F7094">
        <v>539.02300000000002</v>
      </c>
    </row>
    <row r="7095" spans="1:6" x14ac:dyDescent="0.25">
      <c r="A7095">
        <v>7094</v>
      </c>
      <c r="B7095">
        <v>46</v>
      </c>
      <c r="C7095">
        <v>0</v>
      </c>
      <c r="D7095">
        <v>0</v>
      </c>
      <c r="E7095">
        <v>0</v>
      </c>
      <c r="F7095">
        <v>0</v>
      </c>
    </row>
    <row r="7096" spans="1:6" x14ac:dyDescent="0.25">
      <c r="A7096">
        <v>7095</v>
      </c>
      <c r="B7096">
        <v>2</v>
      </c>
      <c r="C7096">
        <v>0</v>
      </c>
      <c r="D7096">
        <v>0</v>
      </c>
      <c r="E7096">
        <v>0</v>
      </c>
      <c r="F7096">
        <v>339.36599999999999</v>
      </c>
    </row>
    <row r="7097" spans="1:6" x14ac:dyDescent="0.25">
      <c r="A7097">
        <v>7096</v>
      </c>
      <c r="B7097" t="s">
        <v>0</v>
      </c>
      <c r="C7097">
        <v>133</v>
      </c>
      <c r="D7097">
        <v>3486</v>
      </c>
      <c r="E7097">
        <v>80182383</v>
      </c>
    </row>
    <row r="7098" spans="1:6" x14ac:dyDescent="0.25">
      <c r="A7098">
        <v>7097</v>
      </c>
      <c r="B7098">
        <v>10</v>
      </c>
      <c r="C7098">
        <v>1</v>
      </c>
      <c r="D7098">
        <v>0</v>
      </c>
      <c r="E7098">
        <v>0</v>
      </c>
      <c r="F7098">
        <v>2950</v>
      </c>
    </row>
    <row r="7099" spans="1:6" x14ac:dyDescent="0.25">
      <c r="A7099">
        <v>7098</v>
      </c>
      <c r="B7099">
        <v>13</v>
      </c>
      <c r="C7099">
        <v>0</v>
      </c>
      <c r="D7099">
        <v>0</v>
      </c>
      <c r="E7099">
        <v>0</v>
      </c>
      <c r="F7099">
        <v>1604</v>
      </c>
    </row>
    <row r="7100" spans="1:6" x14ac:dyDescent="0.25">
      <c r="A7100">
        <v>7099</v>
      </c>
      <c r="B7100">
        <v>41</v>
      </c>
      <c r="C7100">
        <v>0</v>
      </c>
      <c r="D7100">
        <v>0</v>
      </c>
      <c r="E7100">
        <v>0</v>
      </c>
      <c r="F7100">
        <v>1</v>
      </c>
    </row>
    <row r="7101" spans="1:6" x14ac:dyDescent="0.25">
      <c r="A7101">
        <v>7100</v>
      </c>
      <c r="B7101" t="s">
        <v>0</v>
      </c>
      <c r="C7101">
        <v>135</v>
      </c>
      <c r="D7101">
        <v>3486</v>
      </c>
      <c r="E7101">
        <v>80182581</v>
      </c>
    </row>
    <row r="7102" spans="1:6" x14ac:dyDescent="0.25">
      <c r="A7102">
        <v>7101</v>
      </c>
      <c r="B7102">
        <v>42</v>
      </c>
      <c r="C7102">
        <v>0</v>
      </c>
      <c r="D7102">
        <v>0</v>
      </c>
      <c r="E7102">
        <v>0</v>
      </c>
      <c r="F7102">
        <v>0.2</v>
      </c>
    </row>
    <row r="7103" spans="1:6" x14ac:dyDescent="0.25">
      <c r="A7103">
        <v>7102</v>
      </c>
      <c r="B7103" t="s">
        <v>0</v>
      </c>
      <c r="C7103">
        <v>136</v>
      </c>
      <c r="D7103">
        <v>3486</v>
      </c>
      <c r="E7103">
        <v>80182680</v>
      </c>
    </row>
    <row r="7104" spans="1:6" x14ac:dyDescent="0.25">
      <c r="A7104">
        <v>7103</v>
      </c>
      <c r="B7104">
        <v>43</v>
      </c>
      <c r="C7104">
        <v>0</v>
      </c>
      <c r="D7104">
        <v>0</v>
      </c>
      <c r="E7104">
        <v>0</v>
      </c>
      <c r="F7104">
        <v>0</v>
      </c>
    </row>
    <row r="7105" spans="1:6" x14ac:dyDescent="0.25">
      <c r="A7105">
        <v>7104</v>
      </c>
      <c r="B7105" t="s">
        <v>0</v>
      </c>
      <c r="C7105">
        <v>137</v>
      </c>
      <c r="D7105">
        <v>3486</v>
      </c>
      <c r="E7105">
        <v>80182778</v>
      </c>
    </row>
    <row r="7106" spans="1:6" x14ac:dyDescent="0.25">
      <c r="A7106">
        <v>7105</v>
      </c>
      <c r="B7106">
        <v>44</v>
      </c>
      <c r="C7106">
        <v>0</v>
      </c>
      <c r="D7106">
        <v>0</v>
      </c>
      <c r="E7106">
        <v>0</v>
      </c>
      <c r="F7106">
        <v>-177.434</v>
      </c>
    </row>
    <row r="7107" spans="1:6" x14ac:dyDescent="0.25">
      <c r="A7107">
        <v>7106</v>
      </c>
      <c r="B7107" t="s">
        <v>0</v>
      </c>
      <c r="C7107">
        <v>138</v>
      </c>
      <c r="D7107">
        <v>3486</v>
      </c>
      <c r="E7107">
        <v>80182876</v>
      </c>
    </row>
    <row r="7108" spans="1:6" x14ac:dyDescent="0.25">
      <c r="A7108">
        <v>7107</v>
      </c>
      <c r="B7108">
        <v>46</v>
      </c>
      <c r="C7108">
        <v>0</v>
      </c>
      <c r="D7108">
        <v>0</v>
      </c>
      <c r="E7108">
        <v>0</v>
      </c>
      <c r="F7108">
        <v>0</v>
      </c>
    </row>
    <row r="7109" spans="1:6" x14ac:dyDescent="0.25">
      <c r="A7109">
        <v>7108</v>
      </c>
      <c r="B7109" t="s">
        <v>0</v>
      </c>
      <c r="C7109">
        <v>139</v>
      </c>
      <c r="D7109">
        <v>3486</v>
      </c>
      <c r="E7109">
        <v>80182974</v>
      </c>
    </row>
    <row r="7110" spans="1:6" x14ac:dyDescent="0.25">
      <c r="A7110">
        <v>7109</v>
      </c>
      <c r="B7110">
        <v>2</v>
      </c>
      <c r="C7110">
        <v>0</v>
      </c>
      <c r="D7110">
        <v>0</v>
      </c>
      <c r="E7110">
        <v>0</v>
      </c>
      <c r="F7110">
        <v>338.57900000000001</v>
      </c>
    </row>
    <row r="7111" spans="1:6" x14ac:dyDescent="0.25">
      <c r="A7111">
        <v>7110</v>
      </c>
      <c r="B7111" t="s">
        <v>0</v>
      </c>
      <c r="C7111">
        <v>140</v>
      </c>
      <c r="D7111">
        <v>3486</v>
      </c>
      <c r="E7111">
        <v>80183072</v>
      </c>
    </row>
    <row r="7112" spans="1:6" x14ac:dyDescent="0.25">
      <c r="A7112">
        <v>7111</v>
      </c>
      <c r="B7112">
        <v>13</v>
      </c>
      <c r="C7112">
        <v>0</v>
      </c>
      <c r="D7112">
        <v>0</v>
      </c>
      <c r="E7112">
        <v>0</v>
      </c>
      <c r="F7112">
        <v>1604</v>
      </c>
    </row>
    <row r="7113" spans="1:6" x14ac:dyDescent="0.25">
      <c r="A7113">
        <v>7112</v>
      </c>
      <c r="B7113" t="s">
        <v>0</v>
      </c>
      <c r="C7113">
        <v>141</v>
      </c>
      <c r="D7113">
        <v>3486</v>
      </c>
      <c r="E7113">
        <v>80183171</v>
      </c>
    </row>
    <row r="7114" spans="1:6" x14ac:dyDescent="0.25">
      <c r="A7114">
        <v>7113</v>
      </c>
      <c r="B7114">
        <v>41</v>
      </c>
      <c r="C7114">
        <v>0</v>
      </c>
      <c r="D7114">
        <v>0</v>
      </c>
      <c r="E7114">
        <v>0</v>
      </c>
      <c r="F7114">
        <v>1</v>
      </c>
    </row>
    <row r="7115" spans="1:6" x14ac:dyDescent="0.25">
      <c r="A7115">
        <v>7114</v>
      </c>
      <c r="B7115" t="s">
        <v>0</v>
      </c>
      <c r="C7115">
        <v>142</v>
      </c>
      <c r="D7115">
        <v>3486</v>
      </c>
      <c r="E7115">
        <v>80183270</v>
      </c>
    </row>
    <row r="7116" spans="1:6" x14ac:dyDescent="0.25">
      <c r="A7116">
        <v>7115</v>
      </c>
      <c r="B7116">
        <v>43</v>
      </c>
      <c r="C7116">
        <v>0</v>
      </c>
      <c r="D7116">
        <v>0</v>
      </c>
      <c r="E7116">
        <v>0</v>
      </c>
      <c r="F7116">
        <v>0</v>
      </c>
    </row>
    <row r="7117" spans="1:6" x14ac:dyDescent="0.25">
      <c r="A7117">
        <v>7116</v>
      </c>
      <c r="B7117">
        <v>44</v>
      </c>
      <c r="C7117">
        <v>0</v>
      </c>
      <c r="D7117">
        <v>0</v>
      </c>
      <c r="E7117">
        <v>0</v>
      </c>
      <c r="F7117">
        <v>-176.60900000000001</v>
      </c>
    </row>
    <row r="7118" spans="1:6" x14ac:dyDescent="0.25">
      <c r="A7118">
        <v>7117</v>
      </c>
      <c r="B7118" t="s">
        <v>0</v>
      </c>
      <c r="C7118">
        <v>144</v>
      </c>
      <c r="D7118">
        <v>3486</v>
      </c>
      <c r="E7118">
        <v>80183467</v>
      </c>
    </row>
    <row r="7119" spans="1:6" x14ac:dyDescent="0.25">
      <c r="A7119">
        <v>7118</v>
      </c>
      <c r="B7119">
        <v>46</v>
      </c>
      <c r="C7119">
        <v>0</v>
      </c>
      <c r="D7119">
        <v>0</v>
      </c>
      <c r="E7119">
        <v>0</v>
      </c>
      <c r="F7119">
        <v>0</v>
      </c>
    </row>
    <row r="7120" spans="1:6" x14ac:dyDescent="0.25">
      <c r="A7120">
        <v>7119</v>
      </c>
      <c r="B7120">
        <v>2</v>
      </c>
      <c r="C7120">
        <v>0</v>
      </c>
      <c r="D7120">
        <v>0</v>
      </c>
      <c r="E7120">
        <v>0</v>
      </c>
      <c r="F7120">
        <v>337.90300000000002</v>
      </c>
    </row>
    <row r="7121" spans="1:6" x14ac:dyDescent="0.25">
      <c r="A7121">
        <v>7120</v>
      </c>
      <c r="B7121" t="s">
        <v>0</v>
      </c>
      <c r="C7121">
        <v>146</v>
      </c>
      <c r="D7121">
        <v>3486</v>
      </c>
      <c r="E7121">
        <v>80183665</v>
      </c>
    </row>
    <row r="7122" spans="1:6" x14ac:dyDescent="0.25">
      <c r="A7122">
        <v>7121</v>
      </c>
      <c r="B7122">
        <v>13</v>
      </c>
      <c r="C7122">
        <v>0</v>
      </c>
      <c r="D7122">
        <v>0</v>
      </c>
      <c r="E7122">
        <v>0</v>
      </c>
      <c r="F7122">
        <v>1604</v>
      </c>
    </row>
    <row r="7123" spans="1:6" x14ac:dyDescent="0.25">
      <c r="A7123">
        <v>7122</v>
      </c>
      <c r="B7123">
        <v>41</v>
      </c>
      <c r="C7123">
        <v>0</v>
      </c>
      <c r="D7123">
        <v>0</v>
      </c>
      <c r="E7123">
        <v>0</v>
      </c>
      <c r="F7123">
        <v>1</v>
      </c>
    </row>
    <row r="7124" spans="1:6" x14ac:dyDescent="0.25">
      <c r="A7124">
        <v>7123</v>
      </c>
      <c r="B7124" t="s">
        <v>0</v>
      </c>
      <c r="C7124">
        <v>148</v>
      </c>
      <c r="D7124">
        <v>3486</v>
      </c>
      <c r="E7124">
        <v>80183863</v>
      </c>
    </row>
    <row r="7125" spans="1:6" x14ac:dyDescent="0.25">
      <c r="A7125">
        <v>7124</v>
      </c>
      <c r="B7125">
        <v>43</v>
      </c>
      <c r="C7125">
        <v>0</v>
      </c>
      <c r="D7125">
        <v>0</v>
      </c>
      <c r="E7125">
        <v>0</v>
      </c>
      <c r="F7125">
        <v>0</v>
      </c>
    </row>
    <row r="7126" spans="1:6" x14ac:dyDescent="0.25">
      <c r="A7126">
        <v>7125</v>
      </c>
      <c r="B7126">
        <v>44</v>
      </c>
      <c r="C7126">
        <v>0</v>
      </c>
      <c r="D7126">
        <v>0</v>
      </c>
      <c r="E7126">
        <v>0</v>
      </c>
      <c r="F7126">
        <v>-175.81299999999999</v>
      </c>
    </row>
    <row r="7127" spans="1:6" x14ac:dyDescent="0.25">
      <c r="A7127">
        <v>7126</v>
      </c>
      <c r="B7127" t="s">
        <v>0</v>
      </c>
      <c r="C7127">
        <v>150</v>
      </c>
      <c r="D7127">
        <v>3486</v>
      </c>
      <c r="E7127">
        <v>80184061</v>
      </c>
    </row>
    <row r="7128" spans="1:6" x14ac:dyDescent="0.25">
      <c r="A7128">
        <v>7127</v>
      </c>
      <c r="B7128">
        <v>46</v>
      </c>
      <c r="C7128">
        <v>0</v>
      </c>
      <c r="D7128">
        <v>0</v>
      </c>
      <c r="E7128">
        <v>0</v>
      </c>
      <c r="F7128">
        <v>0</v>
      </c>
    </row>
    <row r="7129" spans="1:6" x14ac:dyDescent="0.25">
      <c r="A7129">
        <v>7128</v>
      </c>
      <c r="B7129">
        <v>2</v>
      </c>
      <c r="C7129">
        <v>0</v>
      </c>
      <c r="D7129">
        <v>0</v>
      </c>
      <c r="E7129">
        <v>0</v>
      </c>
      <c r="F7129">
        <v>337.24799999999999</v>
      </c>
    </row>
    <row r="7130" spans="1:6" x14ac:dyDescent="0.25">
      <c r="A7130">
        <v>7129</v>
      </c>
      <c r="B7130" t="s">
        <v>0</v>
      </c>
      <c r="C7130">
        <v>152</v>
      </c>
      <c r="D7130">
        <v>3486</v>
      </c>
      <c r="E7130">
        <v>80184259</v>
      </c>
    </row>
    <row r="7131" spans="1:6" x14ac:dyDescent="0.25">
      <c r="A7131">
        <v>7130</v>
      </c>
      <c r="B7131">
        <v>10</v>
      </c>
      <c r="C7131">
        <v>1</v>
      </c>
      <c r="D7131">
        <v>0</v>
      </c>
      <c r="E7131">
        <v>0</v>
      </c>
      <c r="F7131">
        <v>2977</v>
      </c>
    </row>
    <row r="7132" spans="1:6" x14ac:dyDescent="0.25">
      <c r="A7132">
        <v>7131</v>
      </c>
      <c r="B7132">
        <v>13</v>
      </c>
      <c r="C7132">
        <v>0</v>
      </c>
      <c r="D7132">
        <v>0</v>
      </c>
      <c r="E7132">
        <v>0</v>
      </c>
      <c r="F7132">
        <v>1604</v>
      </c>
    </row>
    <row r="7133" spans="1:6" x14ac:dyDescent="0.25">
      <c r="A7133">
        <v>7132</v>
      </c>
      <c r="B7133">
        <v>41</v>
      </c>
      <c r="C7133">
        <v>0</v>
      </c>
      <c r="D7133">
        <v>0</v>
      </c>
      <c r="E7133">
        <v>0</v>
      </c>
      <c r="F7133">
        <v>1</v>
      </c>
    </row>
    <row r="7134" spans="1:6" x14ac:dyDescent="0.25">
      <c r="A7134">
        <v>7133</v>
      </c>
      <c r="B7134" t="s">
        <v>0</v>
      </c>
      <c r="C7134">
        <v>154</v>
      </c>
      <c r="D7134">
        <v>3486</v>
      </c>
      <c r="E7134">
        <v>80184457</v>
      </c>
    </row>
    <row r="7135" spans="1:6" x14ac:dyDescent="0.25">
      <c r="A7135">
        <v>7134</v>
      </c>
      <c r="B7135">
        <v>42</v>
      </c>
      <c r="C7135">
        <v>0</v>
      </c>
      <c r="D7135">
        <v>0</v>
      </c>
      <c r="E7135">
        <v>0</v>
      </c>
      <c r="F7135">
        <v>0.2</v>
      </c>
    </row>
    <row r="7136" spans="1:6" x14ac:dyDescent="0.25">
      <c r="A7136">
        <v>7135</v>
      </c>
      <c r="B7136">
        <v>43</v>
      </c>
      <c r="C7136">
        <v>0</v>
      </c>
      <c r="D7136">
        <v>0</v>
      </c>
      <c r="E7136">
        <v>0</v>
      </c>
      <c r="F7136">
        <v>0</v>
      </c>
    </row>
    <row r="7137" spans="1:6" x14ac:dyDescent="0.25">
      <c r="A7137">
        <v>7136</v>
      </c>
      <c r="B7137">
        <v>44</v>
      </c>
      <c r="C7137">
        <v>0</v>
      </c>
      <c r="D7137">
        <v>0</v>
      </c>
      <c r="E7137">
        <v>0</v>
      </c>
      <c r="F7137">
        <v>-175.01499999999999</v>
      </c>
    </row>
    <row r="7138" spans="1:6" x14ac:dyDescent="0.25">
      <c r="A7138">
        <v>7137</v>
      </c>
      <c r="B7138" t="s">
        <v>0</v>
      </c>
      <c r="C7138">
        <v>156</v>
      </c>
      <c r="D7138">
        <v>3486</v>
      </c>
      <c r="E7138">
        <v>80184655</v>
      </c>
    </row>
    <row r="7139" spans="1:6" x14ac:dyDescent="0.25">
      <c r="A7139">
        <v>7138</v>
      </c>
      <c r="B7139">
        <v>45</v>
      </c>
      <c r="C7139">
        <v>0</v>
      </c>
      <c r="D7139">
        <v>0</v>
      </c>
      <c r="E7139">
        <v>0</v>
      </c>
      <c r="F7139">
        <v>538.49699999999996</v>
      </c>
    </row>
    <row r="7140" spans="1:6" x14ac:dyDescent="0.25">
      <c r="A7140">
        <v>7139</v>
      </c>
      <c r="B7140">
        <v>46</v>
      </c>
      <c r="C7140">
        <v>0</v>
      </c>
      <c r="D7140">
        <v>0</v>
      </c>
      <c r="E7140">
        <v>0</v>
      </c>
      <c r="F7140">
        <v>0</v>
      </c>
    </row>
    <row r="7141" spans="1:6" x14ac:dyDescent="0.25">
      <c r="A7141">
        <v>7140</v>
      </c>
      <c r="B7141">
        <v>2</v>
      </c>
      <c r="C7141">
        <v>0</v>
      </c>
      <c r="D7141">
        <v>0</v>
      </c>
      <c r="E7141">
        <v>0</v>
      </c>
      <c r="F7141">
        <v>336.60399999999998</v>
      </c>
    </row>
    <row r="7142" spans="1:6" x14ac:dyDescent="0.25">
      <c r="A7142">
        <v>7141</v>
      </c>
      <c r="B7142" t="s">
        <v>0</v>
      </c>
      <c r="C7142">
        <v>158</v>
      </c>
      <c r="D7142">
        <v>3486</v>
      </c>
      <c r="E7142">
        <v>80184853</v>
      </c>
    </row>
    <row r="7143" spans="1:6" x14ac:dyDescent="0.25">
      <c r="A7143">
        <v>7142</v>
      </c>
      <c r="B7143">
        <v>10</v>
      </c>
      <c r="C7143">
        <v>1</v>
      </c>
      <c r="D7143">
        <v>0</v>
      </c>
      <c r="E7143">
        <v>0</v>
      </c>
      <c r="F7143">
        <v>2986</v>
      </c>
    </row>
    <row r="7144" spans="1:6" x14ac:dyDescent="0.25">
      <c r="A7144">
        <v>7143</v>
      </c>
      <c r="B7144">
        <v>13</v>
      </c>
      <c r="C7144">
        <v>0</v>
      </c>
      <c r="D7144">
        <v>0</v>
      </c>
      <c r="E7144">
        <v>0</v>
      </c>
      <c r="F7144">
        <v>1604</v>
      </c>
    </row>
    <row r="7145" spans="1:6" x14ac:dyDescent="0.25">
      <c r="A7145">
        <v>7144</v>
      </c>
      <c r="B7145">
        <v>41</v>
      </c>
      <c r="C7145">
        <v>0</v>
      </c>
      <c r="D7145">
        <v>0</v>
      </c>
      <c r="E7145">
        <v>0</v>
      </c>
      <c r="F7145">
        <v>1</v>
      </c>
    </row>
    <row r="7146" spans="1:6" x14ac:dyDescent="0.25">
      <c r="A7146">
        <v>7145</v>
      </c>
      <c r="B7146" t="s">
        <v>0</v>
      </c>
      <c r="C7146">
        <v>160</v>
      </c>
      <c r="D7146">
        <v>3486</v>
      </c>
      <c r="E7146">
        <v>80185051</v>
      </c>
    </row>
    <row r="7147" spans="1:6" x14ac:dyDescent="0.25">
      <c r="A7147">
        <v>7146</v>
      </c>
      <c r="B7147">
        <v>42</v>
      </c>
      <c r="C7147">
        <v>0</v>
      </c>
      <c r="D7147">
        <v>0</v>
      </c>
      <c r="E7147">
        <v>0</v>
      </c>
      <c r="F7147">
        <v>0.2</v>
      </c>
    </row>
    <row r="7148" spans="1:6" x14ac:dyDescent="0.25">
      <c r="A7148">
        <v>7147</v>
      </c>
      <c r="B7148">
        <v>43</v>
      </c>
      <c r="C7148">
        <v>0</v>
      </c>
      <c r="D7148">
        <v>0</v>
      </c>
      <c r="E7148">
        <v>0</v>
      </c>
      <c r="F7148">
        <v>0</v>
      </c>
    </row>
    <row r="7149" spans="1:6" x14ac:dyDescent="0.25">
      <c r="A7149">
        <v>7148</v>
      </c>
      <c r="B7149">
        <v>44</v>
      </c>
      <c r="C7149">
        <v>0</v>
      </c>
      <c r="D7149">
        <v>0</v>
      </c>
      <c r="E7149">
        <v>0</v>
      </c>
      <c r="F7149">
        <v>-174.208</v>
      </c>
    </row>
    <row r="7150" spans="1:6" x14ac:dyDescent="0.25">
      <c r="A7150">
        <v>7149</v>
      </c>
      <c r="B7150" t="s">
        <v>0</v>
      </c>
      <c r="C7150">
        <v>162</v>
      </c>
      <c r="D7150">
        <v>3486</v>
      </c>
      <c r="E7150">
        <v>80185250</v>
      </c>
    </row>
    <row r="7151" spans="1:6" x14ac:dyDescent="0.25">
      <c r="A7151">
        <v>7150</v>
      </c>
      <c r="B7151">
        <v>45</v>
      </c>
      <c r="C7151">
        <v>0</v>
      </c>
      <c r="D7151">
        <v>0</v>
      </c>
      <c r="E7151">
        <v>0</v>
      </c>
      <c r="F7151">
        <v>538.37199999999996</v>
      </c>
    </row>
    <row r="7152" spans="1:6" x14ac:dyDescent="0.25">
      <c r="A7152">
        <v>7151</v>
      </c>
      <c r="B7152" t="s">
        <v>0</v>
      </c>
      <c r="C7152">
        <v>163</v>
      </c>
      <c r="D7152">
        <v>3486</v>
      </c>
      <c r="E7152">
        <v>80185349</v>
      </c>
    </row>
    <row r="7153" spans="1:6" x14ac:dyDescent="0.25">
      <c r="A7153">
        <v>7152</v>
      </c>
      <c r="B7153">
        <v>2</v>
      </c>
      <c r="C7153">
        <v>0</v>
      </c>
      <c r="D7153">
        <v>0</v>
      </c>
      <c r="E7153">
        <v>0</v>
      </c>
      <c r="F7153">
        <v>335.94600000000003</v>
      </c>
    </row>
    <row r="7154" spans="1:6" x14ac:dyDescent="0.25">
      <c r="A7154">
        <v>7153</v>
      </c>
      <c r="B7154" t="s">
        <v>0</v>
      </c>
      <c r="C7154">
        <v>164</v>
      </c>
      <c r="D7154">
        <v>3486</v>
      </c>
      <c r="E7154">
        <v>80185448</v>
      </c>
    </row>
    <row r="7155" spans="1:6" x14ac:dyDescent="0.25">
      <c r="A7155">
        <v>7154</v>
      </c>
      <c r="B7155">
        <v>10</v>
      </c>
      <c r="C7155">
        <v>1</v>
      </c>
      <c r="D7155">
        <v>0</v>
      </c>
      <c r="E7155">
        <v>0</v>
      </c>
      <c r="F7155">
        <v>2994</v>
      </c>
    </row>
    <row r="7156" spans="1:6" x14ac:dyDescent="0.25">
      <c r="A7156">
        <v>7155</v>
      </c>
      <c r="B7156" t="s">
        <v>0</v>
      </c>
      <c r="C7156">
        <v>165</v>
      </c>
      <c r="D7156">
        <v>3486</v>
      </c>
      <c r="E7156">
        <v>80185547</v>
      </c>
    </row>
    <row r="7157" spans="1:6" x14ac:dyDescent="0.25">
      <c r="A7157">
        <v>7156</v>
      </c>
      <c r="B7157">
        <v>41</v>
      </c>
      <c r="C7157">
        <v>0</v>
      </c>
      <c r="D7157">
        <v>0</v>
      </c>
      <c r="E7157">
        <v>0</v>
      </c>
      <c r="F7157">
        <v>1</v>
      </c>
    </row>
    <row r="7158" spans="1:6" x14ac:dyDescent="0.25">
      <c r="A7158">
        <v>7157</v>
      </c>
      <c r="B7158" t="s">
        <v>0</v>
      </c>
      <c r="C7158">
        <v>166</v>
      </c>
      <c r="D7158">
        <v>3486</v>
      </c>
      <c r="E7158">
        <v>80185646</v>
      </c>
    </row>
    <row r="7159" spans="1:6" x14ac:dyDescent="0.25">
      <c r="A7159">
        <v>7158</v>
      </c>
      <c r="B7159">
        <v>42</v>
      </c>
      <c r="C7159">
        <v>0</v>
      </c>
      <c r="D7159">
        <v>0</v>
      </c>
      <c r="E7159">
        <v>0</v>
      </c>
      <c r="F7159">
        <v>0.2</v>
      </c>
    </row>
    <row r="7160" spans="1:6" x14ac:dyDescent="0.25">
      <c r="A7160">
        <v>7159</v>
      </c>
      <c r="B7160" t="s">
        <v>0</v>
      </c>
      <c r="C7160">
        <v>167</v>
      </c>
      <c r="D7160">
        <v>3486</v>
      </c>
      <c r="E7160">
        <v>80185745</v>
      </c>
    </row>
    <row r="7161" spans="1:6" x14ac:dyDescent="0.25">
      <c r="A7161">
        <v>7160</v>
      </c>
      <c r="B7161">
        <v>44</v>
      </c>
      <c r="C7161">
        <v>0</v>
      </c>
      <c r="D7161">
        <v>0</v>
      </c>
      <c r="E7161">
        <v>0</v>
      </c>
      <c r="F7161">
        <v>-173.381</v>
      </c>
    </row>
    <row r="7162" spans="1:6" x14ac:dyDescent="0.25">
      <c r="A7162">
        <v>7161</v>
      </c>
      <c r="B7162" t="s">
        <v>0</v>
      </c>
      <c r="C7162">
        <v>168</v>
      </c>
      <c r="D7162">
        <v>3486</v>
      </c>
      <c r="E7162">
        <v>80185844</v>
      </c>
    </row>
    <row r="7163" spans="1:6" x14ac:dyDescent="0.25">
      <c r="A7163">
        <v>7162</v>
      </c>
      <c r="B7163">
        <v>45</v>
      </c>
      <c r="C7163">
        <v>0</v>
      </c>
      <c r="D7163">
        <v>0</v>
      </c>
      <c r="E7163">
        <v>0</v>
      </c>
      <c r="F7163">
        <v>538.24699999999996</v>
      </c>
    </row>
    <row r="7164" spans="1:6" x14ac:dyDescent="0.25">
      <c r="A7164">
        <v>7163</v>
      </c>
      <c r="B7164" t="s">
        <v>0</v>
      </c>
      <c r="C7164">
        <v>169</v>
      </c>
      <c r="D7164">
        <v>3486</v>
      </c>
      <c r="E7164">
        <v>80185944</v>
      </c>
    </row>
    <row r="7165" spans="1:6" x14ac:dyDescent="0.25">
      <c r="A7165">
        <v>7164</v>
      </c>
      <c r="B7165">
        <v>2</v>
      </c>
      <c r="C7165">
        <v>0</v>
      </c>
      <c r="D7165">
        <v>0</v>
      </c>
      <c r="E7165">
        <v>0</v>
      </c>
      <c r="F7165">
        <v>335.26600000000002</v>
      </c>
    </row>
    <row r="7166" spans="1:6" x14ac:dyDescent="0.25">
      <c r="A7166">
        <v>7165</v>
      </c>
      <c r="B7166" t="s">
        <v>0</v>
      </c>
      <c r="C7166">
        <v>170</v>
      </c>
      <c r="D7166">
        <v>3486</v>
      </c>
      <c r="E7166">
        <v>80186044</v>
      </c>
    </row>
    <row r="7167" spans="1:6" x14ac:dyDescent="0.25">
      <c r="A7167">
        <v>7166</v>
      </c>
      <c r="B7167">
        <v>10</v>
      </c>
      <c r="C7167">
        <v>1</v>
      </c>
      <c r="D7167">
        <v>0</v>
      </c>
      <c r="E7167">
        <v>0</v>
      </c>
      <c r="F7167">
        <v>3003</v>
      </c>
    </row>
    <row r="7168" spans="1:6" x14ac:dyDescent="0.25">
      <c r="A7168">
        <v>7167</v>
      </c>
      <c r="B7168" t="s">
        <v>0</v>
      </c>
      <c r="C7168">
        <v>171</v>
      </c>
      <c r="D7168">
        <v>3486</v>
      </c>
      <c r="E7168">
        <v>80186144</v>
      </c>
    </row>
    <row r="7169" spans="1:6" x14ac:dyDescent="0.25">
      <c r="A7169">
        <v>7168</v>
      </c>
      <c r="B7169">
        <v>41</v>
      </c>
      <c r="C7169">
        <v>0</v>
      </c>
      <c r="D7169">
        <v>0</v>
      </c>
      <c r="E7169">
        <v>0</v>
      </c>
      <c r="F7169">
        <v>1</v>
      </c>
    </row>
    <row r="7170" spans="1:6" x14ac:dyDescent="0.25">
      <c r="A7170">
        <v>7169</v>
      </c>
      <c r="B7170" t="s">
        <v>0</v>
      </c>
      <c r="C7170">
        <v>172</v>
      </c>
      <c r="D7170">
        <v>3486</v>
      </c>
      <c r="E7170">
        <v>80186244</v>
      </c>
    </row>
    <row r="7171" spans="1:6" x14ac:dyDescent="0.25">
      <c r="A7171">
        <v>7170</v>
      </c>
      <c r="B7171">
        <v>42</v>
      </c>
      <c r="C7171">
        <v>0</v>
      </c>
      <c r="D7171">
        <v>0</v>
      </c>
      <c r="E7171">
        <v>0</v>
      </c>
      <c r="F7171">
        <v>0.2</v>
      </c>
    </row>
    <row r="7172" spans="1:6" x14ac:dyDescent="0.25">
      <c r="A7172">
        <v>7171</v>
      </c>
      <c r="B7172" t="s">
        <v>0</v>
      </c>
      <c r="C7172">
        <v>173</v>
      </c>
      <c r="D7172">
        <v>3486</v>
      </c>
      <c r="E7172">
        <v>80186343</v>
      </c>
    </row>
    <row r="7173" spans="1:6" x14ac:dyDescent="0.25">
      <c r="A7173">
        <v>7172</v>
      </c>
      <c r="B7173">
        <v>44</v>
      </c>
      <c r="C7173">
        <v>0</v>
      </c>
      <c r="D7173">
        <v>0</v>
      </c>
      <c r="E7173">
        <v>0</v>
      </c>
      <c r="F7173">
        <v>-172.57300000000001</v>
      </c>
    </row>
    <row r="7174" spans="1:6" x14ac:dyDescent="0.25">
      <c r="A7174">
        <v>7173</v>
      </c>
      <c r="B7174" t="s">
        <v>0</v>
      </c>
      <c r="C7174">
        <v>174</v>
      </c>
      <c r="D7174">
        <v>3486</v>
      </c>
      <c r="E7174">
        <v>80186443</v>
      </c>
    </row>
    <row r="7175" spans="1:6" x14ac:dyDescent="0.25">
      <c r="A7175">
        <v>7174</v>
      </c>
      <c r="B7175">
        <v>45</v>
      </c>
      <c r="C7175">
        <v>0</v>
      </c>
      <c r="D7175">
        <v>0</v>
      </c>
      <c r="E7175">
        <v>0</v>
      </c>
      <c r="F7175">
        <v>538.12300000000005</v>
      </c>
    </row>
    <row r="7176" spans="1:6" x14ac:dyDescent="0.25">
      <c r="A7176">
        <v>7175</v>
      </c>
      <c r="B7176" t="s">
        <v>0</v>
      </c>
      <c r="C7176">
        <v>175</v>
      </c>
      <c r="D7176">
        <v>3486</v>
      </c>
      <c r="E7176">
        <v>80186543</v>
      </c>
    </row>
    <row r="7177" spans="1:6" x14ac:dyDescent="0.25">
      <c r="A7177">
        <v>7176</v>
      </c>
      <c r="B7177">
        <v>2</v>
      </c>
      <c r="C7177">
        <v>0</v>
      </c>
      <c r="D7177">
        <v>0</v>
      </c>
      <c r="E7177">
        <v>0</v>
      </c>
      <c r="F7177">
        <v>334.61200000000002</v>
      </c>
    </row>
    <row r="7178" spans="1:6" x14ac:dyDescent="0.25">
      <c r="A7178">
        <v>7177</v>
      </c>
      <c r="B7178" t="s">
        <v>0</v>
      </c>
      <c r="C7178">
        <v>176</v>
      </c>
      <c r="D7178">
        <v>3486</v>
      </c>
      <c r="E7178">
        <v>80186642</v>
      </c>
    </row>
    <row r="7179" spans="1:6" x14ac:dyDescent="0.25">
      <c r="A7179">
        <v>7178</v>
      </c>
      <c r="B7179">
        <v>10</v>
      </c>
      <c r="C7179">
        <v>1</v>
      </c>
      <c r="D7179">
        <v>0</v>
      </c>
      <c r="E7179">
        <v>0</v>
      </c>
      <c r="F7179">
        <v>3012</v>
      </c>
    </row>
    <row r="7180" spans="1:6" x14ac:dyDescent="0.25">
      <c r="A7180">
        <v>7179</v>
      </c>
      <c r="B7180" t="s">
        <v>0</v>
      </c>
      <c r="C7180">
        <v>177</v>
      </c>
      <c r="D7180">
        <v>3486</v>
      </c>
      <c r="E7180">
        <v>80186742</v>
      </c>
    </row>
    <row r="7181" spans="1:6" x14ac:dyDescent="0.25">
      <c r="A7181">
        <v>7180</v>
      </c>
      <c r="B7181">
        <v>41</v>
      </c>
      <c r="C7181">
        <v>0</v>
      </c>
      <c r="D7181">
        <v>0</v>
      </c>
      <c r="E7181">
        <v>0</v>
      </c>
      <c r="F7181">
        <v>1</v>
      </c>
    </row>
    <row r="7182" spans="1:6" x14ac:dyDescent="0.25">
      <c r="A7182">
        <v>7181</v>
      </c>
      <c r="B7182" t="s">
        <v>0</v>
      </c>
      <c r="C7182">
        <v>178</v>
      </c>
      <c r="D7182">
        <v>3486</v>
      </c>
      <c r="E7182">
        <v>80186842</v>
      </c>
    </row>
    <row r="7183" spans="1:6" x14ac:dyDescent="0.25">
      <c r="A7183">
        <v>7182</v>
      </c>
      <c r="B7183">
        <v>42</v>
      </c>
      <c r="C7183">
        <v>0</v>
      </c>
      <c r="D7183">
        <v>0</v>
      </c>
      <c r="E7183">
        <v>0</v>
      </c>
      <c r="F7183">
        <v>0.2</v>
      </c>
    </row>
    <row r="7184" spans="1:6" x14ac:dyDescent="0.25">
      <c r="A7184">
        <v>7183</v>
      </c>
      <c r="B7184">
        <v>43</v>
      </c>
      <c r="C7184">
        <v>0</v>
      </c>
      <c r="D7184">
        <v>0</v>
      </c>
      <c r="E7184">
        <v>0</v>
      </c>
      <c r="F7184">
        <v>0</v>
      </c>
    </row>
    <row r="7185" spans="1:6" x14ac:dyDescent="0.25">
      <c r="A7185">
        <v>7184</v>
      </c>
      <c r="B7185">
        <v>44</v>
      </c>
      <c r="C7185">
        <v>0</v>
      </c>
      <c r="D7185">
        <v>0</v>
      </c>
      <c r="E7185">
        <v>0</v>
      </c>
      <c r="F7185">
        <v>-171.9</v>
      </c>
    </row>
    <row r="7186" spans="1:6" x14ac:dyDescent="0.25">
      <c r="A7186">
        <v>7185</v>
      </c>
      <c r="B7186" t="s">
        <v>0</v>
      </c>
      <c r="C7186">
        <v>0</v>
      </c>
      <c r="D7186">
        <v>3487</v>
      </c>
      <c r="E7186">
        <v>80187042</v>
      </c>
    </row>
    <row r="7187" spans="1:6" x14ac:dyDescent="0.25">
      <c r="A7187">
        <v>7186</v>
      </c>
      <c r="B7187">
        <v>45</v>
      </c>
      <c r="C7187">
        <v>0</v>
      </c>
      <c r="D7187">
        <v>0</v>
      </c>
      <c r="E7187">
        <v>0</v>
      </c>
      <c r="F7187">
        <v>538.04</v>
      </c>
    </row>
    <row r="7188" spans="1:6" x14ac:dyDescent="0.25">
      <c r="A7188">
        <v>7187</v>
      </c>
      <c r="B7188" t="s">
        <v>0</v>
      </c>
      <c r="C7188">
        <v>1</v>
      </c>
      <c r="D7188">
        <v>3487</v>
      </c>
      <c r="E7188">
        <v>80187142</v>
      </c>
    </row>
    <row r="7189" spans="1:6" x14ac:dyDescent="0.25">
      <c r="A7189">
        <v>7188</v>
      </c>
      <c r="B7189">
        <v>2</v>
      </c>
      <c r="C7189">
        <v>0</v>
      </c>
      <c r="D7189">
        <v>0</v>
      </c>
      <c r="E7189">
        <v>0</v>
      </c>
      <c r="F7189">
        <v>334.173</v>
      </c>
    </row>
    <row r="7190" spans="1:6" x14ac:dyDescent="0.25">
      <c r="A7190">
        <v>7189</v>
      </c>
      <c r="B7190" t="s">
        <v>0</v>
      </c>
      <c r="C7190">
        <v>2</v>
      </c>
      <c r="D7190">
        <v>3487</v>
      </c>
      <c r="E7190">
        <v>80187242</v>
      </c>
    </row>
    <row r="7191" spans="1:6" x14ac:dyDescent="0.25">
      <c r="A7191">
        <v>7190</v>
      </c>
      <c r="B7191">
        <v>10</v>
      </c>
      <c r="C7191">
        <v>1</v>
      </c>
      <c r="D7191">
        <v>0</v>
      </c>
      <c r="E7191">
        <v>0</v>
      </c>
      <c r="F7191">
        <v>3018</v>
      </c>
    </row>
    <row r="7192" spans="1:6" x14ac:dyDescent="0.25">
      <c r="A7192">
        <v>7191</v>
      </c>
      <c r="B7192" t="s">
        <v>0</v>
      </c>
      <c r="C7192">
        <v>3</v>
      </c>
      <c r="D7192">
        <v>3487</v>
      </c>
      <c r="E7192">
        <v>80187342</v>
      </c>
    </row>
    <row r="7193" spans="1:6" x14ac:dyDescent="0.25">
      <c r="A7193">
        <v>7192</v>
      </c>
      <c r="B7193">
        <v>41</v>
      </c>
      <c r="C7193">
        <v>0</v>
      </c>
      <c r="D7193">
        <v>0</v>
      </c>
      <c r="E7193">
        <v>0</v>
      </c>
      <c r="F7193">
        <v>1</v>
      </c>
    </row>
    <row r="7194" spans="1:6" x14ac:dyDescent="0.25">
      <c r="A7194">
        <v>7193</v>
      </c>
      <c r="B7194" t="s">
        <v>0</v>
      </c>
      <c r="C7194">
        <v>4</v>
      </c>
      <c r="D7194">
        <v>3487</v>
      </c>
      <c r="E7194">
        <v>80187442</v>
      </c>
    </row>
    <row r="7195" spans="1:6" x14ac:dyDescent="0.25">
      <c r="A7195">
        <v>7194</v>
      </c>
      <c r="B7195">
        <v>42</v>
      </c>
      <c r="C7195">
        <v>0</v>
      </c>
      <c r="D7195">
        <v>0</v>
      </c>
      <c r="E7195">
        <v>0</v>
      </c>
      <c r="F7195">
        <v>0.2</v>
      </c>
    </row>
    <row r="7196" spans="1:6" x14ac:dyDescent="0.25">
      <c r="A7196">
        <v>7195</v>
      </c>
      <c r="B7196" t="s">
        <v>0</v>
      </c>
      <c r="C7196">
        <v>5</v>
      </c>
      <c r="D7196">
        <v>3487</v>
      </c>
      <c r="E7196">
        <v>80187542</v>
      </c>
    </row>
    <row r="7197" spans="1:6" x14ac:dyDescent="0.25">
      <c r="A7197">
        <v>7196</v>
      </c>
      <c r="B7197">
        <v>44</v>
      </c>
      <c r="C7197">
        <v>0</v>
      </c>
      <c r="D7197">
        <v>0</v>
      </c>
      <c r="E7197">
        <v>0</v>
      </c>
      <c r="F7197">
        <v>-171.13399999999999</v>
      </c>
    </row>
    <row r="7198" spans="1:6" x14ac:dyDescent="0.25">
      <c r="A7198">
        <v>7197</v>
      </c>
      <c r="B7198" t="s">
        <v>0</v>
      </c>
      <c r="C7198">
        <v>6</v>
      </c>
      <c r="D7198">
        <v>3487</v>
      </c>
      <c r="E7198">
        <v>80187642</v>
      </c>
    </row>
    <row r="7199" spans="1:6" x14ac:dyDescent="0.25">
      <c r="A7199">
        <v>7198</v>
      </c>
      <c r="B7199">
        <v>45</v>
      </c>
      <c r="C7199">
        <v>0</v>
      </c>
      <c r="D7199">
        <v>0</v>
      </c>
      <c r="E7199">
        <v>0</v>
      </c>
      <c r="F7199">
        <v>537.91600000000005</v>
      </c>
    </row>
    <row r="7200" spans="1:6" x14ac:dyDescent="0.25">
      <c r="A7200">
        <v>7199</v>
      </c>
      <c r="B7200" t="s">
        <v>0</v>
      </c>
      <c r="C7200">
        <v>7</v>
      </c>
      <c r="D7200">
        <v>3487</v>
      </c>
      <c r="E7200">
        <v>80187742</v>
      </c>
    </row>
    <row r="7201" spans="1:6" x14ac:dyDescent="0.25">
      <c r="A7201">
        <v>7200</v>
      </c>
      <c r="B7201">
        <v>2</v>
      </c>
      <c r="C7201">
        <v>0</v>
      </c>
      <c r="D7201">
        <v>0</v>
      </c>
      <c r="E7201">
        <v>0</v>
      </c>
      <c r="F7201">
        <v>333.45499999999998</v>
      </c>
    </row>
    <row r="7202" spans="1:6" x14ac:dyDescent="0.25">
      <c r="A7202">
        <v>7201</v>
      </c>
      <c r="B7202" t="s">
        <v>0</v>
      </c>
      <c r="C7202">
        <v>8</v>
      </c>
      <c r="D7202">
        <v>3487</v>
      </c>
      <c r="E7202">
        <v>80187842</v>
      </c>
    </row>
    <row r="7203" spans="1:6" x14ac:dyDescent="0.25">
      <c r="A7203">
        <v>7202</v>
      </c>
      <c r="B7203">
        <v>10</v>
      </c>
      <c r="C7203">
        <v>1</v>
      </c>
      <c r="D7203">
        <v>0</v>
      </c>
      <c r="E7203">
        <v>0</v>
      </c>
      <c r="F7203">
        <v>3028</v>
      </c>
    </row>
    <row r="7204" spans="1:6" x14ac:dyDescent="0.25">
      <c r="A7204">
        <v>7203</v>
      </c>
      <c r="B7204" t="s">
        <v>0</v>
      </c>
      <c r="C7204">
        <v>9</v>
      </c>
      <c r="D7204">
        <v>3487</v>
      </c>
      <c r="E7204">
        <v>80187942</v>
      </c>
    </row>
    <row r="7205" spans="1:6" x14ac:dyDescent="0.25">
      <c r="A7205">
        <v>7204</v>
      </c>
      <c r="B7205">
        <v>41</v>
      </c>
      <c r="C7205">
        <v>0</v>
      </c>
      <c r="D7205">
        <v>0</v>
      </c>
      <c r="E7205">
        <v>0</v>
      </c>
      <c r="F7205">
        <v>1</v>
      </c>
    </row>
    <row r="7206" spans="1:6" x14ac:dyDescent="0.25">
      <c r="A7206">
        <v>7205</v>
      </c>
      <c r="B7206">
        <v>42</v>
      </c>
      <c r="C7206">
        <v>0</v>
      </c>
      <c r="D7206">
        <v>0</v>
      </c>
      <c r="E7206">
        <v>0</v>
      </c>
      <c r="F7206">
        <v>0.2</v>
      </c>
    </row>
    <row r="7207" spans="1:6" x14ac:dyDescent="0.25">
      <c r="A7207">
        <v>7206</v>
      </c>
      <c r="B7207" t="s">
        <v>0</v>
      </c>
      <c r="C7207">
        <v>11</v>
      </c>
      <c r="D7207">
        <v>3487</v>
      </c>
      <c r="E7207">
        <v>80188142</v>
      </c>
    </row>
    <row r="7208" spans="1:6" x14ac:dyDescent="0.25">
      <c r="A7208">
        <v>7207</v>
      </c>
      <c r="B7208">
        <v>44</v>
      </c>
      <c r="C7208">
        <v>0</v>
      </c>
      <c r="D7208">
        <v>0</v>
      </c>
      <c r="E7208">
        <v>0</v>
      </c>
      <c r="F7208">
        <v>-170.29300000000001</v>
      </c>
    </row>
    <row r="7209" spans="1:6" x14ac:dyDescent="0.25">
      <c r="A7209">
        <v>7208</v>
      </c>
      <c r="B7209" t="s">
        <v>0</v>
      </c>
      <c r="C7209">
        <v>12</v>
      </c>
      <c r="D7209">
        <v>3487</v>
      </c>
      <c r="E7209">
        <v>80188242</v>
      </c>
    </row>
    <row r="7210" spans="1:6" x14ac:dyDescent="0.25">
      <c r="A7210">
        <v>7209</v>
      </c>
      <c r="B7210">
        <v>45</v>
      </c>
      <c r="C7210">
        <v>0</v>
      </c>
      <c r="D7210">
        <v>0</v>
      </c>
      <c r="E7210">
        <v>0</v>
      </c>
      <c r="F7210">
        <v>537.79200000000003</v>
      </c>
    </row>
    <row r="7211" spans="1:6" x14ac:dyDescent="0.25">
      <c r="A7211">
        <v>7210</v>
      </c>
      <c r="B7211" t="s">
        <v>0</v>
      </c>
      <c r="C7211">
        <v>13</v>
      </c>
      <c r="D7211">
        <v>3487</v>
      </c>
      <c r="E7211">
        <v>80188342</v>
      </c>
    </row>
    <row r="7212" spans="1:6" x14ac:dyDescent="0.25">
      <c r="A7212">
        <v>7211</v>
      </c>
      <c r="B7212">
        <v>2</v>
      </c>
      <c r="C7212">
        <v>0</v>
      </c>
      <c r="D7212">
        <v>0</v>
      </c>
      <c r="E7212">
        <v>0</v>
      </c>
      <c r="F7212">
        <v>332.767</v>
      </c>
    </row>
    <row r="7213" spans="1:6" x14ac:dyDescent="0.25">
      <c r="A7213">
        <v>7212</v>
      </c>
      <c r="B7213" t="s">
        <v>0</v>
      </c>
      <c r="C7213">
        <v>14</v>
      </c>
      <c r="D7213">
        <v>3487</v>
      </c>
      <c r="E7213">
        <v>80188442</v>
      </c>
    </row>
    <row r="7214" spans="1:6" x14ac:dyDescent="0.25">
      <c r="A7214">
        <v>7213</v>
      </c>
      <c r="B7214">
        <v>10</v>
      </c>
      <c r="C7214">
        <v>1</v>
      </c>
      <c r="D7214">
        <v>0</v>
      </c>
      <c r="E7214">
        <v>0</v>
      </c>
      <c r="F7214">
        <v>3037</v>
      </c>
    </row>
    <row r="7215" spans="1:6" x14ac:dyDescent="0.25">
      <c r="A7215">
        <v>7214</v>
      </c>
      <c r="B7215" t="s">
        <v>0</v>
      </c>
      <c r="C7215">
        <v>15</v>
      </c>
      <c r="D7215">
        <v>3487</v>
      </c>
      <c r="E7215">
        <v>80188542</v>
      </c>
    </row>
    <row r="7216" spans="1:6" x14ac:dyDescent="0.25">
      <c r="A7216">
        <v>7215</v>
      </c>
      <c r="B7216">
        <v>41</v>
      </c>
      <c r="C7216">
        <v>0</v>
      </c>
      <c r="D7216">
        <v>0</v>
      </c>
      <c r="E7216">
        <v>0</v>
      </c>
      <c r="F7216">
        <v>1</v>
      </c>
    </row>
    <row r="7217" spans="1:6" x14ac:dyDescent="0.25">
      <c r="A7217">
        <v>7216</v>
      </c>
      <c r="B7217" t="s">
        <v>0</v>
      </c>
      <c r="C7217">
        <v>16</v>
      </c>
      <c r="D7217">
        <v>3487</v>
      </c>
      <c r="E7217">
        <v>80188642</v>
      </c>
    </row>
    <row r="7218" spans="1:6" x14ac:dyDescent="0.25">
      <c r="A7218">
        <v>7217</v>
      </c>
      <c r="B7218">
        <v>42</v>
      </c>
      <c r="C7218">
        <v>0</v>
      </c>
      <c r="D7218">
        <v>0</v>
      </c>
      <c r="E7218">
        <v>0</v>
      </c>
      <c r="F7218">
        <v>0.2</v>
      </c>
    </row>
    <row r="7219" spans="1:6" x14ac:dyDescent="0.25">
      <c r="A7219">
        <v>7218</v>
      </c>
      <c r="B7219" t="s">
        <v>0</v>
      </c>
      <c r="C7219">
        <v>17</v>
      </c>
      <c r="D7219">
        <v>3487</v>
      </c>
      <c r="E7219">
        <v>80188742</v>
      </c>
    </row>
    <row r="7220" spans="1:6" x14ac:dyDescent="0.25">
      <c r="A7220">
        <v>7219</v>
      </c>
      <c r="B7220">
        <v>44</v>
      </c>
      <c r="C7220">
        <v>0</v>
      </c>
      <c r="D7220">
        <v>0</v>
      </c>
      <c r="E7220">
        <v>0</v>
      </c>
      <c r="F7220">
        <v>-169.46199999999999</v>
      </c>
    </row>
    <row r="7221" spans="1:6" x14ac:dyDescent="0.25">
      <c r="A7221">
        <v>7220</v>
      </c>
      <c r="B7221" t="s">
        <v>0</v>
      </c>
      <c r="C7221">
        <v>18</v>
      </c>
      <c r="D7221">
        <v>3487</v>
      </c>
      <c r="E7221">
        <v>80188843</v>
      </c>
    </row>
    <row r="7222" spans="1:6" x14ac:dyDescent="0.25">
      <c r="A7222">
        <v>7221</v>
      </c>
      <c r="B7222">
        <v>45</v>
      </c>
      <c r="C7222">
        <v>0</v>
      </c>
      <c r="D7222">
        <v>0</v>
      </c>
      <c r="E7222">
        <v>0</v>
      </c>
      <c r="F7222">
        <v>537.66899999999998</v>
      </c>
    </row>
    <row r="7223" spans="1:6" x14ac:dyDescent="0.25">
      <c r="A7223">
        <v>7222</v>
      </c>
      <c r="B7223" t="s">
        <v>0</v>
      </c>
      <c r="C7223">
        <v>19</v>
      </c>
      <c r="D7223">
        <v>3487</v>
      </c>
      <c r="E7223">
        <v>80188943</v>
      </c>
    </row>
    <row r="7224" spans="1:6" x14ac:dyDescent="0.25">
      <c r="A7224">
        <v>7223</v>
      </c>
      <c r="B7224">
        <v>2</v>
      </c>
      <c r="C7224">
        <v>0</v>
      </c>
      <c r="D7224">
        <v>0</v>
      </c>
      <c r="E7224">
        <v>0</v>
      </c>
      <c r="F7224">
        <v>332.08800000000002</v>
      </c>
    </row>
    <row r="7225" spans="1:6" x14ac:dyDescent="0.25">
      <c r="A7225">
        <v>7224</v>
      </c>
      <c r="B7225" t="s">
        <v>0</v>
      </c>
      <c r="C7225">
        <v>20</v>
      </c>
      <c r="D7225">
        <v>3487</v>
      </c>
      <c r="E7225">
        <v>80189043</v>
      </c>
    </row>
    <row r="7226" spans="1:6" x14ac:dyDescent="0.25">
      <c r="A7226">
        <v>7225</v>
      </c>
      <c r="B7226">
        <v>10</v>
      </c>
      <c r="C7226">
        <v>1</v>
      </c>
      <c r="D7226">
        <v>0</v>
      </c>
      <c r="E7226">
        <v>0</v>
      </c>
      <c r="F7226">
        <v>3046</v>
      </c>
    </row>
    <row r="7227" spans="1:6" x14ac:dyDescent="0.25">
      <c r="A7227">
        <v>7226</v>
      </c>
      <c r="B7227" t="s">
        <v>0</v>
      </c>
      <c r="C7227">
        <v>21</v>
      </c>
      <c r="D7227">
        <v>3487</v>
      </c>
      <c r="E7227">
        <v>80189144</v>
      </c>
    </row>
    <row r="7228" spans="1:6" x14ac:dyDescent="0.25">
      <c r="A7228">
        <v>7227</v>
      </c>
      <c r="B7228">
        <v>41</v>
      </c>
      <c r="C7228">
        <v>0</v>
      </c>
      <c r="D7228">
        <v>0</v>
      </c>
      <c r="E7228">
        <v>0</v>
      </c>
      <c r="F7228">
        <v>1</v>
      </c>
    </row>
    <row r="7229" spans="1:6" x14ac:dyDescent="0.25">
      <c r="A7229">
        <v>7228</v>
      </c>
      <c r="B7229" t="s">
        <v>0</v>
      </c>
      <c r="C7229">
        <v>22</v>
      </c>
      <c r="D7229">
        <v>3487</v>
      </c>
      <c r="E7229">
        <v>80189245</v>
      </c>
    </row>
    <row r="7230" spans="1:6" x14ac:dyDescent="0.25">
      <c r="A7230">
        <v>7229</v>
      </c>
      <c r="B7230">
        <v>42</v>
      </c>
      <c r="C7230">
        <v>0</v>
      </c>
      <c r="D7230">
        <v>0</v>
      </c>
      <c r="E7230">
        <v>0</v>
      </c>
      <c r="F7230">
        <v>0.2</v>
      </c>
    </row>
    <row r="7231" spans="1:6" x14ac:dyDescent="0.25">
      <c r="A7231">
        <v>7230</v>
      </c>
      <c r="B7231" t="s">
        <v>0</v>
      </c>
      <c r="C7231">
        <v>23</v>
      </c>
      <c r="D7231">
        <v>3487</v>
      </c>
      <c r="E7231">
        <v>80189346</v>
      </c>
    </row>
    <row r="7232" spans="1:6" x14ac:dyDescent="0.25">
      <c r="A7232">
        <v>7231</v>
      </c>
      <c r="B7232">
        <v>44</v>
      </c>
      <c r="C7232">
        <v>0</v>
      </c>
      <c r="D7232">
        <v>0</v>
      </c>
      <c r="E7232">
        <v>0</v>
      </c>
      <c r="F7232">
        <v>-168.63800000000001</v>
      </c>
    </row>
    <row r="7233" spans="1:6" x14ac:dyDescent="0.25">
      <c r="A7233">
        <v>7232</v>
      </c>
      <c r="B7233" t="s">
        <v>0</v>
      </c>
      <c r="C7233">
        <v>24</v>
      </c>
      <c r="D7233">
        <v>3487</v>
      </c>
      <c r="E7233">
        <v>80189447</v>
      </c>
    </row>
    <row r="7234" spans="1:6" x14ac:dyDescent="0.25">
      <c r="A7234">
        <v>7233</v>
      </c>
      <c r="B7234">
        <v>45</v>
      </c>
      <c r="C7234">
        <v>0</v>
      </c>
      <c r="D7234">
        <v>0</v>
      </c>
      <c r="E7234">
        <v>0</v>
      </c>
      <c r="F7234">
        <v>537.54600000000005</v>
      </c>
    </row>
    <row r="7235" spans="1:6" x14ac:dyDescent="0.25">
      <c r="A7235">
        <v>7234</v>
      </c>
      <c r="B7235" t="s">
        <v>0</v>
      </c>
      <c r="C7235">
        <v>25</v>
      </c>
      <c r="D7235">
        <v>3487</v>
      </c>
      <c r="E7235">
        <v>80189547</v>
      </c>
    </row>
    <row r="7236" spans="1:6" x14ac:dyDescent="0.25">
      <c r="A7236">
        <v>7235</v>
      </c>
      <c r="B7236">
        <v>2</v>
      </c>
      <c r="C7236">
        <v>0</v>
      </c>
      <c r="D7236">
        <v>0</v>
      </c>
      <c r="E7236">
        <v>0</v>
      </c>
      <c r="F7236">
        <v>331.416</v>
      </c>
    </row>
    <row r="7237" spans="1:6" x14ac:dyDescent="0.25">
      <c r="A7237">
        <v>7236</v>
      </c>
      <c r="B7237" t="s">
        <v>0</v>
      </c>
      <c r="C7237">
        <v>26</v>
      </c>
      <c r="D7237">
        <v>3487</v>
      </c>
      <c r="E7237">
        <v>80189648</v>
      </c>
    </row>
    <row r="7238" spans="1:6" x14ac:dyDescent="0.25">
      <c r="A7238">
        <v>7237</v>
      </c>
      <c r="B7238">
        <v>10</v>
      </c>
      <c r="C7238">
        <v>1</v>
      </c>
      <c r="D7238">
        <v>0</v>
      </c>
      <c r="E7238">
        <v>0</v>
      </c>
      <c r="F7238">
        <v>3055</v>
      </c>
    </row>
    <row r="7239" spans="1:6" x14ac:dyDescent="0.25">
      <c r="A7239">
        <v>7238</v>
      </c>
      <c r="B7239" t="s">
        <v>0</v>
      </c>
      <c r="C7239">
        <v>27</v>
      </c>
      <c r="D7239">
        <v>3487</v>
      </c>
      <c r="E7239">
        <v>80189749</v>
      </c>
    </row>
    <row r="7240" spans="1:6" x14ac:dyDescent="0.25">
      <c r="A7240">
        <v>7239</v>
      </c>
      <c r="B7240">
        <v>41</v>
      </c>
      <c r="C7240">
        <v>0</v>
      </c>
      <c r="D7240">
        <v>0</v>
      </c>
      <c r="E7240">
        <v>0</v>
      </c>
      <c r="F7240">
        <v>1</v>
      </c>
    </row>
    <row r="7241" spans="1:6" x14ac:dyDescent="0.25">
      <c r="A7241">
        <v>7240</v>
      </c>
      <c r="B7241" t="s">
        <v>0</v>
      </c>
      <c r="C7241">
        <v>28</v>
      </c>
      <c r="D7241">
        <v>3487</v>
      </c>
      <c r="E7241">
        <v>80189850</v>
      </c>
    </row>
    <row r="7242" spans="1:6" x14ac:dyDescent="0.25">
      <c r="A7242">
        <v>7241</v>
      </c>
      <c r="B7242">
        <v>42</v>
      </c>
      <c r="C7242">
        <v>0</v>
      </c>
      <c r="D7242">
        <v>0</v>
      </c>
      <c r="E7242">
        <v>0</v>
      </c>
      <c r="F7242">
        <v>0.2</v>
      </c>
    </row>
    <row r="7243" spans="1:6" x14ac:dyDescent="0.25">
      <c r="A7243">
        <v>7242</v>
      </c>
      <c r="B7243" t="s">
        <v>0</v>
      </c>
      <c r="C7243">
        <v>29</v>
      </c>
      <c r="D7243">
        <v>3487</v>
      </c>
      <c r="E7243">
        <v>80189951</v>
      </c>
    </row>
    <row r="7244" spans="1:6" x14ac:dyDescent="0.25">
      <c r="A7244">
        <v>7243</v>
      </c>
      <c r="B7244">
        <v>44</v>
      </c>
      <c r="C7244">
        <v>0</v>
      </c>
      <c r="D7244">
        <v>0</v>
      </c>
      <c r="E7244">
        <v>0</v>
      </c>
      <c r="F7244">
        <v>-167.81899999999999</v>
      </c>
    </row>
    <row r="7245" spans="1:6" x14ac:dyDescent="0.25">
      <c r="A7245">
        <v>7244</v>
      </c>
      <c r="B7245" t="s">
        <v>0</v>
      </c>
      <c r="C7245">
        <v>30</v>
      </c>
      <c r="D7245">
        <v>3487</v>
      </c>
      <c r="E7245">
        <v>80190052</v>
      </c>
    </row>
    <row r="7246" spans="1:6" x14ac:dyDescent="0.25">
      <c r="A7246">
        <v>7245</v>
      </c>
      <c r="B7246">
        <v>45</v>
      </c>
      <c r="C7246">
        <v>0</v>
      </c>
      <c r="D7246">
        <v>0</v>
      </c>
      <c r="E7246">
        <v>0</v>
      </c>
      <c r="F7246">
        <v>537.423</v>
      </c>
    </row>
    <row r="7247" spans="1:6" x14ac:dyDescent="0.25">
      <c r="A7247">
        <v>7246</v>
      </c>
      <c r="B7247" t="s">
        <v>0</v>
      </c>
      <c r="C7247">
        <v>31</v>
      </c>
      <c r="D7247">
        <v>3487</v>
      </c>
      <c r="E7247">
        <v>80190153</v>
      </c>
    </row>
    <row r="7248" spans="1:6" x14ac:dyDescent="0.25">
      <c r="A7248">
        <v>7247</v>
      </c>
      <c r="B7248">
        <v>2</v>
      </c>
      <c r="C7248">
        <v>0</v>
      </c>
      <c r="D7248">
        <v>0</v>
      </c>
      <c r="E7248">
        <v>0</v>
      </c>
      <c r="F7248">
        <v>330.76499999999999</v>
      </c>
    </row>
    <row r="7249" spans="1:6" x14ac:dyDescent="0.25">
      <c r="A7249">
        <v>7248</v>
      </c>
      <c r="B7249" t="s">
        <v>0</v>
      </c>
      <c r="C7249">
        <v>32</v>
      </c>
      <c r="D7249">
        <v>3487</v>
      </c>
      <c r="E7249">
        <v>80190254</v>
      </c>
    </row>
    <row r="7250" spans="1:6" x14ac:dyDescent="0.25">
      <c r="A7250">
        <v>7249</v>
      </c>
      <c r="B7250">
        <v>10</v>
      </c>
      <c r="C7250">
        <v>1</v>
      </c>
      <c r="D7250">
        <v>0</v>
      </c>
      <c r="E7250">
        <v>0</v>
      </c>
      <c r="F7250">
        <v>3064</v>
      </c>
    </row>
    <row r="7251" spans="1:6" x14ac:dyDescent="0.25">
      <c r="A7251">
        <v>7250</v>
      </c>
      <c r="B7251" t="s">
        <v>0</v>
      </c>
      <c r="C7251">
        <v>33</v>
      </c>
      <c r="D7251">
        <v>3487</v>
      </c>
      <c r="E7251">
        <v>80190355</v>
      </c>
    </row>
    <row r="7252" spans="1:6" x14ac:dyDescent="0.25">
      <c r="A7252">
        <v>7251</v>
      </c>
      <c r="B7252">
        <v>41</v>
      </c>
      <c r="C7252">
        <v>0</v>
      </c>
      <c r="D7252">
        <v>0</v>
      </c>
      <c r="E7252">
        <v>0</v>
      </c>
      <c r="F7252">
        <v>1</v>
      </c>
    </row>
    <row r="7253" spans="1:6" x14ac:dyDescent="0.25">
      <c r="A7253">
        <v>7252</v>
      </c>
      <c r="B7253" t="s">
        <v>0</v>
      </c>
      <c r="C7253">
        <v>34</v>
      </c>
      <c r="D7253">
        <v>3487</v>
      </c>
      <c r="E7253">
        <v>80190456</v>
      </c>
    </row>
    <row r="7254" spans="1:6" x14ac:dyDescent="0.25">
      <c r="A7254">
        <v>7253</v>
      </c>
      <c r="B7254">
        <v>42</v>
      </c>
      <c r="C7254">
        <v>0</v>
      </c>
      <c r="D7254">
        <v>0</v>
      </c>
      <c r="E7254">
        <v>0</v>
      </c>
      <c r="F7254">
        <v>0.2</v>
      </c>
    </row>
    <row r="7255" spans="1:6" x14ac:dyDescent="0.25">
      <c r="A7255">
        <v>7254</v>
      </c>
      <c r="B7255" t="s">
        <v>0</v>
      </c>
      <c r="C7255">
        <v>35</v>
      </c>
      <c r="D7255">
        <v>3487</v>
      </c>
      <c r="E7255">
        <v>80190557</v>
      </c>
    </row>
    <row r="7256" spans="1:6" x14ac:dyDescent="0.25">
      <c r="A7256">
        <v>7255</v>
      </c>
      <c r="B7256">
        <v>44</v>
      </c>
      <c r="C7256">
        <v>0</v>
      </c>
      <c r="D7256">
        <v>0</v>
      </c>
      <c r="E7256">
        <v>0</v>
      </c>
      <c r="F7256">
        <v>-167.01900000000001</v>
      </c>
    </row>
    <row r="7257" spans="1:6" x14ac:dyDescent="0.25">
      <c r="A7257">
        <v>7256</v>
      </c>
      <c r="B7257" t="s">
        <v>0</v>
      </c>
      <c r="C7257">
        <v>36</v>
      </c>
      <c r="D7257">
        <v>3487</v>
      </c>
      <c r="E7257">
        <v>80190658</v>
      </c>
    </row>
    <row r="7258" spans="1:6" x14ac:dyDescent="0.25">
      <c r="A7258">
        <v>7257</v>
      </c>
      <c r="B7258">
        <v>45</v>
      </c>
      <c r="C7258">
        <v>0</v>
      </c>
      <c r="D7258">
        <v>0</v>
      </c>
      <c r="E7258">
        <v>0</v>
      </c>
      <c r="F7258">
        <v>537.30100000000004</v>
      </c>
    </row>
    <row r="7259" spans="1:6" x14ac:dyDescent="0.25">
      <c r="A7259">
        <v>7258</v>
      </c>
      <c r="B7259" t="s">
        <v>0</v>
      </c>
      <c r="C7259">
        <v>37</v>
      </c>
      <c r="D7259">
        <v>3487</v>
      </c>
      <c r="E7259">
        <v>80190759</v>
      </c>
    </row>
    <row r="7260" spans="1:6" x14ac:dyDescent="0.25">
      <c r="A7260">
        <v>7259</v>
      </c>
      <c r="B7260">
        <v>46</v>
      </c>
      <c r="C7260">
        <v>0</v>
      </c>
      <c r="D7260">
        <v>0</v>
      </c>
      <c r="E7260">
        <v>0</v>
      </c>
      <c r="F7260">
        <v>0</v>
      </c>
    </row>
    <row r="7261" spans="1:6" x14ac:dyDescent="0.25">
      <c r="A7261">
        <v>7260</v>
      </c>
      <c r="B7261" t="s">
        <v>0</v>
      </c>
      <c r="C7261">
        <v>38</v>
      </c>
      <c r="D7261">
        <v>3487</v>
      </c>
      <c r="E7261">
        <v>80190860</v>
      </c>
    </row>
    <row r="7262" spans="1:6" x14ac:dyDescent="0.25">
      <c r="A7262">
        <v>7261</v>
      </c>
      <c r="B7262">
        <v>2</v>
      </c>
      <c r="C7262">
        <v>0</v>
      </c>
      <c r="D7262">
        <v>0</v>
      </c>
      <c r="E7262">
        <v>0</v>
      </c>
      <c r="F7262">
        <v>330.00200000000001</v>
      </c>
    </row>
    <row r="7263" spans="1:6" x14ac:dyDescent="0.25">
      <c r="A7263">
        <v>7262</v>
      </c>
      <c r="B7263">
        <v>10</v>
      </c>
      <c r="C7263">
        <v>1</v>
      </c>
      <c r="D7263">
        <v>0</v>
      </c>
      <c r="E7263">
        <v>0</v>
      </c>
      <c r="F7263">
        <v>3075</v>
      </c>
    </row>
    <row r="7264" spans="1:6" x14ac:dyDescent="0.25">
      <c r="A7264">
        <v>7263</v>
      </c>
      <c r="B7264">
        <v>13</v>
      </c>
      <c r="C7264">
        <v>0</v>
      </c>
      <c r="D7264">
        <v>0</v>
      </c>
      <c r="E7264">
        <v>0</v>
      </c>
      <c r="F7264">
        <v>1604</v>
      </c>
    </row>
    <row r="7265" spans="1:6" x14ac:dyDescent="0.25">
      <c r="A7265">
        <v>7264</v>
      </c>
      <c r="B7265" t="s">
        <v>0</v>
      </c>
      <c r="C7265">
        <v>40</v>
      </c>
      <c r="D7265">
        <v>3487</v>
      </c>
      <c r="E7265">
        <v>80191062</v>
      </c>
    </row>
    <row r="7266" spans="1:6" x14ac:dyDescent="0.25">
      <c r="A7266">
        <v>7265</v>
      </c>
      <c r="B7266">
        <v>41</v>
      </c>
      <c r="C7266">
        <v>0</v>
      </c>
      <c r="D7266">
        <v>0</v>
      </c>
      <c r="E7266">
        <v>0</v>
      </c>
      <c r="F7266">
        <v>1</v>
      </c>
    </row>
    <row r="7267" spans="1:6" x14ac:dyDescent="0.25">
      <c r="A7267">
        <v>7266</v>
      </c>
      <c r="B7267">
        <v>42</v>
      </c>
      <c r="C7267">
        <v>0</v>
      </c>
      <c r="D7267">
        <v>0</v>
      </c>
      <c r="E7267">
        <v>0</v>
      </c>
      <c r="F7267">
        <v>0.2</v>
      </c>
    </row>
    <row r="7268" spans="1:6" x14ac:dyDescent="0.25">
      <c r="A7268">
        <v>7267</v>
      </c>
      <c r="B7268">
        <v>43</v>
      </c>
      <c r="C7268">
        <v>0</v>
      </c>
      <c r="D7268">
        <v>0</v>
      </c>
      <c r="E7268">
        <v>0</v>
      </c>
      <c r="F7268">
        <v>0</v>
      </c>
    </row>
    <row r="7269" spans="1:6" x14ac:dyDescent="0.25">
      <c r="A7269">
        <v>7268</v>
      </c>
      <c r="B7269" t="s">
        <v>0</v>
      </c>
      <c r="C7269">
        <v>42</v>
      </c>
      <c r="D7269">
        <v>3487</v>
      </c>
      <c r="E7269">
        <v>80191264</v>
      </c>
    </row>
    <row r="7270" spans="1:6" x14ac:dyDescent="0.25">
      <c r="A7270">
        <v>7269</v>
      </c>
      <c r="B7270">
        <v>44</v>
      </c>
      <c r="C7270">
        <v>0</v>
      </c>
      <c r="D7270">
        <v>0</v>
      </c>
      <c r="E7270">
        <v>0</v>
      </c>
      <c r="F7270">
        <v>-166.08600000000001</v>
      </c>
    </row>
    <row r="7271" spans="1:6" x14ac:dyDescent="0.25">
      <c r="A7271">
        <v>7270</v>
      </c>
      <c r="B7271">
        <v>45</v>
      </c>
      <c r="C7271">
        <v>0</v>
      </c>
      <c r="D7271">
        <v>0</v>
      </c>
      <c r="E7271">
        <v>0</v>
      </c>
      <c r="F7271">
        <v>537.17899999999997</v>
      </c>
    </row>
    <row r="7272" spans="1:6" x14ac:dyDescent="0.25">
      <c r="A7272">
        <v>7271</v>
      </c>
      <c r="B7272">
        <v>46</v>
      </c>
      <c r="C7272">
        <v>0</v>
      </c>
      <c r="D7272">
        <v>0</v>
      </c>
      <c r="E7272">
        <v>0</v>
      </c>
      <c r="F7272">
        <v>0</v>
      </c>
    </row>
    <row r="7273" spans="1:6" x14ac:dyDescent="0.25">
      <c r="A7273">
        <v>7272</v>
      </c>
      <c r="B7273" t="s">
        <v>0</v>
      </c>
      <c r="C7273">
        <v>44</v>
      </c>
      <c r="D7273">
        <v>3487</v>
      </c>
      <c r="E7273">
        <v>80191466</v>
      </c>
    </row>
    <row r="7274" spans="1:6" x14ac:dyDescent="0.25">
      <c r="A7274">
        <v>7273</v>
      </c>
      <c r="B7274">
        <v>2</v>
      </c>
      <c r="C7274">
        <v>0</v>
      </c>
      <c r="D7274">
        <v>0</v>
      </c>
      <c r="E7274">
        <v>0</v>
      </c>
      <c r="F7274">
        <v>329.35300000000001</v>
      </c>
    </row>
    <row r="7275" spans="1:6" x14ac:dyDescent="0.25">
      <c r="A7275">
        <v>7274</v>
      </c>
      <c r="B7275">
        <v>10</v>
      </c>
      <c r="C7275">
        <v>1</v>
      </c>
      <c r="D7275">
        <v>0</v>
      </c>
      <c r="E7275">
        <v>0</v>
      </c>
      <c r="F7275">
        <v>3084</v>
      </c>
    </row>
    <row r="7276" spans="1:6" x14ac:dyDescent="0.25">
      <c r="A7276">
        <v>7275</v>
      </c>
      <c r="B7276">
        <v>13</v>
      </c>
      <c r="C7276">
        <v>0</v>
      </c>
      <c r="D7276">
        <v>0</v>
      </c>
      <c r="E7276">
        <v>0</v>
      </c>
      <c r="F7276">
        <v>1604</v>
      </c>
    </row>
    <row r="7277" spans="1:6" x14ac:dyDescent="0.25">
      <c r="A7277">
        <v>7276</v>
      </c>
      <c r="B7277" t="s">
        <v>0</v>
      </c>
      <c r="C7277">
        <v>46</v>
      </c>
      <c r="D7277">
        <v>3487</v>
      </c>
      <c r="E7277">
        <v>80191668</v>
      </c>
    </row>
    <row r="7278" spans="1:6" x14ac:dyDescent="0.25">
      <c r="A7278">
        <v>7277</v>
      </c>
      <c r="B7278">
        <v>42</v>
      </c>
      <c r="C7278">
        <v>0</v>
      </c>
      <c r="D7278">
        <v>0</v>
      </c>
      <c r="E7278">
        <v>0</v>
      </c>
      <c r="F7278">
        <v>0.2</v>
      </c>
    </row>
    <row r="7279" spans="1:6" x14ac:dyDescent="0.25">
      <c r="A7279">
        <v>7278</v>
      </c>
      <c r="B7279">
        <v>43</v>
      </c>
      <c r="C7279">
        <v>0</v>
      </c>
      <c r="D7279">
        <v>0</v>
      </c>
      <c r="E7279">
        <v>0</v>
      </c>
      <c r="F7279">
        <v>0</v>
      </c>
    </row>
    <row r="7280" spans="1:6" x14ac:dyDescent="0.25">
      <c r="A7280">
        <v>7279</v>
      </c>
      <c r="B7280" t="s">
        <v>0</v>
      </c>
      <c r="C7280">
        <v>48</v>
      </c>
      <c r="D7280">
        <v>3487</v>
      </c>
      <c r="E7280">
        <v>80191870</v>
      </c>
    </row>
    <row r="7281" spans="1:6" x14ac:dyDescent="0.25">
      <c r="A7281">
        <v>7280</v>
      </c>
      <c r="B7281">
        <v>45</v>
      </c>
      <c r="C7281">
        <v>0</v>
      </c>
      <c r="D7281">
        <v>0</v>
      </c>
      <c r="E7281">
        <v>0</v>
      </c>
      <c r="F7281">
        <v>537.05799999999999</v>
      </c>
    </row>
    <row r="7282" spans="1:6" x14ac:dyDescent="0.25">
      <c r="A7282">
        <v>7281</v>
      </c>
      <c r="B7282">
        <v>46</v>
      </c>
      <c r="C7282">
        <v>0</v>
      </c>
      <c r="D7282">
        <v>0</v>
      </c>
      <c r="E7282">
        <v>0</v>
      </c>
      <c r="F7282">
        <v>0</v>
      </c>
    </row>
    <row r="7283" spans="1:6" x14ac:dyDescent="0.25">
      <c r="A7283">
        <v>7282</v>
      </c>
      <c r="B7283" t="s">
        <v>0</v>
      </c>
      <c r="C7283">
        <v>50</v>
      </c>
      <c r="D7283">
        <v>3487</v>
      </c>
      <c r="E7283">
        <v>80192072</v>
      </c>
    </row>
    <row r="7284" spans="1:6" x14ac:dyDescent="0.25">
      <c r="A7284">
        <v>7283</v>
      </c>
      <c r="B7284">
        <v>10</v>
      </c>
      <c r="C7284">
        <v>1</v>
      </c>
      <c r="D7284">
        <v>0</v>
      </c>
      <c r="E7284">
        <v>0</v>
      </c>
      <c r="F7284">
        <v>3092</v>
      </c>
    </row>
    <row r="7285" spans="1:6" x14ac:dyDescent="0.25">
      <c r="A7285">
        <v>7284</v>
      </c>
      <c r="B7285">
        <v>13</v>
      </c>
      <c r="C7285">
        <v>0</v>
      </c>
      <c r="D7285">
        <v>0</v>
      </c>
      <c r="E7285">
        <v>0</v>
      </c>
      <c r="F7285">
        <v>1604</v>
      </c>
    </row>
    <row r="7286" spans="1:6" x14ac:dyDescent="0.25">
      <c r="A7286">
        <v>7285</v>
      </c>
      <c r="B7286" t="s">
        <v>0</v>
      </c>
      <c r="C7286">
        <v>52</v>
      </c>
      <c r="D7286">
        <v>3487</v>
      </c>
      <c r="E7286">
        <v>80192276</v>
      </c>
    </row>
    <row r="7287" spans="1:6" x14ac:dyDescent="0.25">
      <c r="A7287">
        <v>7286</v>
      </c>
      <c r="B7287">
        <v>42</v>
      </c>
      <c r="C7287">
        <v>0</v>
      </c>
      <c r="D7287">
        <v>0</v>
      </c>
      <c r="E7287">
        <v>0</v>
      </c>
      <c r="F7287">
        <v>0.2</v>
      </c>
    </row>
    <row r="7288" spans="1:6" x14ac:dyDescent="0.25">
      <c r="A7288">
        <v>7287</v>
      </c>
      <c r="B7288">
        <v>43</v>
      </c>
      <c r="C7288">
        <v>0</v>
      </c>
      <c r="D7288">
        <v>0</v>
      </c>
      <c r="E7288">
        <v>0</v>
      </c>
      <c r="F7288">
        <v>0</v>
      </c>
    </row>
    <row r="7289" spans="1:6" x14ac:dyDescent="0.25">
      <c r="A7289">
        <v>7288</v>
      </c>
      <c r="B7289" t="s">
        <v>0</v>
      </c>
      <c r="C7289">
        <v>54</v>
      </c>
      <c r="D7289">
        <v>3487</v>
      </c>
      <c r="E7289">
        <v>80192480</v>
      </c>
    </row>
    <row r="7290" spans="1:6" x14ac:dyDescent="0.25">
      <c r="A7290">
        <v>7289</v>
      </c>
      <c r="B7290">
        <v>45</v>
      </c>
      <c r="C7290">
        <v>0</v>
      </c>
      <c r="D7290">
        <v>0</v>
      </c>
      <c r="E7290">
        <v>0</v>
      </c>
      <c r="F7290">
        <v>536.93700000000001</v>
      </c>
    </row>
    <row r="7291" spans="1:6" x14ac:dyDescent="0.25">
      <c r="A7291">
        <v>7290</v>
      </c>
      <c r="B7291" t="s">
        <v>0</v>
      </c>
      <c r="C7291">
        <v>55</v>
      </c>
      <c r="D7291">
        <v>3487</v>
      </c>
      <c r="E7291">
        <v>80192581</v>
      </c>
    </row>
    <row r="7292" spans="1:6" x14ac:dyDescent="0.25">
      <c r="A7292">
        <v>7291</v>
      </c>
      <c r="B7292">
        <v>46</v>
      </c>
      <c r="C7292">
        <v>0</v>
      </c>
      <c r="D7292">
        <v>0</v>
      </c>
      <c r="E7292">
        <v>0</v>
      </c>
      <c r="F7292">
        <v>0</v>
      </c>
    </row>
    <row r="7293" spans="1:6" x14ac:dyDescent="0.25">
      <c r="A7293">
        <v>7292</v>
      </c>
      <c r="B7293" t="s">
        <v>0</v>
      </c>
      <c r="C7293">
        <v>56</v>
      </c>
      <c r="D7293">
        <v>3487</v>
      </c>
      <c r="E7293">
        <v>80192683</v>
      </c>
    </row>
    <row r="7294" spans="1:6" x14ac:dyDescent="0.25">
      <c r="A7294">
        <v>7293</v>
      </c>
      <c r="B7294">
        <v>10</v>
      </c>
      <c r="C7294">
        <v>1</v>
      </c>
      <c r="D7294">
        <v>0</v>
      </c>
      <c r="E7294">
        <v>0</v>
      </c>
      <c r="F7294">
        <v>3101</v>
      </c>
    </row>
    <row r="7295" spans="1:6" x14ac:dyDescent="0.25">
      <c r="A7295">
        <v>7294</v>
      </c>
      <c r="B7295" t="s">
        <v>0</v>
      </c>
      <c r="C7295">
        <v>57</v>
      </c>
      <c r="D7295">
        <v>3487</v>
      </c>
      <c r="E7295">
        <v>80192785</v>
      </c>
    </row>
    <row r="7296" spans="1:6" x14ac:dyDescent="0.25">
      <c r="A7296">
        <v>7295</v>
      </c>
      <c r="B7296">
        <v>13</v>
      </c>
      <c r="C7296">
        <v>0</v>
      </c>
      <c r="D7296">
        <v>0</v>
      </c>
      <c r="E7296">
        <v>0</v>
      </c>
      <c r="F7296">
        <v>1604</v>
      </c>
    </row>
    <row r="7297" spans="1:6" x14ac:dyDescent="0.25">
      <c r="A7297">
        <v>7296</v>
      </c>
      <c r="B7297" t="s">
        <v>0</v>
      </c>
      <c r="C7297">
        <v>58</v>
      </c>
      <c r="D7297">
        <v>3487</v>
      </c>
      <c r="E7297">
        <v>80192886</v>
      </c>
    </row>
    <row r="7298" spans="1:6" x14ac:dyDescent="0.25">
      <c r="A7298">
        <v>7297</v>
      </c>
      <c r="B7298">
        <v>42</v>
      </c>
      <c r="C7298">
        <v>0</v>
      </c>
      <c r="D7298">
        <v>0</v>
      </c>
      <c r="E7298">
        <v>0</v>
      </c>
      <c r="F7298">
        <v>0.2</v>
      </c>
    </row>
    <row r="7299" spans="1:6" x14ac:dyDescent="0.25">
      <c r="A7299">
        <v>7298</v>
      </c>
      <c r="B7299" t="s">
        <v>0</v>
      </c>
      <c r="C7299">
        <v>59</v>
      </c>
      <c r="D7299">
        <v>3487</v>
      </c>
      <c r="E7299">
        <v>80192988</v>
      </c>
    </row>
    <row r="7300" spans="1:6" x14ac:dyDescent="0.25">
      <c r="A7300">
        <v>7299</v>
      </c>
      <c r="B7300">
        <v>43</v>
      </c>
      <c r="C7300">
        <v>0</v>
      </c>
      <c r="D7300">
        <v>0</v>
      </c>
      <c r="E7300">
        <v>0</v>
      </c>
      <c r="F7300">
        <v>0</v>
      </c>
    </row>
    <row r="7301" spans="1:6" x14ac:dyDescent="0.25">
      <c r="A7301">
        <v>7300</v>
      </c>
      <c r="B7301" t="s">
        <v>0</v>
      </c>
      <c r="C7301">
        <v>60</v>
      </c>
      <c r="D7301">
        <v>3487</v>
      </c>
      <c r="E7301">
        <v>80193090</v>
      </c>
    </row>
    <row r="7302" spans="1:6" x14ac:dyDescent="0.25">
      <c r="A7302">
        <v>7301</v>
      </c>
      <c r="B7302">
        <v>45</v>
      </c>
      <c r="C7302">
        <v>0</v>
      </c>
      <c r="D7302">
        <v>0</v>
      </c>
      <c r="E7302">
        <v>0</v>
      </c>
      <c r="F7302">
        <v>536.81600000000003</v>
      </c>
    </row>
    <row r="7303" spans="1:6" x14ac:dyDescent="0.25">
      <c r="A7303">
        <v>7302</v>
      </c>
      <c r="B7303" t="s">
        <v>0</v>
      </c>
      <c r="C7303">
        <v>61</v>
      </c>
      <c r="D7303">
        <v>3487</v>
      </c>
      <c r="E7303">
        <v>80193192</v>
      </c>
    </row>
    <row r="7304" spans="1:6" x14ac:dyDescent="0.25">
      <c r="A7304">
        <v>7303</v>
      </c>
      <c r="B7304">
        <v>46</v>
      </c>
      <c r="C7304">
        <v>0</v>
      </c>
      <c r="D7304">
        <v>0</v>
      </c>
      <c r="E7304">
        <v>0</v>
      </c>
      <c r="F7304">
        <v>0</v>
      </c>
    </row>
    <row r="7305" spans="1:6" x14ac:dyDescent="0.25">
      <c r="A7305">
        <v>7304</v>
      </c>
      <c r="B7305">
        <v>2</v>
      </c>
      <c r="C7305">
        <v>0</v>
      </c>
      <c r="D7305">
        <v>0</v>
      </c>
      <c r="E7305">
        <v>0</v>
      </c>
      <c r="F7305">
        <v>327.55599999999998</v>
      </c>
    </row>
    <row r="7306" spans="1:6" x14ac:dyDescent="0.25">
      <c r="A7306">
        <v>7305</v>
      </c>
      <c r="B7306">
        <v>10</v>
      </c>
      <c r="C7306">
        <v>1</v>
      </c>
      <c r="D7306">
        <v>0</v>
      </c>
      <c r="E7306">
        <v>0</v>
      </c>
      <c r="F7306">
        <v>3110</v>
      </c>
    </row>
    <row r="7307" spans="1:6" x14ac:dyDescent="0.25">
      <c r="A7307">
        <v>7306</v>
      </c>
      <c r="B7307" t="s">
        <v>0</v>
      </c>
      <c r="C7307">
        <v>63</v>
      </c>
      <c r="D7307">
        <v>3487</v>
      </c>
      <c r="E7307">
        <v>80193397</v>
      </c>
    </row>
    <row r="7308" spans="1:6" x14ac:dyDescent="0.25">
      <c r="A7308">
        <v>7307</v>
      </c>
      <c r="B7308">
        <v>13</v>
      </c>
      <c r="C7308">
        <v>0</v>
      </c>
      <c r="D7308">
        <v>0</v>
      </c>
      <c r="E7308">
        <v>0</v>
      </c>
      <c r="F7308">
        <v>1604</v>
      </c>
    </row>
    <row r="7309" spans="1:6" x14ac:dyDescent="0.25">
      <c r="A7309">
        <v>7308</v>
      </c>
      <c r="B7309">
        <v>41</v>
      </c>
      <c r="C7309">
        <v>0</v>
      </c>
      <c r="D7309">
        <v>0</v>
      </c>
      <c r="E7309">
        <v>0</v>
      </c>
      <c r="F7309">
        <v>1</v>
      </c>
    </row>
    <row r="7310" spans="1:6" x14ac:dyDescent="0.25">
      <c r="A7310">
        <v>7309</v>
      </c>
      <c r="B7310">
        <v>42</v>
      </c>
      <c r="C7310">
        <v>0</v>
      </c>
      <c r="D7310">
        <v>0</v>
      </c>
      <c r="E7310">
        <v>0</v>
      </c>
      <c r="F7310">
        <v>0.2</v>
      </c>
    </row>
    <row r="7311" spans="1:6" x14ac:dyDescent="0.25">
      <c r="A7311">
        <v>7310</v>
      </c>
      <c r="B7311" t="s">
        <v>0</v>
      </c>
      <c r="C7311">
        <v>65</v>
      </c>
      <c r="D7311">
        <v>3487</v>
      </c>
      <c r="E7311">
        <v>80193601</v>
      </c>
    </row>
    <row r="7312" spans="1:6" x14ac:dyDescent="0.25">
      <c r="A7312">
        <v>7311</v>
      </c>
      <c r="B7312">
        <v>43</v>
      </c>
      <c r="C7312">
        <v>0</v>
      </c>
      <c r="D7312">
        <v>0</v>
      </c>
      <c r="E7312">
        <v>0</v>
      </c>
      <c r="F7312">
        <v>0</v>
      </c>
    </row>
    <row r="7313" spans="1:6" x14ac:dyDescent="0.25">
      <c r="A7313">
        <v>7312</v>
      </c>
      <c r="B7313">
        <v>44</v>
      </c>
      <c r="C7313">
        <v>0</v>
      </c>
      <c r="D7313">
        <v>0</v>
      </c>
      <c r="E7313">
        <v>0</v>
      </c>
      <c r="F7313">
        <v>-163.035</v>
      </c>
    </row>
    <row r="7314" spans="1:6" x14ac:dyDescent="0.25">
      <c r="A7314">
        <v>7313</v>
      </c>
      <c r="B7314">
        <v>45</v>
      </c>
      <c r="C7314">
        <v>0</v>
      </c>
      <c r="D7314">
        <v>0</v>
      </c>
      <c r="E7314">
        <v>0</v>
      </c>
      <c r="F7314">
        <v>536.69500000000005</v>
      </c>
    </row>
    <row r="7315" spans="1:6" x14ac:dyDescent="0.25">
      <c r="A7315">
        <v>7314</v>
      </c>
      <c r="B7315" t="s">
        <v>0</v>
      </c>
      <c r="C7315">
        <v>67</v>
      </c>
      <c r="D7315">
        <v>3487</v>
      </c>
      <c r="E7315">
        <v>80193805</v>
      </c>
    </row>
    <row r="7316" spans="1:6" x14ac:dyDescent="0.25">
      <c r="A7316">
        <v>7315</v>
      </c>
      <c r="B7316">
        <v>2</v>
      </c>
      <c r="C7316">
        <v>0</v>
      </c>
      <c r="D7316">
        <v>0</v>
      </c>
      <c r="E7316">
        <v>0</v>
      </c>
      <c r="F7316">
        <v>326.923</v>
      </c>
    </row>
    <row r="7317" spans="1:6" x14ac:dyDescent="0.25">
      <c r="A7317">
        <v>7316</v>
      </c>
      <c r="B7317">
        <v>10</v>
      </c>
      <c r="C7317">
        <v>1</v>
      </c>
      <c r="D7317">
        <v>0</v>
      </c>
      <c r="E7317">
        <v>0</v>
      </c>
      <c r="F7317">
        <v>3117</v>
      </c>
    </row>
    <row r="7318" spans="1:6" x14ac:dyDescent="0.25">
      <c r="A7318">
        <v>7317</v>
      </c>
      <c r="B7318" t="s">
        <v>0</v>
      </c>
      <c r="C7318">
        <v>69</v>
      </c>
      <c r="D7318">
        <v>3487</v>
      </c>
      <c r="E7318">
        <v>80194010</v>
      </c>
    </row>
    <row r="7319" spans="1:6" x14ac:dyDescent="0.25">
      <c r="A7319">
        <v>7318</v>
      </c>
      <c r="B7319">
        <v>41</v>
      </c>
      <c r="C7319">
        <v>0</v>
      </c>
      <c r="D7319">
        <v>0</v>
      </c>
      <c r="E7319">
        <v>0</v>
      </c>
      <c r="F7319">
        <v>1</v>
      </c>
    </row>
    <row r="7320" spans="1:6" x14ac:dyDescent="0.25">
      <c r="A7320">
        <v>7319</v>
      </c>
      <c r="B7320">
        <v>42</v>
      </c>
      <c r="C7320">
        <v>0</v>
      </c>
      <c r="D7320">
        <v>0</v>
      </c>
      <c r="E7320">
        <v>0</v>
      </c>
      <c r="F7320">
        <v>0.2</v>
      </c>
    </row>
    <row r="7321" spans="1:6" x14ac:dyDescent="0.25">
      <c r="A7321">
        <v>7320</v>
      </c>
      <c r="B7321" t="s">
        <v>0</v>
      </c>
      <c r="C7321">
        <v>71</v>
      </c>
      <c r="D7321">
        <v>3487</v>
      </c>
      <c r="E7321">
        <v>80194214</v>
      </c>
    </row>
    <row r="7322" spans="1:6" x14ac:dyDescent="0.25">
      <c r="A7322">
        <v>7321</v>
      </c>
      <c r="B7322">
        <v>44</v>
      </c>
      <c r="C7322">
        <v>0</v>
      </c>
      <c r="D7322">
        <v>0</v>
      </c>
      <c r="E7322">
        <v>0</v>
      </c>
      <c r="F7322">
        <v>-162.25200000000001</v>
      </c>
    </row>
    <row r="7323" spans="1:6" x14ac:dyDescent="0.25">
      <c r="A7323">
        <v>7322</v>
      </c>
      <c r="B7323" t="s">
        <v>0</v>
      </c>
      <c r="C7323">
        <v>72</v>
      </c>
      <c r="D7323">
        <v>3487</v>
      </c>
      <c r="E7323">
        <v>80194316</v>
      </c>
    </row>
    <row r="7324" spans="1:6" x14ac:dyDescent="0.25">
      <c r="A7324">
        <v>7323</v>
      </c>
      <c r="B7324">
        <v>45</v>
      </c>
      <c r="C7324">
        <v>0</v>
      </c>
      <c r="D7324">
        <v>0</v>
      </c>
      <c r="E7324">
        <v>0</v>
      </c>
      <c r="F7324">
        <v>536.57500000000005</v>
      </c>
    </row>
    <row r="7325" spans="1:6" x14ac:dyDescent="0.25">
      <c r="A7325">
        <v>7324</v>
      </c>
      <c r="B7325" t="s">
        <v>0</v>
      </c>
      <c r="C7325">
        <v>73</v>
      </c>
      <c r="D7325">
        <v>3487</v>
      </c>
      <c r="E7325">
        <v>80194419</v>
      </c>
    </row>
    <row r="7326" spans="1:6" x14ac:dyDescent="0.25">
      <c r="A7326">
        <v>7325</v>
      </c>
      <c r="B7326">
        <v>2</v>
      </c>
      <c r="C7326">
        <v>0</v>
      </c>
      <c r="D7326">
        <v>0</v>
      </c>
      <c r="E7326">
        <v>0</v>
      </c>
      <c r="F7326">
        <v>326.28899999999999</v>
      </c>
    </row>
    <row r="7327" spans="1:6" x14ac:dyDescent="0.25">
      <c r="A7327">
        <v>7326</v>
      </c>
      <c r="B7327" t="s">
        <v>0</v>
      </c>
      <c r="C7327">
        <v>74</v>
      </c>
      <c r="D7327">
        <v>3487</v>
      </c>
      <c r="E7327">
        <v>80194522</v>
      </c>
    </row>
    <row r="7328" spans="1:6" x14ac:dyDescent="0.25">
      <c r="A7328">
        <v>7327</v>
      </c>
      <c r="B7328">
        <v>10</v>
      </c>
      <c r="C7328">
        <v>1</v>
      </c>
      <c r="D7328">
        <v>0</v>
      </c>
      <c r="E7328">
        <v>0</v>
      </c>
      <c r="F7328">
        <v>3126</v>
      </c>
    </row>
    <row r="7329" spans="1:6" x14ac:dyDescent="0.25">
      <c r="A7329">
        <v>7328</v>
      </c>
      <c r="B7329" t="s">
        <v>0</v>
      </c>
      <c r="C7329">
        <v>75</v>
      </c>
      <c r="D7329">
        <v>3487</v>
      </c>
      <c r="E7329">
        <v>80194625</v>
      </c>
    </row>
    <row r="7330" spans="1:6" x14ac:dyDescent="0.25">
      <c r="A7330">
        <v>7329</v>
      </c>
      <c r="B7330">
        <v>41</v>
      </c>
      <c r="C7330">
        <v>0</v>
      </c>
      <c r="D7330">
        <v>0</v>
      </c>
      <c r="E7330">
        <v>0</v>
      </c>
      <c r="F7330">
        <v>1</v>
      </c>
    </row>
    <row r="7331" spans="1:6" x14ac:dyDescent="0.25">
      <c r="A7331">
        <v>7330</v>
      </c>
      <c r="B7331" t="s">
        <v>0</v>
      </c>
      <c r="C7331">
        <v>76</v>
      </c>
      <c r="D7331">
        <v>3487</v>
      </c>
      <c r="E7331">
        <v>80194728</v>
      </c>
    </row>
    <row r="7332" spans="1:6" x14ac:dyDescent="0.25">
      <c r="A7332">
        <v>7331</v>
      </c>
      <c r="B7332">
        <v>42</v>
      </c>
      <c r="C7332">
        <v>0</v>
      </c>
      <c r="D7332">
        <v>0</v>
      </c>
      <c r="E7332">
        <v>0</v>
      </c>
      <c r="F7332">
        <v>0.2</v>
      </c>
    </row>
    <row r="7333" spans="1:6" x14ac:dyDescent="0.25">
      <c r="A7333">
        <v>7332</v>
      </c>
      <c r="B7333">
        <v>43</v>
      </c>
      <c r="C7333">
        <v>0</v>
      </c>
      <c r="D7333">
        <v>0</v>
      </c>
      <c r="E7333">
        <v>0</v>
      </c>
      <c r="F7333">
        <v>0</v>
      </c>
    </row>
    <row r="7334" spans="1:6" x14ac:dyDescent="0.25">
      <c r="A7334">
        <v>7333</v>
      </c>
      <c r="B7334">
        <v>44</v>
      </c>
      <c r="C7334">
        <v>0</v>
      </c>
      <c r="D7334">
        <v>0</v>
      </c>
      <c r="E7334">
        <v>0</v>
      </c>
      <c r="F7334">
        <v>-161.458</v>
      </c>
    </row>
    <row r="7335" spans="1:6" x14ac:dyDescent="0.25">
      <c r="A7335">
        <v>7334</v>
      </c>
      <c r="B7335" t="s">
        <v>0</v>
      </c>
      <c r="C7335">
        <v>78</v>
      </c>
      <c r="D7335">
        <v>3487</v>
      </c>
      <c r="E7335">
        <v>80194933</v>
      </c>
    </row>
    <row r="7336" spans="1:6" x14ac:dyDescent="0.25">
      <c r="A7336">
        <v>7335</v>
      </c>
      <c r="B7336">
        <v>45</v>
      </c>
      <c r="C7336">
        <v>0</v>
      </c>
      <c r="D7336">
        <v>0</v>
      </c>
      <c r="E7336">
        <v>0</v>
      </c>
      <c r="F7336">
        <v>536.45600000000002</v>
      </c>
    </row>
    <row r="7337" spans="1:6" x14ac:dyDescent="0.25">
      <c r="A7337">
        <v>7336</v>
      </c>
      <c r="B7337">
        <v>46</v>
      </c>
      <c r="C7337">
        <v>0</v>
      </c>
      <c r="D7337">
        <v>0</v>
      </c>
      <c r="E7337">
        <v>0</v>
      </c>
      <c r="F7337">
        <v>0</v>
      </c>
    </row>
    <row r="7338" spans="1:6" x14ac:dyDescent="0.25">
      <c r="A7338">
        <v>7337</v>
      </c>
      <c r="B7338">
        <v>2</v>
      </c>
      <c r="C7338">
        <v>0</v>
      </c>
      <c r="D7338">
        <v>0</v>
      </c>
      <c r="E7338">
        <v>0</v>
      </c>
      <c r="F7338">
        <v>325.673</v>
      </c>
    </row>
    <row r="7339" spans="1:6" x14ac:dyDescent="0.25">
      <c r="A7339">
        <v>7338</v>
      </c>
      <c r="B7339" t="s">
        <v>0</v>
      </c>
      <c r="C7339">
        <v>80</v>
      </c>
      <c r="D7339">
        <v>3487</v>
      </c>
      <c r="E7339">
        <v>80195139</v>
      </c>
    </row>
    <row r="7340" spans="1:6" x14ac:dyDescent="0.25">
      <c r="A7340">
        <v>7339</v>
      </c>
      <c r="B7340">
        <v>10</v>
      </c>
      <c r="C7340">
        <v>1</v>
      </c>
      <c r="D7340">
        <v>0</v>
      </c>
      <c r="E7340">
        <v>0</v>
      </c>
      <c r="F7340">
        <v>3135</v>
      </c>
    </row>
    <row r="7341" spans="1:6" x14ac:dyDescent="0.25">
      <c r="A7341">
        <v>7340</v>
      </c>
      <c r="B7341">
        <v>13</v>
      </c>
      <c r="C7341">
        <v>0</v>
      </c>
      <c r="D7341">
        <v>0</v>
      </c>
      <c r="E7341">
        <v>0</v>
      </c>
      <c r="F7341">
        <v>1604</v>
      </c>
    </row>
    <row r="7342" spans="1:6" x14ac:dyDescent="0.25">
      <c r="A7342">
        <v>7341</v>
      </c>
      <c r="B7342">
        <v>41</v>
      </c>
      <c r="C7342">
        <v>0</v>
      </c>
      <c r="D7342">
        <v>0</v>
      </c>
      <c r="E7342">
        <v>0</v>
      </c>
      <c r="F7342">
        <v>1</v>
      </c>
    </row>
    <row r="7343" spans="1:6" x14ac:dyDescent="0.25">
      <c r="A7343">
        <v>7342</v>
      </c>
      <c r="B7343" t="s">
        <v>0</v>
      </c>
      <c r="C7343">
        <v>82</v>
      </c>
      <c r="D7343">
        <v>3487</v>
      </c>
      <c r="E7343">
        <v>80195345</v>
      </c>
    </row>
    <row r="7344" spans="1:6" x14ac:dyDescent="0.25">
      <c r="A7344">
        <v>7343</v>
      </c>
      <c r="B7344">
        <v>43</v>
      </c>
      <c r="C7344">
        <v>0</v>
      </c>
      <c r="D7344">
        <v>0</v>
      </c>
      <c r="E7344">
        <v>0</v>
      </c>
      <c r="F7344">
        <v>0</v>
      </c>
    </row>
    <row r="7345" spans="1:6" x14ac:dyDescent="0.25">
      <c r="A7345">
        <v>7344</v>
      </c>
      <c r="B7345">
        <v>44</v>
      </c>
      <c r="C7345">
        <v>0</v>
      </c>
      <c r="D7345">
        <v>0</v>
      </c>
      <c r="E7345">
        <v>0</v>
      </c>
      <c r="F7345">
        <v>-160.69999999999999</v>
      </c>
    </row>
    <row r="7346" spans="1:6" x14ac:dyDescent="0.25">
      <c r="A7346">
        <v>7345</v>
      </c>
      <c r="B7346" t="s">
        <v>0</v>
      </c>
      <c r="C7346">
        <v>84</v>
      </c>
      <c r="D7346">
        <v>3487</v>
      </c>
      <c r="E7346">
        <v>80195549</v>
      </c>
    </row>
    <row r="7347" spans="1:6" x14ac:dyDescent="0.25">
      <c r="A7347">
        <v>7346</v>
      </c>
      <c r="B7347">
        <v>46</v>
      </c>
      <c r="C7347">
        <v>0</v>
      </c>
      <c r="D7347">
        <v>0</v>
      </c>
      <c r="E7347">
        <v>0</v>
      </c>
      <c r="F7347">
        <v>0</v>
      </c>
    </row>
    <row r="7348" spans="1:6" x14ac:dyDescent="0.25">
      <c r="A7348">
        <v>7347</v>
      </c>
      <c r="B7348">
        <v>2</v>
      </c>
      <c r="C7348">
        <v>0</v>
      </c>
      <c r="D7348">
        <v>0</v>
      </c>
      <c r="E7348">
        <v>0</v>
      </c>
      <c r="F7348">
        <v>325.03699999999998</v>
      </c>
    </row>
    <row r="7349" spans="1:6" x14ac:dyDescent="0.25">
      <c r="A7349">
        <v>7348</v>
      </c>
      <c r="B7349" t="s">
        <v>0</v>
      </c>
      <c r="C7349">
        <v>86</v>
      </c>
      <c r="D7349">
        <v>3487</v>
      </c>
      <c r="E7349">
        <v>80195755</v>
      </c>
    </row>
    <row r="7350" spans="1:6" x14ac:dyDescent="0.25">
      <c r="A7350">
        <v>7349</v>
      </c>
      <c r="B7350">
        <v>13</v>
      </c>
      <c r="C7350">
        <v>0</v>
      </c>
      <c r="D7350">
        <v>0</v>
      </c>
      <c r="E7350">
        <v>0</v>
      </c>
      <c r="F7350">
        <v>1604</v>
      </c>
    </row>
    <row r="7351" spans="1:6" x14ac:dyDescent="0.25">
      <c r="A7351">
        <v>7350</v>
      </c>
      <c r="B7351" t="s">
        <v>0</v>
      </c>
      <c r="C7351">
        <v>87</v>
      </c>
      <c r="D7351">
        <v>3487</v>
      </c>
      <c r="E7351">
        <v>80195857</v>
      </c>
    </row>
    <row r="7352" spans="1:6" x14ac:dyDescent="0.25">
      <c r="A7352">
        <v>7351</v>
      </c>
      <c r="B7352">
        <v>41</v>
      </c>
      <c r="C7352">
        <v>0</v>
      </c>
      <c r="D7352">
        <v>0</v>
      </c>
      <c r="E7352">
        <v>0</v>
      </c>
      <c r="F7352">
        <v>1</v>
      </c>
    </row>
    <row r="7353" spans="1:6" x14ac:dyDescent="0.25">
      <c r="A7353">
        <v>7352</v>
      </c>
      <c r="B7353" t="s">
        <v>0</v>
      </c>
      <c r="C7353">
        <v>88</v>
      </c>
      <c r="D7353">
        <v>3487</v>
      </c>
      <c r="E7353">
        <v>80195960</v>
      </c>
    </row>
    <row r="7354" spans="1:6" x14ac:dyDescent="0.25">
      <c r="A7354">
        <v>7353</v>
      </c>
      <c r="B7354">
        <v>43</v>
      </c>
      <c r="C7354">
        <v>0</v>
      </c>
      <c r="D7354">
        <v>0</v>
      </c>
      <c r="E7354">
        <v>0</v>
      </c>
      <c r="F7354">
        <v>0</v>
      </c>
    </row>
    <row r="7355" spans="1:6" x14ac:dyDescent="0.25">
      <c r="A7355">
        <v>7354</v>
      </c>
      <c r="B7355" t="s">
        <v>0</v>
      </c>
      <c r="C7355">
        <v>89</v>
      </c>
      <c r="D7355">
        <v>3487</v>
      </c>
      <c r="E7355">
        <v>80196063</v>
      </c>
    </row>
    <row r="7356" spans="1:6" x14ac:dyDescent="0.25">
      <c r="A7356">
        <v>7355</v>
      </c>
      <c r="B7356">
        <v>44</v>
      </c>
      <c r="C7356">
        <v>0</v>
      </c>
      <c r="D7356">
        <v>0</v>
      </c>
      <c r="E7356">
        <v>0</v>
      </c>
      <c r="F7356">
        <v>-159.90700000000001</v>
      </c>
    </row>
    <row r="7357" spans="1:6" x14ac:dyDescent="0.25">
      <c r="A7357">
        <v>7356</v>
      </c>
      <c r="B7357" t="s">
        <v>0</v>
      </c>
      <c r="C7357">
        <v>90</v>
      </c>
      <c r="D7357">
        <v>3487</v>
      </c>
      <c r="E7357">
        <v>80196165</v>
      </c>
    </row>
    <row r="7358" spans="1:6" x14ac:dyDescent="0.25">
      <c r="A7358">
        <v>7357</v>
      </c>
      <c r="B7358">
        <v>46</v>
      </c>
      <c r="C7358">
        <v>0</v>
      </c>
      <c r="D7358">
        <v>0</v>
      </c>
      <c r="E7358">
        <v>0</v>
      </c>
      <c r="F7358">
        <v>0</v>
      </c>
    </row>
    <row r="7359" spans="1:6" x14ac:dyDescent="0.25">
      <c r="A7359">
        <v>7358</v>
      </c>
      <c r="B7359" t="s">
        <v>0</v>
      </c>
      <c r="C7359">
        <v>91</v>
      </c>
      <c r="D7359">
        <v>3487</v>
      </c>
      <c r="E7359">
        <v>80196268</v>
      </c>
    </row>
    <row r="7360" spans="1:6" x14ac:dyDescent="0.25">
      <c r="A7360">
        <v>7359</v>
      </c>
      <c r="B7360">
        <v>2</v>
      </c>
      <c r="C7360">
        <v>0</v>
      </c>
      <c r="D7360">
        <v>0</v>
      </c>
      <c r="E7360">
        <v>0</v>
      </c>
      <c r="F7360">
        <v>324.42</v>
      </c>
    </row>
    <row r="7361" spans="1:6" x14ac:dyDescent="0.25">
      <c r="A7361">
        <v>7360</v>
      </c>
      <c r="B7361">
        <v>10</v>
      </c>
      <c r="C7361">
        <v>1</v>
      </c>
      <c r="D7361">
        <v>0</v>
      </c>
      <c r="E7361">
        <v>0</v>
      </c>
      <c r="F7361">
        <v>3153</v>
      </c>
    </row>
    <row r="7362" spans="1:6" x14ac:dyDescent="0.25">
      <c r="A7362">
        <v>7361</v>
      </c>
      <c r="B7362">
        <v>13</v>
      </c>
      <c r="C7362">
        <v>0</v>
      </c>
      <c r="D7362">
        <v>0</v>
      </c>
      <c r="E7362">
        <v>0</v>
      </c>
      <c r="F7362">
        <v>1604</v>
      </c>
    </row>
    <row r="7363" spans="1:6" x14ac:dyDescent="0.25">
      <c r="A7363">
        <v>7362</v>
      </c>
      <c r="B7363" t="s">
        <v>0</v>
      </c>
      <c r="C7363">
        <v>93</v>
      </c>
      <c r="D7363">
        <v>3487</v>
      </c>
      <c r="E7363">
        <v>80196474</v>
      </c>
    </row>
    <row r="7364" spans="1:6" x14ac:dyDescent="0.25">
      <c r="A7364">
        <v>7363</v>
      </c>
      <c r="B7364">
        <v>41</v>
      </c>
      <c r="C7364">
        <v>0</v>
      </c>
      <c r="D7364">
        <v>0</v>
      </c>
      <c r="E7364">
        <v>0</v>
      </c>
      <c r="F7364">
        <v>1</v>
      </c>
    </row>
    <row r="7365" spans="1:6" x14ac:dyDescent="0.25">
      <c r="A7365">
        <v>7364</v>
      </c>
      <c r="B7365">
        <v>42</v>
      </c>
      <c r="C7365">
        <v>0</v>
      </c>
      <c r="D7365">
        <v>0</v>
      </c>
      <c r="E7365">
        <v>0</v>
      </c>
      <c r="F7365">
        <v>0.2</v>
      </c>
    </row>
    <row r="7366" spans="1:6" x14ac:dyDescent="0.25">
      <c r="A7366">
        <v>7365</v>
      </c>
      <c r="B7366">
        <v>43</v>
      </c>
      <c r="C7366">
        <v>0</v>
      </c>
      <c r="D7366">
        <v>0</v>
      </c>
      <c r="E7366">
        <v>0</v>
      </c>
      <c r="F7366">
        <v>0</v>
      </c>
    </row>
    <row r="7367" spans="1:6" x14ac:dyDescent="0.25">
      <c r="A7367">
        <v>7366</v>
      </c>
      <c r="B7367" t="s">
        <v>0</v>
      </c>
      <c r="C7367">
        <v>95</v>
      </c>
      <c r="D7367">
        <v>3487</v>
      </c>
      <c r="E7367">
        <v>80196681</v>
      </c>
    </row>
    <row r="7368" spans="1:6" x14ac:dyDescent="0.25">
      <c r="A7368">
        <v>7367</v>
      </c>
      <c r="B7368">
        <v>45</v>
      </c>
      <c r="C7368">
        <v>0</v>
      </c>
      <c r="D7368">
        <v>0</v>
      </c>
      <c r="E7368">
        <v>0</v>
      </c>
      <c r="F7368">
        <v>536.11800000000005</v>
      </c>
    </row>
    <row r="7369" spans="1:6" x14ac:dyDescent="0.25">
      <c r="A7369">
        <v>7368</v>
      </c>
      <c r="B7369">
        <v>46</v>
      </c>
      <c r="C7369">
        <v>0</v>
      </c>
      <c r="D7369">
        <v>0</v>
      </c>
      <c r="E7369">
        <v>0</v>
      </c>
      <c r="F7369">
        <v>0</v>
      </c>
    </row>
    <row r="7370" spans="1:6" x14ac:dyDescent="0.25">
      <c r="A7370">
        <v>7369</v>
      </c>
      <c r="B7370" t="s">
        <v>0</v>
      </c>
      <c r="C7370">
        <v>97</v>
      </c>
      <c r="D7370">
        <v>3487</v>
      </c>
      <c r="E7370">
        <v>80196887</v>
      </c>
    </row>
    <row r="7371" spans="1:6" x14ac:dyDescent="0.25">
      <c r="A7371">
        <v>7370</v>
      </c>
      <c r="B7371">
        <v>10</v>
      </c>
      <c r="C7371">
        <v>1</v>
      </c>
      <c r="D7371">
        <v>0</v>
      </c>
      <c r="E7371">
        <v>0</v>
      </c>
      <c r="F7371">
        <v>3162</v>
      </c>
    </row>
    <row r="7372" spans="1:6" x14ac:dyDescent="0.25">
      <c r="A7372">
        <v>7371</v>
      </c>
      <c r="B7372">
        <v>13</v>
      </c>
      <c r="C7372">
        <v>0</v>
      </c>
      <c r="D7372">
        <v>0</v>
      </c>
      <c r="E7372">
        <v>0</v>
      </c>
      <c r="F7372">
        <v>1604</v>
      </c>
    </row>
    <row r="7373" spans="1:6" x14ac:dyDescent="0.25">
      <c r="A7373">
        <v>7372</v>
      </c>
      <c r="B7373" t="s">
        <v>0</v>
      </c>
      <c r="C7373">
        <v>99</v>
      </c>
      <c r="D7373">
        <v>3487</v>
      </c>
      <c r="E7373">
        <v>80197093</v>
      </c>
    </row>
    <row r="7374" spans="1:6" x14ac:dyDescent="0.25">
      <c r="A7374">
        <v>7373</v>
      </c>
      <c r="B7374">
        <v>42</v>
      </c>
      <c r="C7374">
        <v>0</v>
      </c>
      <c r="D7374">
        <v>0</v>
      </c>
      <c r="E7374">
        <v>0</v>
      </c>
      <c r="F7374">
        <v>0.2</v>
      </c>
    </row>
    <row r="7375" spans="1:6" x14ac:dyDescent="0.25">
      <c r="A7375">
        <v>7374</v>
      </c>
      <c r="B7375" t="s">
        <v>0</v>
      </c>
      <c r="C7375">
        <v>100</v>
      </c>
      <c r="D7375">
        <v>3487</v>
      </c>
      <c r="E7375">
        <v>80197197</v>
      </c>
    </row>
    <row r="7376" spans="1:6" x14ac:dyDescent="0.25">
      <c r="A7376">
        <v>7375</v>
      </c>
      <c r="B7376">
        <v>43</v>
      </c>
      <c r="C7376">
        <v>0</v>
      </c>
      <c r="D7376">
        <v>0</v>
      </c>
      <c r="E7376">
        <v>0</v>
      </c>
      <c r="F7376">
        <v>0</v>
      </c>
    </row>
    <row r="7377" spans="1:6" x14ac:dyDescent="0.25">
      <c r="A7377">
        <v>7376</v>
      </c>
      <c r="B7377" t="s">
        <v>0</v>
      </c>
      <c r="C7377">
        <v>101</v>
      </c>
      <c r="D7377">
        <v>3487</v>
      </c>
      <c r="E7377">
        <v>80197300</v>
      </c>
    </row>
    <row r="7378" spans="1:6" x14ac:dyDescent="0.25">
      <c r="A7378">
        <v>7377</v>
      </c>
      <c r="B7378">
        <v>45</v>
      </c>
      <c r="C7378">
        <v>0</v>
      </c>
      <c r="D7378">
        <v>0</v>
      </c>
      <c r="E7378">
        <v>0</v>
      </c>
      <c r="F7378">
        <v>536</v>
      </c>
    </row>
    <row r="7379" spans="1:6" x14ac:dyDescent="0.25">
      <c r="A7379">
        <v>7378</v>
      </c>
      <c r="B7379" t="s">
        <v>0</v>
      </c>
      <c r="C7379">
        <v>102</v>
      </c>
      <c r="D7379">
        <v>3487</v>
      </c>
      <c r="E7379">
        <v>80197403</v>
      </c>
    </row>
    <row r="7380" spans="1:6" x14ac:dyDescent="0.25">
      <c r="A7380">
        <v>7379</v>
      </c>
      <c r="B7380">
        <v>46</v>
      </c>
      <c r="C7380">
        <v>0</v>
      </c>
      <c r="D7380">
        <v>0</v>
      </c>
      <c r="E7380">
        <v>0</v>
      </c>
      <c r="F7380">
        <v>0</v>
      </c>
    </row>
    <row r="7381" spans="1:6" x14ac:dyDescent="0.25">
      <c r="A7381">
        <v>7380</v>
      </c>
      <c r="B7381">
        <v>2</v>
      </c>
      <c r="C7381">
        <v>0</v>
      </c>
      <c r="D7381">
        <v>0</v>
      </c>
      <c r="E7381">
        <v>0</v>
      </c>
      <c r="F7381">
        <v>323.27300000000002</v>
      </c>
    </row>
    <row r="7382" spans="1:6" x14ac:dyDescent="0.25">
      <c r="A7382">
        <v>7381</v>
      </c>
      <c r="B7382">
        <v>10</v>
      </c>
      <c r="C7382">
        <v>1</v>
      </c>
      <c r="D7382">
        <v>0</v>
      </c>
      <c r="E7382">
        <v>0</v>
      </c>
      <c r="F7382">
        <v>3171</v>
      </c>
    </row>
    <row r="7383" spans="1:6" x14ac:dyDescent="0.25">
      <c r="A7383">
        <v>7382</v>
      </c>
      <c r="B7383" t="s">
        <v>0</v>
      </c>
      <c r="C7383">
        <v>104</v>
      </c>
      <c r="D7383">
        <v>3487</v>
      </c>
      <c r="E7383">
        <v>80197610</v>
      </c>
    </row>
    <row r="7384" spans="1:6" x14ac:dyDescent="0.25">
      <c r="A7384">
        <v>7383</v>
      </c>
      <c r="B7384">
        <v>13</v>
      </c>
      <c r="C7384">
        <v>0</v>
      </c>
      <c r="D7384">
        <v>0</v>
      </c>
      <c r="E7384">
        <v>0</v>
      </c>
      <c r="F7384">
        <v>1604</v>
      </c>
    </row>
    <row r="7385" spans="1:6" x14ac:dyDescent="0.25">
      <c r="A7385">
        <v>7384</v>
      </c>
      <c r="B7385">
        <v>41</v>
      </c>
      <c r="C7385">
        <v>0</v>
      </c>
      <c r="D7385">
        <v>0</v>
      </c>
      <c r="E7385">
        <v>0</v>
      </c>
      <c r="F7385">
        <v>1</v>
      </c>
    </row>
    <row r="7386" spans="1:6" x14ac:dyDescent="0.25">
      <c r="A7386">
        <v>7385</v>
      </c>
      <c r="B7386">
        <v>42</v>
      </c>
      <c r="C7386">
        <v>0</v>
      </c>
      <c r="D7386">
        <v>0</v>
      </c>
      <c r="E7386">
        <v>0</v>
      </c>
      <c r="F7386">
        <v>0.2</v>
      </c>
    </row>
    <row r="7387" spans="1:6" x14ac:dyDescent="0.25">
      <c r="A7387">
        <v>7386</v>
      </c>
      <c r="B7387" t="s">
        <v>0</v>
      </c>
      <c r="C7387">
        <v>106</v>
      </c>
      <c r="D7387">
        <v>3487</v>
      </c>
      <c r="E7387">
        <v>80197817</v>
      </c>
    </row>
    <row r="7388" spans="1:6" x14ac:dyDescent="0.25">
      <c r="A7388">
        <v>7387</v>
      </c>
      <c r="B7388">
        <v>44</v>
      </c>
      <c r="C7388">
        <v>0</v>
      </c>
      <c r="D7388">
        <v>0</v>
      </c>
      <c r="E7388">
        <v>0</v>
      </c>
      <c r="F7388">
        <v>-157.697</v>
      </c>
    </row>
    <row r="7389" spans="1:6" x14ac:dyDescent="0.25">
      <c r="A7389">
        <v>7388</v>
      </c>
      <c r="B7389">
        <v>45</v>
      </c>
      <c r="C7389">
        <v>0</v>
      </c>
      <c r="D7389">
        <v>0</v>
      </c>
      <c r="E7389">
        <v>0</v>
      </c>
      <c r="F7389">
        <v>535.88199999999995</v>
      </c>
    </row>
    <row r="7390" spans="1:6" x14ac:dyDescent="0.25">
      <c r="A7390">
        <v>7389</v>
      </c>
      <c r="B7390" t="s">
        <v>0</v>
      </c>
      <c r="C7390">
        <v>108</v>
      </c>
      <c r="D7390">
        <v>3487</v>
      </c>
      <c r="E7390">
        <v>80198025</v>
      </c>
    </row>
    <row r="7391" spans="1:6" x14ac:dyDescent="0.25">
      <c r="A7391">
        <v>7390</v>
      </c>
      <c r="B7391">
        <v>2</v>
      </c>
      <c r="C7391">
        <v>0</v>
      </c>
      <c r="D7391">
        <v>0</v>
      </c>
      <c r="E7391">
        <v>0</v>
      </c>
      <c r="F7391">
        <v>322.65699999999998</v>
      </c>
    </row>
    <row r="7392" spans="1:6" x14ac:dyDescent="0.25">
      <c r="A7392">
        <v>7391</v>
      </c>
      <c r="B7392" t="s">
        <v>0</v>
      </c>
      <c r="C7392">
        <v>109</v>
      </c>
      <c r="D7392">
        <v>3487</v>
      </c>
      <c r="E7392">
        <v>80198129</v>
      </c>
    </row>
    <row r="7393" spans="1:6" x14ac:dyDescent="0.25">
      <c r="A7393">
        <v>7392</v>
      </c>
      <c r="B7393">
        <v>10</v>
      </c>
      <c r="C7393">
        <v>1</v>
      </c>
      <c r="D7393">
        <v>0</v>
      </c>
      <c r="E7393">
        <v>0</v>
      </c>
      <c r="F7393">
        <v>3178</v>
      </c>
    </row>
    <row r="7394" spans="1:6" x14ac:dyDescent="0.25">
      <c r="A7394">
        <v>7393</v>
      </c>
      <c r="B7394" t="s">
        <v>0</v>
      </c>
      <c r="C7394">
        <v>110</v>
      </c>
      <c r="D7394">
        <v>3487</v>
      </c>
      <c r="E7394">
        <v>80198233</v>
      </c>
    </row>
    <row r="7395" spans="1:6" x14ac:dyDescent="0.25">
      <c r="A7395">
        <v>7394</v>
      </c>
      <c r="B7395">
        <v>41</v>
      </c>
      <c r="C7395">
        <v>0</v>
      </c>
      <c r="D7395">
        <v>0</v>
      </c>
      <c r="E7395">
        <v>0</v>
      </c>
      <c r="F7395">
        <v>1</v>
      </c>
    </row>
    <row r="7396" spans="1:6" x14ac:dyDescent="0.25">
      <c r="A7396">
        <v>7395</v>
      </c>
      <c r="B7396" t="s">
        <v>0</v>
      </c>
      <c r="C7396">
        <v>111</v>
      </c>
      <c r="D7396">
        <v>3487</v>
      </c>
      <c r="E7396">
        <v>80198336</v>
      </c>
    </row>
    <row r="7397" spans="1:6" x14ac:dyDescent="0.25">
      <c r="A7397">
        <v>7396</v>
      </c>
      <c r="B7397">
        <v>42</v>
      </c>
      <c r="C7397">
        <v>0</v>
      </c>
      <c r="D7397">
        <v>0</v>
      </c>
      <c r="E7397">
        <v>0</v>
      </c>
      <c r="F7397">
        <v>0.2</v>
      </c>
    </row>
    <row r="7398" spans="1:6" x14ac:dyDescent="0.25">
      <c r="A7398">
        <v>7397</v>
      </c>
      <c r="B7398" t="s">
        <v>0</v>
      </c>
      <c r="C7398">
        <v>112</v>
      </c>
      <c r="D7398">
        <v>3487</v>
      </c>
      <c r="E7398">
        <v>80198439</v>
      </c>
    </row>
    <row r="7399" spans="1:6" x14ac:dyDescent="0.25">
      <c r="A7399">
        <v>7398</v>
      </c>
      <c r="B7399">
        <v>43</v>
      </c>
      <c r="C7399">
        <v>0</v>
      </c>
      <c r="D7399">
        <v>0</v>
      </c>
      <c r="E7399">
        <v>0</v>
      </c>
      <c r="F7399">
        <v>0</v>
      </c>
    </row>
    <row r="7400" spans="1:6" x14ac:dyDescent="0.25">
      <c r="A7400">
        <v>7399</v>
      </c>
      <c r="B7400" t="s">
        <v>0</v>
      </c>
      <c r="C7400">
        <v>113</v>
      </c>
      <c r="D7400">
        <v>3487</v>
      </c>
      <c r="E7400">
        <v>80198542</v>
      </c>
    </row>
    <row r="7401" spans="1:6" x14ac:dyDescent="0.25">
      <c r="A7401">
        <v>7400</v>
      </c>
      <c r="B7401">
        <v>44</v>
      </c>
      <c r="C7401">
        <v>0</v>
      </c>
      <c r="D7401">
        <v>0</v>
      </c>
      <c r="E7401">
        <v>0</v>
      </c>
      <c r="F7401">
        <v>-156.80799999999999</v>
      </c>
    </row>
    <row r="7402" spans="1:6" x14ac:dyDescent="0.25">
      <c r="A7402">
        <v>7401</v>
      </c>
      <c r="B7402">
        <v>45</v>
      </c>
      <c r="C7402">
        <v>0</v>
      </c>
      <c r="D7402">
        <v>0</v>
      </c>
      <c r="E7402">
        <v>0</v>
      </c>
      <c r="F7402">
        <v>535.76400000000001</v>
      </c>
    </row>
    <row r="7403" spans="1:6" x14ac:dyDescent="0.25">
      <c r="A7403">
        <v>7402</v>
      </c>
      <c r="B7403">
        <v>46</v>
      </c>
      <c r="C7403">
        <v>0</v>
      </c>
      <c r="D7403">
        <v>0</v>
      </c>
      <c r="E7403">
        <v>0</v>
      </c>
      <c r="F7403">
        <v>0</v>
      </c>
    </row>
    <row r="7404" spans="1:6" x14ac:dyDescent="0.25">
      <c r="A7404">
        <v>7403</v>
      </c>
      <c r="B7404" t="s">
        <v>0</v>
      </c>
      <c r="C7404">
        <v>115</v>
      </c>
      <c r="D7404">
        <v>3487</v>
      </c>
      <c r="E7404">
        <v>80198749</v>
      </c>
    </row>
    <row r="7405" spans="1:6" x14ac:dyDescent="0.25">
      <c r="A7405">
        <v>7404</v>
      </c>
      <c r="B7405">
        <v>2</v>
      </c>
      <c r="C7405">
        <v>0</v>
      </c>
      <c r="D7405">
        <v>0</v>
      </c>
      <c r="E7405">
        <v>0</v>
      </c>
      <c r="F7405">
        <v>321.93700000000001</v>
      </c>
    </row>
    <row r="7406" spans="1:6" x14ac:dyDescent="0.25">
      <c r="A7406">
        <v>7405</v>
      </c>
      <c r="B7406">
        <v>10</v>
      </c>
      <c r="C7406">
        <v>1</v>
      </c>
      <c r="D7406">
        <v>0</v>
      </c>
      <c r="E7406">
        <v>0</v>
      </c>
      <c r="F7406">
        <v>3188</v>
      </c>
    </row>
    <row r="7407" spans="1:6" x14ac:dyDescent="0.25">
      <c r="A7407">
        <v>7406</v>
      </c>
      <c r="B7407">
        <v>13</v>
      </c>
      <c r="C7407">
        <v>0</v>
      </c>
      <c r="D7407">
        <v>0</v>
      </c>
      <c r="E7407">
        <v>0</v>
      </c>
      <c r="F7407">
        <v>1604</v>
      </c>
    </row>
    <row r="7408" spans="1:6" x14ac:dyDescent="0.25">
      <c r="A7408">
        <v>7407</v>
      </c>
      <c r="B7408" t="s">
        <v>0</v>
      </c>
      <c r="C7408">
        <v>117</v>
      </c>
      <c r="D7408">
        <v>3487</v>
      </c>
      <c r="E7408">
        <v>80198956</v>
      </c>
    </row>
    <row r="7409" spans="1:6" x14ac:dyDescent="0.25">
      <c r="A7409">
        <v>7408</v>
      </c>
      <c r="B7409">
        <v>42</v>
      </c>
      <c r="C7409">
        <v>0</v>
      </c>
      <c r="D7409">
        <v>0</v>
      </c>
      <c r="E7409">
        <v>0</v>
      </c>
      <c r="F7409">
        <v>0.2</v>
      </c>
    </row>
    <row r="7410" spans="1:6" x14ac:dyDescent="0.25">
      <c r="A7410">
        <v>7409</v>
      </c>
      <c r="B7410">
        <v>43</v>
      </c>
      <c r="C7410">
        <v>0</v>
      </c>
      <c r="D7410">
        <v>0</v>
      </c>
      <c r="E7410">
        <v>0</v>
      </c>
      <c r="F7410">
        <v>0</v>
      </c>
    </row>
    <row r="7411" spans="1:6" x14ac:dyDescent="0.25">
      <c r="A7411">
        <v>7410</v>
      </c>
      <c r="B7411" t="s">
        <v>0</v>
      </c>
      <c r="C7411">
        <v>119</v>
      </c>
      <c r="D7411">
        <v>3487</v>
      </c>
      <c r="E7411">
        <v>80199164</v>
      </c>
    </row>
    <row r="7412" spans="1:6" x14ac:dyDescent="0.25">
      <c r="A7412">
        <v>7411</v>
      </c>
      <c r="B7412">
        <v>45</v>
      </c>
      <c r="C7412">
        <v>0</v>
      </c>
      <c r="D7412">
        <v>0</v>
      </c>
      <c r="E7412">
        <v>0</v>
      </c>
      <c r="F7412">
        <v>535.64700000000005</v>
      </c>
    </row>
    <row r="7413" spans="1:6" x14ac:dyDescent="0.25">
      <c r="A7413">
        <v>7412</v>
      </c>
      <c r="B7413" t="s">
        <v>0</v>
      </c>
      <c r="C7413">
        <v>120</v>
      </c>
      <c r="D7413">
        <v>3487</v>
      </c>
      <c r="E7413">
        <v>80199267</v>
      </c>
    </row>
    <row r="7414" spans="1:6" x14ac:dyDescent="0.25">
      <c r="A7414">
        <v>7413</v>
      </c>
      <c r="B7414">
        <v>46</v>
      </c>
      <c r="C7414">
        <v>0</v>
      </c>
      <c r="D7414">
        <v>0</v>
      </c>
      <c r="E7414">
        <v>0</v>
      </c>
      <c r="F7414">
        <v>0</v>
      </c>
    </row>
    <row r="7415" spans="1:6" x14ac:dyDescent="0.25">
      <c r="A7415">
        <v>7414</v>
      </c>
      <c r="B7415" t="s">
        <v>0</v>
      </c>
      <c r="C7415">
        <v>121</v>
      </c>
      <c r="D7415">
        <v>3487</v>
      </c>
      <c r="E7415">
        <v>80199371</v>
      </c>
    </row>
    <row r="7416" spans="1:6" x14ac:dyDescent="0.25">
      <c r="A7416">
        <v>7415</v>
      </c>
      <c r="B7416">
        <v>10</v>
      </c>
      <c r="C7416">
        <v>1</v>
      </c>
      <c r="D7416">
        <v>0</v>
      </c>
      <c r="E7416">
        <v>0</v>
      </c>
      <c r="F7416">
        <v>3197</v>
      </c>
    </row>
    <row r="7417" spans="1:6" x14ac:dyDescent="0.25">
      <c r="A7417">
        <v>7416</v>
      </c>
      <c r="B7417" t="s">
        <v>0</v>
      </c>
      <c r="C7417">
        <v>122</v>
      </c>
      <c r="D7417">
        <v>3487</v>
      </c>
      <c r="E7417">
        <v>80199475</v>
      </c>
    </row>
    <row r="7418" spans="1:6" x14ac:dyDescent="0.25">
      <c r="A7418">
        <v>7417</v>
      </c>
      <c r="B7418">
        <v>13</v>
      </c>
      <c r="C7418">
        <v>0</v>
      </c>
      <c r="D7418">
        <v>0</v>
      </c>
      <c r="E7418">
        <v>0</v>
      </c>
      <c r="F7418">
        <v>1604</v>
      </c>
    </row>
    <row r="7419" spans="1:6" x14ac:dyDescent="0.25">
      <c r="A7419">
        <v>7418</v>
      </c>
      <c r="B7419">
        <v>41</v>
      </c>
      <c r="C7419">
        <v>0</v>
      </c>
      <c r="D7419">
        <v>0</v>
      </c>
      <c r="E7419">
        <v>0</v>
      </c>
      <c r="F7419">
        <v>1</v>
      </c>
    </row>
    <row r="7420" spans="1:6" x14ac:dyDescent="0.25">
      <c r="A7420">
        <v>7419</v>
      </c>
      <c r="B7420">
        <v>42</v>
      </c>
      <c r="C7420">
        <v>0</v>
      </c>
      <c r="D7420">
        <v>0</v>
      </c>
      <c r="E7420">
        <v>0</v>
      </c>
      <c r="F7420">
        <v>0.2</v>
      </c>
    </row>
    <row r="7421" spans="1:6" x14ac:dyDescent="0.25">
      <c r="A7421">
        <v>7420</v>
      </c>
      <c r="B7421" t="s">
        <v>0</v>
      </c>
      <c r="C7421">
        <v>124</v>
      </c>
      <c r="D7421">
        <v>3487</v>
      </c>
      <c r="E7421">
        <v>80199683</v>
      </c>
    </row>
    <row r="7422" spans="1:6" x14ac:dyDescent="0.25">
      <c r="A7422">
        <v>7421</v>
      </c>
      <c r="B7422">
        <v>43</v>
      </c>
      <c r="C7422">
        <v>0</v>
      </c>
      <c r="D7422">
        <v>0</v>
      </c>
      <c r="E7422">
        <v>0</v>
      </c>
      <c r="F7422">
        <v>0</v>
      </c>
    </row>
    <row r="7423" spans="1:6" x14ac:dyDescent="0.25">
      <c r="A7423">
        <v>7422</v>
      </c>
      <c r="B7423">
        <v>44</v>
      </c>
      <c r="C7423">
        <v>0</v>
      </c>
      <c r="D7423">
        <v>0</v>
      </c>
      <c r="E7423">
        <v>0</v>
      </c>
      <c r="F7423">
        <v>-155.39500000000001</v>
      </c>
    </row>
    <row r="7424" spans="1:6" x14ac:dyDescent="0.25">
      <c r="A7424">
        <v>7423</v>
      </c>
      <c r="B7424">
        <v>45</v>
      </c>
      <c r="C7424">
        <v>0</v>
      </c>
      <c r="D7424">
        <v>0</v>
      </c>
      <c r="E7424">
        <v>0</v>
      </c>
      <c r="F7424">
        <v>535.53</v>
      </c>
    </row>
    <row r="7425" spans="1:6" x14ac:dyDescent="0.25">
      <c r="A7425">
        <v>7424</v>
      </c>
      <c r="B7425" t="s">
        <v>0</v>
      </c>
      <c r="C7425">
        <v>126</v>
      </c>
      <c r="D7425">
        <v>3487</v>
      </c>
      <c r="E7425">
        <v>80199891</v>
      </c>
    </row>
    <row r="7426" spans="1:6" x14ac:dyDescent="0.25">
      <c r="A7426">
        <v>7425</v>
      </c>
      <c r="B7426">
        <v>2</v>
      </c>
      <c r="C7426">
        <v>0</v>
      </c>
      <c r="D7426">
        <v>0</v>
      </c>
      <c r="E7426">
        <v>0</v>
      </c>
      <c r="F7426">
        <v>320.81</v>
      </c>
    </row>
    <row r="7427" spans="1:6" x14ac:dyDescent="0.25">
      <c r="A7427">
        <v>7426</v>
      </c>
      <c r="B7427">
        <v>10</v>
      </c>
      <c r="C7427">
        <v>1</v>
      </c>
      <c r="D7427">
        <v>0</v>
      </c>
      <c r="E7427">
        <v>0</v>
      </c>
      <c r="F7427">
        <v>3205</v>
      </c>
    </row>
    <row r="7428" spans="1:6" x14ac:dyDescent="0.25">
      <c r="A7428">
        <v>7427</v>
      </c>
      <c r="B7428" t="s">
        <v>0</v>
      </c>
      <c r="C7428">
        <v>128</v>
      </c>
      <c r="D7428">
        <v>3487</v>
      </c>
      <c r="E7428">
        <v>80200099</v>
      </c>
    </row>
    <row r="7429" spans="1:6" x14ac:dyDescent="0.25">
      <c r="A7429">
        <v>7428</v>
      </c>
      <c r="B7429">
        <v>41</v>
      </c>
      <c r="C7429">
        <v>0</v>
      </c>
      <c r="D7429">
        <v>0</v>
      </c>
      <c r="E7429">
        <v>0</v>
      </c>
      <c r="F7429">
        <v>1</v>
      </c>
    </row>
    <row r="7430" spans="1:6" x14ac:dyDescent="0.25">
      <c r="A7430">
        <v>7429</v>
      </c>
      <c r="B7430" t="s">
        <v>0</v>
      </c>
      <c r="C7430">
        <v>129</v>
      </c>
      <c r="D7430">
        <v>3487</v>
      </c>
      <c r="E7430">
        <v>80200203</v>
      </c>
    </row>
    <row r="7431" spans="1:6" x14ac:dyDescent="0.25">
      <c r="A7431">
        <v>7430</v>
      </c>
      <c r="B7431">
        <v>42</v>
      </c>
      <c r="C7431">
        <v>0</v>
      </c>
      <c r="D7431">
        <v>0</v>
      </c>
      <c r="E7431">
        <v>0</v>
      </c>
      <c r="F7431">
        <v>0.2</v>
      </c>
    </row>
    <row r="7432" spans="1:6" x14ac:dyDescent="0.25">
      <c r="A7432">
        <v>7431</v>
      </c>
      <c r="B7432" t="s">
        <v>0</v>
      </c>
      <c r="C7432">
        <v>130</v>
      </c>
      <c r="D7432">
        <v>3487</v>
      </c>
      <c r="E7432">
        <v>80200307</v>
      </c>
    </row>
    <row r="7433" spans="1:6" x14ac:dyDescent="0.25">
      <c r="A7433">
        <v>7432</v>
      </c>
      <c r="B7433">
        <v>44</v>
      </c>
      <c r="C7433">
        <v>0</v>
      </c>
      <c r="D7433">
        <v>0</v>
      </c>
      <c r="E7433">
        <v>0</v>
      </c>
      <c r="F7433">
        <v>-154.62299999999999</v>
      </c>
    </row>
    <row r="7434" spans="1:6" x14ac:dyDescent="0.25">
      <c r="A7434">
        <v>7433</v>
      </c>
      <c r="B7434" t="s">
        <v>0</v>
      </c>
      <c r="C7434">
        <v>131</v>
      </c>
      <c r="D7434">
        <v>3487</v>
      </c>
      <c r="E7434">
        <v>80200411</v>
      </c>
    </row>
    <row r="7435" spans="1:6" x14ac:dyDescent="0.25">
      <c r="A7435">
        <v>7434</v>
      </c>
      <c r="B7435">
        <v>45</v>
      </c>
      <c r="C7435">
        <v>0</v>
      </c>
      <c r="D7435">
        <v>0</v>
      </c>
      <c r="E7435">
        <v>0</v>
      </c>
      <c r="F7435">
        <v>535.41300000000001</v>
      </c>
    </row>
    <row r="7436" spans="1:6" x14ac:dyDescent="0.25">
      <c r="A7436">
        <v>7435</v>
      </c>
      <c r="B7436">
        <v>46</v>
      </c>
      <c r="C7436">
        <v>0</v>
      </c>
      <c r="D7436">
        <v>0</v>
      </c>
      <c r="E7436">
        <v>0</v>
      </c>
      <c r="F7436">
        <v>0</v>
      </c>
    </row>
    <row r="7437" spans="1:6" x14ac:dyDescent="0.25">
      <c r="A7437">
        <v>7436</v>
      </c>
      <c r="B7437">
        <v>2</v>
      </c>
      <c r="C7437">
        <v>0</v>
      </c>
      <c r="D7437">
        <v>0</v>
      </c>
      <c r="E7437">
        <v>0</v>
      </c>
      <c r="F7437">
        <v>320.20800000000003</v>
      </c>
    </row>
    <row r="7438" spans="1:6" x14ac:dyDescent="0.25">
      <c r="A7438">
        <v>7437</v>
      </c>
      <c r="B7438" t="s">
        <v>0</v>
      </c>
      <c r="C7438">
        <v>133</v>
      </c>
      <c r="D7438">
        <v>3487</v>
      </c>
      <c r="E7438">
        <v>80200620</v>
      </c>
    </row>
    <row r="7439" spans="1:6" x14ac:dyDescent="0.25">
      <c r="A7439">
        <v>7438</v>
      </c>
      <c r="B7439">
        <v>13</v>
      </c>
      <c r="C7439">
        <v>0</v>
      </c>
      <c r="D7439">
        <v>0</v>
      </c>
      <c r="E7439">
        <v>0</v>
      </c>
      <c r="F7439">
        <v>1604</v>
      </c>
    </row>
    <row r="7440" spans="1:6" x14ac:dyDescent="0.25">
      <c r="A7440">
        <v>7439</v>
      </c>
      <c r="B7440">
        <v>41</v>
      </c>
      <c r="C7440">
        <v>0</v>
      </c>
      <c r="D7440">
        <v>0</v>
      </c>
      <c r="E7440">
        <v>0</v>
      </c>
      <c r="F7440">
        <v>1</v>
      </c>
    </row>
    <row r="7441" spans="1:6" x14ac:dyDescent="0.25">
      <c r="A7441">
        <v>7440</v>
      </c>
      <c r="B7441" t="s">
        <v>0</v>
      </c>
      <c r="C7441">
        <v>135</v>
      </c>
      <c r="D7441">
        <v>3487</v>
      </c>
      <c r="E7441">
        <v>80200830</v>
      </c>
    </row>
    <row r="7442" spans="1:6" x14ac:dyDescent="0.25">
      <c r="A7442">
        <v>7441</v>
      </c>
      <c r="B7442">
        <v>43</v>
      </c>
      <c r="C7442">
        <v>0</v>
      </c>
      <c r="D7442">
        <v>0</v>
      </c>
      <c r="E7442">
        <v>0</v>
      </c>
      <c r="F7442">
        <v>0</v>
      </c>
    </row>
    <row r="7443" spans="1:6" x14ac:dyDescent="0.25">
      <c r="A7443">
        <v>7442</v>
      </c>
      <c r="B7443" t="s">
        <v>0</v>
      </c>
      <c r="C7443">
        <v>136</v>
      </c>
      <c r="D7443">
        <v>3487</v>
      </c>
      <c r="E7443">
        <v>80200935</v>
      </c>
    </row>
    <row r="7444" spans="1:6" x14ac:dyDescent="0.25">
      <c r="A7444">
        <v>7443</v>
      </c>
      <c r="B7444">
        <v>44</v>
      </c>
      <c r="C7444">
        <v>0</v>
      </c>
      <c r="D7444">
        <v>0</v>
      </c>
      <c r="E7444">
        <v>0</v>
      </c>
      <c r="F7444">
        <v>-153.858</v>
      </c>
    </row>
    <row r="7445" spans="1:6" x14ac:dyDescent="0.25">
      <c r="A7445">
        <v>7444</v>
      </c>
      <c r="B7445" t="s">
        <v>0</v>
      </c>
      <c r="C7445">
        <v>137</v>
      </c>
      <c r="D7445">
        <v>3487</v>
      </c>
      <c r="E7445">
        <v>80201040</v>
      </c>
    </row>
    <row r="7446" spans="1:6" x14ac:dyDescent="0.25">
      <c r="A7446">
        <v>7445</v>
      </c>
      <c r="B7446">
        <v>46</v>
      </c>
      <c r="C7446">
        <v>0</v>
      </c>
      <c r="D7446">
        <v>0</v>
      </c>
      <c r="E7446">
        <v>0</v>
      </c>
      <c r="F7446">
        <v>0</v>
      </c>
    </row>
    <row r="7447" spans="1:6" x14ac:dyDescent="0.25">
      <c r="A7447">
        <v>7446</v>
      </c>
      <c r="B7447" t="s">
        <v>0</v>
      </c>
      <c r="C7447">
        <v>138</v>
      </c>
      <c r="D7447">
        <v>3487</v>
      </c>
      <c r="E7447">
        <v>80201144</v>
      </c>
    </row>
    <row r="7448" spans="1:6" x14ac:dyDescent="0.25">
      <c r="A7448">
        <v>7447</v>
      </c>
      <c r="B7448">
        <v>2</v>
      </c>
      <c r="C7448">
        <v>0</v>
      </c>
      <c r="D7448">
        <v>0</v>
      </c>
      <c r="E7448">
        <v>0</v>
      </c>
      <c r="F7448">
        <v>319.59199999999998</v>
      </c>
    </row>
    <row r="7449" spans="1:6" x14ac:dyDescent="0.25">
      <c r="A7449">
        <v>7448</v>
      </c>
      <c r="B7449">
        <v>10</v>
      </c>
      <c r="C7449">
        <v>1</v>
      </c>
      <c r="D7449">
        <v>0</v>
      </c>
      <c r="E7449">
        <v>0</v>
      </c>
      <c r="F7449">
        <v>3223</v>
      </c>
    </row>
    <row r="7450" spans="1:6" x14ac:dyDescent="0.25">
      <c r="A7450">
        <v>7449</v>
      </c>
      <c r="B7450">
        <v>13</v>
      </c>
      <c r="C7450">
        <v>0</v>
      </c>
      <c r="D7450">
        <v>0</v>
      </c>
      <c r="E7450">
        <v>0</v>
      </c>
      <c r="F7450">
        <v>1604</v>
      </c>
    </row>
    <row r="7451" spans="1:6" x14ac:dyDescent="0.25">
      <c r="A7451">
        <v>7450</v>
      </c>
      <c r="B7451" t="s">
        <v>0</v>
      </c>
      <c r="C7451">
        <v>140</v>
      </c>
      <c r="D7451">
        <v>3487</v>
      </c>
      <c r="E7451">
        <v>80201353</v>
      </c>
    </row>
    <row r="7452" spans="1:6" x14ac:dyDescent="0.25">
      <c r="A7452">
        <v>7451</v>
      </c>
      <c r="B7452">
        <v>41</v>
      </c>
      <c r="C7452">
        <v>0</v>
      </c>
      <c r="D7452">
        <v>0</v>
      </c>
      <c r="E7452">
        <v>0</v>
      </c>
      <c r="F7452">
        <v>1</v>
      </c>
    </row>
    <row r="7453" spans="1:6" x14ac:dyDescent="0.25">
      <c r="A7453">
        <v>7452</v>
      </c>
      <c r="B7453">
        <v>42</v>
      </c>
      <c r="C7453">
        <v>0</v>
      </c>
      <c r="D7453">
        <v>0</v>
      </c>
      <c r="E7453">
        <v>0</v>
      </c>
      <c r="F7453">
        <v>0.2</v>
      </c>
    </row>
    <row r="7454" spans="1:6" x14ac:dyDescent="0.25">
      <c r="A7454">
        <v>7453</v>
      </c>
      <c r="B7454">
        <v>43</v>
      </c>
      <c r="C7454">
        <v>0</v>
      </c>
      <c r="D7454">
        <v>0</v>
      </c>
      <c r="E7454">
        <v>0</v>
      </c>
      <c r="F7454">
        <v>0</v>
      </c>
    </row>
    <row r="7455" spans="1:6" x14ac:dyDescent="0.25">
      <c r="A7455">
        <v>7454</v>
      </c>
      <c r="B7455" t="s">
        <v>0</v>
      </c>
      <c r="C7455">
        <v>142</v>
      </c>
      <c r="D7455">
        <v>3487</v>
      </c>
      <c r="E7455">
        <v>80201563</v>
      </c>
    </row>
    <row r="7456" spans="1:6" x14ac:dyDescent="0.25">
      <c r="A7456">
        <v>7455</v>
      </c>
      <c r="B7456">
        <v>45</v>
      </c>
      <c r="C7456">
        <v>0</v>
      </c>
      <c r="D7456">
        <v>0</v>
      </c>
      <c r="E7456">
        <v>0</v>
      </c>
      <c r="F7456">
        <v>535.20000000000005</v>
      </c>
    </row>
    <row r="7457" spans="1:6" x14ac:dyDescent="0.25">
      <c r="A7457">
        <v>7456</v>
      </c>
      <c r="B7457" t="s">
        <v>0</v>
      </c>
      <c r="C7457">
        <v>143</v>
      </c>
      <c r="D7457">
        <v>3487</v>
      </c>
      <c r="E7457">
        <v>80201668</v>
      </c>
    </row>
    <row r="7458" spans="1:6" x14ac:dyDescent="0.25">
      <c r="A7458">
        <v>7457</v>
      </c>
      <c r="B7458">
        <v>46</v>
      </c>
      <c r="C7458">
        <v>0</v>
      </c>
      <c r="D7458">
        <v>0</v>
      </c>
      <c r="E7458">
        <v>0</v>
      </c>
      <c r="F7458">
        <v>0</v>
      </c>
    </row>
    <row r="7459" spans="1:6" x14ac:dyDescent="0.25">
      <c r="A7459">
        <v>7458</v>
      </c>
      <c r="B7459" t="s">
        <v>0</v>
      </c>
      <c r="C7459">
        <v>144</v>
      </c>
      <c r="D7459">
        <v>3487</v>
      </c>
      <c r="E7459">
        <v>80201772</v>
      </c>
    </row>
    <row r="7460" spans="1:6" x14ac:dyDescent="0.25">
      <c r="A7460">
        <v>7459</v>
      </c>
      <c r="B7460">
        <v>10</v>
      </c>
      <c r="C7460">
        <v>1</v>
      </c>
      <c r="D7460">
        <v>0</v>
      </c>
      <c r="E7460">
        <v>0</v>
      </c>
      <c r="F7460">
        <v>3231</v>
      </c>
    </row>
    <row r="7461" spans="1:6" x14ac:dyDescent="0.25">
      <c r="A7461">
        <v>7460</v>
      </c>
      <c r="B7461" t="s">
        <v>0</v>
      </c>
      <c r="C7461">
        <v>145</v>
      </c>
      <c r="D7461">
        <v>3487</v>
      </c>
      <c r="E7461">
        <v>80201876</v>
      </c>
    </row>
    <row r="7462" spans="1:6" x14ac:dyDescent="0.25">
      <c r="A7462">
        <v>7461</v>
      </c>
      <c r="B7462">
        <v>13</v>
      </c>
      <c r="C7462">
        <v>0</v>
      </c>
      <c r="D7462">
        <v>0</v>
      </c>
      <c r="E7462">
        <v>0</v>
      </c>
      <c r="F7462">
        <v>1604</v>
      </c>
    </row>
    <row r="7463" spans="1:6" x14ac:dyDescent="0.25">
      <c r="A7463">
        <v>7462</v>
      </c>
      <c r="B7463">
        <v>41</v>
      </c>
      <c r="C7463">
        <v>0</v>
      </c>
      <c r="D7463">
        <v>0</v>
      </c>
      <c r="E7463">
        <v>0</v>
      </c>
      <c r="F7463">
        <v>1</v>
      </c>
    </row>
    <row r="7464" spans="1:6" x14ac:dyDescent="0.25">
      <c r="A7464">
        <v>7463</v>
      </c>
      <c r="B7464">
        <v>42</v>
      </c>
      <c r="C7464">
        <v>0</v>
      </c>
      <c r="D7464">
        <v>0</v>
      </c>
      <c r="E7464">
        <v>0</v>
      </c>
      <c r="F7464">
        <v>0.2</v>
      </c>
    </row>
    <row r="7465" spans="1:6" x14ac:dyDescent="0.25">
      <c r="A7465">
        <v>7464</v>
      </c>
      <c r="B7465" t="s">
        <v>0</v>
      </c>
      <c r="C7465">
        <v>147</v>
      </c>
      <c r="D7465">
        <v>3487</v>
      </c>
      <c r="E7465">
        <v>80202086</v>
      </c>
    </row>
    <row r="7466" spans="1:6" x14ac:dyDescent="0.25">
      <c r="A7466">
        <v>7465</v>
      </c>
      <c r="B7466">
        <v>43</v>
      </c>
      <c r="C7466">
        <v>0</v>
      </c>
      <c r="D7466">
        <v>0</v>
      </c>
      <c r="E7466">
        <v>0</v>
      </c>
      <c r="F7466">
        <v>0</v>
      </c>
    </row>
    <row r="7467" spans="1:6" x14ac:dyDescent="0.25">
      <c r="A7467">
        <v>7466</v>
      </c>
      <c r="B7467">
        <v>44</v>
      </c>
      <c r="C7467">
        <v>0</v>
      </c>
      <c r="D7467">
        <v>0</v>
      </c>
      <c r="E7467">
        <v>0</v>
      </c>
      <c r="F7467">
        <v>-152.48400000000001</v>
      </c>
    </row>
    <row r="7468" spans="1:6" x14ac:dyDescent="0.25">
      <c r="A7468">
        <v>7467</v>
      </c>
      <c r="B7468">
        <v>45</v>
      </c>
      <c r="C7468">
        <v>0</v>
      </c>
      <c r="D7468">
        <v>0</v>
      </c>
      <c r="E7468">
        <v>0</v>
      </c>
      <c r="F7468">
        <v>535.08500000000004</v>
      </c>
    </row>
    <row r="7469" spans="1:6" x14ac:dyDescent="0.25">
      <c r="A7469">
        <v>7468</v>
      </c>
      <c r="B7469" t="s">
        <v>0</v>
      </c>
      <c r="C7469">
        <v>149</v>
      </c>
      <c r="D7469">
        <v>3487</v>
      </c>
      <c r="E7469">
        <v>80202295</v>
      </c>
    </row>
    <row r="7470" spans="1:6" x14ac:dyDescent="0.25">
      <c r="A7470">
        <v>7469</v>
      </c>
      <c r="B7470">
        <v>2</v>
      </c>
      <c r="C7470">
        <v>0</v>
      </c>
      <c r="D7470">
        <v>0</v>
      </c>
      <c r="E7470">
        <v>0</v>
      </c>
      <c r="F7470">
        <v>318.483</v>
      </c>
    </row>
    <row r="7471" spans="1:6" x14ac:dyDescent="0.25">
      <c r="A7471">
        <v>7470</v>
      </c>
      <c r="B7471">
        <v>10</v>
      </c>
      <c r="C7471">
        <v>1</v>
      </c>
      <c r="D7471">
        <v>0</v>
      </c>
      <c r="E7471">
        <v>0</v>
      </c>
      <c r="F7471">
        <v>3239</v>
      </c>
    </row>
    <row r="7472" spans="1:6" x14ac:dyDescent="0.25">
      <c r="A7472">
        <v>7471</v>
      </c>
      <c r="B7472" t="s">
        <v>0</v>
      </c>
      <c r="C7472">
        <v>151</v>
      </c>
      <c r="D7472">
        <v>3487</v>
      </c>
      <c r="E7472">
        <v>80202504</v>
      </c>
    </row>
    <row r="7473" spans="1:6" x14ac:dyDescent="0.25">
      <c r="A7473">
        <v>7472</v>
      </c>
      <c r="B7473">
        <v>41</v>
      </c>
      <c r="C7473">
        <v>0</v>
      </c>
      <c r="D7473">
        <v>0</v>
      </c>
      <c r="E7473">
        <v>0</v>
      </c>
      <c r="F7473">
        <v>1</v>
      </c>
    </row>
    <row r="7474" spans="1:6" x14ac:dyDescent="0.25">
      <c r="A7474">
        <v>7473</v>
      </c>
      <c r="B7474" t="s">
        <v>0</v>
      </c>
      <c r="C7474">
        <v>152</v>
      </c>
      <c r="D7474">
        <v>3487</v>
      </c>
      <c r="E7474">
        <v>80202609</v>
      </c>
    </row>
    <row r="7475" spans="1:6" x14ac:dyDescent="0.25">
      <c r="A7475">
        <v>7474</v>
      </c>
      <c r="B7475">
        <v>42</v>
      </c>
      <c r="C7475">
        <v>0</v>
      </c>
      <c r="D7475">
        <v>0</v>
      </c>
      <c r="E7475">
        <v>0</v>
      </c>
      <c r="F7475">
        <v>0.2</v>
      </c>
    </row>
    <row r="7476" spans="1:6" x14ac:dyDescent="0.25">
      <c r="A7476">
        <v>7475</v>
      </c>
      <c r="B7476">
        <v>43</v>
      </c>
      <c r="C7476">
        <v>0</v>
      </c>
      <c r="D7476">
        <v>0</v>
      </c>
      <c r="E7476">
        <v>0</v>
      </c>
      <c r="F7476">
        <v>0</v>
      </c>
    </row>
    <row r="7477" spans="1:6" x14ac:dyDescent="0.25">
      <c r="A7477">
        <v>7476</v>
      </c>
      <c r="B7477">
        <v>44</v>
      </c>
      <c r="C7477">
        <v>0</v>
      </c>
      <c r="D7477">
        <v>0</v>
      </c>
      <c r="E7477">
        <v>0</v>
      </c>
      <c r="F7477">
        <v>-151.70699999999999</v>
      </c>
    </row>
    <row r="7478" spans="1:6" x14ac:dyDescent="0.25">
      <c r="A7478">
        <v>7477</v>
      </c>
      <c r="B7478" t="s">
        <v>0</v>
      </c>
      <c r="C7478">
        <v>154</v>
      </c>
      <c r="D7478">
        <v>3487</v>
      </c>
      <c r="E7478">
        <v>80202819</v>
      </c>
    </row>
    <row r="7479" spans="1:6" x14ac:dyDescent="0.25">
      <c r="A7479">
        <v>7478</v>
      </c>
      <c r="B7479">
        <v>45</v>
      </c>
      <c r="C7479">
        <v>0</v>
      </c>
      <c r="D7479">
        <v>0</v>
      </c>
      <c r="E7479">
        <v>0</v>
      </c>
      <c r="F7479">
        <v>534.96900000000005</v>
      </c>
    </row>
    <row r="7480" spans="1:6" x14ac:dyDescent="0.25">
      <c r="A7480">
        <v>7479</v>
      </c>
      <c r="B7480">
        <v>46</v>
      </c>
      <c r="C7480">
        <v>0</v>
      </c>
      <c r="D7480">
        <v>0</v>
      </c>
      <c r="E7480">
        <v>0</v>
      </c>
      <c r="F7480">
        <v>0</v>
      </c>
    </row>
    <row r="7481" spans="1:6" x14ac:dyDescent="0.25">
      <c r="A7481">
        <v>7480</v>
      </c>
      <c r="B7481">
        <v>2</v>
      </c>
      <c r="C7481">
        <v>0</v>
      </c>
      <c r="D7481">
        <v>0</v>
      </c>
      <c r="E7481">
        <v>0</v>
      </c>
      <c r="F7481">
        <v>317.88099999999997</v>
      </c>
    </row>
    <row r="7482" spans="1:6" x14ac:dyDescent="0.25">
      <c r="A7482">
        <v>7481</v>
      </c>
      <c r="B7482" t="s">
        <v>0</v>
      </c>
      <c r="C7482">
        <v>156</v>
      </c>
      <c r="D7482">
        <v>3487</v>
      </c>
      <c r="E7482">
        <v>80203029</v>
      </c>
    </row>
    <row r="7483" spans="1:6" x14ac:dyDescent="0.25">
      <c r="A7483">
        <v>7482</v>
      </c>
      <c r="B7483">
        <v>13</v>
      </c>
      <c r="C7483">
        <v>0</v>
      </c>
      <c r="D7483">
        <v>0</v>
      </c>
      <c r="E7483">
        <v>0</v>
      </c>
      <c r="F7483">
        <v>1604</v>
      </c>
    </row>
    <row r="7484" spans="1:6" x14ac:dyDescent="0.25">
      <c r="A7484">
        <v>7483</v>
      </c>
      <c r="B7484">
        <v>41</v>
      </c>
      <c r="C7484">
        <v>0</v>
      </c>
      <c r="D7484">
        <v>0</v>
      </c>
      <c r="E7484">
        <v>0</v>
      </c>
      <c r="F7484">
        <v>1</v>
      </c>
    </row>
    <row r="7485" spans="1:6" x14ac:dyDescent="0.25">
      <c r="A7485">
        <v>7484</v>
      </c>
      <c r="B7485" t="s">
        <v>0</v>
      </c>
      <c r="C7485">
        <v>158</v>
      </c>
      <c r="D7485">
        <v>3487</v>
      </c>
      <c r="E7485">
        <v>80203239</v>
      </c>
    </row>
    <row r="7486" spans="1:6" x14ac:dyDescent="0.25">
      <c r="A7486">
        <v>7485</v>
      </c>
      <c r="B7486" t="s">
        <v>1</v>
      </c>
      <c r="C7486">
        <v>158</v>
      </c>
      <c r="D7486">
        <v>3487</v>
      </c>
      <c r="E7486">
        <v>80203283</v>
      </c>
    </row>
    <row r="7487" spans="1:6" x14ac:dyDescent="0.25">
      <c r="A7487">
        <v>7486</v>
      </c>
      <c r="B7487">
        <v>43</v>
      </c>
      <c r="C7487">
        <v>0</v>
      </c>
      <c r="D7487">
        <v>0</v>
      </c>
      <c r="E7487">
        <v>0</v>
      </c>
      <c r="F7487">
        <v>0</v>
      </c>
    </row>
    <row r="7488" spans="1:6" x14ac:dyDescent="0.25">
      <c r="A7488">
        <v>7487</v>
      </c>
      <c r="B7488" t="s">
        <v>0</v>
      </c>
      <c r="C7488">
        <v>159</v>
      </c>
      <c r="D7488">
        <v>3487</v>
      </c>
      <c r="E7488">
        <v>80203344</v>
      </c>
    </row>
    <row r="7489" spans="1:6" x14ac:dyDescent="0.25">
      <c r="A7489">
        <v>7488</v>
      </c>
      <c r="B7489">
        <v>44</v>
      </c>
      <c r="C7489">
        <v>0</v>
      </c>
      <c r="D7489">
        <v>0</v>
      </c>
      <c r="E7489">
        <v>0</v>
      </c>
      <c r="F7489">
        <v>-150.95599999999999</v>
      </c>
    </row>
    <row r="7490" spans="1:6" x14ac:dyDescent="0.25">
      <c r="A7490">
        <v>7489</v>
      </c>
      <c r="B7490">
        <v>45</v>
      </c>
      <c r="C7490">
        <v>0</v>
      </c>
      <c r="D7490">
        <v>0</v>
      </c>
      <c r="E7490">
        <v>0</v>
      </c>
      <c r="F7490">
        <v>534.87400000000002</v>
      </c>
    </row>
    <row r="7491" spans="1:6" x14ac:dyDescent="0.25">
      <c r="A7491">
        <v>7490</v>
      </c>
      <c r="B7491">
        <v>46</v>
      </c>
      <c r="C7491">
        <v>0</v>
      </c>
      <c r="D7491">
        <v>0</v>
      </c>
      <c r="E7491">
        <v>0</v>
      </c>
      <c r="F7491">
        <v>0</v>
      </c>
    </row>
    <row r="7492" spans="1:6" x14ac:dyDescent="0.25">
      <c r="A7492">
        <v>7491</v>
      </c>
      <c r="B7492" t="s">
        <v>0</v>
      </c>
      <c r="C7492">
        <v>161</v>
      </c>
      <c r="D7492">
        <v>3487</v>
      </c>
      <c r="E7492">
        <v>80203555</v>
      </c>
    </row>
    <row r="7493" spans="1:6" x14ac:dyDescent="0.25">
      <c r="A7493">
        <v>7492</v>
      </c>
      <c r="B7493">
        <v>2</v>
      </c>
      <c r="C7493">
        <v>0</v>
      </c>
      <c r="D7493">
        <v>0</v>
      </c>
      <c r="E7493">
        <v>0</v>
      </c>
      <c r="F7493">
        <v>317.24</v>
      </c>
    </row>
    <row r="7494" spans="1:6" x14ac:dyDescent="0.25">
      <c r="A7494">
        <v>7493</v>
      </c>
      <c r="B7494">
        <v>10</v>
      </c>
      <c r="C7494">
        <v>1</v>
      </c>
      <c r="D7494">
        <v>0</v>
      </c>
      <c r="E7494">
        <v>0</v>
      </c>
      <c r="F7494">
        <v>3258</v>
      </c>
    </row>
    <row r="7495" spans="1:6" x14ac:dyDescent="0.25">
      <c r="A7495">
        <v>7494</v>
      </c>
      <c r="B7495">
        <v>13</v>
      </c>
      <c r="C7495">
        <v>0</v>
      </c>
      <c r="D7495">
        <v>0</v>
      </c>
      <c r="E7495">
        <v>0</v>
      </c>
      <c r="F7495">
        <v>1605</v>
      </c>
    </row>
    <row r="7496" spans="1:6" x14ac:dyDescent="0.25">
      <c r="A7496">
        <v>7495</v>
      </c>
      <c r="B7496" t="s">
        <v>0</v>
      </c>
      <c r="C7496">
        <v>163</v>
      </c>
      <c r="D7496">
        <v>3487</v>
      </c>
      <c r="E7496">
        <v>80203765</v>
      </c>
    </row>
    <row r="7497" spans="1:6" x14ac:dyDescent="0.25">
      <c r="A7497">
        <v>7496</v>
      </c>
      <c r="B7497">
        <v>42</v>
      </c>
      <c r="C7497">
        <v>0</v>
      </c>
      <c r="D7497">
        <v>0</v>
      </c>
      <c r="E7497">
        <v>0</v>
      </c>
      <c r="F7497">
        <v>0.2</v>
      </c>
    </row>
    <row r="7498" spans="1:6" x14ac:dyDescent="0.25">
      <c r="A7498">
        <v>7497</v>
      </c>
      <c r="B7498" t="s">
        <v>0</v>
      </c>
      <c r="C7498">
        <v>164</v>
      </c>
      <c r="D7498">
        <v>3487</v>
      </c>
      <c r="E7498">
        <v>80203870</v>
      </c>
    </row>
    <row r="7499" spans="1:6" x14ac:dyDescent="0.25">
      <c r="A7499">
        <v>7498</v>
      </c>
      <c r="B7499">
        <v>43</v>
      </c>
      <c r="C7499">
        <v>0</v>
      </c>
      <c r="D7499">
        <v>0</v>
      </c>
      <c r="E7499">
        <v>0</v>
      </c>
      <c r="F7499">
        <v>0</v>
      </c>
    </row>
    <row r="7500" spans="1:6" x14ac:dyDescent="0.25">
      <c r="A7500">
        <v>7499</v>
      </c>
      <c r="B7500" t="s">
        <v>0</v>
      </c>
      <c r="C7500">
        <v>165</v>
      </c>
      <c r="D7500">
        <v>3487</v>
      </c>
      <c r="E7500">
        <v>80203975</v>
      </c>
    </row>
    <row r="7501" spans="1:6" x14ac:dyDescent="0.25">
      <c r="A7501">
        <v>7500</v>
      </c>
      <c r="B7501">
        <v>45</v>
      </c>
      <c r="C7501">
        <v>0</v>
      </c>
      <c r="D7501">
        <v>0</v>
      </c>
      <c r="E7501">
        <v>0</v>
      </c>
      <c r="F7501">
        <v>534.75900000000001</v>
      </c>
    </row>
    <row r="7502" spans="1:6" x14ac:dyDescent="0.25">
      <c r="A7502">
        <v>7501</v>
      </c>
      <c r="B7502" t="s">
        <v>0</v>
      </c>
      <c r="C7502">
        <v>166</v>
      </c>
      <c r="D7502">
        <v>3487</v>
      </c>
      <c r="E7502">
        <v>80204080</v>
      </c>
    </row>
    <row r="7503" spans="1:6" x14ac:dyDescent="0.25">
      <c r="A7503">
        <v>7502</v>
      </c>
      <c r="B7503">
        <v>46</v>
      </c>
      <c r="C7503">
        <v>0</v>
      </c>
      <c r="D7503">
        <v>0</v>
      </c>
      <c r="E7503">
        <v>0</v>
      </c>
      <c r="F7503">
        <v>0</v>
      </c>
    </row>
    <row r="7504" spans="1:6" x14ac:dyDescent="0.25">
      <c r="A7504">
        <v>7503</v>
      </c>
      <c r="B7504">
        <v>2</v>
      </c>
      <c r="C7504">
        <v>0</v>
      </c>
      <c r="D7504">
        <v>0</v>
      </c>
      <c r="E7504">
        <v>0</v>
      </c>
      <c r="F7504">
        <v>316.77999999999997</v>
      </c>
    </row>
    <row r="7505" spans="1:6" x14ac:dyDescent="0.25">
      <c r="A7505">
        <v>7504</v>
      </c>
      <c r="B7505">
        <v>10</v>
      </c>
      <c r="C7505">
        <v>1</v>
      </c>
      <c r="D7505">
        <v>0</v>
      </c>
      <c r="E7505">
        <v>0</v>
      </c>
      <c r="F7505">
        <v>3266</v>
      </c>
    </row>
    <row r="7506" spans="1:6" x14ac:dyDescent="0.25">
      <c r="A7506">
        <v>7505</v>
      </c>
      <c r="B7506" t="s">
        <v>0</v>
      </c>
      <c r="C7506">
        <v>168</v>
      </c>
      <c r="D7506">
        <v>3487</v>
      </c>
      <c r="E7506">
        <v>80204290</v>
      </c>
    </row>
    <row r="7507" spans="1:6" x14ac:dyDescent="0.25">
      <c r="A7507">
        <v>7506</v>
      </c>
      <c r="B7507">
        <v>41</v>
      </c>
      <c r="C7507">
        <v>0</v>
      </c>
      <c r="D7507">
        <v>0</v>
      </c>
      <c r="E7507">
        <v>0</v>
      </c>
      <c r="F7507">
        <v>1</v>
      </c>
    </row>
    <row r="7508" spans="1:6" x14ac:dyDescent="0.25">
      <c r="A7508">
        <v>7507</v>
      </c>
      <c r="B7508">
        <v>42</v>
      </c>
      <c r="C7508">
        <v>0</v>
      </c>
      <c r="D7508">
        <v>0</v>
      </c>
      <c r="E7508">
        <v>0</v>
      </c>
      <c r="F7508">
        <v>0.2</v>
      </c>
    </row>
    <row r="7509" spans="1:6" x14ac:dyDescent="0.25">
      <c r="A7509">
        <v>7508</v>
      </c>
      <c r="B7509" t="s">
        <v>0</v>
      </c>
      <c r="C7509">
        <v>170</v>
      </c>
      <c r="D7509">
        <v>3487</v>
      </c>
      <c r="E7509">
        <v>80204502</v>
      </c>
    </row>
    <row r="7510" spans="1:6" x14ac:dyDescent="0.25">
      <c r="A7510">
        <v>7509</v>
      </c>
      <c r="B7510">
        <v>44</v>
      </c>
      <c r="C7510">
        <v>0</v>
      </c>
      <c r="D7510">
        <v>0</v>
      </c>
      <c r="E7510">
        <v>0</v>
      </c>
      <c r="F7510">
        <v>-149.56700000000001</v>
      </c>
    </row>
    <row r="7511" spans="1:6" x14ac:dyDescent="0.25">
      <c r="A7511">
        <v>7510</v>
      </c>
      <c r="B7511" t="s">
        <v>0</v>
      </c>
      <c r="C7511">
        <v>171</v>
      </c>
      <c r="D7511">
        <v>3487</v>
      </c>
      <c r="E7511">
        <v>80204607</v>
      </c>
    </row>
    <row r="7512" spans="1:6" x14ac:dyDescent="0.25">
      <c r="A7512">
        <v>7511</v>
      </c>
      <c r="B7512">
        <v>45</v>
      </c>
      <c r="C7512">
        <v>0</v>
      </c>
      <c r="D7512">
        <v>0</v>
      </c>
      <c r="E7512">
        <v>0</v>
      </c>
      <c r="F7512">
        <v>534.64499999999998</v>
      </c>
    </row>
    <row r="7513" spans="1:6" x14ac:dyDescent="0.25">
      <c r="A7513">
        <v>7512</v>
      </c>
      <c r="B7513">
        <v>46</v>
      </c>
      <c r="C7513">
        <v>0</v>
      </c>
      <c r="D7513">
        <v>0</v>
      </c>
      <c r="E7513">
        <v>0</v>
      </c>
      <c r="F7513">
        <v>0</v>
      </c>
    </row>
    <row r="7514" spans="1:6" x14ac:dyDescent="0.25">
      <c r="A7514">
        <v>7513</v>
      </c>
      <c r="B7514">
        <v>2</v>
      </c>
      <c r="C7514">
        <v>0</v>
      </c>
      <c r="D7514">
        <v>0</v>
      </c>
      <c r="E7514">
        <v>0</v>
      </c>
      <c r="F7514">
        <v>316.18099999999998</v>
      </c>
    </row>
    <row r="7515" spans="1:6" x14ac:dyDescent="0.25">
      <c r="A7515">
        <v>7514</v>
      </c>
      <c r="B7515" t="s">
        <v>0</v>
      </c>
      <c r="C7515">
        <v>173</v>
      </c>
      <c r="D7515">
        <v>3487</v>
      </c>
      <c r="E7515">
        <v>80204818</v>
      </c>
    </row>
    <row r="7516" spans="1:6" x14ac:dyDescent="0.25">
      <c r="A7516">
        <v>7515</v>
      </c>
      <c r="B7516">
        <v>10</v>
      </c>
      <c r="C7516">
        <v>1</v>
      </c>
      <c r="D7516">
        <v>0</v>
      </c>
      <c r="E7516">
        <v>0</v>
      </c>
      <c r="F7516">
        <v>3273</v>
      </c>
    </row>
    <row r="7517" spans="1:6" x14ac:dyDescent="0.25">
      <c r="A7517">
        <v>7516</v>
      </c>
      <c r="B7517">
        <v>13</v>
      </c>
      <c r="C7517">
        <v>0</v>
      </c>
      <c r="D7517">
        <v>0</v>
      </c>
      <c r="E7517">
        <v>0</v>
      </c>
      <c r="F7517">
        <v>1605</v>
      </c>
    </row>
    <row r="7518" spans="1:6" x14ac:dyDescent="0.25">
      <c r="A7518">
        <v>7517</v>
      </c>
      <c r="B7518">
        <v>41</v>
      </c>
      <c r="C7518">
        <v>0</v>
      </c>
      <c r="D7518">
        <v>0</v>
      </c>
      <c r="E7518">
        <v>0</v>
      </c>
      <c r="F7518">
        <v>1</v>
      </c>
    </row>
    <row r="7519" spans="1:6" x14ac:dyDescent="0.25">
      <c r="A7519">
        <v>7518</v>
      </c>
      <c r="B7519" t="s">
        <v>0</v>
      </c>
      <c r="C7519">
        <v>175</v>
      </c>
      <c r="D7519">
        <v>3487</v>
      </c>
      <c r="E7519">
        <v>80205030</v>
      </c>
    </row>
    <row r="7520" spans="1:6" x14ac:dyDescent="0.25">
      <c r="A7520">
        <v>7519</v>
      </c>
      <c r="B7520">
        <v>43</v>
      </c>
      <c r="C7520">
        <v>0</v>
      </c>
      <c r="D7520">
        <v>0</v>
      </c>
      <c r="E7520">
        <v>0</v>
      </c>
      <c r="F7520">
        <v>0</v>
      </c>
    </row>
    <row r="7521" spans="1:6" x14ac:dyDescent="0.25">
      <c r="A7521">
        <v>7520</v>
      </c>
      <c r="B7521" t="s">
        <v>0</v>
      </c>
      <c r="C7521">
        <v>176</v>
      </c>
      <c r="D7521">
        <v>3487</v>
      </c>
      <c r="E7521">
        <v>80205136</v>
      </c>
    </row>
    <row r="7522" spans="1:6" x14ac:dyDescent="0.25">
      <c r="A7522">
        <v>7521</v>
      </c>
      <c r="B7522">
        <v>44</v>
      </c>
      <c r="C7522">
        <v>0</v>
      </c>
      <c r="D7522">
        <v>0</v>
      </c>
      <c r="E7522">
        <v>0</v>
      </c>
      <c r="F7522">
        <v>-148.81299999999999</v>
      </c>
    </row>
    <row r="7523" spans="1:6" x14ac:dyDescent="0.25">
      <c r="A7523">
        <v>7522</v>
      </c>
      <c r="B7523" t="s">
        <v>0</v>
      </c>
      <c r="C7523">
        <v>177</v>
      </c>
      <c r="D7523">
        <v>3487</v>
      </c>
      <c r="E7523">
        <v>80205241</v>
      </c>
    </row>
    <row r="7524" spans="1:6" x14ac:dyDescent="0.25">
      <c r="A7524">
        <v>7523</v>
      </c>
      <c r="B7524">
        <v>46</v>
      </c>
      <c r="C7524">
        <v>0</v>
      </c>
      <c r="D7524">
        <v>0</v>
      </c>
      <c r="E7524">
        <v>0</v>
      </c>
      <c r="F7524">
        <v>0</v>
      </c>
    </row>
    <row r="7525" spans="1:6" x14ac:dyDescent="0.25">
      <c r="A7525">
        <v>7524</v>
      </c>
      <c r="B7525" t="s">
        <v>0</v>
      </c>
      <c r="C7525">
        <v>178</v>
      </c>
      <c r="D7525">
        <v>3487</v>
      </c>
      <c r="E7525">
        <v>80205347</v>
      </c>
    </row>
    <row r="7526" spans="1:6" x14ac:dyDescent="0.25">
      <c r="A7526">
        <v>7525</v>
      </c>
      <c r="B7526">
        <v>2</v>
      </c>
      <c r="C7526">
        <v>0</v>
      </c>
      <c r="D7526">
        <v>0</v>
      </c>
      <c r="E7526">
        <v>0</v>
      </c>
      <c r="F7526">
        <v>315.584</v>
      </c>
    </row>
    <row r="7527" spans="1:6" x14ac:dyDescent="0.25">
      <c r="A7527">
        <v>7526</v>
      </c>
      <c r="B7527">
        <v>10</v>
      </c>
      <c r="C7527">
        <v>1</v>
      </c>
      <c r="D7527">
        <v>0</v>
      </c>
      <c r="E7527">
        <v>0</v>
      </c>
      <c r="F7527">
        <v>3282</v>
      </c>
    </row>
    <row r="7528" spans="1:6" x14ac:dyDescent="0.25">
      <c r="A7528">
        <v>7527</v>
      </c>
      <c r="B7528">
        <v>13</v>
      </c>
      <c r="C7528">
        <v>0</v>
      </c>
      <c r="D7528">
        <v>0</v>
      </c>
      <c r="E7528">
        <v>0</v>
      </c>
      <c r="F7528">
        <v>1605</v>
      </c>
    </row>
    <row r="7529" spans="1:6" x14ac:dyDescent="0.25">
      <c r="A7529">
        <v>7528</v>
      </c>
      <c r="B7529" t="s">
        <v>0</v>
      </c>
      <c r="C7529">
        <v>0</v>
      </c>
      <c r="D7529">
        <v>3488</v>
      </c>
      <c r="E7529">
        <v>80205559</v>
      </c>
    </row>
    <row r="7530" spans="1:6" x14ac:dyDescent="0.25">
      <c r="A7530">
        <v>7529</v>
      </c>
      <c r="B7530">
        <v>42</v>
      </c>
      <c r="C7530">
        <v>0</v>
      </c>
      <c r="D7530">
        <v>0</v>
      </c>
      <c r="E7530">
        <v>0</v>
      </c>
      <c r="F7530">
        <v>0.2</v>
      </c>
    </row>
    <row r="7531" spans="1:6" x14ac:dyDescent="0.25">
      <c r="A7531">
        <v>7530</v>
      </c>
      <c r="B7531">
        <v>43</v>
      </c>
      <c r="C7531">
        <v>0</v>
      </c>
      <c r="D7531">
        <v>0</v>
      </c>
      <c r="E7531">
        <v>0</v>
      </c>
      <c r="F7531">
        <v>0</v>
      </c>
    </row>
    <row r="7532" spans="1:6" x14ac:dyDescent="0.25">
      <c r="A7532">
        <v>7531</v>
      </c>
      <c r="B7532" t="s">
        <v>0</v>
      </c>
      <c r="C7532">
        <v>2</v>
      </c>
      <c r="D7532">
        <v>3488</v>
      </c>
      <c r="E7532">
        <v>80205771</v>
      </c>
    </row>
    <row r="7533" spans="1:6" x14ac:dyDescent="0.25">
      <c r="A7533">
        <v>7532</v>
      </c>
      <c r="B7533">
        <v>45</v>
      </c>
      <c r="C7533">
        <v>0</v>
      </c>
      <c r="D7533">
        <v>0</v>
      </c>
      <c r="E7533">
        <v>0</v>
      </c>
      <c r="F7533">
        <v>534.47400000000005</v>
      </c>
    </row>
    <row r="7534" spans="1:6" x14ac:dyDescent="0.25">
      <c r="A7534">
        <v>7533</v>
      </c>
      <c r="B7534" t="s">
        <v>0</v>
      </c>
      <c r="C7534">
        <v>3</v>
      </c>
      <c r="D7534">
        <v>3488</v>
      </c>
      <c r="E7534">
        <v>80205877</v>
      </c>
    </row>
    <row r="7535" spans="1:6" x14ac:dyDescent="0.25">
      <c r="A7535">
        <v>7534</v>
      </c>
      <c r="B7535">
        <v>46</v>
      </c>
      <c r="C7535">
        <v>0</v>
      </c>
      <c r="D7535">
        <v>0</v>
      </c>
      <c r="E7535">
        <v>0</v>
      </c>
      <c r="F7535">
        <v>0</v>
      </c>
    </row>
    <row r="7536" spans="1:6" x14ac:dyDescent="0.25">
      <c r="A7536">
        <v>7535</v>
      </c>
      <c r="B7536">
        <v>2</v>
      </c>
      <c r="C7536">
        <v>0</v>
      </c>
      <c r="D7536">
        <v>0</v>
      </c>
      <c r="E7536">
        <v>0</v>
      </c>
      <c r="F7536">
        <v>315.26600000000002</v>
      </c>
    </row>
    <row r="7537" spans="1:6" x14ac:dyDescent="0.25">
      <c r="A7537">
        <v>7536</v>
      </c>
      <c r="B7537">
        <v>10</v>
      </c>
      <c r="C7537">
        <v>1</v>
      </c>
      <c r="D7537">
        <v>0</v>
      </c>
      <c r="E7537">
        <v>0</v>
      </c>
      <c r="F7537">
        <v>3289</v>
      </c>
    </row>
    <row r="7538" spans="1:6" x14ac:dyDescent="0.25">
      <c r="A7538">
        <v>7537</v>
      </c>
      <c r="B7538" t="s">
        <v>0</v>
      </c>
      <c r="C7538">
        <v>5</v>
      </c>
      <c r="D7538">
        <v>3488</v>
      </c>
      <c r="E7538">
        <v>80206089</v>
      </c>
    </row>
    <row r="7539" spans="1:6" x14ac:dyDescent="0.25">
      <c r="A7539">
        <v>7538</v>
      </c>
      <c r="B7539">
        <v>13</v>
      </c>
      <c r="C7539">
        <v>0</v>
      </c>
      <c r="D7539">
        <v>0</v>
      </c>
      <c r="E7539">
        <v>0</v>
      </c>
      <c r="F7539">
        <v>1605</v>
      </c>
    </row>
    <row r="7540" spans="1:6" x14ac:dyDescent="0.25">
      <c r="A7540">
        <v>7539</v>
      </c>
      <c r="B7540">
        <v>41</v>
      </c>
      <c r="C7540">
        <v>0</v>
      </c>
      <c r="D7540">
        <v>0</v>
      </c>
      <c r="E7540">
        <v>0</v>
      </c>
      <c r="F7540">
        <v>1</v>
      </c>
    </row>
    <row r="7541" spans="1:6" x14ac:dyDescent="0.25">
      <c r="A7541">
        <v>7540</v>
      </c>
      <c r="B7541">
        <v>42</v>
      </c>
      <c r="C7541">
        <v>0</v>
      </c>
      <c r="D7541">
        <v>0</v>
      </c>
      <c r="E7541">
        <v>0</v>
      </c>
      <c r="F7541">
        <v>0.2</v>
      </c>
    </row>
    <row r="7542" spans="1:6" x14ac:dyDescent="0.25">
      <c r="A7542">
        <v>7541</v>
      </c>
      <c r="B7542" t="s">
        <v>0</v>
      </c>
      <c r="C7542">
        <v>7</v>
      </c>
      <c r="D7542">
        <v>3488</v>
      </c>
      <c r="E7542">
        <v>80206301</v>
      </c>
    </row>
    <row r="7543" spans="1:6" x14ac:dyDescent="0.25">
      <c r="A7543">
        <v>7542</v>
      </c>
      <c r="B7543">
        <v>44</v>
      </c>
      <c r="C7543">
        <v>0</v>
      </c>
      <c r="D7543">
        <v>0</v>
      </c>
      <c r="E7543">
        <v>0</v>
      </c>
      <c r="F7543">
        <v>-147.583</v>
      </c>
    </row>
    <row r="7544" spans="1:6" x14ac:dyDescent="0.25">
      <c r="A7544">
        <v>7543</v>
      </c>
      <c r="B7544" t="s">
        <v>0</v>
      </c>
      <c r="C7544">
        <v>8</v>
      </c>
      <c r="D7544">
        <v>3488</v>
      </c>
      <c r="E7544">
        <v>80206408</v>
      </c>
    </row>
    <row r="7545" spans="1:6" x14ac:dyDescent="0.25">
      <c r="A7545">
        <v>7544</v>
      </c>
      <c r="B7545">
        <v>45</v>
      </c>
      <c r="C7545">
        <v>0</v>
      </c>
      <c r="D7545">
        <v>0</v>
      </c>
      <c r="E7545">
        <v>0</v>
      </c>
      <c r="F7545">
        <v>534.36099999999999</v>
      </c>
    </row>
    <row r="7546" spans="1:6" x14ac:dyDescent="0.25">
      <c r="A7546">
        <v>7545</v>
      </c>
      <c r="B7546">
        <v>46</v>
      </c>
      <c r="C7546">
        <v>0</v>
      </c>
      <c r="D7546">
        <v>0</v>
      </c>
      <c r="E7546">
        <v>0</v>
      </c>
      <c r="F7546">
        <v>0</v>
      </c>
    </row>
    <row r="7547" spans="1:6" x14ac:dyDescent="0.25">
      <c r="A7547">
        <v>7546</v>
      </c>
      <c r="B7547">
        <v>2</v>
      </c>
      <c r="C7547">
        <v>0</v>
      </c>
      <c r="D7547">
        <v>0</v>
      </c>
      <c r="E7547">
        <v>0</v>
      </c>
      <c r="F7547">
        <v>314.63900000000001</v>
      </c>
    </row>
    <row r="7548" spans="1:6" x14ac:dyDescent="0.25">
      <c r="A7548">
        <v>7547</v>
      </c>
      <c r="B7548" t="s">
        <v>0</v>
      </c>
      <c r="C7548">
        <v>10</v>
      </c>
      <c r="D7548">
        <v>3488</v>
      </c>
      <c r="E7548">
        <v>80206620</v>
      </c>
    </row>
    <row r="7549" spans="1:6" x14ac:dyDescent="0.25">
      <c r="A7549">
        <v>7548</v>
      </c>
      <c r="B7549">
        <v>10</v>
      </c>
      <c r="C7549">
        <v>1</v>
      </c>
      <c r="D7549">
        <v>0</v>
      </c>
      <c r="E7549">
        <v>0</v>
      </c>
      <c r="F7549">
        <v>3297</v>
      </c>
    </row>
    <row r="7550" spans="1:6" x14ac:dyDescent="0.25">
      <c r="A7550">
        <v>7549</v>
      </c>
      <c r="B7550">
        <v>13</v>
      </c>
      <c r="C7550">
        <v>0</v>
      </c>
      <c r="D7550">
        <v>0</v>
      </c>
      <c r="E7550">
        <v>0</v>
      </c>
      <c r="F7550">
        <v>1605</v>
      </c>
    </row>
    <row r="7551" spans="1:6" x14ac:dyDescent="0.25">
      <c r="A7551">
        <v>7550</v>
      </c>
      <c r="B7551">
        <v>41</v>
      </c>
      <c r="C7551">
        <v>0</v>
      </c>
      <c r="D7551">
        <v>0</v>
      </c>
      <c r="E7551">
        <v>0</v>
      </c>
      <c r="F7551">
        <v>1</v>
      </c>
    </row>
    <row r="7552" spans="1:6" x14ac:dyDescent="0.25">
      <c r="A7552">
        <v>7551</v>
      </c>
      <c r="B7552" t="s">
        <v>0</v>
      </c>
      <c r="C7552">
        <v>12</v>
      </c>
      <c r="D7552">
        <v>3488</v>
      </c>
      <c r="E7552">
        <v>80206833</v>
      </c>
    </row>
    <row r="7553" spans="1:6" x14ac:dyDescent="0.25">
      <c r="A7553">
        <v>7552</v>
      </c>
      <c r="B7553">
        <v>43</v>
      </c>
      <c r="C7553">
        <v>0</v>
      </c>
      <c r="D7553">
        <v>0</v>
      </c>
      <c r="E7553">
        <v>0</v>
      </c>
      <c r="F7553">
        <v>0</v>
      </c>
    </row>
    <row r="7554" spans="1:6" x14ac:dyDescent="0.25">
      <c r="A7554">
        <v>7553</v>
      </c>
      <c r="B7554" t="s">
        <v>0</v>
      </c>
      <c r="C7554">
        <v>13</v>
      </c>
      <c r="D7554">
        <v>3488</v>
      </c>
      <c r="E7554">
        <v>80206939</v>
      </c>
    </row>
    <row r="7555" spans="1:6" x14ac:dyDescent="0.25">
      <c r="A7555">
        <v>7554</v>
      </c>
      <c r="B7555">
        <v>44</v>
      </c>
      <c r="C7555">
        <v>0</v>
      </c>
      <c r="D7555">
        <v>0</v>
      </c>
      <c r="E7555">
        <v>0</v>
      </c>
      <c r="F7555">
        <v>-146.815</v>
      </c>
    </row>
    <row r="7556" spans="1:6" x14ac:dyDescent="0.25">
      <c r="A7556">
        <v>7555</v>
      </c>
      <c r="B7556" t="s">
        <v>0</v>
      </c>
      <c r="C7556">
        <v>14</v>
      </c>
      <c r="D7556">
        <v>3488</v>
      </c>
      <c r="E7556">
        <v>80207045</v>
      </c>
    </row>
    <row r="7557" spans="1:6" x14ac:dyDescent="0.25">
      <c r="A7557">
        <v>7556</v>
      </c>
      <c r="B7557">
        <v>46</v>
      </c>
      <c r="C7557">
        <v>0</v>
      </c>
      <c r="D7557">
        <v>0</v>
      </c>
      <c r="E7557">
        <v>0</v>
      </c>
      <c r="F7557">
        <v>0</v>
      </c>
    </row>
    <row r="7558" spans="1:6" x14ac:dyDescent="0.25">
      <c r="A7558">
        <v>7557</v>
      </c>
      <c r="B7558" t="s">
        <v>0</v>
      </c>
      <c r="C7558">
        <v>15</v>
      </c>
      <c r="D7558">
        <v>3488</v>
      </c>
      <c r="E7558">
        <v>80207151</v>
      </c>
    </row>
    <row r="7559" spans="1:6" x14ac:dyDescent="0.25">
      <c r="A7559">
        <v>7558</v>
      </c>
      <c r="B7559">
        <v>2</v>
      </c>
      <c r="C7559">
        <v>0</v>
      </c>
      <c r="D7559">
        <v>0</v>
      </c>
      <c r="E7559">
        <v>0</v>
      </c>
      <c r="F7559">
        <v>314.02300000000002</v>
      </c>
    </row>
    <row r="7560" spans="1:6" x14ac:dyDescent="0.25">
      <c r="A7560">
        <v>7559</v>
      </c>
      <c r="B7560">
        <v>10</v>
      </c>
      <c r="C7560">
        <v>1</v>
      </c>
      <c r="D7560">
        <v>0</v>
      </c>
      <c r="E7560">
        <v>0</v>
      </c>
      <c r="F7560">
        <v>3306</v>
      </c>
    </row>
    <row r="7561" spans="1:6" x14ac:dyDescent="0.25">
      <c r="A7561">
        <v>7560</v>
      </c>
      <c r="B7561">
        <v>13</v>
      </c>
      <c r="C7561">
        <v>0</v>
      </c>
      <c r="D7561">
        <v>0</v>
      </c>
      <c r="E7561">
        <v>0</v>
      </c>
      <c r="F7561">
        <v>1605</v>
      </c>
    </row>
    <row r="7562" spans="1:6" x14ac:dyDescent="0.25">
      <c r="A7562">
        <v>7561</v>
      </c>
      <c r="B7562" t="s">
        <v>0</v>
      </c>
      <c r="C7562">
        <v>17</v>
      </c>
      <c r="D7562">
        <v>3488</v>
      </c>
      <c r="E7562">
        <v>80207363</v>
      </c>
    </row>
    <row r="7563" spans="1:6" x14ac:dyDescent="0.25">
      <c r="A7563">
        <v>7562</v>
      </c>
      <c r="B7563">
        <v>42</v>
      </c>
      <c r="C7563">
        <v>0</v>
      </c>
      <c r="D7563">
        <v>0</v>
      </c>
      <c r="E7563">
        <v>0</v>
      </c>
      <c r="F7563">
        <v>0.2</v>
      </c>
    </row>
    <row r="7564" spans="1:6" x14ac:dyDescent="0.25">
      <c r="A7564">
        <v>7563</v>
      </c>
      <c r="B7564" t="s">
        <v>0</v>
      </c>
      <c r="C7564">
        <v>18</v>
      </c>
      <c r="D7564">
        <v>3488</v>
      </c>
      <c r="E7564">
        <v>80207469</v>
      </c>
    </row>
    <row r="7565" spans="1:6" x14ac:dyDescent="0.25">
      <c r="A7565">
        <v>7564</v>
      </c>
      <c r="B7565">
        <v>43</v>
      </c>
      <c r="C7565">
        <v>0</v>
      </c>
      <c r="D7565">
        <v>0</v>
      </c>
      <c r="E7565">
        <v>0</v>
      </c>
      <c r="F7565">
        <v>0</v>
      </c>
    </row>
    <row r="7566" spans="1:6" x14ac:dyDescent="0.25">
      <c r="A7566">
        <v>7565</v>
      </c>
      <c r="B7566" t="s">
        <v>0</v>
      </c>
      <c r="C7566">
        <v>19</v>
      </c>
      <c r="D7566">
        <v>3488</v>
      </c>
      <c r="E7566">
        <v>80207575</v>
      </c>
    </row>
    <row r="7567" spans="1:6" x14ac:dyDescent="0.25">
      <c r="A7567">
        <v>7566</v>
      </c>
      <c r="B7567">
        <v>45</v>
      </c>
      <c r="C7567">
        <v>0</v>
      </c>
      <c r="D7567">
        <v>0</v>
      </c>
      <c r="E7567">
        <v>0</v>
      </c>
      <c r="F7567">
        <v>534.154</v>
      </c>
    </row>
    <row r="7568" spans="1:6" x14ac:dyDescent="0.25">
      <c r="A7568">
        <v>7567</v>
      </c>
      <c r="B7568" t="s">
        <v>0</v>
      </c>
      <c r="C7568">
        <v>20</v>
      </c>
      <c r="D7568">
        <v>3488</v>
      </c>
      <c r="E7568">
        <v>80207682</v>
      </c>
    </row>
    <row r="7569" spans="1:6" x14ac:dyDescent="0.25">
      <c r="A7569">
        <v>7568</v>
      </c>
      <c r="B7569">
        <v>46</v>
      </c>
      <c r="C7569">
        <v>0</v>
      </c>
      <c r="D7569">
        <v>0</v>
      </c>
      <c r="E7569">
        <v>0</v>
      </c>
      <c r="F7569">
        <v>0</v>
      </c>
    </row>
    <row r="7570" spans="1:6" x14ac:dyDescent="0.25">
      <c r="A7570">
        <v>7569</v>
      </c>
      <c r="B7570">
        <v>2</v>
      </c>
      <c r="C7570">
        <v>0</v>
      </c>
      <c r="D7570">
        <v>0</v>
      </c>
      <c r="E7570">
        <v>0</v>
      </c>
      <c r="F7570">
        <v>313.52699999999999</v>
      </c>
    </row>
    <row r="7571" spans="1:6" x14ac:dyDescent="0.25">
      <c r="A7571">
        <v>7570</v>
      </c>
      <c r="B7571">
        <v>10</v>
      </c>
      <c r="C7571">
        <v>1</v>
      </c>
      <c r="D7571">
        <v>0</v>
      </c>
      <c r="E7571">
        <v>0</v>
      </c>
      <c r="F7571">
        <v>3316</v>
      </c>
    </row>
    <row r="7572" spans="1:6" x14ac:dyDescent="0.25">
      <c r="A7572">
        <v>7571</v>
      </c>
      <c r="B7572" t="s">
        <v>0</v>
      </c>
      <c r="C7572">
        <v>22</v>
      </c>
      <c r="D7572">
        <v>3488</v>
      </c>
      <c r="E7572">
        <v>80207895</v>
      </c>
    </row>
    <row r="7573" spans="1:6" x14ac:dyDescent="0.25">
      <c r="A7573">
        <v>7572</v>
      </c>
      <c r="B7573">
        <v>41</v>
      </c>
      <c r="C7573">
        <v>0</v>
      </c>
      <c r="D7573">
        <v>0</v>
      </c>
      <c r="E7573">
        <v>0</v>
      </c>
      <c r="F7573">
        <v>1</v>
      </c>
    </row>
    <row r="7574" spans="1:6" x14ac:dyDescent="0.25">
      <c r="A7574">
        <v>7573</v>
      </c>
      <c r="B7574">
        <v>42</v>
      </c>
      <c r="C7574">
        <v>0</v>
      </c>
      <c r="D7574">
        <v>0</v>
      </c>
      <c r="E7574">
        <v>0</v>
      </c>
      <c r="F7574">
        <v>0.2</v>
      </c>
    </row>
    <row r="7575" spans="1:6" x14ac:dyDescent="0.25">
      <c r="A7575">
        <v>7574</v>
      </c>
      <c r="B7575" t="s">
        <v>0</v>
      </c>
      <c r="C7575">
        <v>24</v>
      </c>
      <c r="D7575">
        <v>3488</v>
      </c>
      <c r="E7575">
        <v>80208108</v>
      </c>
    </row>
    <row r="7576" spans="1:6" x14ac:dyDescent="0.25">
      <c r="A7576">
        <v>7575</v>
      </c>
      <c r="B7576">
        <v>44</v>
      </c>
      <c r="C7576">
        <v>0</v>
      </c>
      <c r="D7576">
        <v>0</v>
      </c>
      <c r="E7576">
        <v>0</v>
      </c>
      <c r="F7576">
        <v>-145.38900000000001</v>
      </c>
    </row>
    <row r="7577" spans="1:6" x14ac:dyDescent="0.25">
      <c r="A7577">
        <v>7576</v>
      </c>
      <c r="B7577" t="s">
        <v>0</v>
      </c>
      <c r="C7577">
        <v>25</v>
      </c>
      <c r="D7577">
        <v>3488</v>
      </c>
      <c r="E7577">
        <v>80208215</v>
      </c>
    </row>
    <row r="7578" spans="1:6" x14ac:dyDescent="0.25">
      <c r="A7578">
        <v>7577</v>
      </c>
      <c r="B7578">
        <v>45</v>
      </c>
      <c r="C7578">
        <v>0</v>
      </c>
      <c r="D7578">
        <v>0</v>
      </c>
      <c r="E7578">
        <v>0</v>
      </c>
      <c r="F7578">
        <v>534.04200000000003</v>
      </c>
    </row>
    <row r="7579" spans="1:6" x14ac:dyDescent="0.25">
      <c r="A7579">
        <v>7578</v>
      </c>
      <c r="B7579">
        <v>46</v>
      </c>
      <c r="C7579">
        <v>0</v>
      </c>
      <c r="D7579">
        <v>0</v>
      </c>
      <c r="E7579">
        <v>0</v>
      </c>
      <c r="F7579">
        <v>0</v>
      </c>
    </row>
    <row r="7580" spans="1:6" x14ac:dyDescent="0.25">
      <c r="A7580">
        <v>7579</v>
      </c>
      <c r="B7580">
        <v>2</v>
      </c>
      <c r="C7580">
        <v>0</v>
      </c>
      <c r="D7580">
        <v>0</v>
      </c>
      <c r="E7580">
        <v>0</v>
      </c>
      <c r="F7580">
        <v>312.92500000000001</v>
      </c>
    </row>
    <row r="7581" spans="1:6" x14ac:dyDescent="0.25">
      <c r="A7581">
        <v>7580</v>
      </c>
      <c r="B7581" t="s">
        <v>0</v>
      </c>
      <c r="C7581">
        <v>27</v>
      </c>
      <c r="D7581">
        <v>3488</v>
      </c>
      <c r="E7581">
        <v>80208428</v>
      </c>
    </row>
    <row r="7582" spans="1:6" x14ac:dyDescent="0.25">
      <c r="A7582">
        <v>7581</v>
      </c>
      <c r="B7582">
        <v>13</v>
      </c>
      <c r="C7582">
        <v>0</v>
      </c>
      <c r="D7582">
        <v>0</v>
      </c>
      <c r="E7582">
        <v>0</v>
      </c>
      <c r="F7582">
        <v>1605</v>
      </c>
    </row>
    <row r="7583" spans="1:6" x14ac:dyDescent="0.25">
      <c r="A7583">
        <v>7582</v>
      </c>
      <c r="B7583">
        <v>41</v>
      </c>
      <c r="C7583">
        <v>0</v>
      </c>
      <c r="D7583">
        <v>0</v>
      </c>
      <c r="E7583">
        <v>0</v>
      </c>
      <c r="F7583">
        <v>1</v>
      </c>
    </row>
    <row r="7584" spans="1:6" x14ac:dyDescent="0.25">
      <c r="A7584">
        <v>7583</v>
      </c>
      <c r="B7584" t="s">
        <v>0</v>
      </c>
      <c r="C7584">
        <v>29</v>
      </c>
      <c r="D7584">
        <v>3488</v>
      </c>
      <c r="E7584">
        <v>80208642</v>
      </c>
    </row>
    <row r="7585" spans="1:6" x14ac:dyDescent="0.25">
      <c r="A7585">
        <v>7584</v>
      </c>
      <c r="B7585">
        <v>43</v>
      </c>
      <c r="C7585">
        <v>0</v>
      </c>
      <c r="D7585">
        <v>0</v>
      </c>
      <c r="E7585">
        <v>0</v>
      </c>
      <c r="F7585">
        <v>0</v>
      </c>
    </row>
    <row r="7586" spans="1:6" x14ac:dyDescent="0.25">
      <c r="A7586">
        <v>7585</v>
      </c>
      <c r="B7586" t="s">
        <v>0</v>
      </c>
      <c r="C7586">
        <v>30</v>
      </c>
      <c r="D7586">
        <v>3488</v>
      </c>
      <c r="E7586">
        <v>80208749</v>
      </c>
    </row>
    <row r="7587" spans="1:6" x14ac:dyDescent="0.25">
      <c r="A7587">
        <v>7586</v>
      </c>
      <c r="B7587">
        <v>44</v>
      </c>
      <c r="C7587">
        <v>0</v>
      </c>
      <c r="D7587">
        <v>0</v>
      </c>
      <c r="E7587">
        <v>0</v>
      </c>
      <c r="F7587">
        <v>-144.64500000000001</v>
      </c>
    </row>
    <row r="7588" spans="1:6" x14ac:dyDescent="0.25">
      <c r="A7588">
        <v>7587</v>
      </c>
      <c r="B7588">
        <v>45</v>
      </c>
      <c r="C7588">
        <v>0</v>
      </c>
      <c r="D7588">
        <v>0</v>
      </c>
      <c r="E7588">
        <v>0</v>
      </c>
      <c r="F7588">
        <v>533.94799999999998</v>
      </c>
    </row>
    <row r="7589" spans="1:6" x14ac:dyDescent="0.25">
      <c r="A7589">
        <v>7588</v>
      </c>
      <c r="B7589">
        <v>46</v>
      </c>
      <c r="C7589">
        <v>0</v>
      </c>
      <c r="D7589">
        <v>0</v>
      </c>
      <c r="E7589">
        <v>0</v>
      </c>
      <c r="F7589">
        <v>0</v>
      </c>
    </row>
    <row r="7590" spans="1:6" x14ac:dyDescent="0.25">
      <c r="A7590">
        <v>7589</v>
      </c>
      <c r="B7590" t="s">
        <v>0</v>
      </c>
      <c r="C7590">
        <v>32</v>
      </c>
      <c r="D7590">
        <v>3488</v>
      </c>
      <c r="E7590">
        <v>80208963</v>
      </c>
    </row>
    <row r="7591" spans="1:6" x14ac:dyDescent="0.25">
      <c r="A7591">
        <v>7590</v>
      </c>
      <c r="B7591">
        <v>10</v>
      </c>
      <c r="C7591">
        <v>1</v>
      </c>
      <c r="D7591">
        <v>0</v>
      </c>
      <c r="E7591">
        <v>0</v>
      </c>
      <c r="F7591">
        <v>3332</v>
      </c>
    </row>
    <row r="7592" spans="1:6" x14ac:dyDescent="0.25">
      <c r="A7592">
        <v>7591</v>
      </c>
      <c r="B7592">
        <v>13</v>
      </c>
      <c r="C7592">
        <v>0</v>
      </c>
      <c r="D7592">
        <v>0</v>
      </c>
      <c r="E7592">
        <v>0</v>
      </c>
      <c r="F7592">
        <v>1605</v>
      </c>
    </row>
    <row r="7593" spans="1:6" x14ac:dyDescent="0.25">
      <c r="A7593">
        <v>7592</v>
      </c>
      <c r="B7593" t="s">
        <v>0</v>
      </c>
      <c r="C7593">
        <v>34</v>
      </c>
      <c r="D7593">
        <v>3488</v>
      </c>
      <c r="E7593">
        <v>80209177</v>
      </c>
    </row>
    <row r="7594" spans="1:6" x14ac:dyDescent="0.25">
      <c r="A7594">
        <v>7593</v>
      </c>
      <c r="B7594">
        <v>42</v>
      </c>
      <c r="C7594">
        <v>0</v>
      </c>
      <c r="D7594">
        <v>0</v>
      </c>
      <c r="E7594">
        <v>0</v>
      </c>
      <c r="F7594">
        <v>0.2</v>
      </c>
    </row>
    <row r="7595" spans="1:6" x14ac:dyDescent="0.25">
      <c r="A7595">
        <v>7594</v>
      </c>
      <c r="B7595" t="s">
        <v>0</v>
      </c>
      <c r="C7595">
        <v>35</v>
      </c>
      <c r="D7595">
        <v>3488</v>
      </c>
      <c r="E7595">
        <v>80209284</v>
      </c>
    </row>
    <row r="7596" spans="1:6" x14ac:dyDescent="0.25">
      <c r="A7596">
        <v>7595</v>
      </c>
      <c r="B7596">
        <v>43</v>
      </c>
      <c r="C7596">
        <v>0</v>
      </c>
      <c r="D7596">
        <v>0</v>
      </c>
      <c r="E7596">
        <v>0</v>
      </c>
      <c r="F7596">
        <v>0</v>
      </c>
    </row>
    <row r="7597" spans="1:6" x14ac:dyDescent="0.25">
      <c r="A7597">
        <v>7596</v>
      </c>
      <c r="B7597">
        <v>44</v>
      </c>
      <c r="C7597">
        <v>0</v>
      </c>
      <c r="D7597">
        <v>0</v>
      </c>
      <c r="E7597">
        <v>0</v>
      </c>
      <c r="F7597">
        <v>-144.02000000000001</v>
      </c>
    </row>
    <row r="7598" spans="1:6" x14ac:dyDescent="0.25">
      <c r="A7598">
        <v>7597</v>
      </c>
      <c r="B7598">
        <v>45</v>
      </c>
      <c r="C7598">
        <v>0</v>
      </c>
      <c r="D7598">
        <v>0</v>
      </c>
      <c r="E7598">
        <v>0</v>
      </c>
      <c r="F7598">
        <v>533.83699999999999</v>
      </c>
    </row>
    <row r="7599" spans="1:6" x14ac:dyDescent="0.25">
      <c r="A7599">
        <v>7598</v>
      </c>
      <c r="B7599" t="s">
        <v>0</v>
      </c>
      <c r="C7599">
        <v>37</v>
      </c>
      <c r="D7599">
        <v>3488</v>
      </c>
      <c r="E7599">
        <v>80209498</v>
      </c>
    </row>
    <row r="7600" spans="1:6" x14ac:dyDescent="0.25">
      <c r="A7600">
        <v>7599</v>
      </c>
      <c r="B7600">
        <v>2</v>
      </c>
      <c r="C7600">
        <v>0</v>
      </c>
      <c r="D7600">
        <v>0</v>
      </c>
      <c r="E7600">
        <v>0</v>
      </c>
      <c r="F7600">
        <v>311.83600000000001</v>
      </c>
    </row>
    <row r="7601" spans="1:6" x14ac:dyDescent="0.25">
      <c r="A7601">
        <v>7600</v>
      </c>
      <c r="B7601">
        <v>10</v>
      </c>
      <c r="C7601">
        <v>1</v>
      </c>
      <c r="D7601">
        <v>0</v>
      </c>
      <c r="E7601">
        <v>0</v>
      </c>
      <c r="F7601">
        <v>3340</v>
      </c>
    </row>
    <row r="7602" spans="1:6" x14ac:dyDescent="0.25">
      <c r="A7602">
        <v>7601</v>
      </c>
      <c r="B7602" t="s">
        <v>0</v>
      </c>
      <c r="C7602">
        <v>39</v>
      </c>
      <c r="D7602">
        <v>3488</v>
      </c>
      <c r="E7602">
        <v>80209712</v>
      </c>
    </row>
    <row r="7603" spans="1:6" x14ac:dyDescent="0.25">
      <c r="A7603">
        <v>7602</v>
      </c>
      <c r="B7603">
        <v>41</v>
      </c>
      <c r="C7603">
        <v>0</v>
      </c>
      <c r="D7603">
        <v>0</v>
      </c>
      <c r="E7603">
        <v>0</v>
      </c>
      <c r="F7603">
        <v>1</v>
      </c>
    </row>
    <row r="7604" spans="1:6" x14ac:dyDescent="0.25">
      <c r="A7604">
        <v>7603</v>
      </c>
      <c r="B7604" t="s">
        <v>0</v>
      </c>
      <c r="C7604">
        <v>40</v>
      </c>
      <c r="D7604">
        <v>3488</v>
      </c>
      <c r="E7604">
        <v>80209819</v>
      </c>
    </row>
    <row r="7605" spans="1:6" x14ac:dyDescent="0.25">
      <c r="A7605">
        <v>7604</v>
      </c>
      <c r="B7605">
        <v>42</v>
      </c>
      <c r="C7605">
        <v>0</v>
      </c>
      <c r="D7605">
        <v>0</v>
      </c>
      <c r="E7605">
        <v>0</v>
      </c>
      <c r="F7605">
        <v>0.2</v>
      </c>
    </row>
    <row r="7606" spans="1:6" x14ac:dyDescent="0.25">
      <c r="A7606">
        <v>7605</v>
      </c>
      <c r="B7606">
        <v>43</v>
      </c>
      <c r="C7606">
        <v>0</v>
      </c>
      <c r="D7606">
        <v>0</v>
      </c>
      <c r="E7606">
        <v>0</v>
      </c>
      <c r="F7606">
        <v>0</v>
      </c>
    </row>
    <row r="7607" spans="1:6" x14ac:dyDescent="0.25">
      <c r="A7607">
        <v>7606</v>
      </c>
      <c r="B7607">
        <v>44</v>
      </c>
      <c r="C7607">
        <v>0</v>
      </c>
      <c r="D7607">
        <v>0</v>
      </c>
      <c r="E7607">
        <v>0</v>
      </c>
      <c r="F7607">
        <v>-143.256</v>
      </c>
    </row>
    <row r="7608" spans="1:6" x14ac:dyDescent="0.25">
      <c r="A7608">
        <v>7607</v>
      </c>
      <c r="B7608" t="s">
        <v>0</v>
      </c>
      <c r="C7608">
        <v>42</v>
      </c>
      <c r="D7608">
        <v>3488</v>
      </c>
      <c r="E7608">
        <v>80210034</v>
      </c>
    </row>
    <row r="7609" spans="1:6" x14ac:dyDescent="0.25">
      <c r="A7609">
        <v>7608</v>
      </c>
      <c r="B7609">
        <v>46</v>
      </c>
      <c r="C7609">
        <v>0</v>
      </c>
      <c r="D7609">
        <v>0</v>
      </c>
      <c r="E7609">
        <v>0</v>
      </c>
      <c r="F7609">
        <v>0</v>
      </c>
    </row>
    <row r="7610" spans="1:6" x14ac:dyDescent="0.25">
      <c r="A7610">
        <v>7609</v>
      </c>
      <c r="B7610">
        <v>2</v>
      </c>
      <c r="C7610">
        <v>0</v>
      </c>
      <c r="D7610">
        <v>0</v>
      </c>
      <c r="E7610">
        <v>0</v>
      </c>
      <c r="F7610">
        <v>311.24900000000002</v>
      </c>
    </row>
    <row r="7611" spans="1:6" x14ac:dyDescent="0.25">
      <c r="A7611">
        <v>7610</v>
      </c>
      <c r="B7611" t="s">
        <v>0</v>
      </c>
      <c r="C7611">
        <v>44</v>
      </c>
      <c r="D7611">
        <v>3488</v>
      </c>
      <c r="E7611">
        <v>80210248</v>
      </c>
    </row>
    <row r="7612" spans="1:6" x14ac:dyDescent="0.25">
      <c r="A7612">
        <v>7611</v>
      </c>
      <c r="B7612">
        <v>13</v>
      </c>
      <c r="C7612">
        <v>0</v>
      </c>
      <c r="D7612">
        <v>0</v>
      </c>
      <c r="E7612">
        <v>0</v>
      </c>
      <c r="F7612">
        <v>1605</v>
      </c>
    </row>
    <row r="7613" spans="1:6" x14ac:dyDescent="0.25">
      <c r="A7613">
        <v>7612</v>
      </c>
      <c r="B7613" t="s">
        <v>0</v>
      </c>
      <c r="C7613">
        <v>45</v>
      </c>
      <c r="D7613">
        <v>3488</v>
      </c>
      <c r="E7613">
        <v>80210356</v>
      </c>
    </row>
    <row r="7614" spans="1:6" x14ac:dyDescent="0.25">
      <c r="A7614">
        <v>7613</v>
      </c>
      <c r="B7614">
        <v>41</v>
      </c>
      <c r="C7614">
        <v>0</v>
      </c>
      <c r="D7614">
        <v>0</v>
      </c>
      <c r="E7614">
        <v>0</v>
      </c>
      <c r="F7614">
        <v>1</v>
      </c>
    </row>
    <row r="7615" spans="1:6" x14ac:dyDescent="0.25">
      <c r="A7615">
        <v>7614</v>
      </c>
      <c r="B7615">
        <v>42</v>
      </c>
      <c r="C7615">
        <v>0</v>
      </c>
      <c r="D7615">
        <v>0</v>
      </c>
      <c r="E7615">
        <v>0</v>
      </c>
      <c r="F7615">
        <v>0.2</v>
      </c>
    </row>
    <row r="7616" spans="1:6" x14ac:dyDescent="0.25">
      <c r="A7616">
        <v>7615</v>
      </c>
      <c r="B7616">
        <v>43</v>
      </c>
      <c r="C7616">
        <v>0</v>
      </c>
      <c r="D7616">
        <v>0</v>
      </c>
      <c r="E7616">
        <v>0</v>
      </c>
      <c r="F7616">
        <v>0</v>
      </c>
    </row>
    <row r="7617" spans="1:6" x14ac:dyDescent="0.25">
      <c r="A7617">
        <v>7616</v>
      </c>
      <c r="B7617" t="s">
        <v>0</v>
      </c>
      <c r="C7617">
        <v>47</v>
      </c>
      <c r="D7617">
        <v>3488</v>
      </c>
      <c r="E7617">
        <v>80210572</v>
      </c>
    </row>
    <row r="7618" spans="1:6" x14ac:dyDescent="0.25">
      <c r="A7618">
        <v>7617</v>
      </c>
      <c r="B7618">
        <v>45</v>
      </c>
      <c r="C7618">
        <v>0</v>
      </c>
      <c r="D7618">
        <v>0</v>
      </c>
      <c r="E7618">
        <v>0</v>
      </c>
      <c r="F7618">
        <v>533.63300000000004</v>
      </c>
    </row>
    <row r="7619" spans="1:6" x14ac:dyDescent="0.25">
      <c r="A7619">
        <v>7618</v>
      </c>
      <c r="B7619" t="s">
        <v>0</v>
      </c>
      <c r="C7619">
        <v>48</v>
      </c>
      <c r="D7619">
        <v>3488</v>
      </c>
      <c r="E7619">
        <v>80210680</v>
      </c>
    </row>
    <row r="7620" spans="1:6" x14ac:dyDescent="0.25">
      <c r="A7620">
        <v>7619</v>
      </c>
      <c r="B7620">
        <v>46</v>
      </c>
      <c r="C7620">
        <v>0</v>
      </c>
      <c r="D7620">
        <v>0</v>
      </c>
      <c r="E7620">
        <v>0</v>
      </c>
      <c r="F7620">
        <v>0</v>
      </c>
    </row>
    <row r="7621" spans="1:6" x14ac:dyDescent="0.25">
      <c r="A7621">
        <v>7620</v>
      </c>
      <c r="B7621" t="s">
        <v>0</v>
      </c>
      <c r="C7621">
        <v>49</v>
      </c>
      <c r="D7621">
        <v>3488</v>
      </c>
      <c r="E7621">
        <v>80210788</v>
      </c>
    </row>
    <row r="7622" spans="1:6" x14ac:dyDescent="0.25">
      <c r="A7622">
        <v>7621</v>
      </c>
      <c r="B7622">
        <v>10</v>
      </c>
      <c r="C7622">
        <v>1</v>
      </c>
      <c r="D7622">
        <v>0</v>
      </c>
      <c r="E7622">
        <v>0</v>
      </c>
      <c r="F7622">
        <v>3358</v>
      </c>
    </row>
    <row r="7623" spans="1:6" x14ac:dyDescent="0.25">
      <c r="A7623">
        <v>7622</v>
      </c>
      <c r="B7623" t="s">
        <v>0</v>
      </c>
      <c r="C7623">
        <v>50</v>
      </c>
      <c r="D7623">
        <v>3488</v>
      </c>
      <c r="E7623">
        <v>80210896</v>
      </c>
    </row>
    <row r="7624" spans="1:6" x14ac:dyDescent="0.25">
      <c r="A7624">
        <v>7623</v>
      </c>
      <c r="B7624">
        <v>13</v>
      </c>
      <c r="C7624">
        <v>0</v>
      </c>
      <c r="D7624">
        <v>0</v>
      </c>
      <c r="E7624">
        <v>0</v>
      </c>
      <c r="F7624">
        <v>1605</v>
      </c>
    </row>
    <row r="7625" spans="1:6" x14ac:dyDescent="0.25">
      <c r="A7625">
        <v>7624</v>
      </c>
      <c r="B7625">
        <v>41</v>
      </c>
      <c r="C7625">
        <v>0</v>
      </c>
      <c r="D7625">
        <v>0</v>
      </c>
      <c r="E7625">
        <v>0</v>
      </c>
      <c r="F7625">
        <v>1</v>
      </c>
    </row>
    <row r="7626" spans="1:6" x14ac:dyDescent="0.25">
      <c r="A7626">
        <v>7625</v>
      </c>
      <c r="B7626">
        <v>42</v>
      </c>
      <c r="C7626">
        <v>0</v>
      </c>
      <c r="D7626">
        <v>0</v>
      </c>
      <c r="E7626">
        <v>0</v>
      </c>
      <c r="F7626">
        <v>0.2</v>
      </c>
    </row>
    <row r="7627" spans="1:6" x14ac:dyDescent="0.25">
      <c r="A7627">
        <v>7626</v>
      </c>
      <c r="B7627" t="s">
        <v>0</v>
      </c>
      <c r="C7627">
        <v>52</v>
      </c>
      <c r="D7627">
        <v>3488</v>
      </c>
      <c r="E7627">
        <v>80211112</v>
      </c>
    </row>
    <row r="7628" spans="1:6" x14ac:dyDescent="0.25">
      <c r="A7628">
        <v>7627</v>
      </c>
      <c r="B7628">
        <v>44</v>
      </c>
      <c r="C7628">
        <v>0</v>
      </c>
      <c r="D7628">
        <v>0</v>
      </c>
      <c r="E7628">
        <v>0</v>
      </c>
      <c r="F7628">
        <v>-141.89500000000001</v>
      </c>
    </row>
    <row r="7629" spans="1:6" x14ac:dyDescent="0.25">
      <c r="A7629">
        <v>7628</v>
      </c>
      <c r="B7629" t="s">
        <v>0</v>
      </c>
      <c r="C7629">
        <v>53</v>
      </c>
      <c r="D7629">
        <v>3488</v>
      </c>
      <c r="E7629">
        <v>80211219</v>
      </c>
    </row>
    <row r="7630" spans="1:6" x14ac:dyDescent="0.25">
      <c r="A7630">
        <v>7629</v>
      </c>
      <c r="B7630">
        <v>45</v>
      </c>
      <c r="C7630">
        <v>0</v>
      </c>
      <c r="D7630">
        <v>0</v>
      </c>
      <c r="E7630">
        <v>0</v>
      </c>
      <c r="F7630">
        <v>533.52300000000002</v>
      </c>
    </row>
    <row r="7631" spans="1:6" x14ac:dyDescent="0.25">
      <c r="A7631">
        <v>7630</v>
      </c>
      <c r="B7631">
        <v>46</v>
      </c>
      <c r="C7631">
        <v>0</v>
      </c>
      <c r="D7631">
        <v>0</v>
      </c>
      <c r="E7631">
        <v>0</v>
      </c>
      <c r="F7631">
        <v>0</v>
      </c>
    </row>
    <row r="7632" spans="1:6" x14ac:dyDescent="0.25">
      <c r="A7632">
        <v>7631</v>
      </c>
      <c r="B7632">
        <v>2</v>
      </c>
      <c r="C7632">
        <v>0</v>
      </c>
      <c r="D7632">
        <v>0</v>
      </c>
      <c r="E7632">
        <v>0</v>
      </c>
      <c r="F7632">
        <v>310.17899999999997</v>
      </c>
    </row>
    <row r="7633" spans="1:6" x14ac:dyDescent="0.25">
      <c r="A7633">
        <v>7632</v>
      </c>
      <c r="B7633" t="s">
        <v>0</v>
      </c>
      <c r="C7633">
        <v>55</v>
      </c>
      <c r="D7633">
        <v>3488</v>
      </c>
      <c r="E7633">
        <v>80211434</v>
      </c>
    </row>
    <row r="7634" spans="1:6" x14ac:dyDescent="0.25">
      <c r="A7634">
        <v>7633</v>
      </c>
      <c r="B7634">
        <v>10</v>
      </c>
      <c r="C7634">
        <v>1</v>
      </c>
      <c r="D7634">
        <v>0</v>
      </c>
      <c r="E7634">
        <v>0</v>
      </c>
      <c r="F7634">
        <v>3366</v>
      </c>
    </row>
    <row r="7635" spans="1:6" x14ac:dyDescent="0.25">
      <c r="A7635">
        <v>7634</v>
      </c>
      <c r="B7635">
        <v>13</v>
      </c>
      <c r="C7635">
        <v>0</v>
      </c>
      <c r="D7635">
        <v>0</v>
      </c>
      <c r="E7635">
        <v>0</v>
      </c>
      <c r="F7635">
        <v>1605</v>
      </c>
    </row>
    <row r="7636" spans="1:6" x14ac:dyDescent="0.25">
      <c r="A7636">
        <v>7635</v>
      </c>
      <c r="B7636">
        <v>41</v>
      </c>
      <c r="C7636">
        <v>0</v>
      </c>
      <c r="D7636">
        <v>0</v>
      </c>
      <c r="E7636">
        <v>0</v>
      </c>
      <c r="F7636">
        <v>1</v>
      </c>
    </row>
    <row r="7637" spans="1:6" x14ac:dyDescent="0.25">
      <c r="A7637">
        <v>7636</v>
      </c>
      <c r="B7637" t="s">
        <v>0</v>
      </c>
      <c r="C7637">
        <v>57</v>
      </c>
      <c r="D7637">
        <v>3488</v>
      </c>
      <c r="E7637">
        <v>80211650</v>
      </c>
    </row>
    <row r="7638" spans="1:6" x14ac:dyDescent="0.25">
      <c r="A7638">
        <v>7637</v>
      </c>
      <c r="B7638">
        <v>43</v>
      </c>
      <c r="C7638">
        <v>0</v>
      </c>
      <c r="D7638">
        <v>0</v>
      </c>
      <c r="E7638">
        <v>0</v>
      </c>
      <c r="F7638">
        <v>0</v>
      </c>
    </row>
    <row r="7639" spans="1:6" x14ac:dyDescent="0.25">
      <c r="A7639">
        <v>7638</v>
      </c>
      <c r="B7639" t="s">
        <v>0</v>
      </c>
      <c r="C7639">
        <v>58</v>
      </c>
      <c r="D7639">
        <v>3488</v>
      </c>
      <c r="E7639">
        <v>80211758</v>
      </c>
    </row>
    <row r="7640" spans="1:6" x14ac:dyDescent="0.25">
      <c r="A7640">
        <v>7639</v>
      </c>
      <c r="B7640">
        <v>44</v>
      </c>
      <c r="C7640">
        <v>0</v>
      </c>
      <c r="D7640">
        <v>0</v>
      </c>
      <c r="E7640">
        <v>0</v>
      </c>
      <c r="F7640">
        <v>-141.17599999999999</v>
      </c>
    </row>
    <row r="7641" spans="1:6" x14ac:dyDescent="0.25">
      <c r="A7641">
        <v>7640</v>
      </c>
      <c r="B7641">
        <v>45</v>
      </c>
      <c r="C7641">
        <v>0</v>
      </c>
      <c r="D7641">
        <v>0</v>
      </c>
      <c r="E7641">
        <v>0</v>
      </c>
      <c r="F7641">
        <v>533.43100000000004</v>
      </c>
    </row>
    <row r="7642" spans="1:6" x14ac:dyDescent="0.25">
      <c r="A7642">
        <v>7641</v>
      </c>
      <c r="B7642">
        <v>46</v>
      </c>
      <c r="C7642">
        <v>0</v>
      </c>
      <c r="D7642">
        <v>0</v>
      </c>
      <c r="E7642">
        <v>0</v>
      </c>
      <c r="F7642">
        <v>0</v>
      </c>
    </row>
    <row r="7643" spans="1:6" x14ac:dyDescent="0.25">
      <c r="A7643">
        <v>7642</v>
      </c>
      <c r="B7643" t="s">
        <v>0</v>
      </c>
      <c r="C7643">
        <v>60</v>
      </c>
      <c r="D7643">
        <v>3488</v>
      </c>
      <c r="E7643">
        <v>80211974</v>
      </c>
    </row>
    <row r="7644" spans="1:6" x14ac:dyDescent="0.25">
      <c r="A7644">
        <v>7643</v>
      </c>
      <c r="B7644">
        <v>10</v>
      </c>
      <c r="C7644">
        <v>1</v>
      </c>
      <c r="D7644">
        <v>0</v>
      </c>
      <c r="E7644">
        <v>0</v>
      </c>
      <c r="F7644">
        <v>3375</v>
      </c>
    </row>
    <row r="7645" spans="1:6" x14ac:dyDescent="0.25">
      <c r="A7645">
        <v>7644</v>
      </c>
      <c r="B7645">
        <v>13</v>
      </c>
      <c r="C7645">
        <v>0</v>
      </c>
      <c r="D7645">
        <v>0</v>
      </c>
      <c r="E7645">
        <v>0</v>
      </c>
      <c r="F7645">
        <v>1605</v>
      </c>
    </row>
    <row r="7646" spans="1:6" x14ac:dyDescent="0.25">
      <c r="A7646">
        <v>7645</v>
      </c>
      <c r="B7646" t="s">
        <v>0</v>
      </c>
      <c r="C7646">
        <v>62</v>
      </c>
      <c r="D7646">
        <v>3488</v>
      </c>
      <c r="E7646">
        <v>80212189</v>
      </c>
    </row>
    <row r="7647" spans="1:6" x14ac:dyDescent="0.25">
      <c r="A7647">
        <v>7646</v>
      </c>
      <c r="B7647">
        <v>42</v>
      </c>
      <c r="C7647">
        <v>0</v>
      </c>
      <c r="D7647">
        <v>0</v>
      </c>
      <c r="E7647">
        <v>0</v>
      </c>
      <c r="F7647">
        <v>0.2</v>
      </c>
    </row>
    <row r="7648" spans="1:6" x14ac:dyDescent="0.25">
      <c r="A7648">
        <v>7647</v>
      </c>
      <c r="B7648" t="s">
        <v>0</v>
      </c>
      <c r="C7648">
        <v>63</v>
      </c>
      <c r="D7648">
        <v>3488</v>
      </c>
      <c r="E7648">
        <v>80212297</v>
      </c>
    </row>
    <row r="7649" spans="1:6" x14ac:dyDescent="0.25">
      <c r="A7649">
        <v>7648</v>
      </c>
      <c r="B7649">
        <v>43</v>
      </c>
      <c r="C7649">
        <v>0</v>
      </c>
      <c r="D7649">
        <v>0</v>
      </c>
      <c r="E7649">
        <v>0</v>
      </c>
      <c r="F7649">
        <v>0</v>
      </c>
    </row>
    <row r="7650" spans="1:6" x14ac:dyDescent="0.25">
      <c r="A7650">
        <v>7649</v>
      </c>
      <c r="B7650">
        <v>44</v>
      </c>
      <c r="C7650">
        <v>0</v>
      </c>
      <c r="D7650">
        <v>0</v>
      </c>
      <c r="E7650">
        <v>0</v>
      </c>
      <c r="F7650">
        <v>-140.584</v>
      </c>
    </row>
    <row r="7651" spans="1:6" x14ac:dyDescent="0.25">
      <c r="A7651">
        <v>7650</v>
      </c>
      <c r="B7651">
        <v>45</v>
      </c>
      <c r="C7651">
        <v>0</v>
      </c>
      <c r="D7651">
        <v>0</v>
      </c>
      <c r="E7651">
        <v>0</v>
      </c>
      <c r="F7651">
        <v>533.32100000000003</v>
      </c>
    </row>
    <row r="7652" spans="1:6" x14ac:dyDescent="0.25">
      <c r="A7652">
        <v>7651</v>
      </c>
      <c r="B7652" t="s">
        <v>0</v>
      </c>
      <c r="C7652">
        <v>65</v>
      </c>
      <c r="D7652">
        <v>3488</v>
      </c>
      <c r="E7652">
        <v>80212513</v>
      </c>
    </row>
    <row r="7653" spans="1:6" x14ac:dyDescent="0.25">
      <c r="A7653">
        <v>7652</v>
      </c>
      <c r="B7653">
        <v>2</v>
      </c>
      <c r="C7653">
        <v>0</v>
      </c>
      <c r="D7653">
        <v>0</v>
      </c>
      <c r="E7653">
        <v>0</v>
      </c>
      <c r="F7653">
        <v>309.13299999999998</v>
      </c>
    </row>
    <row r="7654" spans="1:6" x14ac:dyDescent="0.25">
      <c r="A7654">
        <v>7653</v>
      </c>
      <c r="B7654" t="s">
        <v>0</v>
      </c>
      <c r="C7654">
        <v>66</v>
      </c>
      <c r="D7654">
        <v>3488</v>
      </c>
      <c r="E7654">
        <v>80212621</v>
      </c>
    </row>
    <row r="7655" spans="1:6" x14ac:dyDescent="0.25">
      <c r="A7655">
        <v>7654</v>
      </c>
      <c r="B7655">
        <v>10</v>
      </c>
      <c r="C7655">
        <v>1</v>
      </c>
      <c r="D7655">
        <v>0</v>
      </c>
      <c r="E7655">
        <v>0</v>
      </c>
      <c r="F7655">
        <v>3383</v>
      </c>
    </row>
    <row r="7656" spans="1:6" x14ac:dyDescent="0.25">
      <c r="A7656">
        <v>7655</v>
      </c>
      <c r="B7656">
        <v>13</v>
      </c>
      <c r="C7656">
        <v>0</v>
      </c>
      <c r="D7656">
        <v>0</v>
      </c>
      <c r="E7656">
        <v>0</v>
      </c>
      <c r="F7656">
        <v>1605</v>
      </c>
    </row>
    <row r="7657" spans="1:6" x14ac:dyDescent="0.25">
      <c r="A7657">
        <v>7656</v>
      </c>
      <c r="B7657">
        <v>41</v>
      </c>
      <c r="C7657">
        <v>0</v>
      </c>
      <c r="D7657">
        <v>0</v>
      </c>
      <c r="E7657">
        <v>0</v>
      </c>
      <c r="F7657">
        <v>1</v>
      </c>
    </row>
    <row r="7658" spans="1:6" x14ac:dyDescent="0.25">
      <c r="A7658">
        <v>7657</v>
      </c>
      <c r="B7658" t="s">
        <v>0</v>
      </c>
      <c r="C7658">
        <v>68</v>
      </c>
      <c r="D7658">
        <v>3488</v>
      </c>
      <c r="E7658">
        <v>80212838</v>
      </c>
    </row>
    <row r="7659" spans="1:6" x14ac:dyDescent="0.25">
      <c r="A7659">
        <v>7658</v>
      </c>
      <c r="B7659">
        <v>42</v>
      </c>
      <c r="C7659">
        <v>0</v>
      </c>
      <c r="D7659">
        <v>0</v>
      </c>
      <c r="E7659">
        <v>0</v>
      </c>
      <c r="F7659">
        <v>0.2</v>
      </c>
    </row>
    <row r="7660" spans="1:6" x14ac:dyDescent="0.25">
      <c r="A7660">
        <v>7659</v>
      </c>
      <c r="B7660">
        <v>43</v>
      </c>
      <c r="C7660">
        <v>0</v>
      </c>
      <c r="D7660">
        <v>0</v>
      </c>
      <c r="E7660">
        <v>0</v>
      </c>
      <c r="F7660">
        <v>0</v>
      </c>
    </row>
    <row r="7661" spans="1:6" x14ac:dyDescent="0.25">
      <c r="A7661">
        <v>7660</v>
      </c>
      <c r="B7661">
        <v>44</v>
      </c>
      <c r="C7661">
        <v>0</v>
      </c>
      <c r="D7661">
        <v>0</v>
      </c>
      <c r="E7661">
        <v>0</v>
      </c>
      <c r="F7661">
        <v>-139.85499999999999</v>
      </c>
    </row>
    <row r="7662" spans="1:6" x14ac:dyDescent="0.25">
      <c r="A7662">
        <v>7661</v>
      </c>
      <c r="B7662" t="s">
        <v>0</v>
      </c>
      <c r="C7662">
        <v>70</v>
      </c>
      <c r="D7662">
        <v>3488</v>
      </c>
      <c r="E7662">
        <v>80213055</v>
      </c>
    </row>
    <row r="7663" spans="1:6" x14ac:dyDescent="0.25">
      <c r="A7663">
        <v>7662</v>
      </c>
      <c r="B7663">
        <v>46</v>
      </c>
      <c r="C7663">
        <v>0</v>
      </c>
      <c r="D7663">
        <v>0</v>
      </c>
      <c r="E7663">
        <v>0</v>
      </c>
      <c r="F7663">
        <v>0</v>
      </c>
    </row>
    <row r="7664" spans="1:6" x14ac:dyDescent="0.25">
      <c r="A7664">
        <v>7663</v>
      </c>
      <c r="B7664" t="s">
        <v>0</v>
      </c>
      <c r="C7664">
        <v>71</v>
      </c>
      <c r="D7664">
        <v>3488</v>
      </c>
      <c r="E7664">
        <v>80213163</v>
      </c>
    </row>
    <row r="7665" spans="1:6" x14ac:dyDescent="0.25">
      <c r="A7665">
        <v>7664</v>
      </c>
      <c r="B7665">
        <v>2</v>
      </c>
      <c r="C7665">
        <v>0</v>
      </c>
      <c r="D7665">
        <v>0</v>
      </c>
      <c r="E7665">
        <v>0</v>
      </c>
      <c r="F7665">
        <v>308.57799999999997</v>
      </c>
    </row>
    <row r="7666" spans="1:6" x14ac:dyDescent="0.25">
      <c r="A7666">
        <v>7665</v>
      </c>
      <c r="B7666">
        <v>10</v>
      </c>
      <c r="C7666">
        <v>1</v>
      </c>
      <c r="D7666">
        <v>0</v>
      </c>
      <c r="E7666">
        <v>0</v>
      </c>
      <c r="F7666">
        <v>3391</v>
      </c>
    </row>
    <row r="7667" spans="1:6" x14ac:dyDescent="0.25">
      <c r="A7667">
        <v>7666</v>
      </c>
      <c r="B7667">
        <v>13</v>
      </c>
      <c r="C7667">
        <v>0</v>
      </c>
      <c r="D7667">
        <v>0</v>
      </c>
      <c r="E7667">
        <v>0</v>
      </c>
      <c r="F7667">
        <v>1605</v>
      </c>
    </row>
    <row r="7668" spans="1:6" x14ac:dyDescent="0.25">
      <c r="A7668">
        <v>7667</v>
      </c>
      <c r="B7668" t="s">
        <v>0</v>
      </c>
      <c r="C7668">
        <v>73</v>
      </c>
      <c r="D7668">
        <v>3488</v>
      </c>
      <c r="E7668">
        <v>80213379</v>
      </c>
    </row>
    <row r="7669" spans="1:6" x14ac:dyDescent="0.25">
      <c r="A7669">
        <v>7668</v>
      </c>
      <c r="B7669">
        <v>42</v>
      </c>
      <c r="C7669">
        <v>0</v>
      </c>
      <c r="D7669">
        <v>0</v>
      </c>
      <c r="E7669">
        <v>0</v>
      </c>
      <c r="F7669">
        <v>0.2</v>
      </c>
    </row>
    <row r="7670" spans="1:6" x14ac:dyDescent="0.25">
      <c r="A7670">
        <v>7669</v>
      </c>
      <c r="B7670" t="s">
        <v>0</v>
      </c>
      <c r="C7670">
        <v>74</v>
      </c>
      <c r="D7670">
        <v>3488</v>
      </c>
      <c r="E7670">
        <v>80213487</v>
      </c>
    </row>
    <row r="7671" spans="1:6" x14ac:dyDescent="0.25">
      <c r="A7671">
        <v>7670</v>
      </c>
      <c r="B7671">
        <v>43</v>
      </c>
      <c r="C7671">
        <v>0</v>
      </c>
      <c r="D7671">
        <v>0</v>
      </c>
      <c r="E7671">
        <v>0</v>
      </c>
      <c r="F7671">
        <v>0</v>
      </c>
    </row>
    <row r="7672" spans="1:6" x14ac:dyDescent="0.25">
      <c r="A7672">
        <v>7671</v>
      </c>
      <c r="B7672" t="s">
        <v>0</v>
      </c>
      <c r="C7672">
        <v>75</v>
      </c>
      <c r="D7672">
        <v>3488</v>
      </c>
      <c r="E7672">
        <v>80213595</v>
      </c>
    </row>
    <row r="7673" spans="1:6" x14ac:dyDescent="0.25">
      <c r="A7673">
        <v>7672</v>
      </c>
      <c r="B7673">
        <v>44</v>
      </c>
      <c r="C7673">
        <v>0</v>
      </c>
      <c r="D7673">
        <v>0</v>
      </c>
      <c r="E7673">
        <v>0</v>
      </c>
      <c r="F7673">
        <v>-139.13300000000001</v>
      </c>
    </row>
    <row r="7674" spans="1:6" x14ac:dyDescent="0.25">
      <c r="A7674">
        <v>7673</v>
      </c>
      <c r="B7674" t="s">
        <v>0</v>
      </c>
      <c r="C7674">
        <v>76</v>
      </c>
      <c r="D7674">
        <v>3488</v>
      </c>
      <c r="E7674">
        <v>80213703</v>
      </c>
    </row>
    <row r="7675" spans="1:6" x14ac:dyDescent="0.25">
      <c r="A7675">
        <v>7674</v>
      </c>
      <c r="B7675">
        <v>45</v>
      </c>
      <c r="C7675">
        <v>0</v>
      </c>
      <c r="D7675">
        <v>0</v>
      </c>
      <c r="E7675">
        <v>0</v>
      </c>
      <c r="F7675">
        <v>533.10299999999995</v>
      </c>
    </row>
    <row r="7676" spans="1:6" x14ac:dyDescent="0.25">
      <c r="A7676">
        <v>7675</v>
      </c>
      <c r="B7676">
        <v>46</v>
      </c>
      <c r="C7676">
        <v>0</v>
      </c>
      <c r="D7676">
        <v>0</v>
      </c>
      <c r="E7676">
        <v>0</v>
      </c>
      <c r="F7676">
        <v>0</v>
      </c>
    </row>
    <row r="7677" spans="1:6" x14ac:dyDescent="0.25">
      <c r="A7677">
        <v>7676</v>
      </c>
      <c r="B7677">
        <v>2</v>
      </c>
      <c r="C7677">
        <v>0</v>
      </c>
      <c r="D7677">
        <v>0</v>
      </c>
      <c r="E7677">
        <v>0</v>
      </c>
      <c r="F7677">
        <v>308.00700000000001</v>
      </c>
    </row>
    <row r="7678" spans="1:6" x14ac:dyDescent="0.25">
      <c r="A7678">
        <v>7677</v>
      </c>
      <c r="B7678" t="s">
        <v>0</v>
      </c>
      <c r="C7678">
        <v>78</v>
      </c>
      <c r="D7678">
        <v>3488</v>
      </c>
      <c r="E7678">
        <v>80213919</v>
      </c>
    </row>
    <row r="7679" spans="1:6" x14ac:dyDescent="0.25">
      <c r="A7679">
        <v>7678</v>
      </c>
      <c r="B7679">
        <v>13</v>
      </c>
      <c r="C7679">
        <v>0</v>
      </c>
      <c r="D7679">
        <v>0</v>
      </c>
      <c r="E7679">
        <v>0</v>
      </c>
      <c r="F7679">
        <v>1605</v>
      </c>
    </row>
    <row r="7680" spans="1:6" x14ac:dyDescent="0.25">
      <c r="A7680">
        <v>7679</v>
      </c>
      <c r="B7680" t="s">
        <v>0</v>
      </c>
      <c r="C7680">
        <v>79</v>
      </c>
      <c r="D7680">
        <v>3488</v>
      </c>
      <c r="E7680">
        <v>80214027</v>
      </c>
    </row>
    <row r="7681" spans="1:6" x14ac:dyDescent="0.25">
      <c r="A7681">
        <v>7680</v>
      </c>
      <c r="B7681">
        <v>41</v>
      </c>
      <c r="C7681">
        <v>0</v>
      </c>
      <c r="D7681">
        <v>0</v>
      </c>
      <c r="E7681">
        <v>0</v>
      </c>
      <c r="F7681">
        <v>1</v>
      </c>
    </row>
    <row r="7682" spans="1:6" x14ac:dyDescent="0.25">
      <c r="A7682">
        <v>7681</v>
      </c>
      <c r="B7682">
        <v>42</v>
      </c>
      <c r="C7682">
        <v>0</v>
      </c>
      <c r="D7682">
        <v>0</v>
      </c>
      <c r="E7682">
        <v>0</v>
      </c>
      <c r="F7682">
        <v>0.2</v>
      </c>
    </row>
    <row r="7683" spans="1:6" x14ac:dyDescent="0.25">
      <c r="A7683">
        <v>7682</v>
      </c>
      <c r="B7683">
        <v>43</v>
      </c>
      <c r="C7683">
        <v>0</v>
      </c>
      <c r="D7683">
        <v>0</v>
      </c>
      <c r="E7683">
        <v>0</v>
      </c>
      <c r="F7683">
        <v>0</v>
      </c>
    </row>
    <row r="7684" spans="1:6" x14ac:dyDescent="0.25">
      <c r="A7684">
        <v>7683</v>
      </c>
      <c r="B7684" t="s">
        <v>0</v>
      </c>
      <c r="C7684">
        <v>81</v>
      </c>
      <c r="D7684">
        <v>3488</v>
      </c>
      <c r="E7684">
        <v>80214243</v>
      </c>
    </row>
    <row r="7685" spans="1:6" x14ac:dyDescent="0.25">
      <c r="A7685">
        <v>7684</v>
      </c>
      <c r="B7685">
        <v>45</v>
      </c>
      <c r="C7685">
        <v>0</v>
      </c>
      <c r="D7685">
        <v>0</v>
      </c>
      <c r="E7685">
        <v>0</v>
      </c>
      <c r="F7685">
        <v>533.01199999999994</v>
      </c>
    </row>
    <row r="7686" spans="1:6" x14ac:dyDescent="0.25">
      <c r="A7686">
        <v>7685</v>
      </c>
      <c r="B7686" t="s">
        <v>0</v>
      </c>
      <c r="C7686">
        <v>82</v>
      </c>
      <c r="D7686">
        <v>3488</v>
      </c>
      <c r="E7686">
        <v>80214351</v>
      </c>
    </row>
    <row r="7687" spans="1:6" x14ac:dyDescent="0.25">
      <c r="A7687">
        <v>7686</v>
      </c>
      <c r="B7687">
        <v>46</v>
      </c>
      <c r="C7687">
        <v>0</v>
      </c>
      <c r="D7687">
        <v>0</v>
      </c>
      <c r="E7687">
        <v>0</v>
      </c>
      <c r="F7687">
        <v>0</v>
      </c>
    </row>
    <row r="7688" spans="1:6" x14ac:dyDescent="0.25">
      <c r="A7688">
        <v>7687</v>
      </c>
      <c r="B7688">
        <v>2</v>
      </c>
      <c r="C7688">
        <v>0</v>
      </c>
      <c r="D7688">
        <v>0</v>
      </c>
      <c r="E7688">
        <v>0</v>
      </c>
      <c r="F7688">
        <v>307.53500000000003</v>
      </c>
    </row>
    <row r="7689" spans="1:6" x14ac:dyDescent="0.25">
      <c r="A7689">
        <v>7688</v>
      </c>
      <c r="B7689">
        <v>10</v>
      </c>
      <c r="C7689">
        <v>1</v>
      </c>
      <c r="D7689">
        <v>0</v>
      </c>
      <c r="E7689">
        <v>0</v>
      </c>
      <c r="F7689">
        <v>3410</v>
      </c>
    </row>
    <row r="7690" spans="1:6" x14ac:dyDescent="0.25">
      <c r="A7690">
        <v>7689</v>
      </c>
      <c r="B7690" t="s">
        <v>0</v>
      </c>
      <c r="C7690">
        <v>84</v>
      </c>
      <c r="D7690">
        <v>3488</v>
      </c>
      <c r="E7690">
        <v>80214569</v>
      </c>
    </row>
    <row r="7691" spans="1:6" x14ac:dyDescent="0.25">
      <c r="A7691">
        <v>7690</v>
      </c>
      <c r="B7691">
        <v>13</v>
      </c>
      <c r="C7691">
        <v>0</v>
      </c>
      <c r="D7691">
        <v>0</v>
      </c>
      <c r="E7691">
        <v>0</v>
      </c>
      <c r="F7691">
        <v>1605</v>
      </c>
    </row>
    <row r="7692" spans="1:6" x14ac:dyDescent="0.25">
      <c r="A7692">
        <v>7691</v>
      </c>
      <c r="B7692">
        <v>41</v>
      </c>
      <c r="C7692">
        <v>0</v>
      </c>
      <c r="D7692">
        <v>0</v>
      </c>
      <c r="E7692">
        <v>0</v>
      </c>
      <c r="F7692">
        <v>1</v>
      </c>
    </row>
    <row r="7693" spans="1:6" x14ac:dyDescent="0.25">
      <c r="A7693">
        <v>7692</v>
      </c>
      <c r="B7693">
        <v>42</v>
      </c>
      <c r="C7693">
        <v>0</v>
      </c>
      <c r="D7693">
        <v>0</v>
      </c>
      <c r="E7693">
        <v>0</v>
      </c>
      <c r="F7693">
        <v>0.2</v>
      </c>
    </row>
    <row r="7694" spans="1:6" x14ac:dyDescent="0.25">
      <c r="A7694">
        <v>7693</v>
      </c>
      <c r="B7694" t="s">
        <v>0</v>
      </c>
      <c r="C7694">
        <v>86</v>
      </c>
      <c r="D7694">
        <v>3488</v>
      </c>
      <c r="E7694">
        <v>80214787</v>
      </c>
    </row>
    <row r="7695" spans="1:6" x14ac:dyDescent="0.25">
      <c r="A7695">
        <v>7694</v>
      </c>
      <c r="B7695">
        <v>44</v>
      </c>
      <c r="C7695">
        <v>0</v>
      </c>
      <c r="D7695">
        <v>0</v>
      </c>
      <c r="E7695">
        <v>0</v>
      </c>
      <c r="F7695">
        <v>-137.804</v>
      </c>
    </row>
    <row r="7696" spans="1:6" x14ac:dyDescent="0.25">
      <c r="A7696">
        <v>7695</v>
      </c>
      <c r="B7696" t="s">
        <v>0</v>
      </c>
      <c r="C7696">
        <v>87</v>
      </c>
      <c r="D7696">
        <v>3488</v>
      </c>
      <c r="E7696">
        <v>80214896</v>
      </c>
    </row>
    <row r="7697" spans="1:6" x14ac:dyDescent="0.25">
      <c r="A7697">
        <v>7696</v>
      </c>
      <c r="B7697">
        <v>45</v>
      </c>
      <c r="C7697">
        <v>0</v>
      </c>
      <c r="D7697">
        <v>0</v>
      </c>
      <c r="E7697">
        <v>0</v>
      </c>
      <c r="F7697">
        <v>532.904</v>
      </c>
    </row>
    <row r="7698" spans="1:6" x14ac:dyDescent="0.25">
      <c r="A7698">
        <v>7697</v>
      </c>
      <c r="B7698">
        <v>46</v>
      </c>
      <c r="C7698">
        <v>0</v>
      </c>
      <c r="D7698">
        <v>0</v>
      </c>
      <c r="E7698">
        <v>0</v>
      </c>
      <c r="F7698">
        <v>0</v>
      </c>
    </row>
    <row r="7699" spans="1:6" x14ac:dyDescent="0.25">
      <c r="A7699">
        <v>7698</v>
      </c>
      <c r="B7699">
        <v>2</v>
      </c>
      <c r="C7699">
        <v>0</v>
      </c>
      <c r="D7699">
        <v>0</v>
      </c>
      <c r="E7699">
        <v>0</v>
      </c>
      <c r="F7699">
        <v>306.96499999999997</v>
      </c>
    </row>
    <row r="7700" spans="1:6" x14ac:dyDescent="0.25">
      <c r="A7700">
        <v>7699</v>
      </c>
      <c r="B7700" t="s">
        <v>0</v>
      </c>
      <c r="C7700">
        <v>89</v>
      </c>
      <c r="D7700">
        <v>3488</v>
      </c>
      <c r="E7700">
        <v>80215114</v>
      </c>
    </row>
    <row r="7701" spans="1:6" x14ac:dyDescent="0.25">
      <c r="A7701">
        <v>7700</v>
      </c>
      <c r="B7701">
        <v>13</v>
      </c>
      <c r="C7701">
        <v>0</v>
      </c>
      <c r="D7701">
        <v>0</v>
      </c>
      <c r="E7701">
        <v>0</v>
      </c>
      <c r="F7701">
        <v>1605</v>
      </c>
    </row>
    <row r="7702" spans="1:6" x14ac:dyDescent="0.25">
      <c r="A7702">
        <v>7701</v>
      </c>
      <c r="B7702" t="s">
        <v>0</v>
      </c>
      <c r="C7702">
        <v>90</v>
      </c>
      <c r="D7702">
        <v>3488</v>
      </c>
      <c r="E7702">
        <v>80215223</v>
      </c>
    </row>
    <row r="7703" spans="1:6" x14ac:dyDescent="0.25">
      <c r="A7703">
        <v>7702</v>
      </c>
      <c r="B7703">
        <v>41</v>
      </c>
      <c r="C7703">
        <v>0</v>
      </c>
      <c r="D7703">
        <v>0</v>
      </c>
      <c r="E7703">
        <v>0</v>
      </c>
      <c r="F7703">
        <v>1</v>
      </c>
    </row>
    <row r="7704" spans="1:6" x14ac:dyDescent="0.25">
      <c r="A7704">
        <v>7703</v>
      </c>
      <c r="B7704">
        <v>42</v>
      </c>
      <c r="C7704">
        <v>0</v>
      </c>
      <c r="D7704">
        <v>0</v>
      </c>
      <c r="E7704">
        <v>0</v>
      </c>
      <c r="F7704">
        <v>0.2</v>
      </c>
    </row>
    <row r="7705" spans="1:6" x14ac:dyDescent="0.25">
      <c r="A7705">
        <v>7704</v>
      </c>
      <c r="B7705">
        <v>43</v>
      </c>
      <c r="C7705">
        <v>0</v>
      </c>
      <c r="D7705">
        <v>0</v>
      </c>
      <c r="E7705">
        <v>0</v>
      </c>
      <c r="F7705">
        <v>0</v>
      </c>
    </row>
    <row r="7706" spans="1:6" x14ac:dyDescent="0.25">
      <c r="A7706">
        <v>7705</v>
      </c>
      <c r="B7706" t="s">
        <v>0</v>
      </c>
      <c r="C7706">
        <v>92</v>
      </c>
      <c r="D7706">
        <v>3488</v>
      </c>
      <c r="E7706">
        <v>80215441</v>
      </c>
    </row>
    <row r="7707" spans="1:6" x14ac:dyDescent="0.25">
      <c r="A7707">
        <v>7706</v>
      </c>
      <c r="B7707">
        <v>45</v>
      </c>
      <c r="C7707">
        <v>0</v>
      </c>
      <c r="D7707">
        <v>0</v>
      </c>
      <c r="E7707">
        <v>0</v>
      </c>
      <c r="F7707">
        <v>532.81399999999996</v>
      </c>
    </row>
    <row r="7708" spans="1:6" x14ac:dyDescent="0.25">
      <c r="A7708">
        <v>7707</v>
      </c>
      <c r="B7708">
        <v>46</v>
      </c>
      <c r="C7708">
        <v>0</v>
      </c>
      <c r="D7708">
        <v>0</v>
      </c>
      <c r="E7708">
        <v>0</v>
      </c>
      <c r="F7708">
        <v>0</v>
      </c>
    </row>
    <row r="7709" spans="1:6" x14ac:dyDescent="0.25">
      <c r="A7709">
        <v>7708</v>
      </c>
      <c r="B7709" t="s">
        <v>0</v>
      </c>
      <c r="C7709">
        <v>94</v>
      </c>
      <c r="D7709">
        <v>3488</v>
      </c>
      <c r="E7709">
        <v>80215659</v>
      </c>
    </row>
    <row r="7710" spans="1:6" x14ac:dyDescent="0.25">
      <c r="A7710">
        <v>7709</v>
      </c>
      <c r="B7710">
        <v>10</v>
      </c>
      <c r="C7710">
        <v>1</v>
      </c>
      <c r="D7710">
        <v>0</v>
      </c>
      <c r="E7710">
        <v>0</v>
      </c>
      <c r="F7710">
        <v>3426</v>
      </c>
    </row>
    <row r="7711" spans="1:6" x14ac:dyDescent="0.25">
      <c r="A7711">
        <v>7710</v>
      </c>
      <c r="B7711" t="s">
        <v>0</v>
      </c>
      <c r="C7711">
        <v>95</v>
      </c>
      <c r="D7711">
        <v>3488</v>
      </c>
      <c r="E7711">
        <v>80215768</v>
      </c>
    </row>
    <row r="7712" spans="1:6" x14ac:dyDescent="0.25">
      <c r="A7712">
        <v>7711</v>
      </c>
      <c r="B7712">
        <v>13</v>
      </c>
      <c r="C7712">
        <v>0</v>
      </c>
      <c r="D7712">
        <v>0</v>
      </c>
      <c r="E7712">
        <v>0</v>
      </c>
      <c r="F7712">
        <v>1605</v>
      </c>
    </row>
    <row r="7713" spans="1:6" x14ac:dyDescent="0.25">
      <c r="A7713">
        <v>7712</v>
      </c>
      <c r="B7713">
        <v>41</v>
      </c>
      <c r="C7713">
        <v>0</v>
      </c>
      <c r="D7713">
        <v>0</v>
      </c>
      <c r="E7713">
        <v>0</v>
      </c>
      <c r="F7713">
        <v>1</v>
      </c>
    </row>
    <row r="7714" spans="1:6" x14ac:dyDescent="0.25">
      <c r="A7714">
        <v>7713</v>
      </c>
      <c r="B7714">
        <v>42</v>
      </c>
      <c r="C7714">
        <v>0</v>
      </c>
      <c r="D7714">
        <v>0</v>
      </c>
      <c r="E7714">
        <v>0</v>
      </c>
      <c r="F7714">
        <v>0.2</v>
      </c>
    </row>
    <row r="7715" spans="1:6" x14ac:dyDescent="0.25">
      <c r="A7715">
        <v>7714</v>
      </c>
      <c r="B7715" t="s">
        <v>0</v>
      </c>
      <c r="C7715">
        <v>97</v>
      </c>
      <c r="D7715">
        <v>3488</v>
      </c>
      <c r="E7715">
        <v>80215986</v>
      </c>
    </row>
    <row r="7716" spans="1:6" x14ac:dyDescent="0.25">
      <c r="A7716">
        <v>7715</v>
      </c>
      <c r="B7716">
        <v>44</v>
      </c>
      <c r="C7716">
        <v>0</v>
      </c>
      <c r="D7716">
        <v>0</v>
      </c>
      <c r="E7716">
        <v>0</v>
      </c>
      <c r="F7716">
        <v>-136.465</v>
      </c>
    </row>
    <row r="7717" spans="1:6" x14ac:dyDescent="0.25">
      <c r="A7717">
        <v>7716</v>
      </c>
      <c r="B7717" t="s">
        <v>0</v>
      </c>
      <c r="C7717">
        <v>98</v>
      </c>
      <c r="D7717">
        <v>3488</v>
      </c>
      <c r="E7717">
        <v>80216095</v>
      </c>
    </row>
    <row r="7718" spans="1:6" x14ac:dyDescent="0.25">
      <c r="A7718">
        <v>7717</v>
      </c>
      <c r="B7718">
        <v>45</v>
      </c>
      <c r="C7718">
        <v>0</v>
      </c>
      <c r="D7718">
        <v>0</v>
      </c>
      <c r="E7718">
        <v>0</v>
      </c>
      <c r="F7718">
        <v>532.70600000000002</v>
      </c>
    </row>
    <row r="7719" spans="1:6" x14ac:dyDescent="0.25">
      <c r="A7719">
        <v>7718</v>
      </c>
      <c r="B7719">
        <v>46</v>
      </c>
      <c r="C7719">
        <v>0</v>
      </c>
      <c r="D7719">
        <v>0</v>
      </c>
      <c r="E7719">
        <v>0</v>
      </c>
      <c r="F7719">
        <v>0</v>
      </c>
    </row>
    <row r="7720" spans="1:6" x14ac:dyDescent="0.25">
      <c r="A7720">
        <v>7719</v>
      </c>
      <c r="B7720">
        <v>2</v>
      </c>
      <c r="C7720">
        <v>0</v>
      </c>
      <c r="D7720">
        <v>0</v>
      </c>
      <c r="E7720">
        <v>0</v>
      </c>
      <c r="F7720">
        <v>305.96699999999998</v>
      </c>
    </row>
    <row r="7721" spans="1:6" x14ac:dyDescent="0.25">
      <c r="A7721">
        <v>7720</v>
      </c>
      <c r="B7721" t="s">
        <v>0</v>
      </c>
      <c r="C7721">
        <v>100</v>
      </c>
      <c r="D7721">
        <v>3488</v>
      </c>
      <c r="E7721">
        <v>80216313</v>
      </c>
    </row>
    <row r="7722" spans="1:6" x14ac:dyDescent="0.25">
      <c r="A7722">
        <v>7721</v>
      </c>
      <c r="B7722">
        <v>13</v>
      </c>
      <c r="C7722">
        <v>0</v>
      </c>
      <c r="D7722">
        <v>0</v>
      </c>
      <c r="E7722">
        <v>0</v>
      </c>
      <c r="F7722">
        <v>1605</v>
      </c>
    </row>
    <row r="7723" spans="1:6" x14ac:dyDescent="0.25">
      <c r="A7723">
        <v>7722</v>
      </c>
      <c r="B7723" t="s">
        <v>0</v>
      </c>
      <c r="C7723">
        <v>101</v>
      </c>
      <c r="D7723">
        <v>3488</v>
      </c>
      <c r="E7723">
        <v>80216422</v>
      </c>
    </row>
    <row r="7724" spans="1:6" x14ac:dyDescent="0.25">
      <c r="A7724">
        <v>7723</v>
      </c>
      <c r="B7724">
        <v>41</v>
      </c>
      <c r="C7724">
        <v>0</v>
      </c>
      <c r="D7724">
        <v>0</v>
      </c>
      <c r="E7724">
        <v>0</v>
      </c>
      <c r="F7724">
        <v>1</v>
      </c>
    </row>
    <row r="7725" spans="1:6" x14ac:dyDescent="0.25">
      <c r="A7725">
        <v>7724</v>
      </c>
      <c r="B7725">
        <v>42</v>
      </c>
      <c r="C7725">
        <v>0</v>
      </c>
      <c r="D7725">
        <v>0</v>
      </c>
      <c r="E7725">
        <v>0</v>
      </c>
      <c r="F7725">
        <v>0.2</v>
      </c>
    </row>
    <row r="7726" spans="1:6" x14ac:dyDescent="0.25">
      <c r="A7726">
        <v>7725</v>
      </c>
      <c r="B7726">
        <v>43</v>
      </c>
      <c r="C7726">
        <v>0</v>
      </c>
      <c r="D7726">
        <v>0</v>
      </c>
      <c r="E7726">
        <v>0</v>
      </c>
      <c r="F7726">
        <v>0</v>
      </c>
    </row>
    <row r="7727" spans="1:6" x14ac:dyDescent="0.25">
      <c r="A7727">
        <v>7726</v>
      </c>
      <c r="B7727" t="s">
        <v>0</v>
      </c>
      <c r="C7727">
        <v>103</v>
      </c>
      <c r="D7727">
        <v>3488</v>
      </c>
      <c r="E7727">
        <v>80216641</v>
      </c>
    </row>
    <row r="7728" spans="1:6" x14ac:dyDescent="0.25">
      <c r="A7728">
        <v>7727</v>
      </c>
      <c r="B7728">
        <v>45</v>
      </c>
      <c r="C7728">
        <v>0</v>
      </c>
      <c r="D7728">
        <v>0</v>
      </c>
      <c r="E7728">
        <v>0</v>
      </c>
      <c r="F7728">
        <v>532.61699999999996</v>
      </c>
    </row>
    <row r="7729" spans="1:6" x14ac:dyDescent="0.25">
      <c r="A7729">
        <v>7728</v>
      </c>
      <c r="B7729">
        <v>46</v>
      </c>
      <c r="C7729">
        <v>0</v>
      </c>
      <c r="D7729">
        <v>0</v>
      </c>
      <c r="E7729">
        <v>0</v>
      </c>
      <c r="F7729">
        <v>0</v>
      </c>
    </row>
    <row r="7730" spans="1:6" x14ac:dyDescent="0.25">
      <c r="A7730">
        <v>7729</v>
      </c>
      <c r="B7730" t="s">
        <v>0</v>
      </c>
      <c r="C7730">
        <v>105</v>
      </c>
      <c r="D7730">
        <v>3488</v>
      </c>
      <c r="E7730">
        <v>80216859</v>
      </c>
    </row>
    <row r="7731" spans="1:6" x14ac:dyDescent="0.25">
      <c r="A7731">
        <v>7730</v>
      </c>
      <c r="B7731">
        <v>10</v>
      </c>
      <c r="C7731">
        <v>1</v>
      </c>
      <c r="D7731">
        <v>0</v>
      </c>
      <c r="E7731">
        <v>0</v>
      </c>
      <c r="F7731">
        <v>3442</v>
      </c>
    </row>
    <row r="7732" spans="1:6" x14ac:dyDescent="0.25">
      <c r="A7732">
        <v>7731</v>
      </c>
      <c r="B7732" t="s">
        <v>0</v>
      </c>
      <c r="C7732">
        <v>106</v>
      </c>
      <c r="D7732">
        <v>3488</v>
      </c>
      <c r="E7732">
        <v>80216968</v>
      </c>
    </row>
    <row r="7733" spans="1:6" x14ac:dyDescent="0.25">
      <c r="A7733">
        <v>7732</v>
      </c>
      <c r="B7733">
        <v>13</v>
      </c>
      <c r="C7733">
        <v>0</v>
      </c>
      <c r="D7733">
        <v>0</v>
      </c>
      <c r="E7733">
        <v>0</v>
      </c>
      <c r="F7733">
        <v>1605</v>
      </c>
    </row>
    <row r="7734" spans="1:6" x14ac:dyDescent="0.25">
      <c r="A7734">
        <v>7733</v>
      </c>
      <c r="B7734">
        <v>41</v>
      </c>
      <c r="C7734">
        <v>0</v>
      </c>
      <c r="D7734">
        <v>0</v>
      </c>
      <c r="E7734">
        <v>0</v>
      </c>
      <c r="F7734">
        <v>1</v>
      </c>
    </row>
    <row r="7735" spans="1:6" x14ac:dyDescent="0.25">
      <c r="A7735">
        <v>7734</v>
      </c>
      <c r="B7735">
        <v>42</v>
      </c>
      <c r="C7735">
        <v>0</v>
      </c>
      <c r="D7735">
        <v>0</v>
      </c>
      <c r="E7735">
        <v>0</v>
      </c>
      <c r="F7735">
        <v>0.2</v>
      </c>
    </row>
    <row r="7736" spans="1:6" x14ac:dyDescent="0.25">
      <c r="A7736">
        <v>7735</v>
      </c>
      <c r="B7736" t="s">
        <v>0</v>
      </c>
      <c r="C7736">
        <v>108</v>
      </c>
      <c r="D7736">
        <v>3488</v>
      </c>
      <c r="E7736">
        <v>80217186</v>
      </c>
    </row>
    <row r="7737" spans="1:6" x14ac:dyDescent="0.25">
      <c r="A7737">
        <v>7736</v>
      </c>
      <c r="B7737">
        <v>44</v>
      </c>
      <c r="C7737">
        <v>0</v>
      </c>
      <c r="D7737">
        <v>0</v>
      </c>
      <c r="E7737">
        <v>0</v>
      </c>
      <c r="F7737">
        <v>-135.15</v>
      </c>
    </row>
    <row r="7738" spans="1:6" x14ac:dyDescent="0.25">
      <c r="A7738">
        <v>7737</v>
      </c>
      <c r="B7738" t="s">
        <v>0</v>
      </c>
      <c r="C7738">
        <v>109</v>
      </c>
      <c r="D7738">
        <v>3488</v>
      </c>
      <c r="E7738">
        <v>80217295</v>
      </c>
    </row>
    <row r="7739" spans="1:6" x14ac:dyDescent="0.25">
      <c r="A7739">
        <v>7738</v>
      </c>
      <c r="B7739">
        <v>45</v>
      </c>
      <c r="C7739">
        <v>0</v>
      </c>
      <c r="D7739">
        <v>0</v>
      </c>
      <c r="E7739">
        <v>0</v>
      </c>
      <c r="F7739">
        <v>532.51</v>
      </c>
    </row>
    <row r="7740" spans="1:6" x14ac:dyDescent="0.25">
      <c r="A7740">
        <v>7739</v>
      </c>
      <c r="B7740">
        <v>46</v>
      </c>
      <c r="C7740">
        <v>0</v>
      </c>
      <c r="D7740">
        <v>0</v>
      </c>
      <c r="E7740">
        <v>0</v>
      </c>
      <c r="F7740">
        <v>0</v>
      </c>
    </row>
    <row r="7741" spans="1:6" x14ac:dyDescent="0.25">
      <c r="A7741">
        <v>7740</v>
      </c>
      <c r="B7741">
        <v>2</v>
      </c>
      <c r="C7741">
        <v>0</v>
      </c>
      <c r="D7741">
        <v>0</v>
      </c>
      <c r="E7741">
        <v>0</v>
      </c>
      <c r="F7741">
        <v>304.95299999999997</v>
      </c>
    </row>
    <row r="7742" spans="1:6" x14ac:dyDescent="0.25">
      <c r="A7742">
        <v>7741</v>
      </c>
      <c r="B7742" t="s">
        <v>0</v>
      </c>
      <c r="C7742">
        <v>111</v>
      </c>
      <c r="D7742">
        <v>3488</v>
      </c>
      <c r="E7742">
        <v>80217513</v>
      </c>
    </row>
    <row r="7743" spans="1:6" x14ac:dyDescent="0.25">
      <c r="A7743">
        <v>7742</v>
      </c>
      <c r="B7743">
        <v>13</v>
      </c>
      <c r="C7743">
        <v>0</v>
      </c>
      <c r="D7743">
        <v>0</v>
      </c>
      <c r="E7743">
        <v>0</v>
      </c>
      <c r="F7743">
        <v>1605</v>
      </c>
    </row>
    <row r="7744" spans="1:6" x14ac:dyDescent="0.25">
      <c r="A7744">
        <v>7743</v>
      </c>
      <c r="B7744" t="s">
        <v>0</v>
      </c>
      <c r="C7744">
        <v>112</v>
      </c>
      <c r="D7744">
        <v>3488</v>
      </c>
      <c r="E7744">
        <v>80217622</v>
      </c>
    </row>
    <row r="7745" spans="1:6" x14ac:dyDescent="0.25">
      <c r="A7745">
        <v>7744</v>
      </c>
      <c r="B7745">
        <v>41</v>
      </c>
      <c r="C7745">
        <v>0</v>
      </c>
      <c r="D7745">
        <v>0</v>
      </c>
      <c r="E7745">
        <v>0</v>
      </c>
      <c r="F7745">
        <v>1</v>
      </c>
    </row>
    <row r="7746" spans="1:6" x14ac:dyDescent="0.25">
      <c r="A7746">
        <v>7745</v>
      </c>
      <c r="B7746">
        <v>42</v>
      </c>
      <c r="C7746">
        <v>0</v>
      </c>
      <c r="D7746">
        <v>0</v>
      </c>
      <c r="E7746">
        <v>0</v>
      </c>
      <c r="F7746">
        <v>0.2</v>
      </c>
    </row>
    <row r="7747" spans="1:6" x14ac:dyDescent="0.25">
      <c r="A7747">
        <v>7746</v>
      </c>
      <c r="B7747">
        <v>43</v>
      </c>
      <c r="C7747">
        <v>0</v>
      </c>
      <c r="D7747">
        <v>0</v>
      </c>
      <c r="E7747">
        <v>0</v>
      </c>
      <c r="F7747">
        <v>0</v>
      </c>
    </row>
    <row r="7748" spans="1:6" x14ac:dyDescent="0.25">
      <c r="A7748">
        <v>7747</v>
      </c>
      <c r="B7748" t="s">
        <v>0</v>
      </c>
      <c r="C7748">
        <v>114</v>
      </c>
      <c r="D7748">
        <v>3488</v>
      </c>
      <c r="E7748">
        <v>80217840</v>
      </c>
    </row>
    <row r="7749" spans="1:6" x14ac:dyDescent="0.25">
      <c r="A7749">
        <v>7748</v>
      </c>
      <c r="B7749">
        <v>45</v>
      </c>
      <c r="C7749">
        <v>0</v>
      </c>
      <c r="D7749">
        <v>0</v>
      </c>
      <c r="E7749">
        <v>0</v>
      </c>
      <c r="F7749">
        <v>532.42100000000005</v>
      </c>
    </row>
    <row r="7750" spans="1:6" x14ac:dyDescent="0.25">
      <c r="A7750">
        <v>7749</v>
      </c>
      <c r="B7750">
        <v>46</v>
      </c>
      <c r="C7750">
        <v>0</v>
      </c>
      <c r="D7750">
        <v>0</v>
      </c>
      <c r="E7750">
        <v>0</v>
      </c>
      <c r="F7750">
        <v>0</v>
      </c>
    </row>
    <row r="7751" spans="1:6" x14ac:dyDescent="0.25">
      <c r="A7751">
        <v>7750</v>
      </c>
      <c r="B7751" t="s">
        <v>0</v>
      </c>
      <c r="C7751">
        <v>116</v>
      </c>
      <c r="D7751">
        <v>3488</v>
      </c>
      <c r="E7751">
        <v>80218060</v>
      </c>
    </row>
    <row r="7752" spans="1:6" x14ac:dyDescent="0.25">
      <c r="A7752">
        <v>7751</v>
      </c>
      <c r="B7752">
        <v>10</v>
      </c>
      <c r="C7752">
        <v>1</v>
      </c>
      <c r="D7752">
        <v>0</v>
      </c>
      <c r="E7752">
        <v>0</v>
      </c>
      <c r="F7752">
        <v>3459</v>
      </c>
    </row>
    <row r="7753" spans="1:6" x14ac:dyDescent="0.25">
      <c r="A7753">
        <v>7752</v>
      </c>
      <c r="B7753" t="s">
        <v>0</v>
      </c>
      <c r="C7753">
        <v>117</v>
      </c>
      <c r="D7753">
        <v>3488</v>
      </c>
      <c r="E7753">
        <v>80218170</v>
      </c>
    </row>
    <row r="7754" spans="1:6" x14ac:dyDescent="0.25">
      <c r="A7754">
        <v>7753</v>
      </c>
      <c r="B7754">
        <v>13</v>
      </c>
      <c r="C7754">
        <v>0</v>
      </c>
      <c r="D7754">
        <v>0</v>
      </c>
      <c r="E7754">
        <v>0</v>
      </c>
      <c r="F7754">
        <v>1605</v>
      </c>
    </row>
    <row r="7755" spans="1:6" x14ac:dyDescent="0.25">
      <c r="A7755">
        <v>7754</v>
      </c>
      <c r="B7755">
        <v>41</v>
      </c>
      <c r="C7755">
        <v>0</v>
      </c>
      <c r="D7755">
        <v>0</v>
      </c>
      <c r="E7755">
        <v>0</v>
      </c>
      <c r="F7755">
        <v>1</v>
      </c>
    </row>
    <row r="7756" spans="1:6" x14ac:dyDescent="0.25">
      <c r="A7756">
        <v>7755</v>
      </c>
      <c r="B7756">
        <v>42</v>
      </c>
      <c r="C7756">
        <v>0</v>
      </c>
      <c r="D7756">
        <v>0</v>
      </c>
      <c r="E7756">
        <v>0</v>
      </c>
      <c r="F7756">
        <v>0.2</v>
      </c>
    </row>
    <row r="7757" spans="1:6" x14ac:dyDescent="0.25">
      <c r="A7757">
        <v>7756</v>
      </c>
      <c r="B7757" t="s">
        <v>0</v>
      </c>
      <c r="C7757">
        <v>119</v>
      </c>
      <c r="D7757">
        <v>3488</v>
      </c>
      <c r="E7757">
        <v>80218389</v>
      </c>
    </row>
    <row r="7758" spans="1:6" x14ac:dyDescent="0.25">
      <c r="A7758">
        <v>7757</v>
      </c>
      <c r="B7758">
        <v>44</v>
      </c>
      <c r="C7758">
        <v>0</v>
      </c>
      <c r="D7758">
        <v>0</v>
      </c>
      <c r="E7758">
        <v>0</v>
      </c>
      <c r="F7758">
        <v>-133.83699999999999</v>
      </c>
    </row>
    <row r="7759" spans="1:6" x14ac:dyDescent="0.25">
      <c r="A7759">
        <v>7758</v>
      </c>
      <c r="B7759" t="s">
        <v>0</v>
      </c>
      <c r="C7759">
        <v>120</v>
      </c>
      <c r="D7759">
        <v>3488</v>
      </c>
      <c r="E7759">
        <v>80218499</v>
      </c>
    </row>
    <row r="7760" spans="1:6" x14ac:dyDescent="0.25">
      <c r="A7760">
        <v>7759</v>
      </c>
      <c r="B7760">
        <v>45</v>
      </c>
      <c r="C7760">
        <v>0</v>
      </c>
      <c r="D7760">
        <v>0</v>
      </c>
      <c r="E7760">
        <v>0</v>
      </c>
      <c r="F7760">
        <v>532.31500000000005</v>
      </c>
    </row>
    <row r="7761" spans="1:6" x14ac:dyDescent="0.25">
      <c r="A7761">
        <v>7760</v>
      </c>
      <c r="B7761">
        <v>46</v>
      </c>
      <c r="C7761">
        <v>0</v>
      </c>
      <c r="D7761">
        <v>0</v>
      </c>
      <c r="E7761">
        <v>0</v>
      </c>
      <c r="F7761">
        <v>0</v>
      </c>
    </row>
    <row r="7762" spans="1:6" x14ac:dyDescent="0.25">
      <c r="A7762">
        <v>7761</v>
      </c>
      <c r="B7762">
        <v>2</v>
      </c>
      <c r="C7762">
        <v>0</v>
      </c>
      <c r="D7762">
        <v>0</v>
      </c>
      <c r="E7762">
        <v>0</v>
      </c>
      <c r="F7762">
        <v>303.93099999999998</v>
      </c>
    </row>
    <row r="7763" spans="1:6" x14ac:dyDescent="0.25">
      <c r="A7763">
        <v>7762</v>
      </c>
      <c r="B7763" t="s">
        <v>0</v>
      </c>
      <c r="C7763">
        <v>122</v>
      </c>
      <c r="D7763">
        <v>3488</v>
      </c>
      <c r="E7763">
        <v>80218718</v>
      </c>
    </row>
    <row r="7764" spans="1:6" x14ac:dyDescent="0.25">
      <c r="A7764">
        <v>7763</v>
      </c>
      <c r="B7764">
        <v>13</v>
      </c>
      <c r="C7764">
        <v>0</v>
      </c>
      <c r="D7764">
        <v>0</v>
      </c>
      <c r="E7764">
        <v>0</v>
      </c>
      <c r="F7764">
        <v>1605</v>
      </c>
    </row>
    <row r="7765" spans="1:6" x14ac:dyDescent="0.25">
      <c r="A7765">
        <v>7764</v>
      </c>
      <c r="B7765" t="s">
        <v>0</v>
      </c>
      <c r="C7765">
        <v>123</v>
      </c>
      <c r="D7765">
        <v>3488</v>
      </c>
      <c r="E7765">
        <v>80218828</v>
      </c>
    </row>
    <row r="7766" spans="1:6" x14ac:dyDescent="0.25">
      <c r="A7766">
        <v>7765</v>
      </c>
      <c r="B7766">
        <v>41</v>
      </c>
      <c r="C7766">
        <v>0</v>
      </c>
      <c r="D7766">
        <v>0</v>
      </c>
      <c r="E7766">
        <v>0</v>
      </c>
      <c r="F7766">
        <v>1</v>
      </c>
    </row>
    <row r="7767" spans="1:6" x14ac:dyDescent="0.25">
      <c r="A7767">
        <v>7766</v>
      </c>
      <c r="B7767">
        <v>42</v>
      </c>
      <c r="C7767">
        <v>0</v>
      </c>
      <c r="D7767">
        <v>0</v>
      </c>
      <c r="E7767">
        <v>0</v>
      </c>
      <c r="F7767">
        <v>0.2</v>
      </c>
    </row>
    <row r="7768" spans="1:6" x14ac:dyDescent="0.25">
      <c r="A7768">
        <v>7767</v>
      </c>
      <c r="B7768">
        <v>43</v>
      </c>
      <c r="C7768">
        <v>0</v>
      </c>
      <c r="D7768">
        <v>0</v>
      </c>
      <c r="E7768">
        <v>0</v>
      </c>
      <c r="F7768">
        <v>0</v>
      </c>
    </row>
    <row r="7769" spans="1:6" x14ac:dyDescent="0.25">
      <c r="A7769">
        <v>7768</v>
      </c>
      <c r="B7769" t="s">
        <v>0</v>
      </c>
      <c r="C7769">
        <v>125</v>
      </c>
      <c r="D7769">
        <v>3488</v>
      </c>
      <c r="E7769">
        <v>80219048</v>
      </c>
    </row>
    <row r="7770" spans="1:6" x14ac:dyDescent="0.25">
      <c r="A7770">
        <v>7769</v>
      </c>
      <c r="B7770">
        <v>45</v>
      </c>
      <c r="C7770">
        <v>0</v>
      </c>
      <c r="D7770">
        <v>0</v>
      </c>
      <c r="E7770">
        <v>0</v>
      </c>
      <c r="F7770">
        <v>532.226</v>
      </c>
    </row>
    <row r="7771" spans="1:6" x14ac:dyDescent="0.25">
      <c r="A7771">
        <v>7770</v>
      </c>
      <c r="B7771" t="s">
        <v>0</v>
      </c>
      <c r="C7771">
        <v>126</v>
      </c>
      <c r="D7771">
        <v>3488</v>
      </c>
      <c r="E7771">
        <v>80219158</v>
      </c>
    </row>
    <row r="7772" spans="1:6" x14ac:dyDescent="0.25">
      <c r="A7772">
        <v>7771</v>
      </c>
      <c r="B7772">
        <v>46</v>
      </c>
      <c r="C7772">
        <v>0</v>
      </c>
      <c r="D7772">
        <v>0</v>
      </c>
      <c r="E7772">
        <v>0</v>
      </c>
      <c r="F7772">
        <v>0</v>
      </c>
    </row>
    <row r="7773" spans="1:6" x14ac:dyDescent="0.25">
      <c r="A7773">
        <v>7772</v>
      </c>
      <c r="B7773">
        <v>2</v>
      </c>
      <c r="C7773">
        <v>0</v>
      </c>
      <c r="D7773">
        <v>0</v>
      </c>
      <c r="E7773">
        <v>0</v>
      </c>
      <c r="F7773">
        <v>303.46699999999998</v>
      </c>
    </row>
    <row r="7774" spans="1:6" x14ac:dyDescent="0.25">
      <c r="A7774">
        <v>7773</v>
      </c>
      <c r="B7774">
        <v>10</v>
      </c>
      <c r="C7774">
        <v>1</v>
      </c>
      <c r="D7774">
        <v>0</v>
      </c>
      <c r="E7774">
        <v>0</v>
      </c>
      <c r="F7774">
        <v>3476</v>
      </c>
    </row>
    <row r="7775" spans="1:6" x14ac:dyDescent="0.25">
      <c r="A7775">
        <v>7774</v>
      </c>
      <c r="B7775" t="s">
        <v>0</v>
      </c>
      <c r="C7775">
        <v>128</v>
      </c>
      <c r="D7775">
        <v>3488</v>
      </c>
      <c r="E7775">
        <v>80219378</v>
      </c>
    </row>
    <row r="7776" spans="1:6" x14ac:dyDescent="0.25">
      <c r="A7776">
        <v>7775</v>
      </c>
      <c r="B7776">
        <v>41</v>
      </c>
      <c r="C7776">
        <v>0</v>
      </c>
      <c r="D7776">
        <v>0</v>
      </c>
      <c r="E7776">
        <v>0</v>
      </c>
      <c r="F7776">
        <v>1</v>
      </c>
    </row>
    <row r="7777" spans="1:6" x14ac:dyDescent="0.25">
      <c r="A7777">
        <v>7776</v>
      </c>
      <c r="B7777" t="s">
        <v>0</v>
      </c>
      <c r="C7777">
        <v>129</v>
      </c>
      <c r="D7777">
        <v>3488</v>
      </c>
      <c r="E7777">
        <v>80219488</v>
      </c>
    </row>
    <row r="7778" spans="1:6" x14ac:dyDescent="0.25">
      <c r="A7778">
        <v>7777</v>
      </c>
      <c r="B7778">
        <v>42</v>
      </c>
      <c r="C7778">
        <v>0</v>
      </c>
      <c r="D7778">
        <v>0</v>
      </c>
      <c r="E7778">
        <v>0</v>
      </c>
      <c r="F7778">
        <v>0.2</v>
      </c>
    </row>
    <row r="7779" spans="1:6" x14ac:dyDescent="0.25">
      <c r="A7779">
        <v>7778</v>
      </c>
      <c r="B7779">
        <v>43</v>
      </c>
      <c r="C7779">
        <v>0</v>
      </c>
      <c r="D7779">
        <v>0</v>
      </c>
      <c r="E7779">
        <v>0</v>
      </c>
      <c r="F7779">
        <v>0</v>
      </c>
    </row>
    <row r="7780" spans="1:6" x14ac:dyDescent="0.25">
      <c r="A7780">
        <v>7779</v>
      </c>
      <c r="B7780">
        <v>44</v>
      </c>
      <c r="C7780">
        <v>0</v>
      </c>
      <c r="D7780">
        <v>0</v>
      </c>
      <c r="E7780">
        <v>0</v>
      </c>
      <c r="F7780">
        <v>-132.54499999999999</v>
      </c>
    </row>
    <row r="7781" spans="1:6" x14ac:dyDescent="0.25">
      <c r="A7781">
        <v>7780</v>
      </c>
      <c r="B7781" t="s">
        <v>0</v>
      </c>
      <c r="C7781">
        <v>131</v>
      </c>
      <c r="D7781">
        <v>3488</v>
      </c>
      <c r="E7781">
        <v>80219708</v>
      </c>
    </row>
    <row r="7782" spans="1:6" x14ac:dyDescent="0.25">
      <c r="A7782">
        <v>7781</v>
      </c>
      <c r="B7782">
        <v>46</v>
      </c>
      <c r="C7782">
        <v>0</v>
      </c>
      <c r="D7782">
        <v>0</v>
      </c>
      <c r="E7782">
        <v>0</v>
      </c>
      <c r="F7782">
        <v>0</v>
      </c>
    </row>
    <row r="7783" spans="1:6" x14ac:dyDescent="0.25">
      <c r="A7783">
        <v>7782</v>
      </c>
      <c r="B7783">
        <v>2</v>
      </c>
      <c r="C7783">
        <v>0</v>
      </c>
      <c r="D7783">
        <v>0</v>
      </c>
      <c r="E7783">
        <v>0</v>
      </c>
      <c r="F7783">
        <v>302.92899999999997</v>
      </c>
    </row>
    <row r="7784" spans="1:6" x14ac:dyDescent="0.25">
      <c r="A7784">
        <v>7783</v>
      </c>
      <c r="B7784" t="s">
        <v>0</v>
      </c>
      <c r="C7784">
        <v>133</v>
      </c>
      <c r="D7784">
        <v>3488</v>
      </c>
      <c r="E7784">
        <v>80219929</v>
      </c>
    </row>
    <row r="7785" spans="1:6" x14ac:dyDescent="0.25">
      <c r="A7785">
        <v>7784</v>
      </c>
      <c r="B7785">
        <v>13</v>
      </c>
      <c r="C7785">
        <v>0</v>
      </c>
      <c r="D7785">
        <v>0</v>
      </c>
      <c r="E7785">
        <v>0</v>
      </c>
      <c r="F7785">
        <v>1605</v>
      </c>
    </row>
    <row r="7786" spans="1:6" x14ac:dyDescent="0.25">
      <c r="A7786">
        <v>7785</v>
      </c>
      <c r="B7786" t="s">
        <v>0</v>
      </c>
      <c r="C7786">
        <v>134</v>
      </c>
      <c r="D7786">
        <v>3488</v>
      </c>
      <c r="E7786">
        <v>80220039</v>
      </c>
    </row>
    <row r="7787" spans="1:6" x14ac:dyDescent="0.25">
      <c r="A7787">
        <v>7786</v>
      </c>
      <c r="B7787">
        <v>41</v>
      </c>
      <c r="C7787">
        <v>0</v>
      </c>
      <c r="D7787">
        <v>0</v>
      </c>
      <c r="E7787">
        <v>0</v>
      </c>
      <c r="F7787">
        <v>1</v>
      </c>
    </row>
    <row r="7788" spans="1:6" x14ac:dyDescent="0.25">
      <c r="A7788">
        <v>7787</v>
      </c>
      <c r="B7788">
        <v>42</v>
      </c>
      <c r="C7788">
        <v>0</v>
      </c>
      <c r="D7788">
        <v>0</v>
      </c>
      <c r="E7788">
        <v>0</v>
      </c>
      <c r="F7788">
        <v>0.2</v>
      </c>
    </row>
    <row r="7789" spans="1:6" x14ac:dyDescent="0.25">
      <c r="A7789">
        <v>7788</v>
      </c>
      <c r="B7789">
        <v>43</v>
      </c>
      <c r="C7789">
        <v>0</v>
      </c>
      <c r="D7789">
        <v>0</v>
      </c>
      <c r="E7789">
        <v>0</v>
      </c>
      <c r="F7789">
        <v>0</v>
      </c>
    </row>
    <row r="7790" spans="1:6" x14ac:dyDescent="0.25">
      <c r="A7790">
        <v>7789</v>
      </c>
      <c r="B7790" t="s">
        <v>0</v>
      </c>
      <c r="C7790">
        <v>136</v>
      </c>
      <c r="D7790">
        <v>3488</v>
      </c>
      <c r="E7790">
        <v>80220259</v>
      </c>
    </row>
    <row r="7791" spans="1:6" x14ac:dyDescent="0.25">
      <c r="A7791">
        <v>7790</v>
      </c>
      <c r="B7791">
        <v>45</v>
      </c>
      <c r="C7791">
        <v>0</v>
      </c>
      <c r="D7791">
        <v>0</v>
      </c>
      <c r="E7791">
        <v>0</v>
      </c>
      <c r="F7791">
        <v>532.03300000000002</v>
      </c>
    </row>
    <row r="7792" spans="1:6" x14ac:dyDescent="0.25">
      <c r="A7792">
        <v>7791</v>
      </c>
      <c r="B7792" t="s">
        <v>0</v>
      </c>
      <c r="C7792">
        <v>137</v>
      </c>
      <c r="D7792">
        <v>3488</v>
      </c>
      <c r="E7792">
        <v>80220370</v>
      </c>
    </row>
    <row r="7793" spans="1:6" x14ac:dyDescent="0.25">
      <c r="A7793">
        <v>7792</v>
      </c>
      <c r="B7793">
        <v>46</v>
      </c>
      <c r="C7793">
        <v>0</v>
      </c>
      <c r="D7793">
        <v>0</v>
      </c>
      <c r="E7793">
        <v>0</v>
      </c>
      <c r="F7793">
        <v>0</v>
      </c>
    </row>
    <row r="7794" spans="1:6" x14ac:dyDescent="0.25">
      <c r="A7794">
        <v>7793</v>
      </c>
      <c r="B7794">
        <v>2</v>
      </c>
      <c r="C7794">
        <v>0</v>
      </c>
      <c r="D7794">
        <v>0</v>
      </c>
      <c r="E7794">
        <v>0</v>
      </c>
      <c r="F7794">
        <v>302.47000000000003</v>
      </c>
    </row>
    <row r="7795" spans="1:6" x14ac:dyDescent="0.25">
      <c r="A7795">
        <v>7794</v>
      </c>
      <c r="B7795">
        <v>10</v>
      </c>
      <c r="C7795">
        <v>1</v>
      </c>
      <c r="D7795">
        <v>0</v>
      </c>
      <c r="E7795">
        <v>0</v>
      </c>
      <c r="F7795">
        <v>3491</v>
      </c>
    </row>
    <row r="7796" spans="1:6" x14ac:dyDescent="0.25">
      <c r="A7796">
        <v>7795</v>
      </c>
      <c r="B7796" t="s">
        <v>0</v>
      </c>
      <c r="C7796">
        <v>139</v>
      </c>
      <c r="D7796">
        <v>3488</v>
      </c>
      <c r="E7796">
        <v>80220592</v>
      </c>
    </row>
    <row r="7797" spans="1:6" x14ac:dyDescent="0.25">
      <c r="A7797">
        <v>7796</v>
      </c>
      <c r="B7797">
        <v>41</v>
      </c>
      <c r="C7797">
        <v>0</v>
      </c>
      <c r="D7797">
        <v>0</v>
      </c>
      <c r="E7797">
        <v>0</v>
      </c>
      <c r="F7797">
        <v>1</v>
      </c>
    </row>
    <row r="7798" spans="1:6" x14ac:dyDescent="0.25">
      <c r="A7798">
        <v>7797</v>
      </c>
      <c r="B7798" t="s">
        <v>0</v>
      </c>
      <c r="C7798">
        <v>140</v>
      </c>
      <c r="D7798">
        <v>3488</v>
      </c>
      <c r="E7798">
        <v>80220703</v>
      </c>
    </row>
    <row r="7799" spans="1:6" x14ac:dyDescent="0.25">
      <c r="A7799">
        <v>7798</v>
      </c>
      <c r="B7799">
        <v>42</v>
      </c>
      <c r="C7799">
        <v>0</v>
      </c>
      <c r="D7799">
        <v>0</v>
      </c>
      <c r="E7799">
        <v>0</v>
      </c>
      <c r="F7799">
        <v>0.2</v>
      </c>
    </row>
    <row r="7800" spans="1:6" x14ac:dyDescent="0.25">
      <c r="A7800">
        <v>7799</v>
      </c>
      <c r="B7800">
        <v>43</v>
      </c>
      <c r="C7800">
        <v>0</v>
      </c>
      <c r="D7800">
        <v>0</v>
      </c>
      <c r="E7800">
        <v>0</v>
      </c>
      <c r="F7800">
        <v>0</v>
      </c>
    </row>
    <row r="7801" spans="1:6" x14ac:dyDescent="0.25">
      <c r="A7801">
        <v>7800</v>
      </c>
      <c r="B7801">
        <v>44</v>
      </c>
      <c r="C7801">
        <v>0</v>
      </c>
      <c r="D7801">
        <v>0</v>
      </c>
      <c r="E7801">
        <v>0</v>
      </c>
      <c r="F7801">
        <v>-131.21899999999999</v>
      </c>
    </row>
    <row r="7802" spans="1:6" x14ac:dyDescent="0.25">
      <c r="A7802">
        <v>7801</v>
      </c>
      <c r="B7802" t="s">
        <v>0</v>
      </c>
      <c r="C7802">
        <v>142</v>
      </c>
      <c r="D7802">
        <v>3488</v>
      </c>
      <c r="E7802">
        <v>80220925</v>
      </c>
    </row>
    <row r="7803" spans="1:6" x14ac:dyDescent="0.25">
      <c r="A7803">
        <v>7802</v>
      </c>
      <c r="B7803">
        <v>46</v>
      </c>
      <c r="C7803">
        <v>0</v>
      </c>
      <c r="D7803">
        <v>0</v>
      </c>
      <c r="E7803">
        <v>0</v>
      </c>
      <c r="F7803">
        <v>0</v>
      </c>
    </row>
    <row r="7804" spans="1:6" x14ac:dyDescent="0.25">
      <c r="A7804">
        <v>7803</v>
      </c>
      <c r="B7804" t="s">
        <v>0</v>
      </c>
      <c r="C7804">
        <v>143</v>
      </c>
      <c r="D7804">
        <v>3488</v>
      </c>
      <c r="E7804">
        <v>80221036</v>
      </c>
    </row>
    <row r="7805" spans="1:6" x14ac:dyDescent="0.25">
      <c r="A7805">
        <v>7804</v>
      </c>
      <c r="B7805">
        <v>2</v>
      </c>
      <c r="C7805">
        <v>0</v>
      </c>
      <c r="D7805">
        <v>0</v>
      </c>
      <c r="E7805">
        <v>0</v>
      </c>
      <c r="F7805">
        <v>301.92</v>
      </c>
    </row>
    <row r="7806" spans="1:6" x14ac:dyDescent="0.25">
      <c r="A7806">
        <v>7805</v>
      </c>
      <c r="B7806">
        <v>10</v>
      </c>
      <c r="C7806">
        <v>1</v>
      </c>
      <c r="D7806">
        <v>0</v>
      </c>
      <c r="E7806">
        <v>0</v>
      </c>
      <c r="F7806">
        <v>3500</v>
      </c>
    </row>
    <row r="7807" spans="1:6" x14ac:dyDescent="0.25">
      <c r="A7807">
        <v>7806</v>
      </c>
      <c r="B7807">
        <v>13</v>
      </c>
      <c r="C7807">
        <v>0</v>
      </c>
      <c r="D7807">
        <v>0</v>
      </c>
      <c r="E7807">
        <v>0</v>
      </c>
      <c r="F7807">
        <v>1605</v>
      </c>
    </row>
    <row r="7808" spans="1:6" x14ac:dyDescent="0.25">
      <c r="A7808">
        <v>7807</v>
      </c>
      <c r="B7808" t="s">
        <v>0</v>
      </c>
      <c r="C7808">
        <v>145</v>
      </c>
      <c r="D7808">
        <v>3488</v>
      </c>
      <c r="E7808">
        <v>80221256</v>
      </c>
    </row>
    <row r="7809" spans="1:6" x14ac:dyDescent="0.25">
      <c r="A7809">
        <v>7808</v>
      </c>
      <c r="B7809">
        <v>42</v>
      </c>
      <c r="C7809">
        <v>0</v>
      </c>
      <c r="D7809">
        <v>0</v>
      </c>
      <c r="E7809">
        <v>0</v>
      </c>
      <c r="F7809">
        <v>0.2</v>
      </c>
    </row>
    <row r="7810" spans="1:6" x14ac:dyDescent="0.25">
      <c r="A7810">
        <v>7809</v>
      </c>
      <c r="B7810" t="s">
        <v>0</v>
      </c>
      <c r="C7810">
        <v>146</v>
      </c>
      <c r="D7810">
        <v>3488</v>
      </c>
      <c r="E7810">
        <v>80221366</v>
      </c>
    </row>
    <row r="7811" spans="1:6" x14ac:dyDescent="0.25">
      <c r="A7811">
        <v>7810</v>
      </c>
      <c r="B7811">
        <v>43</v>
      </c>
      <c r="C7811">
        <v>0</v>
      </c>
      <c r="D7811">
        <v>0</v>
      </c>
      <c r="E7811">
        <v>0</v>
      </c>
      <c r="F7811">
        <v>0</v>
      </c>
    </row>
    <row r="7812" spans="1:6" x14ac:dyDescent="0.25">
      <c r="A7812">
        <v>7811</v>
      </c>
      <c r="B7812">
        <v>44</v>
      </c>
      <c r="C7812">
        <v>0</v>
      </c>
      <c r="D7812">
        <v>0</v>
      </c>
      <c r="E7812">
        <v>0</v>
      </c>
      <c r="F7812">
        <v>-130.63800000000001</v>
      </c>
    </row>
    <row r="7813" spans="1:6" x14ac:dyDescent="0.25">
      <c r="A7813">
        <v>7812</v>
      </c>
      <c r="B7813">
        <v>45</v>
      </c>
      <c r="C7813">
        <v>0</v>
      </c>
      <c r="D7813">
        <v>0</v>
      </c>
      <c r="E7813">
        <v>0</v>
      </c>
      <c r="F7813">
        <v>531.84100000000001</v>
      </c>
    </row>
    <row r="7814" spans="1:6" x14ac:dyDescent="0.25">
      <c r="A7814">
        <v>7813</v>
      </c>
      <c r="B7814" t="s">
        <v>0</v>
      </c>
      <c r="C7814">
        <v>148</v>
      </c>
      <c r="D7814">
        <v>3488</v>
      </c>
      <c r="E7814">
        <v>80221588</v>
      </c>
    </row>
    <row r="7815" spans="1:6" x14ac:dyDescent="0.25">
      <c r="A7815">
        <v>7814</v>
      </c>
      <c r="B7815">
        <v>2</v>
      </c>
      <c r="C7815">
        <v>0</v>
      </c>
      <c r="D7815">
        <v>0</v>
      </c>
      <c r="E7815">
        <v>0</v>
      </c>
      <c r="F7815">
        <v>301.48200000000003</v>
      </c>
    </row>
    <row r="7816" spans="1:6" x14ac:dyDescent="0.25">
      <c r="A7816">
        <v>7815</v>
      </c>
      <c r="B7816" t="s">
        <v>0</v>
      </c>
      <c r="C7816">
        <v>149</v>
      </c>
      <c r="D7816">
        <v>3488</v>
      </c>
      <c r="E7816">
        <v>80221698</v>
      </c>
    </row>
    <row r="7817" spans="1:6" x14ac:dyDescent="0.25">
      <c r="A7817">
        <v>7816</v>
      </c>
      <c r="B7817">
        <v>10</v>
      </c>
      <c r="C7817">
        <v>1</v>
      </c>
      <c r="D7817">
        <v>0</v>
      </c>
      <c r="E7817">
        <v>0</v>
      </c>
      <c r="F7817">
        <v>3507</v>
      </c>
    </row>
    <row r="7818" spans="1:6" x14ac:dyDescent="0.25">
      <c r="A7818">
        <v>7817</v>
      </c>
      <c r="B7818">
        <v>13</v>
      </c>
      <c r="C7818">
        <v>0</v>
      </c>
      <c r="D7818">
        <v>0</v>
      </c>
      <c r="E7818">
        <v>0</v>
      </c>
      <c r="F7818">
        <v>1605</v>
      </c>
    </row>
    <row r="7819" spans="1:6" x14ac:dyDescent="0.25">
      <c r="A7819">
        <v>7818</v>
      </c>
      <c r="B7819">
        <v>41</v>
      </c>
      <c r="C7819">
        <v>0</v>
      </c>
      <c r="D7819">
        <v>0</v>
      </c>
      <c r="E7819">
        <v>0</v>
      </c>
      <c r="F7819">
        <v>1</v>
      </c>
    </row>
    <row r="7820" spans="1:6" x14ac:dyDescent="0.25">
      <c r="A7820">
        <v>7819</v>
      </c>
      <c r="B7820" t="s">
        <v>0</v>
      </c>
      <c r="C7820">
        <v>151</v>
      </c>
      <c r="D7820">
        <v>3488</v>
      </c>
      <c r="E7820">
        <v>80221920</v>
      </c>
    </row>
    <row r="7821" spans="1:6" x14ac:dyDescent="0.25">
      <c r="A7821">
        <v>7820</v>
      </c>
      <c r="B7821">
        <v>43</v>
      </c>
      <c r="C7821">
        <v>0</v>
      </c>
      <c r="D7821">
        <v>0</v>
      </c>
      <c r="E7821">
        <v>0</v>
      </c>
      <c r="F7821">
        <v>0</v>
      </c>
    </row>
    <row r="7822" spans="1:6" x14ac:dyDescent="0.25">
      <c r="A7822">
        <v>7821</v>
      </c>
      <c r="B7822" t="s">
        <v>0</v>
      </c>
      <c r="C7822">
        <v>152</v>
      </c>
      <c r="D7822">
        <v>3488</v>
      </c>
      <c r="E7822">
        <v>80222030</v>
      </c>
    </row>
    <row r="7823" spans="1:6" x14ac:dyDescent="0.25">
      <c r="A7823">
        <v>7822</v>
      </c>
      <c r="B7823">
        <v>44</v>
      </c>
      <c r="C7823">
        <v>0</v>
      </c>
      <c r="D7823">
        <v>0</v>
      </c>
      <c r="E7823">
        <v>0</v>
      </c>
      <c r="F7823">
        <v>-129.92699999999999</v>
      </c>
    </row>
    <row r="7824" spans="1:6" x14ac:dyDescent="0.25">
      <c r="A7824">
        <v>7823</v>
      </c>
      <c r="B7824">
        <v>45</v>
      </c>
      <c r="C7824">
        <v>0</v>
      </c>
      <c r="D7824">
        <v>0</v>
      </c>
      <c r="E7824">
        <v>0</v>
      </c>
      <c r="F7824">
        <v>531.75400000000002</v>
      </c>
    </row>
    <row r="7825" spans="1:6" x14ac:dyDescent="0.25">
      <c r="A7825">
        <v>7824</v>
      </c>
      <c r="B7825">
        <v>46</v>
      </c>
      <c r="C7825">
        <v>0</v>
      </c>
      <c r="D7825">
        <v>0</v>
      </c>
      <c r="E7825">
        <v>0</v>
      </c>
      <c r="F7825">
        <v>0</v>
      </c>
    </row>
    <row r="7826" spans="1:6" x14ac:dyDescent="0.25">
      <c r="A7826">
        <v>7825</v>
      </c>
      <c r="B7826" t="s">
        <v>0</v>
      </c>
      <c r="C7826">
        <v>154</v>
      </c>
      <c r="D7826">
        <v>3488</v>
      </c>
      <c r="E7826">
        <v>80222252</v>
      </c>
    </row>
    <row r="7827" spans="1:6" x14ac:dyDescent="0.25">
      <c r="A7827">
        <v>7826</v>
      </c>
      <c r="B7827">
        <v>10</v>
      </c>
      <c r="C7827">
        <v>1</v>
      </c>
      <c r="D7827">
        <v>0</v>
      </c>
      <c r="E7827">
        <v>0</v>
      </c>
      <c r="F7827">
        <v>3516</v>
      </c>
    </row>
    <row r="7828" spans="1:6" x14ac:dyDescent="0.25">
      <c r="A7828">
        <v>7827</v>
      </c>
      <c r="B7828" t="s">
        <v>0</v>
      </c>
      <c r="C7828">
        <v>155</v>
      </c>
      <c r="D7828">
        <v>3488</v>
      </c>
      <c r="E7828">
        <v>80222363</v>
      </c>
    </row>
    <row r="7829" spans="1:6" x14ac:dyDescent="0.25">
      <c r="A7829">
        <v>7828</v>
      </c>
      <c r="B7829">
        <v>13</v>
      </c>
      <c r="C7829">
        <v>0</v>
      </c>
      <c r="D7829">
        <v>0</v>
      </c>
      <c r="E7829">
        <v>0</v>
      </c>
      <c r="F7829">
        <v>1605</v>
      </c>
    </row>
    <row r="7830" spans="1:6" x14ac:dyDescent="0.25">
      <c r="A7830">
        <v>7829</v>
      </c>
      <c r="B7830">
        <v>41</v>
      </c>
      <c r="C7830">
        <v>0</v>
      </c>
      <c r="D7830">
        <v>0</v>
      </c>
      <c r="E7830">
        <v>0</v>
      </c>
      <c r="F7830">
        <v>1</v>
      </c>
    </row>
    <row r="7831" spans="1:6" x14ac:dyDescent="0.25">
      <c r="A7831">
        <v>7830</v>
      </c>
      <c r="B7831">
        <v>42</v>
      </c>
      <c r="C7831">
        <v>0</v>
      </c>
      <c r="D7831">
        <v>0</v>
      </c>
      <c r="E7831">
        <v>0</v>
      </c>
      <c r="F7831">
        <v>0.2</v>
      </c>
    </row>
    <row r="7832" spans="1:6" x14ac:dyDescent="0.25">
      <c r="A7832">
        <v>7831</v>
      </c>
      <c r="B7832" t="s">
        <v>0</v>
      </c>
      <c r="C7832">
        <v>157</v>
      </c>
      <c r="D7832">
        <v>3488</v>
      </c>
      <c r="E7832">
        <v>80222585</v>
      </c>
    </row>
    <row r="7833" spans="1:6" x14ac:dyDescent="0.25">
      <c r="A7833">
        <v>7832</v>
      </c>
      <c r="B7833">
        <v>44</v>
      </c>
      <c r="C7833">
        <v>0</v>
      </c>
      <c r="D7833">
        <v>0</v>
      </c>
      <c r="E7833">
        <v>0</v>
      </c>
      <c r="F7833">
        <v>-129.33799999999999</v>
      </c>
    </row>
    <row r="7834" spans="1:6" x14ac:dyDescent="0.25">
      <c r="A7834">
        <v>7833</v>
      </c>
      <c r="B7834" t="s">
        <v>0</v>
      </c>
      <c r="C7834">
        <v>158</v>
      </c>
      <c r="D7834">
        <v>3488</v>
      </c>
      <c r="E7834">
        <v>80222696</v>
      </c>
    </row>
    <row r="7835" spans="1:6" x14ac:dyDescent="0.25">
      <c r="A7835">
        <v>7834</v>
      </c>
      <c r="B7835">
        <v>45</v>
      </c>
      <c r="C7835">
        <v>0</v>
      </c>
      <c r="D7835">
        <v>0</v>
      </c>
      <c r="E7835">
        <v>0</v>
      </c>
      <c r="F7835">
        <v>531.65</v>
      </c>
    </row>
    <row r="7836" spans="1:6" x14ac:dyDescent="0.25">
      <c r="A7836">
        <v>7835</v>
      </c>
      <c r="B7836">
        <v>46</v>
      </c>
      <c r="C7836">
        <v>0</v>
      </c>
      <c r="D7836">
        <v>0</v>
      </c>
      <c r="E7836">
        <v>0</v>
      </c>
      <c r="F7836">
        <v>0</v>
      </c>
    </row>
    <row r="7837" spans="1:6" x14ac:dyDescent="0.25">
      <c r="A7837">
        <v>7836</v>
      </c>
      <c r="B7837">
        <v>2</v>
      </c>
      <c r="C7837">
        <v>0</v>
      </c>
      <c r="D7837">
        <v>0</v>
      </c>
      <c r="E7837">
        <v>0</v>
      </c>
      <c r="F7837">
        <v>300.50099999999998</v>
      </c>
    </row>
    <row r="7838" spans="1:6" x14ac:dyDescent="0.25">
      <c r="A7838">
        <v>7837</v>
      </c>
      <c r="B7838" t="s">
        <v>0</v>
      </c>
      <c r="C7838">
        <v>160</v>
      </c>
      <c r="D7838">
        <v>3488</v>
      </c>
      <c r="E7838">
        <v>80222918</v>
      </c>
    </row>
    <row r="7839" spans="1:6" x14ac:dyDescent="0.25">
      <c r="A7839">
        <v>7838</v>
      </c>
      <c r="B7839">
        <v>13</v>
      </c>
      <c r="C7839">
        <v>0</v>
      </c>
      <c r="D7839">
        <v>0</v>
      </c>
      <c r="E7839">
        <v>0</v>
      </c>
      <c r="F7839">
        <v>1605</v>
      </c>
    </row>
    <row r="7840" spans="1:6" x14ac:dyDescent="0.25">
      <c r="A7840">
        <v>7839</v>
      </c>
      <c r="B7840" t="s">
        <v>0</v>
      </c>
      <c r="C7840">
        <v>161</v>
      </c>
      <c r="D7840">
        <v>3488</v>
      </c>
      <c r="E7840">
        <v>80223030</v>
      </c>
    </row>
    <row r="7841" spans="1:6" x14ac:dyDescent="0.25">
      <c r="A7841">
        <v>7840</v>
      </c>
      <c r="B7841">
        <v>41</v>
      </c>
      <c r="C7841">
        <v>0</v>
      </c>
      <c r="D7841">
        <v>0</v>
      </c>
      <c r="E7841">
        <v>0</v>
      </c>
      <c r="F7841">
        <v>1</v>
      </c>
    </row>
    <row r="7842" spans="1:6" x14ac:dyDescent="0.25">
      <c r="A7842">
        <v>7841</v>
      </c>
      <c r="B7842">
        <v>42</v>
      </c>
      <c r="C7842">
        <v>0</v>
      </c>
      <c r="D7842">
        <v>0</v>
      </c>
      <c r="E7842">
        <v>0</v>
      </c>
      <c r="F7842">
        <v>0.2</v>
      </c>
    </row>
    <row r="7843" spans="1:6" x14ac:dyDescent="0.25">
      <c r="A7843">
        <v>7842</v>
      </c>
      <c r="B7843">
        <v>43</v>
      </c>
      <c r="C7843">
        <v>0</v>
      </c>
      <c r="D7843">
        <v>0</v>
      </c>
      <c r="E7843">
        <v>0</v>
      </c>
      <c r="F7843">
        <v>0</v>
      </c>
    </row>
    <row r="7844" spans="1:6" x14ac:dyDescent="0.25">
      <c r="A7844">
        <v>7843</v>
      </c>
      <c r="B7844" t="s">
        <v>0</v>
      </c>
      <c r="C7844">
        <v>163</v>
      </c>
      <c r="D7844">
        <v>3488</v>
      </c>
      <c r="E7844">
        <v>80223252</v>
      </c>
    </row>
    <row r="7845" spans="1:6" x14ac:dyDescent="0.25">
      <c r="A7845">
        <v>7844</v>
      </c>
      <c r="B7845">
        <v>45</v>
      </c>
      <c r="C7845">
        <v>0</v>
      </c>
      <c r="D7845">
        <v>0</v>
      </c>
      <c r="E7845">
        <v>0</v>
      </c>
      <c r="F7845">
        <v>531.56399999999996</v>
      </c>
    </row>
    <row r="7846" spans="1:6" x14ac:dyDescent="0.25">
      <c r="A7846">
        <v>7845</v>
      </c>
      <c r="B7846" t="s">
        <v>0</v>
      </c>
      <c r="C7846">
        <v>164</v>
      </c>
      <c r="D7846">
        <v>3488</v>
      </c>
      <c r="E7846">
        <v>80223363</v>
      </c>
    </row>
    <row r="7847" spans="1:6" x14ac:dyDescent="0.25">
      <c r="A7847">
        <v>7846</v>
      </c>
      <c r="B7847">
        <v>46</v>
      </c>
      <c r="C7847">
        <v>0</v>
      </c>
      <c r="D7847">
        <v>0</v>
      </c>
      <c r="E7847">
        <v>0</v>
      </c>
      <c r="F7847">
        <v>0</v>
      </c>
    </row>
    <row r="7848" spans="1:6" x14ac:dyDescent="0.25">
      <c r="A7848">
        <v>7847</v>
      </c>
      <c r="B7848">
        <v>2</v>
      </c>
      <c r="C7848">
        <v>0</v>
      </c>
      <c r="D7848">
        <v>0</v>
      </c>
      <c r="E7848">
        <v>0</v>
      </c>
      <c r="F7848">
        <v>300.04599999999999</v>
      </c>
    </row>
    <row r="7849" spans="1:6" x14ac:dyDescent="0.25">
      <c r="A7849">
        <v>7848</v>
      </c>
      <c r="B7849">
        <v>10</v>
      </c>
      <c r="C7849">
        <v>1</v>
      </c>
      <c r="D7849">
        <v>0</v>
      </c>
      <c r="E7849">
        <v>0</v>
      </c>
      <c r="F7849">
        <v>3533</v>
      </c>
    </row>
    <row r="7850" spans="1:6" x14ac:dyDescent="0.25">
      <c r="A7850">
        <v>7849</v>
      </c>
      <c r="B7850" t="s">
        <v>0</v>
      </c>
      <c r="C7850">
        <v>166</v>
      </c>
      <c r="D7850">
        <v>3488</v>
      </c>
      <c r="E7850">
        <v>80223586</v>
      </c>
    </row>
    <row r="7851" spans="1:6" x14ac:dyDescent="0.25">
      <c r="A7851">
        <v>7850</v>
      </c>
      <c r="B7851">
        <v>41</v>
      </c>
      <c r="C7851">
        <v>0</v>
      </c>
      <c r="D7851">
        <v>0</v>
      </c>
      <c r="E7851">
        <v>0</v>
      </c>
      <c r="F7851">
        <v>1</v>
      </c>
    </row>
    <row r="7852" spans="1:6" x14ac:dyDescent="0.25">
      <c r="A7852">
        <v>7851</v>
      </c>
      <c r="B7852" t="s">
        <v>0</v>
      </c>
      <c r="C7852">
        <v>167</v>
      </c>
      <c r="D7852">
        <v>3488</v>
      </c>
      <c r="E7852">
        <v>80223697</v>
      </c>
    </row>
    <row r="7853" spans="1:6" x14ac:dyDescent="0.25">
      <c r="A7853">
        <v>7852</v>
      </c>
      <c r="B7853">
        <v>42</v>
      </c>
      <c r="C7853">
        <v>0</v>
      </c>
      <c r="D7853">
        <v>0</v>
      </c>
      <c r="E7853">
        <v>0</v>
      </c>
      <c r="F7853">
        <v>0.2</v>
      </c>
    </row>
    <row r="7854" spans="1:6" x14ac:dyDescent="0.25">
      <c r="A7854">
        <v>7853</v>
      </c>
      <c r="B7854">
        <v>43</v>
      </c>
      <c r="C7854">
        <v>0</v>
      </c>
      <c r="D7854">
        <v>0</v>
      </c>
      <c r="E7854">
        <v>0</v>
      </c>
      <c r="F7854">
        <v>0</v>
      </c>
    </row>
    <row r="7855" spans="1:6" x14ac:dyDescent="0.25">
      <c r="A7855">
        <v>7854</v>
      </c>
      <c r="B7855">
        <v>44</v>
      </c>
      <c r="C7855">
        <v>0</v>
      </c>
      <c r="D7855">
        <v>0</v>
      </c>
      <c r="E7855">
        <v>0</v>
      </c>
      <c r="F7855">
        <v>-128.03299999999999</v>
      </c>
    </row>
    <row r="7856" spans="1:6" x14ac:dyDescent="0.25">
      <c r="A7856">
        <v>7855</v>
      </c>
      <c r="B7856" t="s">
        <v>0</v>
      </c>
      <c r="C7856">
        <v>169</v>
      </c>
      <c r="D7856">
        <v>3488</v>
      </c>
      <c r="E7856">
        <v>80223919</v>
      </c>
    </row>
    <row r="7857" spans="1:6" x14ac:dyDescent="0.25">
      <c r="A7857">
        <v>7856</v>
      </c>
      <c r="B7857">
        <v>46</v>
      </c>
      <c r="C7857">
        <v>0</v>
      </c>
      <c r="D7857">
        <v>0</v>
      </c>
      <c r="E7857">
        <v>0</v>
      </c>
      <c r="F7857">
        <v>0</v>
      </c>
    </row>
    <row r="7858" spans="1:6" x14ac:dyDescent="0.25">
      <c r="A7858">
        <v>7857</v>
      </c>
      <c r="B7858" t="s">
        <v>0</v>
      </c>
      <c r="C7858">
        <v>170</v>
      </c>
      <c r="D7858">
        <v>3488</v>
      </c>
      <c r="E7858">
        <v>80224030</v>
      </c>
    </row>
    <row r="7859" spans="1:6" x14ac:dyDescent="0.25">
      <c r="A7859">
        <v>7858</v>
      </c>
      <c r="B7859">
        <v>2</v>
      </c>
      <c r="C7859">
        <v>0</v>
      </c>
      <c r="D7859">
        <v>0</v>
      </c>
      <c r="E7859">
        <v>0</v>
      </c>
      <c r="F7859">
        <v>299.512</v>
      </c>
    </row>
    <row r="7860" spans="1:6" x14ac:dyDescent="0.25">
      <c r="A7860">
        <v>7859</v>
      </c>
      <c r="B7860">
        <v>10</v>
      </c>
      <c r="C7860">
        <v>1</v>
      </c>
      <c r="D7860">
        <v>0</v>
      </c>
      <c r="E7860">
        <v>0</v>
      </c>
      <c r="F7860">
        <v>3541</v>
      </c>
    </row>
    <row r="7861" spans="1:6" x14ac:dyDescent="0.25">
      <c r="A7861">
        <v>7860</v>
      </c>
      <c r="B7861">
        <v>13</v>
      </c>
      <c r="C7861">
        <v>0</v>
      </c>
      <c r="D7861">
        <v>0</v>
      </c>
      <c r="E7861">
        <v>0</v>
      </c>
      <c r="F7861">
        <v>1605</v>
      </c>
    </row>
    <row r="7862" spans="1:6" x14ac:dyDescent="0.25">
      <c r="A7862">
        <v>7861</v>
      </c>
      <c r="B7862" t="s">
        <v>0</v>
      </c>
      <c r="C7862">
        <v>172</v>
      </c>
      <c r="D7862">
        <v>3488</v>
      </c>
      <c r="E7862">
        <v>80224252</v>
      </c>
    </row>
    <row r="7863" spans="1:6" x14ac:dyDescent="0.25">
      <c r="A7863">
        <v>7862</v>
      </c>
      <c r="B7863">
        <v>42</v>
      </c>
      <c r="C7863">
        <v>0</v>
      </c>
      <c r="D7863">
        <v>0</v>
      </c>
      <c r="E7863">
        <v>0</v>
      </c>
      <c r="F7863">
        <v>0.2</v>
      </c>
    </row>
    <row r="7864" spans="1:6" x14ac:dyDescent="0.25">
      <c r="A7864">
        <v>7863</v>
      </c>
      <c r="B7864" t="s">
        <v>0</v>
      </c>
      <c r="C7864">
        <v>173</v>
      </c>
      <c r="D7864">
        <v>3488</v>
      </c>
      <c r="E7864">
        <v>80224363</v>
      </c>
    </row>
    <row r="7865" spans="1:6" x14ac:dyDescent="0.25">
      <c r="A7865">
        <v>7864</v>
      </c>
      <c r="B7865">
        <v>43</v>
      </c>
      <c r="C7865">
        <v>0</v>
      </c>
      <c r="D7865">
        <v>0</v>
      </c>
      <c r="E7865">
        <v>0</v>
      </c>
      <c r="F7865">
        <v>0</v>
      </c>
    </row>
    <row r="7866" spans="1:6" x14ac:dyDescent="0.25">
      <c r="A7866">
        <v>7865</v>
      </c>
      <c r="B7866">
        <v>44</v>
      </c>
      <c r="C7866">
        <v>0</v>
      </c>
      <c r="D7866">
        <v>0</v>
      </c>
      <c r="E7866">
        <v>0</v>
      </c>
      <c r="F7866">
        <v>-127.465</v>
      </c>
    </row>
    <row r="7867" spans="1:6" x14ac:dyDescent="0.25">
      <c r="A7867">
        <v>7866</v>
      </c>
      <c r="B7867">
        <v>45</v>
      </c>
      <c r="C7867">
        <v>0</v>
      </c>
      <c r="D7867">
        <v>0</v>
      </c>
      <c r="E7867">
        <v>0</v>
      </c>
      <c r="F7867">
        <v>531.375</v>
      </c>
    </row>
    <row r="7868" spans="1:6" x14ac:dyDescent="0.25">
      <c r="A7868">
        <v>7867</v>
      </c>
      <c r="B7868" t="s">
        <v>0</v>
      </c>
      <c r="C7868">
        <v>175</v>
      </c>
      <c r="D7868">
        <v>3488</v>
      </c>
      <c r="E7868">
        <v>80224587</v>
      </c>
    </row>
    <row r="7869" spans="1:6" x14ac:dyDescent="0.25">
      <c r="A7869">
        <v>7868</v>
      </c>
      <c r="B7869">
        <v>2</v>
      </c>
      <c r="C7869">
        <v>0</v>
      </c>
      <c r="D7869">
        <v>0</v>
      </c>
      <c r="E7869">
        <v>0</v>
      </c>
      <c r="F7869">
        <v>299.06099999999998</v>
      </c>
    </row>
    <row r="7870" spans="1:6" x14ac:dyDescent="0.25">
      <c r="A7870">
        <v>7869</v>
      </c>
      <c r="B7870" t="s">
        <v>0</v>
      </c>
      <c r="C7870">
        <v>176</v>
      </c>
      <c r="D7870">
        <v>3488</v>
      </c>
      <c r="E7870">
        <v>80224699</v>
      </c>
    </row>
    <row r="7871" spans="1:6" x14ac:dyDescent="0.25">
      <c r="A7871">
        <v>7870</v>
      </c>
      <c r="B7871">
        <v>10</v>
      </c>
      <c r="C7871">
        <v>1</v>
      </c>
      <c r="D7871">
        <v>0</v>
      </c>
      <c r="E7871">
        <v>0</v>
      </c>
      <c r="F7871">
        <v>3548</v>
      </c>
    </row>
    <row r="7872" spans="1:6" x14ac:dyDescent="0.25">
      <c r="A7872">
        <v>7871</v>
      </c>
      <c r="B7872">
        <v>13</v>
      </c>
      <c r="C7872">
        <v>0</v>
      </c>
      <c r="D7872">
        <v>0</v>
      </c>
      <c r="E7872">
        <v>0</v>
      </c>
      <c r="F7872">
        <v>1605</v>
      </c>
    </row>
    <row r="7873" spans="1:6" x14ac:dyDescent="0.25">
      <c r="A7873">
        <v>7872</v>
      </c>
      <c r="B7873">
        <v>41</v>
      </c>
      <c r="C7873">
        <v>0</v>
      </c>
      <c r="D7873">
        <v>0</v>
      </c>
      <c r="E7873">
        <v>0</v>
      </c>
      <c r="F7873">
        <v>1</v>
      </c>
    </row>
    <row r="7874" spans="1:6" x14ac:dyDescent="0.25">
      <c r="A7874">
        <v>7873</v>
      </c>
      <c r="B7874" t="s">
        <v>0</v>
      </c>
      <c r="C7874">
        <v>178</v>
      </c>
      <c r="D7874">
        <v>3488</v>
      </c>
      <c r="E7874">
        <v>80224922</v>
      </c>
    </row>
    <row r="7875" spans="1:6" x14ac:dyDescent="0.25">
      <c r="A7875">
        <v>7874</v>
      </c>
      <c r="B7875">
        <v>43</v>
      </c>
      <c r="C7875">
        <v>0</v>
      </c>
      <c r="D7875">
        <v>0</v>
      </c>
      <c r="E7875">
        <v>0</v>
      </c>
      <c r="F7875">
        <v>0</v>
      </c>
    </row>
    <row r="7876" spans="1:6" x14ac:dyDescent="0.25">
      <c r="A7876">
        <v>7875</v>
      </c>
      <c r="B7876">
        <v>44</v>
      </c>
      <c r="C7876">
        <v>0</v>
      </c>
      <c r="D7876">
        <v>0</v>
      </c>
      <c r="E7876">
        <v>0</v>
      </c>
      <c r="F7876">
        <v>-126.892</v>
      </c>
    </row>
    <row r="7877" spans="1:6" x14ac:dyDescent="0.25">
      <c r="A7877">
        <v>7876</v>
      </c>
      <c r="B7877">
        <v>45</v>
      </c>
      <c r="C7877">
        <v>0</v>
      </c>
      <c r="D7877">
        <v>0</v>
      </c>
      <c r="E7877">
        <v>0</v>
      </c>
      <c r="F7877">
        <v>531.30600000000004</v>
      </c>
    </row>
    <row r="7878" spans="1:6" x14ac:dyDescent="0.25">
      <c r="A7878">
        <v>7877</v>
      </c>
      <c r="B7878">
        <v>46</v>
      </c>
      <c r="C7878">
        <v>0</v>
      </c>
      <c r="D7878">
        <v>0</v>
      </c>
      <c r="E7878">
        <v>0</v>
      </c>
      <c r="F7878">
        <v>0</v>
      </c>
    </row>
    <row r="7879" spans="1:6" x14ac:dyDescent="0.25">
      <c r="A7879">
        <v>7878</v>
      </c>
      <c r="B7879" t="s">
        <v>0</v>
      </c>
      <c r="C7879">
        <v>1</v>
      </c>
      <c r="D7879">
        <v>3489</v>
      </c>
      <c r="E7879">
        <v>80225258</v>
      </c>
    </row>
    <row r="7880" spans="1:6" x14ac:dyDescent="0.25">
      <c r="A7880">
        <v>7879</v>
      </c>
      <c r="B7880">
        <v>10</v>
      </c>
      <c r="C7880">
        <v>1</v>
      </c>
      <c r="D7880">
        <v>0</v>
      </c>
      <c r="E7880">
        <v>0</v>
      </c>
      <c r="F7880">
        <v>3554</v>
      </c>
    </row>
    <row r="7881" spans="1:6" x14ac:dyDescent="0.25">
      <c r="A7881">
        <v>7880</v>
      </c>
      <c r="B7881" t="s">
        <v>0</v>
      </c>
      <c r="C7881">
        <v>2</v>
      </c>
      <c r="D7881">
        <v>3489</v>
      </c>
      <c r="E7881">
        <v>80225370</v>
      </c>
    </row>
    <row r="7882" spans="1:6" x14ac:dyDescent="0.25">
      <c r="A7882">
        <v>7881</v>
      </c>
      <c r="B7882">
        <v>13</v>
      </c>
      <c r="C7882">
        <v>0</v>
      </c>
      <c r="D7882">
        <v>0</v>
      </c>
      <c r="E7882">
        <v>0</v>
      </c>
      <c r="F7882">
        <v>1605</v>
      </c>
    </row>
    <row r="7883" spans="1:6" x14ac:dyDescent="0.25">
      <c r="A7883">
        <v>7882</v>
      </c>
      <c r="B7883">
        <v>41</v>
      </c>
      <c r="C7883">
        <v>0</v>
      </c>
      <c r="D7883">
        <v>0</v>
      </c>
      <c r="E7883">
        <v>0</v>
      </c>
      <c r="F7883">
        <v>1</v>
      </c>
    </row>
    <row r="7884" spans="1:6" x14ac:dyDescent="0.25">
      <c r="A7884">
        <v>7883</v>
      </c>
      <c r="B7884">
        <v>42</v>
      </c>
      <c r="C7884">
        <v>0</v>
      </c>
      <c r="D7884">
        <v>0</v>
      </c>
      <c r="E7884">
        <v>0</v>
      </c>
      <c r="F7884">
        <v>0.2</v>
      </c>
    </row>
    <row r="7885" spans="1:6" x14ac:dyDescent="0.25">
      <c r="A7885">
        <v>7884</v>
      </c>
      <c r="B7885" t="s">
        <v>0</v>
      </c>
      <c r="C7885">
        <v>4</v>
      </c>
      <c r="D7885">
        <v>3489</v>
      </c>
      <c r="E7885">
        <v>80225594</v>
      </c>
    </row>
    <row r="7886" spans="1:6" x14ac:dyDescent="0.25">
      <c r="A7886">
        <v>7885</v>
      </c>
      <c r="B7886">
        <v>44</v>
      </c>
      <c r="C7886">
        <v>0</v>
      </c>
      <c r="D7886">
        <v>0</v>
      </c>
      <c r="E7886">
        <v>0</v>
      </c>
      <c r="F7886">
        <v>-126.35599999999999</v>
      </c>
    </row>
    <row r="7887" spans="1:6" x14ac:dyDescent="0.25">
      <c r="A7887">
        <v>7886</v>
      </c>
      <c r="B7887" t="s">
        <v>0</v>
      </c>
      <c r="C7887">
        <v>5</v>
      </c>
      <c r="D7887">
        <v>3489</v>
      </c>
      <c r="E7887">
        <v>80225706</v>
      </c>
    </row>
    <row r="7888" spans="1:6" x14ac:dyDescent="0.25">
      <c r="A7888">
        <v>7887</v>
      </c>
      <c r="B7888">
        <v>45</v>
      </c>
      <c r="C7888">
        <v>0</v>
      </c>
      <c r="D7888">
        <v>0</v>
      </c>
      <c r="E7888">
        <v>0</v>
      </c>
      <c r="F7888">
        <v>531.221</v>
      </c>
    </row>
    <row r="7889" spans="1:6" x14ac:dyDescent="0.25">
      <c r="A7889">
        <v>7888</v>
      </c>
      <c r="B7889">
        <v>46</v>
      </c>
      <c r="C7889">
        <v>0</v>
      </c>
      <c r="D7889">
        <v>0</v>
      </c>
      <c r="E7889">
        <v>0</v>
      </c>
      <c r="F7889">
        <v>0</v>
      </c>
    </row>
    <row r="7890" spans="1:6" x14ac:dyDescent="0.25">
      <c r="A7890">
        <v>7889</v>
      </c>
      <c r="B7890">
        <v>2</v>
      </c>
      <c r="C7890">
        <v>0</v>
      </c>
      <c r="D7890">
        <v>0</v>
      </c>
      <c r="E7890">
        <v>0</v>
      </c>
      <c r="F7890">
        <v>298.22500000000002</v>
      </c>
    </row>
    <row r="7891" spans="1:6" x14ac:dyDescent="0.25">
      <c r="A7891">
        <v>7890</v>
      </c>
      <c r="B7891" t="s">
        <v>0</v>
      </c>
      <c r="C7891">
        <v>7</v>
      </c>
      <c r="D7891">
        <v>3489</v>
      </c>
      <c r="E7891">
        <v>80225929</v>
      </c>
    </row>
    <row r="7892" spans="1:6" x14ac:dyDescent="0.25">
      <c r="A7892">
        <v>7891</v>
      </c>
      <c r="B7892">
        <v>13</v>
      </c>
      <c r="C7892">
        <v>0</v>
      </c>
      <c r="D7892">
        <v>0</v>
      </c>
      <c r="E7892">
        <v>0</v>
      </c>
      <c r="F7892">
        <v>1605</v>
      </c>
    </row>
    <row r="7893" spans="1:6" x14ac:dyDescent="0.25">
      <c r="A7893">
        <v>7892</v>
      </c>
      <c r="B7893" t="s">
        <v>0</v>
      </c>
      <c r="C7893">
        <v>8</v>
      </c>
      <c r="D7893">
        <v>3489</v>
      </c>
      <c r="E7893">
        <v>80226041</v>
      </c>
    </row>
    <row r="7894" spans="1:6" x14ac:dyDescent="0.25">
      <c r="A7894">
        <v>7893</v>
      </c>
      <c r="B7894">
        <v>41</v>
      </c>
      <c r="C7894">
        <v>0</v>
      </c>
      <c r="D7894">
        <v>0</v>
      </c>
      <c r="E7894">
        <v>0</v>
      </c>
      <c r="F7894">
        <v>1</v>
      </c>
    </row>
    <row r="7895" spans="1:6" x14ac:dyDescent="0.25">
      <c r="A7895">
        <v>7894</v>
      </c>
      <c r="B7895">
        <v>42</v>
      </c>
      <c r="C7895">
        <v>0</v>
      </c>
      <c r="D7895">
        <v>0</v>
      </c>
      <c r="E7895">
        <v>0</v>
      </c>
      <c r="F7895">
        <v>0.2</v>
      </c>
    </row>
    <row r="7896" spans="1:6" x14ac:dyDescent="0.25">
      <c r="A7896">
        <v>7895</v>
      </c>
      <c r="B7896">
        <v>43</v>
      </c>
      <c r="C7896">
        <v>0</v>
      </c>
      <c r="D7896">
        <v>0</v>
      </c>
      <c r="E7896">
        <v>0</v>
      </c>
      <c r="F7896">
        <v>0</v>
      </c>
    </row>
    <row r="7897" spans="1:6" x14ac:dyDescent="0.25">
      <c r="A7897">
        <v>7896</v>
      </c>
      <c r="B7897">
        <v>44</v>
      </c>
      <c r="C7897">
        <v>0</v>
      </c>
      <c r="D7897">
        <v>0</v>
      </c>
      <c r="E7897">
        <v>0</v>
      </c>
      <c r="F7897">
        <v>-125.742</v>
      </c>
    </row>
    <row r="7898" spans="1:6" x14ac:dyDescent="0.25">
      <c r="A7898">
        <v>7897</v>
      </c>
      <c r="B7898">
        <v>45</v>
      </c>
      <c r="C7898">
        <v>0</v>
      </c>
      <c r="D7898">
        <v>0</v>
      </c>
      <c r="E7898">
        <v>0</v>
      </c>
      <c r="F7898">
        <v>531.13599999999997</v>
      </c>
    </row>
    <row r="7899" spans="1:6" x14ac:dyDescent="0.25">
      <c r="A7899">
        <v>7898</v>
      </c>
      <c r="B7899" t="s">
        <v>0</v>
      </c>
      <c r="C7899">
        <v>11</v>
      </c>
      <c r="D7899">
        <v>3489</v>
      </c>
      <c r="E7899">
        <v>80226378</v>
      </c>
    </row>
    <row r="7900" spans="1:6" x14ac:dyDescent="0.25">
      <c r="A7900">
        <v>7899</v>
      </c>
      <c r="B7900">
        <v>2</v>
      </c>
      <c r="C7900">
        <v>0</v>
      </c>
      <c r="D7900">
        <v>0</v>
      </c>
      <c r="E7900">
        <v>0</v>
      </c>
      <c r="F7900">
        <v>297.75700000000001</v>
      </c>
    </row>
    <row r="7901" spans="1:6" x14ac:dyDescent="0.25">
      <c r="A7901">
        <v>7900</v>
      </c>
      <c r="B7901" t="s">
        <v>0</v>
      </c>
      <c r="C7901">
        <v>12</v>
      </c>
      <c r="D7901">
        <v>3489</v>
      </c>
      <c r="E7901">
        <v>80226490</v>
      </c>
    </row>
    <row r="7902" spans="1:6" x14ac:dyDescent="0.25">
      <c r="A7902">
        <v>7901</v>
      </c>
      <c r="B7902">
        <v>10</v>
      </c>
      <c r="C7902">
        <v>1</v>
      </c>
      <c r="D7902">
        <v>0</v>
      </c>
      <c r="E7902">
        <v>0</v>
      </c>
      <c r="F7902">
        <v>3571</v>
      </c>
    </row>
    <row r="7903" spans="1:6" x14ac:dyDescent="0.25">
      <c r="A7903">
        <v>7902</v>
      </c>
      <c r="B7903">
        <v>13</v>
      </c>
      <c r="C7903">
        <v>0</v>
      </c>
      <c r="D7903">
        <v>0</v>
      </c>
      <c r="E7903">
        <v>0</v>
      </c>
      <c r="F7903">
        <v>1605</v>
      </c>
    </row>
    <row r="7904" spans="1:6" x14ac:dyDescent="0.25">
      <c r="A7904">
        <v>7903</v>
      </c>
      <c r="B7904">
        <v>41</v>
      </c>
      <c r="C7904">
        <v>0</v>
      </c>
      <c r="D7904">
        <v>0</v>
      </c>
      <c r="E7904">
        <v>0</v>
      </c>
      <c r="F7904">
        <v>1</v>
      </c>
    </row>
    <row r="7905" spans="1:6" x14ac:dyDescent="0.25">
      <c r="A7905">
        <v>7904</v>
      </c>
      <c r="B7905" t="s">
        <v>0</v>
      </c>
      <c r="C7905">
        <v>14</v>
      </c>
      <c r="D7905">
        <v>3489</v>
      </c>
      <c r="E7905">
        <v>80226714</v>
      </c>
    </row>
    <row r="7906" spans="1:6" x14ac:dyDescent="0.25">
      <c r="A7906">
        <v>7905</v>
      </c>
      <c r="B7906">
        <v>43</v>
      </c>
      <c r="C7906">
        <v>0</v>
      </c>
      <c r="D7906">
        <v>0</v>
      </c>
      <c r="E7906">
        <v>0</v>
      </c>
      <c r="F7906">
        <v>0</v>
      </c>
    </row>
    <row r="7907" spans="1:6" x14ac:dyDescent="0.25">
      <c r="A7907">
        <v>7906</v>
      </c>
      <c r="B7907" t="s">
        <v>0</v>
      </c>
      <c r="C7907">
        <v>15</v>
      </c>
      <c r="D7907">
        <v>3489</v>
      </c>
      <c r="E7907">
        <v>80226827</v>
      </c>
    </row>
    <row r="7908" spans="1:6" x14ac:dyDescent="0.25">
      <c r="A7908">
        <v>7907</v>
      </c>
      <c r="B7908">
        <v>44</v>
      </c>
      <c r="C7908">
        <v>0</v>
      </c>
      <c r="D7908">
        <v>0</v>
      </c>
      <c r="E7908">
        <v>0</v>
      </c>
      <c r="F7908">
        <v>-125.003</v>
      </c>
    </row>
    <row r="7909" spans="1:6" x14ac:dyDescent="0.25">
      <c r="A7909">
        <v>7908</v>
      </c>
      <c r="B7909">
        <v>45</v>
      </c>
      <c r="C7909">
        <v>0</v>
      </c>
      <c r="D7909">
        <v>0</v>
      </c>
      <c r="E7909">
        <v>0</v>
      </c>
      <c r="F7909">
        <v>531.05100000000004</v>
      </c>
    </row>
    <row r="7910" spans="1:6" x14ac:dyDescent="0.25">
      <c r="A7910">
        <v>7909</v>
      </c>
      <c r="B7910">
        <v>46</v>
      </c>
      <c r="C7910">
        <v>0</v>
      </c>
      <c r="D7910">
        <v>0</v>
      </c>
      <c r="E7910">
        <v>0</v>
      </c>
      <c r="F7910">
        <v>0</v>
      </c>
    </row>
    <row r="7911" spans="1:6" x14ac:dyDescent="0.25">
      <c r="A7911">
        <v>7910</v>
      </c>
      <c r="B7911" t="s">
        <v>0</v>
      </c>
      <c r="C7911">
        <v>17</v>
      </c>
      <c r="D7911">
        <v>3489</v>
      </c>
      <c r="E7911">
        <v>80227053</v>
      </c>
    </row>
    <row r="7912" spans="1:6" x14ac:dyDescent="0.25">
      <c r="A7912">
        <v>7911</v>
      </c>
      <c r="B7912">
        <v>10</v>
      </c>
      <c r="C7912">
        <v>1</v>
      </c>
      <c r="D7912">
        <v>0</v>
      </c>
      <c r="E7912">
        <v>0</v>
      </c>
      <c r="F7912">
        <v>3580</v>
      </c>
    </row>
    <row r="7913" spans="1:6" x14ac:dyDescent="0.25">
      <c r="A7913">
        <v>7912</v>
      </c>
      <c r="B7913" t="s">
        <v>0</v>
      </c>
      <c r="C7913">
        <v>18</v>
      </c>
      <c r="D7913">
        <v>3489</v>
      </c>
      <c r="E7913">
        <v>80227166</v>
      </c>
    </row>
    <row r="7914" spans="1:6" x14ac:dyDescent="0.25">
      <c r="A7914">
        <v>7913</v>
      </c>
      <c r="B7914">
        <v>13</v>
      </c>
      <c r="C7914">
        <v>0</v>
      </c>
      <c r="D7914">
        <v>0</v>
      </c>
      <c r="E7914">
        <v>0</v>
      </c>
      <c r="F7914">
        <v>1605</v>
      </c>
    </row>
    <row r="7915" spans="1:6" x14ac:dyDescent="0.25">
      <c r="A7915">
        <v>7914</v>
      </c>
      <c r="B7915">
        <v>41</v>
      </c>
      <c r="C7915">
        <v>0</v>
      </c>
      <c r="D7915">
        <v>0</v>
      </c>
      <c r="E7915">
        <v>0</v>
      </c>
      <c r="F7915">
        <v>1</v>
      </c>
    </row>
    <row r="7916" spans="1:6" x14ac:dyDescent="0.25">
      <c r="A7916">
        <v>7915</v>
      </c>
      <c r="B7916">
        <v>42</v>
      </c>
      <c r="C7916">
        <v>0</v>
      </c>
      <c r="D7916">
        <v>0</v>
      </c>
      <c r="E7916">
        <v>0</v>
      </c>
      <c r="F7916">
        <v>0.2</v>
      </c>
    </row>
    <row r="7917" spans="1:6" x14ac:dyDescent="0.25">
      <c r="A7917">
        <v>7916</v>
      </c>
      <c r="B7917" t="s">
        <v>0</v>
      </c>
      <c r="C7917">
        <v>20</v>
      </c>
      <c r="D7917">
        <v>3489</v>
      </c>
      <c r="E7917">
        <v>80227390</v>
      </c>
    </row>
    <row r="7918" spans="1:6" x14ac:dyDescent="0.25">
      <c r="A7918">
        <v>7917</v>
      </c>
      <c r="B7918">
        <v>44</v>
      </c>
      <c r="C7918">
        <v>0</v>
      </c>
      <c r="D7918">
        <v>0</v>
      </c>
      <c r="E7918">
        <v>0</v>
      </c>
      <c r="F7918">
        <v>-124.407</v>
      </c>
    </row>
    <row r="7919" spans="1:6" x14ac:dyDescent="0.25">
      <c r="A7919">
        <v>7918</v>
      </c>
      <c r="B7919" t="s">
        <v>0</v>
      </c>
      <c r="C7919">
        <v>21</v>
      </c>
      <c r="D7919">
        <v>3489</v>
      </c>
      <c r="E7919">
        <v>80227502</v>
      </c>
    </row>
    <row r="7920" spans="1:6" x14ac:dyDescent="0.25">
      <c r="A7920">
        <v>7919</v>
      </c>
      <c r="B7920">
        <v>45</v>
      </c>
      <c r="C7920">
        <v>0</v>
      </c>
      <c r="D7920">
        <v>0</v>
      </c>
      <c r="E7920">
        <v>0</v>
      </c>
      <c r="F7920">
        <v>530.95000000000005</v>
      </c>
    </row>
    <row r="7921" spans="1:6" x14ac:dyDescent="0.25">
      <c r="A7921">
        <v>7920</v>
      </c>
      <c r="B7921">
        <v>46</v>
      </c>
      <c r="C7921">
        <v>0</v>
      </c>
      <c r="D7921">
        <v>0</v>
      </c>
      <c r="E7921">
        <v>0</v>
      </c>
      <c r="F7921">
        <v>0</v>
      </c>
    </row>
    <row r="7922" spans="1:6" x14ac:dyDescent="0.25">
      <c r="A7922">
        <v>7921</v>
      </c>
      <c r="B7922">
        <v>2</v>
      </c>
      <c r="C7922">
        <v>0</v>
      </c>
      <c r="D7922">
        <v>0</v>
      </c>
      <c r="E7922">
        <v>0</v>
      </c>
      <c r="F7922">
        <v>296.73899999999998</v>
      </c>
    </row>
    <row r="7923" spans="1:6" x14ac:dyDescent="0.25">
      <c r="A7923">
        <v>7922</v>
      </c>
      <c r="B7923" t="s">
        <v>0</v>
      </c>
      <c r="C7923">
        <v>23</v>
      </c>
      <c r="D7923">
        <v>3489</v>
      </c>
      <c r="E7923">
        <v>80227728</v>
      </c>
    </row>
    <row r="7924" spans="1:6" x14ac:dyDescent="0.25">
      <c r="A7924">
        <v>7923</v>
      </c>
      <c r="B7924">
        <v>13</v>
      </c>
      <c r="C7924">
        <v>0</v>
      </c>
      <c r="D7924">
        <v>0</v>
      </c>
      <c r="E7924">
        <v>0</v>
      </c>
      <c r="F7924">
        <v>1605</v>
      </c>
    </row>
    <row r="7925" spans="1:6" x14ac:dyDescent="0.25">
      <c r="A7925">
        <v>7924</v>
      </c>
      <c r="B7925" t="s">
        <v>0</v>
      </c>
      <c r="C7925">
        <v>24</v>
      </c>
      <c r="D7925">
        <v>3489</v>
      </c>
      <c r="E7925">
        <v>80227841</v>
      </c>
    </row>
    <row r="7926" spans="1:6" x14ac:dyDescent="0.25">
      <c r="A7926">
        <v>7925</v>
      </c>
      <c r="B7926">
        <v>41</v>
      </c>
      <c r="C7926">
        <v>0</v>
      </c>
      <c r="D7926">
        <v>0</v>
      </c>
      <c r="E7926">
        <v>0</v>
      </c>
      <c r="F7926">
        <v>1</v>
      </c>
    </row>
    <row r="7927" spans="1:6" x14ac:dyDescent="0.25">
      <c r="A7927">
        <v>7926</v>
      </c>
      <c r="B7927">
        <v>42</v>
      </c>
      <c r="C7927">
        <v>0</v>
      </c>
      <c r="D7927">
        <v>0</v>
      </c>
      <c r="E7927">
        <v>0</v>
      </c>
      <c r="F7927">
        <v>0.2</v>
      </c>
    </row>
    <row r="7928" spans="1:6" x14ac:dyDescent="0.25">
      <c r="A7928">
        <v>7927</v>
      </c>
      <c r="B7928">
        <v>43</v>
      </c>
      <c r="C7928">
        <v>0</v>
      </c>
      <c r="D7928">
        <v>0</v>
      </c>
      <c r="E7928">
        <v>0</v>
      </c>
      <c r="F7928">
        <v>0</v>
      </c>
    </row>
    <row r="7929" spans="1:6" x14ac:dyDescent="0.25">
      <c r="A7929">
        <v>7928</v>
      </c>
      <c r="B7929" t="s">
        <v>0</v>
      </c>
      <c r="C7929">
        <v>26</v>
      </c>
      <c r="D7929">
        <v>3489</v>
      </c>
      <c r="E7929">
        <v>80228067</v>
      </c>
    </row>
    <row r="7930" spans="1:6" x14ac:dyDescent="0.25">
      <c r="A7930">
        <v>7929</v>
      </c>
      <c r="B7930">
        <v>45</v>
      </c>
      <c r="C7930">
        <v>0</v>
      </c>
      <c r="D7930">
        <v>0</v>
      </c>
      <c r="E7930">
        <v>0</v>
      </c>
      <c r="F7930">
        <v>530.86599999999999</v>
      </c>
    </row>
    <row r="7931" spans="1:6" x14ac:dyDescent="0.25">
      <c r="A7931">
        <v>7930</v>
      </c>
      <c r="B7931" t="s">
        <v>0</v>
      </c>
      <c r="C7931">
        <v>27</v>
      </c>
      <c r="D7931">
        <v>3489</v>
      </c>
      <c r="E7931">
        <v>80228179</v>
      </c>
    </row>
    <row r="7932" spans="1:6" x14ac:dyDescent="0.25">
      <c r="A7932">
        <v>7931</v>
      </c>
      <c r="B7932">
        <v>46</v>
      </c>
      <c r="C7932">
        <v>0</v>
      </c>
      <c r="D7932">
        <v>0</v>
      </c>
      <c r="E7932">
        <v>0</v>
      </c>
      <c r="F7932">
        <v>0</v>
      </c>
    </row>
    <row r="7933" spans="1:6" x14ac:dyDescent="0.25">
      <c r="A7933">
        <v>7932</v>
      </c>
      <c r="B7933">
        <v>2</v>
      </c>
      <c r="C7933">
        <v>0</v>
      </c>
      <c r="D7933">
        <v>0</v>
      </c>
      <c r="E7933">
        <v>0</v>
      </c>
      <c r="F7933">
        <v>296.30399999999997</v>
      </c>
    </row>
    <row r="7934" spans="1:6" x14ac:dyDescent="0.25">
      <c r="A7934">
        <v>7933</v>
      </c>
      <c r="B7934" t="s">
        <v>0</v>
      </c>
      <c r="C7934">
        <v>28</v>
      </c>
      <c r="D7934">
        <v>3489</v>
      </c>
      <c r="E7934">
        <v>80228291</v>
      </c>
    </row>
    <row r="7935" spans="1:6" x14ac:dyDescent="0.25">
      <c r="A7935">
        <v>7934</v>
      </c>
      <c r="B7935">
        <v>10</v>
      </c>
      <c r="C7935">
        <v>1</v>
      </c>
      <c r="D7935">
        <v>0</v>
      </c>
      <c r="E7935">
        <v>0</v>
      </c>
      <c r="F7935">
        <v>3596</v>
      </c>
    </row>
    <row r="7936" spans="1:6" x14ac:dyDescent="0.25">
      <c r="A7936">
        <v>7935</v>
      </c>
      <c r="B7936">
        <v>13</v>
      </c>
      <c r="C7936">
        <v>0</v>
      </c>
      <c r="D7936">
        <v>0</v>
      </c>
      <c r="E7936">
        <v>0</v>
      </c>
      <c r="F7936">
        <v>1605</v>
      </c>
    </row>
    <row r="7937" spans="1:6" x14ac:dyDescent="0.25">
      <c r="A7937">
        <v>7936</v>
      </c>
      <c r="B7937">
        <v>41</v>
      </c>
      <c r="C7937">
        <v>0</v>
      </c>
      <c r="D7937">
        <v>0</v>
      </c>
      <c r="E7937">
        <v>0</v>
      </c>
      <c r="F7937">
        <v>1</v>
      </c>
    </row>
    <row r="7938" spans="1:6" x14ac:dyDescent="0.25">
      <c r="A7938">
        <v>7937</v>
      </c>
      <c r="B7938" t="s">
        <v>0</v>
      </c>
      <c r="C7938">
        <v>30</v>
      </c>
      <c r="D7938">
        <v>3489</v>
      </c>
      <c r="E7938">
        <v>80228516</v>
      </c>
    </row>
    <row r="7939" spans="1:6" x14ac:dyDescent="0.25">
      <c r="A7939">
        <v>7938</v>
      </c>
      <c r="B7939">
        <v>43</v>
      </c>
      <c r="C7939">
        <v>0</v>
      </c>
      <c r="D7939">
        <v>0</v>
      </c>
      <c r="E7939">
        <v>0</v>
      </c>
      <c r="F7939">
        <v>0</v>
      </c>
    </row>
    <row r="7940" spans="1:6" x14ac:dyDescent="0.25">
      <c r="A7940">
        <v>7939</v>
      </c>
      <c r="B7940" t="s">
        <v>0</v>
      </c>
      <c r="C7940">
        <v>31</v>
      </c>
      <c r="D7940">
        <v>3489</v>
      </c>
      <c r="E7940">
        <v>80228628</v>
      </c>
    </row>
    <row r="7941" spans="1:6" x14ac:dyDescent="0.25">
      <c r="A7941">
        <v>7940</v>
      </c>
      <c r="B7941">
        <v>44</v>
      </c>
      <c r="C7941">
        <v>0</v>
      </c>
      <c r="D7941">
        <v>0</v>
      </c>
      <c r="E7941">
        <v>0</v>
      </c>
      <c r="F7941">
        <v>-123.09</v>
      </c>
    </row>
    <row r="7942" spans="1:6" x14ac:dyDescent="0.25">
      <c r="A7942">
        <v>7941</v>
      </c>
      <c r="B7942">
        <v>45</v>
      </c>
      <c r="C7942">
        <v>0</v>
      </c>
      <c r="D7942">
        <v>0</v>
      </c>
      <c r="E7942">
        <v>0</v>
      </c>
      <c r="F7942">
        <v>530.78200000000004</v>
      </c>
    </row>
    <row r="7943" spans="1:6" x14ac:dyDescent="0.25">
      <c r="A7943">
        <v>7942</v>
      </c>
      <c r="B7943">
        <v>46</v>
      </c>
      <c r="C7943">
        <v>0</v>
      </c>
      <c r="D7943">
        <v>0</v>
      </c>
      <c r="E7943">
        <v>0</v>
      </c>
      <c r="F7943">
        <v>0</v>
      </c>
    </row>
    <row r="7944" spans="1:6" x14ac:dyDescent="0.25">
      <c r="A7944">
        <v>7943</v>
      </c>
      <c r="B7944" t="s">
        <v>0</v>
      </c>
      <c r="C7944">
        <v>33</v>
      </c>
      <c r="D7944">
        <v>3489</v>
      </c>
      <c r="E7944">
        <v>80228853</v>
      </c>
    </row>
    <row r="7945" spans="1:6" x14ac:dyDescent="0.25">
      <c r="A7945">
        <v>7944</v>
      </c>
      <c r="B7945">
        <v>10</v>
      </c>
      <c r="C7945">
        <v>1</v>
      </c>
      <c r="D7945">
        <v>0</v>
      </c>
      <c r="E7945">
        <v>0</v>
      </c>
      <c r="F7945">
        <v>3605</v>
      </c>
    </row>
    <row r="7946" spans="1:6" x14ac:dyDescent="0.25">
      <c r="A7946">
        <v>7945</v>
      </c>
      <c r="B7946" t="s">
        <v>0</v>
      </c>
      <c r="C7946">
        <v>34</v>
      </c>
      <c r="D7946">
        <v>3489</v>
      </c>
      <c r="E7946">
        <v>80228966</v>
      </c>
    </row>
    <row r="7947" spans="1:6" x14ac:dyDescent="0.25">
      <c r="A7947">
        <v>7946</v>
      </c>
      <c r="B7947">
        <v>13</v>
      </c>
      <c r="C7947">
        <v>0</v>
      </c>
      <c r="D7947">
        <v>0</v>
      </c>
      <c r="E7947">
        <v>0</v>
      </c>
      <c r="F7947">
        <v>1605</v>
      </c>
    </row>
    <row r="7948" spans="1:6" x14ac:dyDescent="0.25">
      <c r="A7948">
        <v>7947</v>
      </c>
      <c r="B7948">
        <v>41</v>
      </c>
      <c r="C7948">
        <v>0</v>
      </c>
      <c r="D7948">
        <v>0</v>
      </c>
      <c r="E7948">
        <v>0</v>
      </c>
      <c r="F7948">
        <v>1</v>
      </c>
    </row>
    <row r="7949" spans="1:6" x14ac:dyDescent="0.25">
      <c r="A7949">
        <v>7948</v>
      </c>
      <c r="B7949">
        <v>42</v>
      </c>
      <c r="C7949">
        <v>0</v>
      </c>
      <c r="D7949">
        <v>0</v>
      </c>
      <c r="E7949">
        <v>0</v>
      </c>
      <c r="F7949">
        <v>0.2</v>
      </c>
    </row>
    <row r="7950" spans="1:6" x14ac:dyDescent="0.25">
      <c r="A7950">
        <v>7949</v>
      </c>
      <c r="B7950" t="s">
        <v>0</v>
      </c>
      <c r="C7950">
        <v>36</v>
      </c>
      <c r="D7950">
        <v>3489</v>
      </c>
      <c r="E7950">
        <v>80229192</v>
      </c>
    </row>
    <row r="7951" spans="1:6" x14ac:dyDescent="0.25">
      <c r="A7951">
        <v>7950</v>
      </c>
      <c r="B7951">
        <v>44</v>
      </c>
      <c r="C7951">
        <v>0</v>
      </c>
      <c r="D7951">
        <v>0</v>
      </c>
      <c r="E7951">
        <v>0</v>
      </c>
      <c r="F7951">
        <v>-122.515</v>
      </c>
    </row>
    <row r="7952" spans="1:6" x14ac:dyDescent="0.25">
      <c r="A7952">
        <v>7951</v>
      </c>
      <c r="B7952" t="s">
        <v>0</v>
      </c>
      <c r="C7952">
        <v>37</v>
      </c>
      <c r="D7952">
        <v>3489</v>
      </c>
      <c r="E7952">
        <v>80229305</v>
      </c>
    </row>
    <row r="7953" spans="1:6" x14ac:dyDescent="0.25">
      <c r="A7953">
        <v>7952</v>
      </c>
      <c r="B7953">
        <v>45</v>
      </c>
      <c r="C7953">
        <v>0</v>
      </c>
      <c r="D7953">
        <v>0</v>
      </c>
      <c r="E7953">
        <v>0</v>
      </c>
      <c r="F7953">
        <v>530.68200000000002</v>
      </c>
    </row>
    <row r="7954" spans="1:6" x14ac:dyDescent="0.25">
      <c r="A7954">
        <v>7953</v>
      </c>
      <c r="B7954">
        <v>46</v>
      </c>
      <c r="C7954">
        <v>0</v>
      </c>
      <c r="D7954">
        <v>0</v>
      </c>
      <c r="E7954">
        <v>0</v>
      </c>
      <c r="F7954">
        <v>0</v>
      </c>
    </row>
    <row r="7955" spans="1:6" x14ac:dyDescent="0.25">
      <c r="A7955">
        <v>7954</v>
      </c>
      <c r="B7955">
        <v>2</v>
      </c>
      <c r="C7955">
        <v>0</v>
      </c>
      <c r="D7955">
        <v>0</v>
      </c>
      <c r="E7955">
        <v>0</v>
      </c>
      <c r="F7955">
        <v>295.3</v>
      </c>
    </row>
    <row r="7956" spans="1:6" x14ac:dyDescent="0.25">
      <c r="A7956">
        <v>7955</v>
      </c>
      <c r="B7956" t="s">
        <v>0</v>
      </c>
      <c r="C7956">
        <v>39</v>
      </c>
      <c r="D7956">
        <v>3489</v>
      </c>
      <c r="E7956">
        <v>80229530</v>
      </c>
    </row>
    <row r="7957" spans="1:6" x14ac:dyDescent="0.25">
      <c r="A7957">
        <v>7956</v>
      </c>
      <c r="B7957">
        <v>13</v>
      </c>
      <c r="C7957">
        <v>0</v>
      </c>
      <c r="D7957">
        <v>0</v>
      </c>
      <c r="E7957">
        <v>0</v>
      </c>
      <c r="F7957">
        <v>1605</v>
      </c>
    </row>
    <row r="7958" spans="1:6" x14ac:dyDescent="0.25">
      <c r="A7958">
        <v>7957</v>
      </c>
      <c r="B7958" t="s">
        <v>0</v>
      </c>
      <c r="C7958">
        <v>40</v>
      </c>
      <c r="D7958">
        <v>3489</v>
      </c>
      <c r="E7958">
        <v>80229643</v>
      </c>
    </row>
    <row r="7959" spans="1:6" x14ac:dyDescent="0.25">
      <c r="A7959">
        <v>7958</v>
      </c>
      <c r="B7959">
        <v>41</v>
      </c>
      <c r="C7959">
        <v>0</v>
      </c>
      <c r="D7959">
        <v>0</v>
      </c>
      <c r="E7959">
        <v>0</v>
      </c>
      <c r="F7959">
        <v>1</v>
      </c>
    </row>
    <row r="7960" spans="1:6" x14ac:dyDescent="0.25">
      <c r="A7960">
        <v>7959</v>
      </c>
      <c r="B7960">
        <v>42</v>
      </c>
      <c r="C7960">
        <v>0</v>
      </c>
      <c r="D7960">
        <v>0</v>
      </c>
      <c r="E7960">
        <v>0</v>
      </c>
      <c r="F7960">
        <v>0.2</v>
      </c>
    </row>
    <row r="7961" spans="1:6" x14ac:dyDescent="0.25">
      <c r="A7961">
        <v>7960</v>
      </c>
      <c r="B7961">
        <v>43</v>
      </c>
      <c r="C7961">
        <v>0</v>
      </c>
      <c r="D7961">
        <v>0</v>
      </c>
      <c r="E7961">
        <v>0</v>
      </c>
      <c r="F7961">
        <v>0</v>
      </c>
    </row>
    <row r="7962" spans="1:6" x14ac:dyDescent="0.25">
      <c r="A7962">
        <v>7961</v>
      </c>
      <c r="B7962">
        <v>44</v>
      </c>
      <c r="C7962">
        <v>0</v>
      </c>
      <c r="D7962">
        <v>0</v>
      </c>
      <c r="E7962">
        <v>0</v>
      </c>
      <c r="F7962">
        <v>-121.935</v>
      </c>
    </row>
    <row r="7963" spans="1:6" x14ac:dyDescent="0.25">
      <c r="A7963">
        <v>7962</v>
      </c>
      <c r="B7963">
        <v>45</v>
      </c>
      <c r="C7963">
        <v>0</v>
      </c>
      <c r="D7963">
        <v>0</v>
      </c>
      <c r="E7963">
        <v>0</v>
      </c>
      <c r="F7963">
        <v>530.59900000000005</v>
      </c>
    </row>
    <row r="7964" spans="1:6" x14ac:dyDescent="0.25">
      <c r="A7964">
        <v>7963</v>
      </c>
      <c r="B7964" t="s">
        <v>0</v>
      </c>
      <c r="C7964">
        <v>43</v>
      </c>
      <c r="D7964">
        <v>3489</v>
      </c>
      <c r="E7964">
        <v>80229983</v>
      </c>
    </row>
    <row r="7965" spans="1:6" x14ac:dyDescent="0.25">
      <c r="A7965">
        <v>7964</v>
      </c>
      <c r="B7965">
        <v>2</v>
      </c>
      <c r="C7965">
        <v>0</v>
      </c>
      <c r="D7965">
        <v>0</v>
      </c>
      <c r="E7965">
        <v>0</v>
      </c>
      <c r="F7965">
        <v>294.88</v>
      </c>
    </row>
    <row r="7966" spans="1:6" x14ac:dyDescent="0.25">
      <c r="A7966">
        <v>7965</v>
      </c>
      <c r="B7966" t="s">
        <v>0</v>
      </c>
      <c r="C7966">
        <v>44</v>
      </c>
      <c r="D7966">
        <v>3489</v>
      </c>
      <c r="E7966">
        <v>80230096</v>
      </c>
    </row>
    <row r="7967" spans="1:6" x14ac:dyDescent="0.25">
      <c r="A7967">
        <v>7966</v>
      </c>
      <c r="B7967">
        <v>10</v>
      </c>
      <c r="C7967">
        <v>1</v>
      </c>
      <c r="D7967">
        <v>0</v>
      </c>
      <c r="E7967">
        <v>0</v>
      </c>
      <c r="F7967">
        <v>3621</v>
      </c>
    </row>
    <row r="7968" spans="1:6" x14ac:dyDescent="0.25">
      <c r="A7968">
        <v>7967</v>
      </c>
      <c r="B7968">
        <v>13</v>
      </c>
      <c r="C7968">
        <v>0</v>
      </c>
      <c r="D7968">
        <v>0</v>
      </c>
      <c r="E7968">
        <v>0</v>
      </c>
      <c r="F7968">
        <v>1605</v>
      </c>
    </row>
    <row r="7969" spans="1:6" x14ac:dyDescent="0.25">
      <c r="A7969">
        <v>7968</v>
      </c>
      <c r="B7969">
        <v>41</v>
      </c>
      <c r="C7969">
        <v>0</v>
      </c>
      <c r="D7969">
        <v>0</v>
      </c>
      <c r="E7969">
        <v>0</v>
      </c>
      <c r="F7969">
        <v>1</v>
      </c>
    </row>
    <row r="7970" spans="1:6" x14ac:dyDescent="0.25">
      <c r="A7970">
        <v>7969</v>
      </c>
      <c r="B7970" t="s">
        <v>0</v>
      </c>
      <c r="C7970">
        <v>46</v>
      </c>
      <c r="D7970">
        <v>3489</v>
      </c>
      <c r="E7970">
        <v>80230323</v>
      </c>
    </row>
    <row r="7971" spans="1:6" x14ac:dyDescent="0.25">
      <c r="A7971">
        <v>7970</v>
      </c>
      <c r="B7971">
        <v>43</v>
      </c>
      <c r="C7971">
        <v>0</v>
      </c>
      <c r="D7971">
        <v>0</v>
      </c>
      <c r="E7971">
        <v>0</v>
      </c>
      <c r="F7971">
        <v>0</v>
      </c>
    </row>
    <row r="7972" spans="1:6" x14ac:dyDescent="0.25">
      <c r="A7972">
        <v>7971</v>
      </c>
      <c r="B7972" t="s">
        <v>0</v>
      </c>
      <c r="C7972">
        <v>47</v>
      </c>
      <c r="D7972">
        <v>3489</v>
      </c>
      <c r="E7972">
        <v>80230437</v>
      </c>
    </row>
    <row r="7973" spans="1:6" x14ac:dyDescent="0.25">
      <c r="A7973">
        <v>7972</v>
      </c>
      <c r="B7973">
        <v>44</v>
      </c>
      <c r="C7973">
        <v>0</v>
      </c>
      <c r="D7973">
        <v>0</v>
      </c>
      <c r="E7973">
        <v>0</v>
      </c>
      <c r="F7973">
        <v>-121.24</v>
      </c>
    </row>
    <row r="7974" spans="1:6" x14ac:dyDescent="0.25">
      <c r="A7974">
        <v>7973</v>
      </c>
      <c r="B7974">
        <v>45</v>
      </c>
      <c r="C7974">
        <v>0</v>
      </c>
      <c r="D7974">
        <v>0</v>
      </c>
      <c r="E7974">
        <v>0</v>
      </c>
      <c r="F7974">
        <v>530.51599999999996</v>
      </c>
    </row>
    <row r="7975" spans="1:6" x14ac:dyDescent="0.25">
      <c r="A7975">
        <v>7974</v>
      </c>
      <c r="B7975">
        <v>46</v>
      </c>
      <c r="C7975">
        <v>0</v>
      </c>
      <c r="D7975">
        <v>0</v>
      </c>
      <c r="E7975">
        <v>0</v>
      </c>
      <c r="F7975">
        <v>0</v>
      </c>
    </row>
    <row r="7976" spans="1:6" x14ac:dyDescent="0.25">
      <c r="A7976">
        <v>7975</v>
      </c>
      <c r="B7976" t="s">
        <v>0</v>
      </c>
      <c r="C7976">
        <v>49</v>
      </c>
      <c r="D7976">
        <v>3489</v>
      </c>
      <c r="E7976">
        <v>80230664</v>
      </c>
    </row>
    <row r="7977" spans="1:6" x14ac:dyDescent="0.25">
      <c r="A7977">
        <v>7976</v>
      </c>
      <c r="B7977">
        <v>10</v>
      </c>
      <c r="C7977">
        <v>1</v>
      </c>
      <c r="D7977">
        <v>0</v>
      </c>
      <c r="E7977">
        <v>0</v>
      </c>
      <c r="F7977">
        <v>3630</v>
      </c>
    </row>
    <row r="7978" spans="1:6" x14ac:dyDescent="0.25">
      <c r="A7978">
        <v>7977</v>
      </c>
      <c r="B7978" t="s">
        <v>0</v>
      </c>
      <c r="C7978">
        <v>50</v>
      </c>
      <c r="D7978">
        <v>3489</v>
      </c>
      <c r="E7978">
        <v>80230777</v>
      </c>
    </row>
    <row r="7979" spans="1:6" x14ac:dyDescent="0.25">
      <c r="A7979">
        <v>7978</v>
      </c>
      <c r="B7979">
        <v>13</v>
      </c>
      <c r="C7979">
        <v>0</v>
      </c>
      <c r="D7979">
        <v>0</v>
      </c>
      <c r="E7979">
        <v>0</v>
      </c>
      <c r="F7979">
        <v>1605</v>
      </c>
    </row>
    <row r="7980" spans="1:6" x14ac:dyDescent="0.25">
      <c r="A7980">
        <v>7979</v>
      </c>
      <c r="B7980">
        <v>41</v>
      </c>
      <c r="C7980">
        <v>0</v>
      </c>
      <c r="D7980">
        <v>0</v>
      </c>
      <c r="E7980">
        <v>0</v>
      </c>
      <c r="F7980">
        <v>1</v>
      </c>
    </row>
    <row r="7981" spans="1:6" x14ac:dyDescent="0.25">
      <c r="A7981">
        <v>7980</v>
      </c>
      <c r="B7981">
        <v>42</v>
      </c>
      <c r="C7981">
        <v>0</v>
      </c>
      <c r="D7981">
        <v>0</v>
      </c>
      <c r="E7981">
        <v>0</v>
      </c>
      <c r="F7981">
        <v>0.2</v>
      </c>
    </row>
    <row r="7982" spans="1:6" x14ac:dyDescent="0.25">
      <c r="A7982">
        <v>7981</v>
      </c>
      <c r="B7982" t="s">
        <v>0</v>
      </c>
      <c r="C7982">
        <v>52</v>
      </c>
      <c r="D7982">
        <v>3489</v>
      </c>
      <c r="E7982">
        <v>80231003</v>
      </c>
    </row>
    <row r="7983" spans="1:6" x14ac:dyDescent="0.25">
      <c r="A7983">
        <v>7982</v>
      </c>
      <c r="B7983">
        <v>44</v>
      </c>
      <c r="C7983">
        <v>0</v>
      </c>
      <c r="D7983">
        <v>0</v>
      </c>
      <c r="E7983">
        <v>0</v>
      </c>
      <c r="F7983">
        <v>-120.666</v>
      </c>
    </row>
    <row r="7984" spans="1:6" x14ac:dyDescent="0.25">
      <c r="A7984">
        <v>7983</v>
      </c>
      <c r="B7984" t="s">
        <v>0</v>
      </c>
      <c r="C7984">
        <v>53</v>
      </c>
      <c r="D7984">
        <v>3489</v>
      </c>
      <c r="E7984">
        <v>80231117</v>
      </c>
    </row>
    <row r="7985" spans="1:6" x14ac:dyDescent="0.25">
      <c r="A7985">
        <v>7984</v>
      </c>
      <c r="B7985">
        <v>46</v>
      </c>
      <c r="C7985">
        <v>0</v>
      </c>
      <c r="D7985">
        <v>0</v>
      </c>
      <c r="E7985">
        <v>0</v>
      </c>
      <c r="F7985">
        <v>0</v>
      </c>
    </row>
    <row r="7986" spans="1:6" x14ac:dyDescent="0.25">
      <c r="A7986">
        <v>7985</v>
      </c>
      <c r="B7986" t="s">
        <v>0</v>
      </c>
      <c r="C7986">
        <v>54</v>
      </c>
      <c r="D7986">
        <v>3489</v>
      </c>
      <c r="E7986">
        <v>80231231</v>
      </c>
    </row>
    <row r="7987" spans="1:6" x14ac:dyDescent="0.25">
      <c r="A7987">
        <v>7986</v>
      </c>
      <c r="B7987">
        <v>2</v>
      </c>
      <c r="C7987">
        <v>0</v>
      </c>
      <c r="D7987">
        <v>0</v>
      </c>
      <c r="E7987">
        <v>0</v>
      </c>
      <c r="F7987">
        <v>293.928</v>
      </c>
    </row>
    <row r="7988" spans="1:6" x14ac:dyDescent="0.25">
      <c r="A7988">
        <v>7987</v>
      </c>
      <c r="B7988">
        <v>10</v>
      </c>
      <c r="C7988">
        <v>1</v>
      </c>
      <c r="D7988">
        <v>0</v>
      </c>
      <c r="E7988">
        <v>0</v>
      </c>
      <c r="F7988">
        <v>3638</v>
      </c>
    </row>
    <row r="7989" spans="1:6" x14ac:dyDescent="0.25">
      <c r="A7989">
        <v>7988</v>
      </c>
      <c r="B7989">
        <v>13</v>
      </c>
      <c r="C7989">
        <v>0</v>
      </c>
      <c r="D7989">
        <v>0</v>
      </c>
      <c r="E7989">
        <v>0</v>
      </c>
      <c r="F7989">
        <v>1605</v>
      </c>
    </row>
    <row r="7990" spans="1:6" x14ac:dyDescent="0.25">
      <c r="A7990">
        <v>7989</v>
      </c>
      <c r="B7990" t="s">
        <v>0</v>
      </c>
      <c r="C7990">
        <v>56</v>
      </c>
      <c r="D7990">
        <v>3489</v>
      </c>
      <c r="E7990">
        <v>80231459</v>
      </c>
    </row>
    <row r="7991" spans="1:6" x14ac:dyDescent="0.25">
      <c r="A7991">
        <v>7990</v>
      </c>
      <c r="B7991">
        <v>42</v>
      </c>
      <c r="C7991">
        <v>0</v>
      </c>
      <c r="D7991">
        <v>0</v>
      </c>
      <c r="E7991">
        <v>0</v>
      </c>
      <c r="F7991">
        <v>0.2</v>
      </c>
    </row>
    <row r="7992" spans="1:6" x14ac:dyDescent="0.25">
      <c r="A7992">
        <v>7991</v>
      </c>
      <c r="B7992" t="s">
        <v>0</v>
      </c>
      <c r="C7992">
        <v>57</v>
      </c>
      <c r="D7992">
        <v>3489</v>
      </c>
      <c r="E7992">
        <v>80231573</v>
      </c>
    </row>
    <row r="7993" spans="1:6" x14ac:dyDescent="0.25">
      <c r="A7993">
        <v>7992</v>
      </c>
      <c r="B7993">
        <v>43</v>
      </c>
      <c r="C7993">
        <v>0</v>
      </c>
      <c r="D7993">
        <v>0</v>
      </c>
      <c r="E7993">
        <v>0</v>
      </c>
      <c r="F7993">
        <v>0</v>
      </c>
    </row>
    <row r="7994" spans="1:6" x14ac:dyDescent="0.25">
      <c r="A7994">
        <v>7993</v>
      </c>
      <c r="B7994">
        <v>44</v>
      </c>
      <c r="C7994">
        <v>0</v>
      </c>
      <c r="D7994">
        <v>0</v>
      </c>
      <c r="E7994">
        <v>0</v>
      </c>
      <c r="F7994">
        <v>-120.111</v>
      </c>
    </row>
    <row r="7995" spans="1:6" x14ac:dyDescent="0.25">
      <c r="A7995">
        <v>7994</v>
      </c>
      <c r="B7995">
        <v>45</v>
      </c>
      <c r="C7995">
        <v>0</v>
      </c>
      <c r="D7995">
        <v>0</v>
      </c>
      <c r="E7995">
        <v>0</v>
      </c>
      <c r="F7995">
        <v>530.33500000000004</v>
      </c>
    </row>
    <row r="7996" spans="1:6" x14ac:dyDescent="0.25">
      <c r="A7996">
        <v>7995</v>
      </c>
      <c r="B7996" t="s">
        <v>0</v>
      </c>
      <c r="C7996">
        <v>59</v>
      </c>
      <c r="D7996">
        <v>3489</v>
      </c>
      <c r="E7996">
        <v>80231800</v>
      </c>
    </row>
    <row r="7997" spans="1:6" x14ac:dyDescent="0.25">
      <c r="A7997">
        <v>7996</v>
      </c>
      <c r="B7997">
        <v>2</v>
      </c>
      <c r="C7997">
        <v>0</v>
      </c>
      <c r="D7997">
        <v>0</v>
      </c>
      <c r="E7997">
        <v>0</v>
      </c>
      <c r="F7997">
        <v>293.50099999999998</v>
      </c>
    </row>
    <row r="7998" spans="1:6" x14ac:dyDescent="0.25">
      <c r="A7998">
        <v>7997</v>
      </c>
      <c r="B7998" t="s">
        <v>0</v>
      </c>
      <c r="C7998">
        <v>60</v>
      </c>
      <c r="D7998">
        <v>3489</v>
      </c>
      <c r="E7998">
        <v>80231914</v>
      </c>
    </row>
    <row r="7999" spans="1:6" x14ac:dyDescent="0.25">
      <c r="A7999">
        <v>7998</v>
      </c>
      <c r="B7999">
        <v>10</v>
      </c>
      <c r="C7999">
        <v>1</v>
      </c>
      <c r="D7999">
        <v>0</v>
      </c>
      <c r="E7999">
        <v>0</v>
      </c>
      <c r="F7999">
        <v>3645</v>
      </c>
    </row>
    <row r="8000" spans="1:6" x14ac:dyDescent="0.25">
      <c r="A8000">
        <v>7999</v>
      </c>
      <c r="B8000">
        <v>13</v>
      </c>
      <c r="C8000">
        <v>0</v>
      </c>
      <c r="D8000">
        <v>0</v>
      </c>
      <c r="E8000">
        <v>0</v>
      </c>
      <c r="F8000">
        <v>1605</v>
      </c>
    </row>
    <row r="8001" spans="1:6" x14ac:dyDescent="0.25">
      <c r="A8001">
        <v>8000</v>
      </c>
      <c r="B8001">
        <v>41</v>
      </c>
      <c r="C8001">
        <v>0</v>
      </c>
      <c r="D8001">
        <v>0</v>
      </c>
      <c r="E8001">
        <v>0</v>
      </c>
      <c r="F8001">
        <v>1</v>
      </c>
    </row>
    <row r="8002" spans="1:6" x14ac:dyDescent="0.25">
      <c r="A8002">
        <v>8001</v>
      </c>
      <c r="B8002">
        <v>42</v>
      </c>
      <c r="C8002">
        <v>0</v>
      </c>
      <c r="D8002">
        <v>0</v>
      </c>
      <c r="E8002">
        <v>0</v>
      </c>
      <c r="F8002">
        <v>0.2</v>
      </c>
    </row>
    <row r="8003" spans="1:6" x14ac:dyDescent="0.25">
      <c r="A8003">
        <v>8002</v>
      </c>
      <c r="B8003">
        <v>43</v>
      </c>
      <c r="C8003">
        <v>0</v>
      </c>
      <c r="D8003">
        <v>0</v>
      </c>
      <c r="E8003">
        <v>0</v>
      </c>
      <c r="F8003">
        <v>0</v>
      </c>
    </row>
    <row r="8004" spans="1:6" x14ac:dyDescent="0.25">
      <c r="A8004">
        <v>8003</v>
      </c>
      <c r="B8004" t="s">
        <v>0</v>
      </c>
      <c r="C8004">
        <v>63</v>
      </c>
      <c r="D8004">
        <v>3489</v>
      </c>
      <c r="E8004">
        <v>80232255</v>
      </c>
    </row>
    <row r="8005" spans="1:6" x14ac:dyDescent="0.25">
      <c r="A8005">
        <v>8004</v>
      </c>
      <c r="B8005">
        <v>45</v>
      </c>
      <c r="C8005">
        <v>0</v>
      </c>
      <c r="D8005">
        <v>0</v>
      </c>
      <c r="E8005">
        <v>0</v>
      </c>
      <c r="F8005">
        <v>530.25300000000004</v>
      </c>
    </row>
    <row r="8006" spans="1:6" x14ac:dyDescent="0.25">
      <c r="A8006">
        <v>8005</v>
      </c>
      <c r="B8006" t="s">
        <v>0</v>
      </c>
      <c r="C8006">
        <v>64</v>
      </c>
      <c r="D8006">
        <v>3489</v>
      </c>
      <c r="E8006">
        <v>80232368</v>
      </c>
    </row>
    <row r="8007" spans="1:6" x14ac:dyDescent="0.25">
      <c r="A8007">
        <v>8006</v>
      </c>
      <c r="B8007">
        <v>46</v>
      </c>
      <c r="C8007">
        <v>0</v>
      </c>
      <c r="D8007">
        <v>0</v>
      </c>
      <c r="E8007">
        <v>0</v>
      </c>
      <c r="F8007">
        <v>0</v>
      </c>
    </row>
    <row r="8008" spans="1:6" x14ac:dyDescent="0.25">
      <c r="A8008">
        <v>8007</v>
      </c>
      <c r="B8008">
        <v>2</v>
      </c>
      <c r="C8008">
        <v>0</v>
      </c>
      <c r="D8008">
        <v>0</v>
      </c>
      <c r="E8008">
        <v>0</v>
      </c>
      <c r="F8008">
        <v>293.08</v>
      </c>
    </row>
    <row r="8009" spans="1:6" x14ac:dyDescent="0.25">
      <c r="A8009">
        <v>8008</v>
      </c>
      <c r="B8009">
        <v>10</v>
      </c>
      <c r="C8009">
        <v>1</v>
      </c>
      <c r="D8009">
        <v>0</v>
      </c>
      <c r="E8009">
        <v>0</v>
      </c>
      <c r="F8009">
        <v>3653</v>
      </c>
    </row>
    <row r="8010" spans="1:6" x14ac:dyDescent="0.25">
      <c r="A8010">
        <v>8009</v>
      </c>
      <c r="B8010" t="s">
        <v>0</v>
      </c>
      <c r="C8010">
        <v>66</v>
      </c>
      <c r="D8010">
        <v>3489</v>
      </c>
      <c r="E8010">
        <v>80232596</v>
      </c>
    </row>
    <row r="8011" spans="1:6" x14ac:dyDescent="0.25">
      <c r="A8011">
        <v>8010</v>
      </c>
      <c r="B8011">
        <v>41</v>
      </c>
      <c r="C8011">
        <v>0</v>
      </c>
      <c r="D8011">
        <v>0</v>
      </c>
      <c r="E8011">
        <v>0</v>
      </c>
      <c r="F8011">
        <v>1</v>
      </c>
    </row>
    <row r="8012" spans="1:6" x14ac:dyDescent="0.25">
      <c r="A8012">
        <v>8011</v>
      </c>
      <c r="B8012" t="s">
        <v>0</v>
      </c>
      <c r="C8012">
        <v>67</v>
      </c>
      <c r="D8012">
        <v>3489</v>
      </c>
      <c r="E8012">
        <v>80232710</v>
      </c>
    </row>
    <row r="8013" spans="1:6" x14ac:dyDescent="0.25">
      <c r="A8013">
        <v>8012</v>
      </c>
      <c r="B8013">
        <v>42</v>
      </c>
      <c r="C8013">
        <v>0</v>
      </c>
      <c r="D8013">
        <v>0</v>
      </c>
      <c r="E8013">
        <v>0</v>
      </c>
      <c r="F8013">
        <v>0.2</v>
      </c>
    </row>
    <row r="8014" spans="1:6" x14ac:dyDescent="0.25">
      <c r="A8014">
        <v>8013</v>
      </c>
      <c r="B8014">
        <v>43</v>
      </c>
      <c r="C8014">
        <v>0</v>
      </c>
      <c r="D8014">
        <v>0</v>
      </c>
      <c r="E8014">
        <v>0</v>
      </c>
      <c r="F8014">
        <v>0</v>
      </c>
    </row>
    <row r="8015" spans="1:6" x14ac:dyDescent="0.25">
      <c r="A8015">
        <v>8014</v>
      </c>
      <c r="B8015">
        <v>44</v>
      </c>
      <c r="C8015">
        <v>0</v>
      </c>
      <c r="D8015">
        <v>0</v>
      </c>
      <c r="E8015">
        <v>0</v>
      </c>
      <c r="F8015">
        <v>-118.83199999999999</v>
      </c>
    </row>
    <row r="8016" spans="1:6" x14ac:dyDescent="0.25">
      <c r="A8016">
        <v>8015</v>
      </c>
      <c r="B8016">
        <v>45</v>
      </c>
      <c r="C8016">
        <v>0</v>
      </c>
      <c r="D8016">
        <v>0</v>
      </c>
      <c r="E8016">
        <v>0</v>
      </c>
      <c r="F8016">
        <v>530.17100000000005</v>
      </c>
    </row>
    <row r="8017" spans="1:6" x14ac:dyDescent="0.25">
      <c r="A8017">
        <v>8016</v>
      </c>
      <c r="B8017">
        <v>46</v>
      </c>
      <c r="C8017">
        <v>0</v>
      </c>
      <c r="D8017">
        <v>0</v>
      </c>
      <c r="E8017">
        <v>0</v>
      </c>
      <c r="F8017">
        <v>0</v>
      </c>
    </row>
    <row r="8018" spans="1:6" x14ac:dyDescent="0.25">
      <c r="A8018">
        <v>8017</v>
      </c>
      <c r="B8018" t="s">
        <v>0</v>
      </c>
      <c r="C8018">
        <v>70</v>
      </c>
      <c r="D8018">
        <v>3489</v>
      </c>
      <c r="E8018">
        <v>80233052</v>
      </c>
    </row>
    <row r="8019" spans="1:6" x14ac:dyDescent="0.25">
      <c r="A8019">
        <v>8018</v>
      </c>
      <c r="B8019">
        <v>10</v>
      </c>
      <c r="C8019">
        <v>1</v>
      </c>
      <c r="D8019">
        <v>0</v>
      </c>
      <c r="E8019">
        <v>0</v>
      </c>
      <c r="F8019">
        <v>3662</v>
      </c>
    </row>
    <row r="8020" spans="1:6" x14ac:dyDescent="0.25">
      <c r="A8020">
        <v>8019</v>
      </c>
      <c r="B8020" t="s">
        <v>0</v>
      </c>
      <c r="C8020">
        <v>71</v>
      </c>
      <c r="D8020">
        <v>3489</v>
      </c>
      <c r="E8020">
        <v>80233167</v>
      </c>
    </row>
    <row r="8021" spans="1:6" x14ac:dyDescent="0.25">
      <c r="A8021">
        <v>8020</v>
      </c>
      <c r="B8021">
        <v>13</v>
      </c>
      <c r="C8021">
        <v>0</v>
      </c>
      <c r="D8021">
        <v>0</v>
      </c>
      <c r="E8021">
        <v>0</v>
      </c>
      <c r="F8021">
        <v>1605</v>
      </c>
    </row>
    <row r="8022" spans="1:6" x14ac:dyDescent="0.25">
      <c r="A8022">
        <v>8021</v>
      </c>
      <c r="B8022">
        <v>41</v>
      </c>
      <c r="C8022">
        <v>0</v>
      </c>
      <c r="D8022">
        <v>0</v>
      </c>
      <c r="E8022">
        <v>0</v>
      </c>
      <c r="F8022">
        <v>1</v>
      </c>
    </row>
    <row r="8023" spans="1:6" x14ac:dyDescent="0.25">
      <c r="A8023">
        <v>8022</v>
      </c>
      <c r="B8023">
        <v>42</v>
      </c>
      <c r="C8023">
        <v>0</v>
      </c>
      <c r="D8023">
        <v>0</v>
      </c>
      <c r="E8023">
        <v>0</v>
      </c>
      <c r="F8023">
        <v>0.2</v>
      </c>
    </row>
    <row r="8024" spans="1:6" x14ac:dyDescent="0.25">
      <c r="A8024">
        <v>8023</v>
      </c>
      <c r="B8024" t="s">
        <v>0</v>
      </c>
      <c r="C8024">
        <v>73</v>
      </c>
      <c r="D8024">
        <v>3489</v>
      </c>
      <c r="E8024">
        <v>80233395</v>
      </c>
    </row>
    <row r="8025" spans="1:6" x14ac:dyDescent="0.25">
      <c r="A8025">
        <v>8024</v>
      </c>
      <c r="B8025">
        <v>44</v>
      </c>
      <c r="C8025">
        <v>0</v>
      </c>
      <c r="D8025">
        <v>0</v>
      </c>
      <c r="E8025">
        <v>0</v>
      </c>
      <c r="F8025">
        <v>-118.27500000000001</v>
      </c>
    </row>
    <row r="8026" spans="1:6" x14ac:dyDescent="0.25">
      <c r="A8026">
        <v>8025</v>
      </c>
      <c r="B8026" t="s">
        <v>0</v>
      </c>
      <c r="C8026">
        <v>74</v>
      </c>
      <c r="D8026">
        <v>3489</v>
      </c>
      <c r="E8026">
        <v>80233509</v>
      </c>
    </row>
    <row r="8027" spans="1:6" x14ac:dyDescent="0.25">
      <c r="A8027">
        <v>8026</v>
      </c>
      <c r="B8027">
        <v>45</v>
      </c>
      <c r="C8027">
        <v>0</v>
      </c>
      <c r="D8027">
        <v>0</v>
      </c>
      <c r="E8027">
        <v>0</v>
      </c>
      <c r="F8027">
        <v>530.07299999999998</v>
      </c>
    </row>
    <row r="8028" spans="1:6" x14ac:dyDescent="0.25">
      <c r="A8028">
        <v>8027</v>
      </c>
      <c r="B8028">
        <v>46</v>
      </c>
      <c r="C8028">
        <v>0</v>
      </c>
      <c r="D8028">
        <v>0</v>
      </c>
      <c r="E8028">
        <v>0</v>
      </c>
      <c r="F8028">
        <v>0</v>
      </c>
    </row>
    <row r="8029" spans="1:6" x14ac:dyDescent="0.25">
      <c r="A8029">
        <v>8028</v>
      </c>
      <c r="B8029">
        <v>2</v>
      </c>
      <c r="C8029">
        <v>0</v>
      </c>
      <c r="D8029">
        <v>0</v>
      </c>
      <c r="E8029">
        <v>0</v>
      </c>
      <c r="F8029">
        <v>292.137</v>
      </c>
    </row>
    <row r="8030" spans="1:6" x14ac:dyDescent="0.25">
      <c r="A8030">
        <v>8029</v>
      </c>
      <c r="B8030">
        <v>10</v>
      </c>
      <c r="C8030">
        <v>1</v>
      </c>
      <c r="D8030">
        <v>0</v>
      </c>
      <c r="E8030">
        <v>0</v>
      </c>
      <c r="F8030">
        <v>3670</v>
      </c>
    </row>
    <row r="8031" spans="1:6" x14ac:dyDescent="0.25">
      <c r="A8031">
        <v>8030</v>
      </c>
      <c r="B8031">
        <v>13</v>
      </c>
      <c r="C8031">
        <v>0</v>
      </c>
      <c r="D8031">
        <v>0</v>
      </c>
      <c r="E8031">
        <v>0</v>
      </c>
      <c r="F8031">
        <v>1605</v>
      </c>
    </row>
    <row r="8032" spans="1:6" x14ac:dyDescent="0.25">
      <c r="A8032">
        <v>8031</v>
      </c>
      <c r="B8032" t="s">
        <v>0</v>
      </c>
      <c r="C8032">
        <v>77</v>
      </c>
      <c r="D8032">
        <v>3489</v>
      </c>
      <c r="E8032">
        <v>80233852</v>
      </c>
    </row>
    <row r="8033" spans="1:6" x14ac:dyDescent="0.25">
      <c r="A8033">
        <v>8032</v>
      </c>
      <c r="B8033">
        <v>42</v>
      </c>
      <c r="C8033">
        <v>0</v>
      </c>
      <c r="D8033">
        <v>0</v>
      </c>
      <c r="E8033">
        <v>0</v>
      </c>
      <c r="F8033">
        <v>0.2</v>
      </c>
    </row>
    <row r="8034" spans="1:6" x14ac:dyDescent="0.25">
      <c r="A8034">
        <v>8033</v>
      </c>
      <c r="B8034" t="s">
        <v>0</v>
      </c>
      <c r="C8034">
        <v>78</v>
      </c>
      <c r="D8034">
        <v>3489</v>
      </c>
      <c r="E8034">
        <v>80233966</v>
      </c>
    </row>
    <row r="8035" spans="1:6" x14ac:dyDescent="0.25">
      <c r="A8035">
        <v>8034</v>
      </c>
      <c r="B8035">
        <v>43</v>
      </c>
      <c r="C8035">
        <v>0</v>
      </c>
      <c r="D8035">
        <v>0</v>
      </c>
      <c r="E8035">
        <v>0</v>
      </c>
      <c r="F8035">
        <v>0</v>
      </c>
    </row>
    <row r="8036" spans="1:6" x14ac:dyDescent="0.25">
      <c r="A8036">
        <v>8035</v>
      </c>
      <c r="B8036">
        <v>44</v>
      </c>
      <c r="C8036">
        <v>0</v>
      </c>
      <c r="D8036">
        <v>0</v>
      </c>
      <c r="E8036">
        <v>0</v>
      </c>
      <c r="F8036">
        <v>-117.69799999999999</v>
      </c>
    </row>
    <row r="8037" spans="1:6" x14ac:dyDescent="0.25">
      <c r="A8037">
        <v>8036</v>
      </c>
      <c r="B8037">
        <v>45</v>
      </c>
      <c r="C8037">
        <v>0</v>
      </c>
      <c r="D8037">
        <v>0</v>
      </c>
      <c r="E8037">
        <v>0</v>
      </c>
      <c r="F8037">
        <v>529.99199999999996</v>
      </c>
    </row>
    <row r="8038" spans="1:6" x14ac:dyDescent="0.25">
      <c r="A8038">
        <v>8037</v>
      </c>
      <c r="B8038" t="s">
        <v>0</v>
      </c>
      <c r="C8038">
        <v>80</v>
      </c>
      <c r="D8038">
        <v>3489</v>
      </c>
      <c r="E8038">
        <v>80234194</v>
      </c>
    </row>
    <row r="8039" spans="1:6" x14ac:dyDescent="0.25">
      <c r="A8039">
        <v>8038</v>
      </c>
      <c r="B8039">
        <v>2</v>
      </c>
      <c r="C8039">
        <v>0</v>
      </c>
      <c r="D8039">
        <v>0</v>
      </c>
      <c r="E8039">
        <v>0</v>
      </c>
      <c r="F8039">
        <v>291.70499999999998</v>
      </c>
    </row>
    <row r="8040" spans="1:6" x14ac:dyDescent="0.25">
      <c r="A8040">
        <v>8039</v>
      </c>
      <c r="B8040" t="s">
        <v>0</v>
      </c>
      <c r="C8040">
        <v>81</v>
      </c>
      <c r="D8040">
        <v>3489</v>
      </c>
      <c r="E8040">
        <v>80234308</v>
      </c>
    </row>
    <row r="8041" spans="1:6" x14ac:dyDescent="0.25">
      <c r="A8041">
        <v>8040</v>
      </c>
      <c r="B8041">
        <v>10</v>
      </c>
      <c r="C8041">
        <v>1</v>
      </c>
      <c r="D8041">
        <v>0</v>
      </c>
      <c r="E8041">
        <v>0</v>
      </c>
      <c r="F8041">
        <v>3678</v>
      </c>
    </row>
    <row r="8042" spans="1:6" x14ac:dyDescent="0.25">
      <c r="A8042">
        <v>8041</v>
      </c>
      <c r="B8042">
        <v>13</v>
      </c>
      <c r="C8042">
        <v>0</v>
      </c>
      <c r="D8042">
        <v>0</v>
      </c>
      <c r="E8042">
        <v>0</v>
      </c>
      <c r="F8042">
        <v>1605</v>
      </c>
    </row>
    <row r="8043" spans="1:6" x14ac:dyDescent="0.25">
      <c r="A8043">
        <v>8042</v>
      </c>
      <c r="B8043">
        <v>41</v>
      </c>
      <c r="C8043">
        <v>0</v>
      </c>
      <c r="D8043">
        <v>0</v>
      </c>
      <c r="E8043">
        <v>0</v>
      </c>
      <c r="F8043">
        <v>1</v>
      </c>
    </row>
    <row r="8044" spans="1:6" x14ac:dyDescent="0.25">
      <c r="A8044">
        <v>8043</v>
      </c>
      <c r="B8044">
        <v>42</v>
      </c>
      <c r="C8044">
        <v>0</v>
      </c>
      <c r="D8044">
        <v>0</v>
      </c>
      <c r="E8044">
        <v>0</v>
      </c>
      <c r="F8044">
        <v>0.2</v>
      </c>
    </row>
    <row r="8045" spans="1:6" x14ac:dyDescent="0.25">
      <c r="A8045">
        <v>8044</v>
      </c>
      <c r="B8045">
        <v>43</v>
      </c>
      <c r="C8045">
        <v>0</v>
      </c>
      <c r="D8045">
        <v>0</v>
      </c>
      <c r="E8045">
        <v>0</v>
      </c>
      <c r="F8045">
        <v>0</v>
      </c>
    </row>
    <row r="8046" spans="1:6" x14ac:dyDescent="0.25">
      <c r="A8046">
        <v>8045</v>
      </c>
      <c r="B8046" t="s">
        <v>0</v>
      </c>
      <c r="C8046">
        <v>84</v>
      </c>
      <c r="D8046">
        <v>3489</v>
      </c>
      <c r="E8046">
        <v>80234650</v>
      </c>
    </row>
    <row r="8047" spans="1:6" x14ac:dyDescent="0.25">
      <c r="A8047">
        <v>8046</v>
      </c>
      <c r="B8047">
        <v>45</v>
      </c>
      <c r="C8047">
        <v>0</v>
      </c>
      <c r="D8047">
        <v>0</v>
      </c>
      <c r="E8047">
        <v>0</v>
      </c>
      <c r="F8047">
        <v>529.91099999999994</v>
      </c>
    </row>
    <row r="8048" spans="1:6" x14ac:dyDescent="0.25">
      <c r="A8048">
        <v>8047</v>
      </c>
      <c r="B8048" t="s">
        <v>0</v>
      </c>
      <c r="C8048">
        <v>85</v>
      </c>
      <c r="D8048">
        <v>3489</v>
      </c>
      <c r="E8048">
        <v>80234765</v>
      </c>
    </row>
    <row r="8049" spans="1:6" x14ac:dyDescent="0.25">
      <c r="A8049">
        <v>8048</v>
      </c>
      <c r="B8049">
        <v>46</v>
      </c>
      <c r="C8049">
        <v>0</v>
      </c>
      <c r="D8049">
        <v>0</v>
      </c>
      <c r="E8049">
        <v>0</v>
      </c>
      <c r="F8049">
        <v>0</v>
      </c>
    </row>
    <row r="8050" spans="1:6" x14ac:dyDescent="0.25">
      <c r="A8050">
        <v>8049</v>
      </c>
      <c r="B8050">
        <v>2</v>
      </c>
      <c r="C8050">
        <v>0</v>
      </c>
      <c r="D8050">
        <v>0</v>
      </c>
      <c r="E8050">
        <v>0</v>
      </c>
      <c r="F8050">
        <v>291.27600000000001</v>
      </c>
    </row>
    <row r="8051" spans="1:6" x14ac:dyDescent="0.25">
      <c r="A8051">
        <v>8050</v>
      </c>
      <c r="B8051">
        <v>10</v>
      </c>
      <c r="C8051">
        <v>1</v>
      </c>
      <c r="D8051">
        <v>0</v>
      </c>
      <c r="E8051">
        <v>0</v>
      </c>
      <c r="F8051">
        <v>3685</v>
      </c>
    </row>
    <row r="8052" spans="1:6" x14ac:dyDescent="0.25">
      <c r="A8052">
        <v>8051</v>
      </c>
      <c r="B8052" t="s">
        <v>0</v>
      </c>
      <c r="C8052">
        <v>87</v>
      </c>
      <c r="D8052">
        <v>3489</v>
      </c>
      <c r="E8052">
        <v>80234995</v>
      </c>
    </row>
    <row r="8053" spans="1:6" x14ac:dyDescent="0.25">
      <c r="A8053">
        <v>8052</v>
      </c>
      <c r="B8053">
        <v>41</v>
      </c>
      <c r="C8053">
        <v>0</v>
      </c>
      <c r="D8053">
        <v>0</v>
      </c>
      <c r="E8053">
        <v>0</v>
      </c>
      <c r="F8053">
        <v>1</v>
      </c>
    </row>
    <row r="8054" spans="1:6" x14ac:dyDescent="0.25">
      <c r="A8054">
        <v>8053</v>
      </c>
      <c r="B8054" t="s">
        <v>0</v>
      </c>
      <c r="C8054">
        <v>88</v>
      </c>
      <c r="D8054">
        <v>3489</v>
      </c>
      <c r="E8054">
        <v>80235109</v>
      </c>
    </row>
    <row r="8055" spans="1:6" x14ac:dyDescent="0.25">
      <c r="A8055">
        <v>8054</v>
      </c>
      <c r="B8055">
        <v>42</v>
      </c>
      <c r="C8055">
        <v>0</v>
      </c>
      <c r="D8055">
        <v>0</v>
      </c>
      <c r="E8055">
        <v>0</v>
      </c>
      <c r="F8055">
        <v>0.2</v>
      </c>
    </row>
    <row r="8056" spans="1:6" x14ac:dyDescent="0.25">
      <c r="A8056">
        <v>8055</v>
      </c>
      <c r="B8056">
        <v>43</v>
      </c>
      <c r="C8056">
        <v>0</v>
      </c>
      <c r="D8056">
        <v>0</v>
      </c>
      <c r="E8056">
        <v>0</v>
      </c>
      <c r="F8056">
        <v>0</v>
      </c>
    </row>
    <row r="8057" spans="1:6" x14ac:dyDescent="0.25">
      <c r="A8057">
        <v>8056</v>
      </c>
      <c r="B8057">
        <v>44</v>
      </c>
      <c r="C8057">
        <v>0</v>
      </c>
      <c r="D8057">
        <v>0</v>
      </c>
      <c r="E8057">
        <v>0</v>
      </c>
      <c r="F8057">
        <v>-116.443</v>
      </c>
    </row>
    <row r="8058" spans="1:6" x14ac:dyDescent="0.25">
      <c r="A8058">
        <v>8057</v>
      </c>
      <c r="B8058">
        <v>45</v>
      </c>
      <c r="C8058">
        <v>0</v>
      </c>
      <c r="D8058">
        <v>0</v>
      </c>
      <c r="E8058">
        <v>0</v>
      </c>
      <c r="F8058">
        <v>529.83100000000002</v>
      </c>
    </row>
    <row r="8059" spans="1:6" x14ac:dyDescent="0.25">
      <c r="A8059">
        <v>8058</v>
      </c>
      <c r="B8059">
        <v>46</v>
      </c>
      <c r="C8059">
        <v>0</v>
      </c>
      <c r="D8059">
        <v>0</v>
      </c>
      <c r="E8059">
        <v>0</v>
      </c>
      <c r="F8059">
        <v>0</v>
      </c>
    </row>
    <row r="8060" spans="1:6" x14ac:dyDescent="0.25">
      <c r="A8060">
        <v>8059</v>
      </c>
      <c r="B8060" t="s">
        <v>0</v>
      </c>
      <c r="C8060">
        <v>91</v>
      </c>
      <c r="D8060">
        <v>3489</v>
      </c>
      <c r="E8060">
        <v>80235453</v>
      </c>
    </row>
    <row r="8061" spans="1:6" x14ac:dyDescent="0.25">
      <c r="A8061">
        <v>8060</v>
      </c>
      <c r="B8061">
        <v>10</v>
      </c>
      <c r="C8061">
        <v>1</v>
      </c>
      <c r="D8061">
        <v>0</v>
      </c>
      <c r="E8061">
        <v>0</v>
      </c>
      <c r="F8061">
        <v>3695</v>
      </c>
    </row>
    <row r="8062" spans="1:6" x14ac:dyDescent="0.25">
      <c r="A8062">
        <v>8061</v>
      </c>
      <c r="B8062" t="s">
        <v>0</v>
      </c>
      <c r="C8062">
        <v>92</v>
      </c>
      <c r="D8062">
        <v>3489</v>
      </c>
      <c r="E8062">
        <v>80235567</v>
      </c>
    </row>
    <row r="8063" spans="1:6" x14ac:dyDescent="0.25">
      <c r="A8063">
        <v>8062</v>
      </c>
      <c r="B8063">
        <v>13</v>
      </c>
      <c r="C8063">
        <v>0</v>
      </c>
      <c r="D8063">
        <v>0</v>
      </c>
      <c r="E8063">
        <v>0</v>
      </c>
      <c r="F8063">
        <v>1605</v>
      </c>
    </row>
    <row r="8064" spans="1:6" x14ac:dyDescent="0.25">
      <c r="A8064">
        <v>8063</v>
      </c>
      <c r="B8064">
        <v>41</v>
      </c>
      <c r="C8064">
        <v>0</v>
      </c>
      <c r="D8064">
        <v>0</v>
      </c>
      <c r="E8064">
        <v>0</v>
      </c>
      <c r="F8064">
        <v>1</v>
      </c>
    </row>
    <row r="8065" spans="1:6" x14ac:dyDescent="0.25">
      <c r="A8065">
        <v>8064</v>
      </c>
      <c r="B8065">
        <v>42</v>
      </c>
      <c r="C8065">
        <v>0</v>
      </c>
      <c r="D8065">
        <v>0</v>
      </c>
      <c r="E8065">
        <v>0</v>
      </c>
      <c r="F8065">
        <v>0.2</v>
      </c>
    </row>
    <row r="8066" spans="1:6" x14ac:dyDescent="0.25">
      <c r="A8066">
        <v>8065</v>
      </c>
      <c r="B8066" t="s">
        <v>0</v>
      </c>
      <c r="C8066">
        <v>94</v>
      </c>
      <c r="D8066">
        <v>3489</v>
      </c>
      <c r="E8066">
        <v>80235797</v>
      </c>
    </row>
    <row r="8067" spans="1:6" x14ac:dyDescent="0.25">
      <c r="A8067">
        <v>8066</v>
      </c>
      <c r="B8067">
        <v>44</v>
      </c>
      <c r="C8067">
        <v>0</v>
      </c>
      <c r="D8067">
        <v>0</v>
      </c>
      <c r="E8067">
        <v>0</v>
      </c>
      <c r="F8067">
        <v>-115.904</v>
      </c>
    </row>
    <row r="8068" spans="1:6" x14ac:dyDescent="0.25">
      <c r="A8068">
        <v>8067</v>
      </c>
      <c r="B8068" t="s">
        <v>0</v>
      </c>
      <c r="C8068">
        <v>95</v>
      </c>
      <c r="D8068">
        <v>3489</v>
      </c>
      <c r="E8068">
        <v>80235912</v>
      </c>
    </row>
    <row r="8069" spans="1:6" x14ac:dyDescent="0.25">
      <c r="A8069">
        <v>8068</v>
      </c>
      <c r="B8069">
        <v>46</v>
      </c>
      <c r="C8069">
        <v>0</v>
      </c>
      <c r="D8069">
        <v>0</v>
      </c>
      <c r="E8069">
        <v>0</v>
      </c>
      <c r="F8069">
        <v>0</v>
      </c>
    </row>
    <row r="8070" spans="1:6" x14ac:dyDescent="0.25">
      <c r="A8070">
        <v>8069</v>
      </c>
      <c r="B8070" t="s">
        <v>0</v>
      </c>
      <c r="C8070">
        <v>96</v>
      </c>
      <c r="D8070">
        <v>3489</v>
      </c>
      <c r="E8070">
        <v>80236027</v>
      </c>
    </row>
    <row r="8071" spans="1:6" x14ac:dyDescent="0.25">
      <c r="A8071">
        <v>8070</v>
      </c>
      <c r="B8071">
        <v>2</v>
      </c>
      <c r="C8071">
        <v>0</v>
      </c>
      <c r="D8071">
        <v>0</v>
      </c>
      <c r="E8071">
        <v>0</v>
      </c>
      <c r="F8071">
        <v>290.34500000000003</v>
      </c>
    </row>
    <row r="8072" spans="1:6" x14ac:dyDescent="0.25">
      <c r="A8072">
        <v>8071</v>
      </c>
      <c r="B8072">
        <v>10</v>
      </c>
      <c r="C8072">
        <v>1</v>
      </c>
      <c r="D8072">
        <v>0</v>
      </c>
      <c r="E8072">
        <v>0</v>
      </c>
      <c r="F8072">
        <v>3702</v>
      </c>
    </row>
    <row r="8073" spans="1:6" x14ac:dyDescent="0.25">
      <c r="A8073">
        <v>8072</v>
      </c>
      <c r="B8073">
        <v>13</v>
      </c>
      <c r="C8073">
        <v>0</v>
      </c>
      <c r="D8073">
        <v>0</v>
      </c>
      <c r="E8073">
        <v>0</v>
      </c>
      <c r="F8073">
        <v>1605</v>
      </c>
    </row>
    <row r="8074" spans="1:6" x14ac:dyDescent="0.25">
      <c r="A8074">
        <v>8073</v>
      </c>
      <c r="B8074" t="s">
        <v>0</v>
      </c>
      <c r="C8074">
        <v>98</v>
      </c>
      <c r="D8074">
        <v>3489</v>
      </c>
      <c r="E8074">
        <v>80236257</v>
      </c>
    </row>
    <row r="8075" spans="1:6" x14ac:dyDescent="0.25">
      <c r="A8075">
        <v>8074</v>
      </c>
      <c r="B8075">
        <v>42</v>
      </c>
      <c r="C8075">
        <v>0</v>
      </c>
      <c r="D8075">
        <v>0</v>
      </c>
      <c r="E8075">
        <v>0</v>
      </c>
      <c r="F8075">
        <v>0.2</v>
      </c>
    </row>
    <row r="8076" spans="1:6" x14ac:dyDescent="0.25">
      <c r="A8076">
        <v>8075</v>
      </c>
      <c r="B8076" t="s">
        <v>0</v>
      </c>
      <c r="C8076">
        <v>99</v>
      </c>
      <c r="D8076">
        <v>3489</v>
      </c>
      <c r="E8076">
        <v>80236372</v>
      </c>
    </row>
    <row r="8077" spans="1:6" x14ac:dyDescent="0.25">
      <c r="A8077">
        <v>8076</v>
      </c>
      <c r="B8077">
        <v>43</v>
      </c>
      <c r="C8077">
        <v>0</v>
      </c>
      <c r="D8077">
        <v>0</v>
      </c>
      <c r="E8077">
        <v>0</v>
      </c>
      <c r="F8077">
        <v>0</v>
      </c>
    </row>
    <row r="8078" spans="1:6" x14ac:dyDescent="0.25">
      <c r="A8078">
        <v>8077</v>
      </c>
      <c r="B8078">
        <v>44</v>
      </c>
      <c r="C8078">
        <v>0</v>
      </c>
      <c r="D8078">
        <v>0</v>
      </c>
      <c r="E8078">
        <v>0</v>
      </c>
      <c r="F8078">
        <v>-115.333</v>
      </c>
    </row>
    <row r="8079" spans="1:6" x14ac:dyDescent="0.25">
      <c r="A8079">
        <v>8078</v>
      </c>
      <c r="B8079">
        <v>45</v>
      </c>
      <c r="C8079">
        <v>0</v>
      </c>
      <c r="D8079">
        <v>0</v>
      </c>
      <c r="E8079">
        <v>0</v>
      </c>
      <c r="F8079">
        <v>529.654</v>
      </c>
    </row>
    <row r="8080" spans="1:6" x14ac:dyDescent="0.25">
      <c r="A8080">
        <v>8079</v>
      </c>
      <c r="B8080">
        <v>46</v>
      </c>
      <c r="C8080">
        <v>0</v>
      </c>
      <c r="D8080">
        <v>0</v>
      </c>
      <c r="E8080">
        <v>0</v>
      </c>
      <c r="F8080">
        <v>0</v>
      </c>
    </row>
    <row r="8081" spans="1:6" x14ac:dyDescent="0.25">
      <c r="A8081">
        <v>8080</v>
      </c>
      <c r="B8081">
        <v>2</v>
      </c>
      <c r="C8081">
        <v>0</v>
      </c>
      <c r="D8081">
        <v>0</v>
      </c>
      <c r="E8081">
        <v>0</v>
      </c>
      <c r="F8081">
        <v>289.928</v>
      </c>
    </row>
    <row r="8082" spans="1:6" x14ac:dyDescent="0.25">
      <c r="A8082">
        <v>8081</v>
      </c>
      <c r="B8082" t="s">
        <v>0</v>
      </c>
      <c r="C8082">
        <v>102</v>
      </c>
      <c r="D8082">
        <v>3489</v>
      </c>
      <c r="E8082">
        <v>80236719</v>
      </c>
    </row>
    <row r="8083" spans="1:6" x14ac:dyDescent="0.25">
      <c r="A8083">
        <v>8082</v>
      </c>
      <c r="B8083">
        <v>13</v>
      </c>
      <c r="C8083">
        <v>0</v>
      </c>
      <c r="D8083">
        <v>0</v>
      </c>
      <c r="E8083">
        <v>0</v>
      </c>
      <c r="F8083">
        <v>1605</v>
      </c>
    </row>
    <row r="8084" spans="1:6" x14ac:dyDescent="0.25">
      <c r="A8084">
        <v>8083</v>
      </c>
      <c r="B8084" t="s">
        <v>0</v>
      </c>
      <c r="C8084">
        <v>103</v>
      </c>
      <c r="D8084">
        <v>3489</v>
      </c>
      <c r="E8084">
        <v>80236834</v>
      </c>
    </row>
    <row r="8085" spans="1:6" x14ac:dyDescent="0.25">
      <c r="A8085">
        <v>8084</v>
      </c>
      <c r="B8085">
        <v>41</v>
      </c>
      <c r="C8085">
        <v>0</v>
      </c>
      <c r="D8085">
        <v>0</v>
      </c>
      <c r="E8085">
        <v>0</v>
      </c>
      <c r="F8085">
        <v>1</v>
      </c>
    </row>
    <row r="8086" spans="1:6" x14ac:dyDescent="0.25">
      <c r="A8086">
        <v>8085</v>
      </c>
      <c r="B8086">
        <v>42</v>
      </c>
      <c r="C8086">
        <v>0</v>
      </c>
      <c r="D8086">
        <v>0</v>
      </c>
      <c r="E8086">
        <v>0</v>
      </c>
      <c r="F8086">
        <v>0.2</v>
      </c>
    </row>
    <row r="8087" spans="1:6" x14ac:dyDescent="0.25">
      <c r="A8087">
        <v>8086</v>
      </c>
      <c r="B8087">
        <v>43</v>
      </c>
      <c r="C8087">
        <v>0</v>
      </c>
      <c r="D8087">
        <v>0</v>
      </c>
      <c r="E8087">
        <v>0</v>
      </c>
      <c r="F8087">
        <v>0</v>
      </c>
    </row>
    <row r="8088" spans="1:6" x14ac:dyDescent="0.25">
      <c r="A8088">
        <v>8087</v>
      </c>
      <c r="B8088" t="s">
        <v>0</v>
      </c>
      <c r="C8088">
        <v>105</v>
      </c>
      <c r="D8088">
        <v>3489</v>
      </c>
      <c r="E8088">
        <v>80237065</v>
      </c>
    </row>
    <row r="8089" spans="1:6" x14ac:dyDescent="0.25">
      <c r="A8089">
        <v>8088</v>
      </c>
      <c r="B8089">
        <v>45</v>
      </c>
      <c r="C8089">
        <v>0</v>
      </c>
      <c r="D8089">
        <v>0</v>
      </c>
      <c r="E8089">
        <v>0</v>
      </c>
      <c r="F8089">
        <v>529.57399999999996</v>
      </c>
    </row>
    <row r="8090" spans="1:6" x14ac:dyDescent="0.25">
      <c r="A8090">
        <v>8089</v>
      </c>
      <c r="B8090" t="s">
        <v>0</v>
      </c>
      <c r="C8090">
        <v>106</v>
      </c>
      <c r="D8090">
        <v>3489</v>
      </c>
      <c r="E8090">
        <v>80237180</v>
      </c>
    </row>
    <row r="8091" spans="1:6" x14ac:dyDescent="0.25">
      <c r="A8091">
        <v>8090</v>
      </c>
      <c r="B8091">
        <v>46</v>
      </c>
      <c r="C8091">
        <v>0</v>
      </c>
      <c r="D8091">
        <v>0</v>
      </c>
      <c r="E8091">
        <v>0</v>
      </c>
      <c r="F8091">
        <v>0</v>
      </c>
    </row>
    <row r="8092" spans="1:6" x14ac:dyDescent="0.25">
      <c r="A8092">
        <v>8091</v>
      </c>
      <c r="B8092">
        <v>2</v>
      </c>
      <c r="C8092">
        <v>0</v>
      </c>
      <c r="D8092">
        <v>0</v>
      </c>
      <c r="E8092">
        <v>0</v>
      </c>
      <c r="F8092">
        <v>289.517</v>
      </c>
    </row>
    <row r="8093" spans="1:6" x14ac:dyDescent="0.25">
      <c r="A8093">
        <v>8092</v>
      </c>
      <c r="B8093" t="s">
        <v>0</v>
      </c>
      <c r="C8093">
        <v>107</v>
      </c>
      <c r="D8093">
        <v>3489</v>
      </c>
      <c r="E8093">
        <v>80237295</v>
      </c>
    </row>
    <row r="8094" spans="1:6" x14ac:dyDescent="0.25">
      <c r="A8094">
        <v>8093</v>
      </c>
      <c r="B8094">
        <v>10</v>
      </c>
      <c r="C8094">
        <v>1</v>
      </c>
      <c r="D8094">
        <v>0</v>
      </c>
      <c r="E8094">
        <v>0</v>
      </c>
      <c r="F8094">
        <v>3717</v>
      </c>
    </row>
    <row r="8095" spans="1:6" x14ac:dyDescent="0.25">
      <c r="A8095">
        <v>8094</v>
      </c>
      <c r="B8095">
        <v>13</v>
      </c>
      <c r="C8095">
        <v>0</v>
      </c>
      <c r="D8095">
        <v>0</v>
      </c>
      <c r="E8095">
        <v>0</v>
      </c>
      <c r="F8095">
        <v>1605</v>
      </c>
    </row>
    <row r="8096" spans="1:6" x14ac:dyDescent="0.25">
      <c r="A8096">
        <v>8095</v>
      </c>
      <c r="B8096">
        <v>41</v>
      </c>
      <c r="C8096">
        <v>0</v>
      </c>
      <c r="D8096">
        <v>0</v>
      </c>
      <c r="E8096">
        <v>0</v>
      </c>
      <c r="F8096">
        <v>1</v>
      </c>
    </row>
    <row r="8097" spans="1:6" x14ac:dyDescent="0.25">
      <c r="A8097">
        <v>8096</v>
      </c>
      <c r="B8097" t="s">
        <v>0</v>
      </c>
      <c r="C8097">
        <v>109</v>
      </c>
      <c r="D8097">
        <v>3489</v>
      </c>
      <c r="E8097">
        <v>80237525</v>
      </c>
    </row>
    <row r="8098" spans="1:6" x14ac:dyDescent="0.25">
      <c r="A8098">
        <v>8097</v>
      </c>
      <c r="B8098">
        <v>43</v>
      </c>
      <c r="C8098">
        <v>0</v>
      </c>
      <c r="D8098">
        <v>0</v>
      </c>
      <c r="E8098">
        <v>0</v>
      </c>
      <c r="F8098">
        <v>0</v>
      </c>
    </row>
    <row r="8099" spans="1:6" x14ac:dyDescent="0.25">
      <c r="A8099">
        <v>8098</v>
      </c>
      <c r="B8099" t="s">
        <v>0</v>
      </c>
      <c r="C8099">
        <v>110</v>
      </c>
      <c r="D8099">
        <v>3489</v>
      </c>
      <c r="E8099">
        <v>80237641</v>
      </c>
    </row>
    <row r="8100" spans="1:6" x14ac:dyDescent="0.25">
      <c r="A8100">
        <v>8099</v>
      </c>
      <c r="B8100">
        <v>44</v>
      </c>
      <c r="C8100">
        <v>0</v>
      </c>
      <c r="D8100">
        <v>0</v>
      </c>
      <c r="E8100">
        <v>0</v>
      </c>
      <c r="F8100">
        <v>-114.077</v>
      </c>
    </row>
    <row r="8101" spans="1:6" x14ac:dyDescent="0.25">
      <c r="A8101">
        <v>8100</v>
      </c>
      <c r="B8101">
        <v>45</v>
      </c>
      <c r="C8101">
        <v>0</v>
      </c>
      <c r="D8101">
        <v>0</v>
      </c>
      <c r="E8101">
        <v>0</v>
      </c>
      <c r="F8101">
        <v>529.495</v>
      </c>
    </row>
    <row r="8102" spans="1:6" x14ac:dyDescent="0.25">
      <c r="A8102">
        <v>8101</v>
      </c>
      <c r="B8102">
        <v>46</v>
      </c>
      <c r="C8102">
        <v>0</v>
      </c>
      <c r="D8102">
        <v>0</v>
      </c>
      <c r="E8102">
        <v>0</v>
      </c>
      <c r="F8102">
        <v>0</v>
      </c>
    </row>
    <row r="8103" spans="1:6" x14ac:dyDescent="0.25">
      <c r="A8103">
        <v>8102</v>
      </c>
      <c r="B8103">
        <v>2</v>
      </c>
      <c r="C8103">
        <v>0</v>
      </c>
      <c r="D8103">
        <v>0</v>
      </c>
      <c r="E8103">
        <v>0</v>
      </c>
      <c r="F8103">
        <v>289.09899999999999</v>
      </c>
    </row>
    <row r="8104" spans="1:6" x14ac:dyDescent="0.25">
      <c r="A8104">
        <v>8103</v>
      </c>
      <c r="B8104">
        <v>10</v>
      </c>
      <c r="C8104">
        <v>1</v>
      </c>
      <c r="D8104">
        <v>0</v>
      </c>
      <c r="E8104">
        <v>0</v>
      </c>
      <c r="F8104">
        <v>3727</v>
      </c>
    </row>
    <row r="8105" spans="1:6" x14ac:dyDescent="0.25">
      <c r="A8105">
        <v>8104</v>
      </c>
      <c r="B8105" t="s">
        <v>0</v>
      </c>
      <c r="C8105">
        <v>113</v>
      </c>
      <c r="D8105">
        <v>3489</v>
      </c>
      <c r="E8105">
        <v>80237988</v>
      </c>
    </row>
    <row r="8106" spans="1:6" x14ac:dyDescent="0.25">
      <c r="A8106">
        <v>8105</v>
      </c>
      <c r="B8106">
        <v>41</v>
      </c>
      <c r="C8106">
        <v>0</v>
      </c>
      <c r="D8106">
        <v>0</v>
      </c>
      <c r="E8106">
        <v>0</v>
      </c>
      <c r="F8106">
        <v>1</v>
      </c>
    </row>
    <row r="8107" spans="1:6" x14ac:dyDescent="0.25">
      <c r="A8107">
        <v>8106</v>
      </c>
      <c r="B8107" t="s">
        <v>0</v>
      </c>
      <c r="C8107">
        <v>114</v>
      </c>
      <c r="D8107">
        <v>3489</v>
      </c>
      <c r="E8107">
        <v>80238103</v>
      </c>
    </row>
    <row r="8108" spans="1:6" x14ac:dyDescent="0.25">
      <c r="A8108">
        <v>8107</v>
      </c>
      <c r="B8108">
        <v>42</v>
      </c>
      <c r="C8108">
        <v>0</v>
      </c>
      <c r="D8108">
        <v>0</v>
      </c>
      <c r="E8108">
        <v>0</v>
      </c>
      <c r="F8108">
        <v>0.2</v>
      </c>
    </row>
    <row r="8109" spans="1:6" x14ac:dyDescent="0.25">
      <c r="A8109">
        <v>8108</v>
      </c>
      <c r="B8109">
        <v>43</v>
      </c>
      <c r="C8109">
        <v>0</v>
      </c>
      <c r="D8109">
        <v>0</v>
      </c>
      <c r="E8109">
        <v>0</v>
      </c>
      <c r="F8109">
        <v>0</v>
      </c>
    </row>
    <row r="8110" spans="1:6" x14ac:dyDescent="0.25">
      <c r="A8110">
        <v>8109</v>
      </c>
      <c r="B8110">
        <v>44</v>
      </c>
      <c r="C8110">
        <v>0</v>
      </c>
      <c r="D8110">
        <v>0</v>
      </c>
      <c r="E8110">
        <v>0</v>
      </c>
      <c r="F8110">
        <v>-113.505</v>
      </c>
    </row>
    <row r="8111" spans="1:6" x14ac:dyDescent="0.25">
      <c r="A8111">
        <v>8110</v>
      </c>
      <c r="B8111" t="s">
        <v>0</v>
      </c>
      <c r="C8111">
        <v>116</v>
      </c>
      <c r="D8111">
        <v>3489</v>
      </c>
      <c r="E8111">
        <v>80238333</v>
      </c>
    </row>
    <row r="8112" spans="1:6" x14ac:dyDescent="0.25">
      <c r="A8112">
        <v>8111</v>
      </c>
      <c r="B8112">
        <v>46</v>
      </c>
      <c r="C8112">
        <v>0</v>
      </c>
      <c r="D8112">
        <v>0</v>
      </c>
      <c r="E8112">
        <v>0</v>
      </c>
      <c r="F8112">
        <v>0</v>
      </c>
    </row>
    <row r="8113" spans="1:6" x14ac:dyDescent="0.25">
      <c r="A8113">
        <v>8112</v>
      </c>
      <c r="B8113" t="s">
        <v>0</v>
      </c>
      <c r="C8113">
        <v>117</v>
      </c>
      <c r="D8113">
        <v>3489</v>
      </c>
      <c r="E8113">
        <v>80238449</v>
      </c>
    </row>
    <row r="8114" spans="1:6" x14ac:dyDescent="0.25">
      <c r="A8114">
        <v>8113</v>
      </c>
      <c r="B8114">
        <v>10</v>
      </c>
      <c r="C8114">
        <v>1</v>
      </c>
      <c r="D8114">
        <v>0</v>
      </c>
      <c r="E8114">
        <v>0</v>
      </c>
      <c r="F8114">
        <v>3734</v>
      </c>
    </row>
    <row r="8115" spans="1:6" x14ac:dyDescent="0.25">
      <c r="A8115">
        <v>8114</v>
      </c>
      <c r="B8115" t="s">
        <v>0</v>
      </c>
      <c r="C8115">
        <v>118</v>
      </c>
      <c r="D8115">
        <v>3489</v>
      </c>
      <c r="E8115">
        <v>80238565</v>
      </c>
    </row>
    <row r="8116" spans="1:6" x14ac:dyDescent="0.25">
      <c r="A8116">
        <v>8115</v>
      </c>
      <c r="B8116">
        <v>13</v>
      </c>
      <c r="C8116">
        <v>0</v>
      </c>
      <c r="D8116">
        <v>0</v>
      </c>
      <c r="E8116">
        <v>0</v>
      </c>
      <c r="F8116">
        <v>1605</v>
      </c>
    </row>
    <row r="8117" spans="1:6" x14ac:dyDescent="0.25">
      <c r="A8117">
        <v>8116</v>
      </c>
      <c r="B8117">
        <v>41</v>
      </c>
      <c r="C8117">
        <v>0</v>
      </c>
      <c r="D8117">
        <v>0</v>
      </c>
      <c r="E8117">
        <v>0</v>
      </c>
      <c r="F8117">
        <v>1</v>
      </c>
    </row>
    <row r="8118" spans="1:6" x14ac:dyDescent="0.25">
      <c r="A8118">
        <v>8117</v>
      </c>
      <c r="B8118">
        <v>42</v>
      </c>
      <c r="C8118">
        <v>0</v>
      </c>
      <c r="D8118">
        <v>0</v>
      </c>
      <c r="E8118">
        <v>0</v>
      </c>
      <c r="F8118">
        <v>0.2</v>
      </c>
    </row>
    <row r="8119" spans="1:6" x14ac:dyDescent="0.25">
      <c r="A8119">
        <v>8118</v>
      </c>
      <c r="B8119" t="s">
        <v>0</v>
      </c>
      <c r="C8119">
        <v>120</v>
      </c>
      <c r="D8119">
        <v>3489</v>
      </c>
      <c r="E8119">
        <v>80238797</v>
      </c>
    </row>
    <row r="8120" spans="1:6" x14ac:dyDescent="0.25">
      <c r="A8120">
        <v>8119</v>
      </c>
      <c r="B8120">
        <v>44</v>
      </c>
      <c r="C8120">
        <v>0</v>
      </c>
      <c r="D8120">
        <v>0</v>
      </c>
      <c r="E8120">
        <v>0</v>
      </c>
      <c r="F8120">
        <v>-112.958</v>
      </c>
    </row>
    <row r="8121" spans="1:6" x14ac:dyDescent="0.25">
      <c r="A8121">
        <v>8120</v>
      </c>
      <c r="B8121" t="s">
        <v>0</v>
      </c>
      <c r="C8121">
        <v>121</v>
      </c>
      <c r="D8121">
        <v>3489</v>
      </c>
      <c r="E8121">
        <v>80238913</v>
      </c>
    </row>
    <row r="8122" spans="1:6" x14ac:dyDescent="0.25">
      <c r="A8122">
        <v>8121</v>
      </c>
      <c r="B8122">
        <v>45</v>
      </c>
      <c r="C8122">
        <v>0</v>
      </c>
      <c r="D8122">
        <v>0</v>
      </c>
      <c r="E8122">
        <v>0</v>
      </c>
      <c r="F8122">
        <v>529.32100000000003</v>
      </c>
    </row>
    <row r="8123" spans="1:6" x14ac:dyDescent="0.25">
      <c r="A8123">
        <v>8122</v>
      </c>
      <c r="B8123">
        <v>46</v>
      </c>
      <c r="C8123">
        <v>0</v>
      </c>
      <c r="D8123">
        <v>0</v>
      </c>
      <c r="E8123">
        <v>0</v>
      </c>
      <c r="F8123">
        <v>0</v>
      </c>
    </row>
    <row r="8124" spans="1:6" x14ac:dyDescent="0.25">
      <c r="A8124">
        <v>8123</v>
      </c>
      <c r="B8124">
        <v>2</v>
      </c>
      <c r="C8124">
        <v>0</v>
      </c>
      <c r="D8124">
        <v>0</v>
      </c>
      <c r="E8124">
        <v>0</v>
      </c>
      <c r="F8124">
        <v>288.17399999999998</v>
      </c>
    </row>
    <row r="8125" spans="1:6" x14ac:dyDescent="0.25">
      <c r="A8125">
        <v>8124</v>
      </c>
      <c r="B8125">
        <v>10</v>
      </c>
      <c r="C8125">
        <v>1</v>
      </c>
      <c r="D8125">
        <v>0</v>
      </c>
      <c r="E8125">
        <v>0</v>
      </c>
      <c r="F8125">
        <v>3742</v>
      </c>
    </row>
    <row r="8126" spans="1:6" x14ac:dyDescent="0.25">
      <c r="A8126">
        <v>8125</v>
      </c>
      <c r="B8126">
        <v>13</v>
      </c>
      <c r="C8126">
        <v>0</v>
      </c>
      <c r="D8126">
        <v>0</v>
      </c>
      <c r="E8126">
        <v>0</v>
      </c>
      <c r="F8126">
        <v>1605</v>
      </c>
    </row>
    <row r="8127" spans="1:6" x14ac:dyDescent="0.25">
      <c r="A8127">
        <v>8126</v>
      </c>
      <c r="B8127" t="s">
        <v>0</v>
      </c>
      <c r="C8127">
        <v>124</v>
      </c>
      <c r="D8127">
        <v>3489</v>
      </c>
      <c r="E8127">
        <v>80239260</v>
      </c>
    </row>
    <row r="8128" spans="1:6" x14ac:dyDescent="0.25">
      <c r="A8128">
        <v>8127</v>
      </c>
      <c r="B8128">
        <v>42</v>
      </c>
      <c r="C8128">
        <v>0</v>
      </c>
      <c r="D8128">
        <v>0</v>
      </c>
      <c r="E8128">
        <v>0</v>
      </c>
      <c r="F8128">
        <v>0.2</v>
      </c>
    </row>
    <row r="8129" spans="1:6" x14ac:dyDescent="0.25">
      <c r="A8129">
        <v>8128</v>
      </c>
      <c r="B8129" t="s">
        <v>0</v>
      </c>
      <c r="C8129">
        <v>125</v>
      </c>
      <c r="D8129">
        <v>3489</v>
      </c>
      <c r="E8129">
        <v>80239376</v>
      </c>
    </row>
    <row r="8130" spans="1:6" x14ac:dyDescent="0.25">
      <c r="A8130">
        <v>8129</v>
      </c>
      <c r="B8130">
        <v>43</v>
      </c>
      <c r="C8130">
        <v>0</v>
      </c>
      <c r="D8130">
        <v>0</v>
      </c>
      <c r="E8130">
        <v>0</v>
      </c>
      <c r="F8130">
        <v>0</v>
      </c>
    </row>
    <row r="8131" spans="1:6" x14ac:dyDescent="0.25">
      <c r="A8131">
        <v>8130</v>
      </c>
      <c r="B8131">
        <v>44</v>
      </c>
      <c r="C8131">
        <v>0</v>
      </c>
      <c r="D8131">
        <v>0</v>
      </c>
      <c r="E8131">
        <v>0</v>
      </c>
      <c r="F8131">
        <v>-112.398</v>
      </c>
    </row>
    <row r="8132" spans="1:6" x14ac:dyDescent="0.25">
      <c r="A8132">
        <v>8131</v>
      </c>
      <c r="B8132">
        <v>45</v>
      </c>
      <c r="C8132">
        <v>0</v>
      </c>
      <c r="D8132">
        <v>0</v>
      </c>
      <c r="E8132">
        <v>0</v>
      </c>
      <c r="F8132">
        <v>529.24300000000005</v>
      </c>
    </row>
    <row r="8133" spans="1:6" x14ac:dyDescent="0.25">
      <c r="A8133">
        <v>8132</v>
      </c>
      <c r="B8133">
        <v>46</v>
      </c>
      <c r="C8133">
        <v>0</v>
      </c>
      <c r="D8133">
        <v>0</v>
      </c>
      <c r="E8133">
        <v>0</v>
      </c>
      <c r="F8133">
        <v>0</v>
      </c>
    </row>
    <row r="8134" spans="1:6" x14ac:dyDescent="0.25">
      <c r="A8134">
        <v>8133</v>
      </c>
      <c r="B8134">
        <v>2</v>
      </c>
      <c r="C8134">
        <v>0</v>
      </c>
      <c r="D8134">
        <v>0</v>
      </c>
      <c r="E8134">
        <v>0</v>
      </c>
      <c r="F8134">
        <v>287.75599999999997</v>
      </c>
    </row>
    <row r="8135" spans="1:6" x14ac:dyDescent="0.25">
      <c r="A8135">
        <v>8134</v>
      </c>
      <c r="B8135" t="s">
        <v>0</v>
      </c>
      <c r="C8135">
        <v>128</v>
      </c>
      <c r="D8135">
        <v>3489</v>
      </c>
      <c r="E8135">
        <v>80239724</v>
      </c>
    </row>
    <row r="8136" spans="1:6" x14ac:dyDescent="0.25">
      <c r="A8136">
        <v>8135</v>
      </c>
      <c r="B8136">
        <v>13</v>
      </c>
      <c r="C8136">
        <v>0</v>
      </c>
      <c r="D8136">
        <v>0</v>
      </c>
      <c r="E8136">
        <v>0</v>
      </c>
      <c r="F8136">
        <v>1605</v>
      </c>
    </row>
    <row r="8137" spans="1:6" x14ac:dyDescent="0.25">
      <c r="A8137">
        <v>8136</v>
      </c>
      <c r="B8137" t="s">
        <v>0</v>
      </c>
      <c r="C8137">
        <v>129</v>
      </c>
      <c r="D8137">
        <v>3489</v>
      </c>
      <c r="E8137">
        <v>80239840</v>
      </c>
    </row>
    <row r="8138" spans="1:6" x14ac:dyDescent="0.25">
      <c r="A8138">
        <v>8137</v>
      </c>
      <c r="B8138">
        <v>41</v>
      </c>
      <c r="C8138">
        <v>0</v>
      </c>
      <c r="D8138">
        <v>0</v>
      </c>
      <c r="E8138">
        <v>0</v>
      </c>
      <c r="F8138">
        <v>1</v>
      </c>
    </row>
    <row r="8139" spans="1:6" x14ac:dyDescent="0.25">
      <c r="A8139">
        <v>8138</v>
      </c>
      <c r="B8139">
        <v>42</v>
      </c>
      <c r="C8139">
        <v>0</v>
      </c>
      <c r="D8139">
        <v>0</v>
      </c>
      <c r="E8139">
        <v>0</v>
      </c>
      <c r="F8139">
        <v>0.2</v>
      </c>
    </row>
    <row r="8140" spans="1:6" x14ac:dyDescent="0.25">
      <c r="A8140">
        <v>8139</v>
      </c>
      <c r="B8140">
        <v>43</v>
      </c>
      <c r="C8140">
        <v>0</v>
      </c>
      <c r="D8140">
        <v>0</v>
      </c>
      <c r="E8140">
        <v>0</v>
      </c>
      <c r="F8140">
        <v>0</v>
      </c>
    </row>
    <row r="8141" spans="1:6" x14ac:dyDescent="0.25">
      <c r="A8141">
        <v>8140</v>
      </c>
      <c r="B8141" t="s">
        <v>0</v>
      </c>
      <c r="C8141">
        <v>131</v>
      </c>
      <c r="D8141">
        <v>3489</v>
      </c>
      <c r="E8141">
        <v>80240072</v>
      </c>
    </row>
    <row r="8142" spans="1:6" x14ac:dyDescent="0.25">
      <c r="A8142">
        <v>8141</v>
      </c>
      <c r="B8142">
        <v>45</v>
      </c>
      <c r="C8142">
        <v>0</v>
      </c>
      <c r="D8142">
        <v>0</v>
      </c>
      <c r="E8142">
        <v>0</v>
      </c>
      <c r="F8142">
        <v>529.16399999999999</v>
      </c>
    </row>
    <row r="8143" spans="1:6" x14ac:dyDescent="0.25">
      <c r="A8143">
        <v>8142</v>
      </c>
      <c r="B8143" t="s">
        <v>0</v>
      </c>
      <c r="C8143">
        <v>132</v>
      </c>
      <c r="D8143">
        <v>3489</v>
      </c>
      <c r="E8143">
        <v>80240188</v>
      </c>
    </row>
    <row r="8144" spans="1:6" x14ac:dyDescent="0.25">
      <c r="A8144">
        <v>8143</v>
      </c>
      <c r="B8144">
        <v>2</v>
      </c>
      <c r="C8144">
        <v>0</v>
      </c>
      <c r="D8144">
        <v>0</v>
      </c>
      <c r="E8144">
        <v>0</v>
      </c>
      <c r="F8144">
        <v>287.34199999999998</v>
      </c>
    </row>
    <row r="8145" spans="1:6" x14ac:dyDescent="0.25">
      <c r="A8145">
        <v>8144</v>
      </c>
      <c r="B8145" t="s">
        <v>0</v>
      </c>
      <c r="C8145">
        <v>133</v>
      </c>
      <c r="D8145">
        <v>3489</v>
      </c>
      <c r="E8145">
        <v>80240304</v>
      </c>
    </row>
    <row r="8146" spans="1:6" x14ac:dyDescent="0.25">
      <c r="A8146">
        <v>8145</v>
      </c>
      <c r="B8146">
        <v>10</v>
      </c>
      <c r="C8146">
        <v>1</v>
      </c>
      <c r="D8146">
        <v>0</v>
      </c>
      <c r="E8146">
        <v>0</v>
      </c>
      <c r="F8146">
        <v>3758</v>
      </c>
    </row>
    <row r="8147" spans="1:6" x14ac:dyDescent="0.25">
      <c r="A8147">
        <v>8146</v>
      </c>
      <c r="B8147">
        <v>13</v>
      </c>
      <c r="C8147">
        <v>0</v>
      </c>
      <c r="D8147">
        <v>0</v>
      </c>
      <c r="E8147">
        <v>0</v>
      </c>
      <c r="F8147">
        <v>1605</v>
      </c>
    </row>
    <row r="8148" spans="1:6" x14ac:dyDescent="0.25">
      <c r="A8148">
        <v>8147</v>
      </c>
      <c r="B8148">
        <v>41</v>
      </c>
      <c r="C8148">
        <v>0</v>
      </c>
      <c r="D8148">
        <v>0</v>
      </c>
      <c r="E8148">
        <v>0</v>
      </c>
      <c r="F8148">
        <v>1</v>
      </c>
    </row>
    <row r="8149" spans="1:6" x14ac:dyDescent="0.25">
      <c r="A8149">
        <v>8148</v>
      </c>
      <c r="B8149" t="s">
        <v>0</v>
      </c>
      <c r="C8149">
        <v>135</v>
      </c>
      <c r="D8149">
        <v>3489</v>
      </c>
      <c r="E8149">
        <v>80240536</v>
      </c>
    </row>
    <row r="8150" spans="1:6" x14ac:dyDescent="0.25">
      <c r="A8150">
        <v>8149</v>
      </c>
      <c r="B8150">
        <v>42</v>
      </c>
      <c r="C8150">
        <v>0</v>
      </c>
      <c r="D8150">
        <v>0</v>
      </c>
      <c r="E8150">
        <v>0</v>
      </c>
      <c r="F8150">
        <v>0.2</v>
      </c>
    </row>
    <row r="8151" spans="1:6" x14ac:dyDescent="0.25">
      <c r="A8151">
        <v>8150</v>
      </c>
      <c r="B8151" t="s">
        <v>0</v>
      </c>
      <c r="C8151">
        <v>136</v>
      </c>
      <c r="D8151">
        <v>3489</v>
      </c>
      <c r="E8151">
        <v>80240652</v>
      </c>
    </row>
    <row r="8152" spans="1:6" x14ac:dyDescent="0.25">
      <c r="A8152">
        <v>8151</v>
      </c>
      <c r="B8152">
        <v>44</v>
      </c>
      <c r="C8152">
        <v>0</v>
      </c>
      <c r="D8152">
        <v>0</v>
      </c>
      <c r="E8152">
        <v>0</v>
      </c>
      <c r="F8152">
        <v>-111.178</v>
      </c>
    </row>
    <row r="8153" spans="1:6" x14ac:dyDescent="0.25">
      <c r="A8153">
        <v>8152</v>
      </c>
      <c r="B8153" t="s">
        <v>0</v>
      </c>
      <c r="C8153">
        <v>137</v>
      </c>
      <c r="D8153">
        <v>3489</v>
      </c>
      <c r="E8153">
        <v>80240769</v>
      </c>
    </row>
    <row r="8154" spans="1:6" x14ac:dyDescent="0.25">
      <c r="A8154">
        <v>8153</v>
      </c>
      <c r="B8154">
        <v>45</v>
      </c>
      <c r="C8154">
        <v>0</v>
      </c>
      <c r="D8154">
        <v>0</v>
      </c>
      <c r="E8154">
        <v>0</v>
      </c>
      <c r="F8154">
        <v>529.07100000000003</v>
      </c>
    </row>
    <row r="8155" spans="1:6" x14ac:dyDescent="0.25">
      <c r="A8155">
        <v>8154</v>
      </c>
      <c r="B8155">
        <v>46</v>
      </c>
      <c r="C8155">
        <v>0</v>
      </c>
      <c r="D8155">
        <v>0</v>
      </c>
      <c r="E8155">
        <v>0</v>
      </c>
      <c r="F8155">
        <v>0</v>
      </c>
    </row>
    <row r="8156" spans="1:6" x14ac:dyDescent="0.25">
      <c r="A8156">
        <v>8155</v>
      </c>
      <c r="B8156">
        <v>2</v>
      </c>
      <c r="C8156">
        <v>0</v>
      </c>
      <c r="D8156">
        <v>0</v>
      </c>
      <c r="E8156">
        <v>0</v>
      </c>
      <c r="F8156">
        <v>286.84699999999998</v>
      </c>
    </row>
    <row r="8157" spans="1:6" x14ac:dyDescent="0.25">
      <c r="A8157">
        <v>8156</v>
      </c>
      <c r="B8157" t="s">
        <v>0</v>
      </c>
      <c r="C8157">
        <v>139</v>
      </c>
      <c r="D8157">
        <v>3489</v>
      </c>
      <c r="E8157">
        <v>80241003</v>
      </c>
    </row>
    <row r="8158" spans="1:6" x14ac:dyDescent="0.25">
      <c r="A8158">
        <v>8157</v>
      </c>
      <c r="B8158">
        <v>13</v>
      </c>
      <c r="C8158">
        <v>0</v>
      </c>
      <c r="D8158">
        <v>0</v>
      </c>
      <c r="E8158">
        <v>0</v>
      </c>
      <c r="F8158">
        <v>1605</v>
      </c>
    </row>
    <row r="8159" spans="1:6" x14ac:dyDescent="0.25">
      <c r="A8159">
        <v>8158</v>
      </c>
      <c r="B8159" t="s">
        <v>0</v>
      </c>
      <c r="C8159">
        <v>140</v>
      </c>
      <c r="D8159">
        <v>3489</v>
      </c>
      <c r="E8159">
        <v>80241120</v>
      </c>
    </row>
    <row r="8160" spans="1:6" x14ac:dyDescent="0.25">
      <c r="A8160">
        <v>8159</v>
      </c>
      <c r="B8160">
        <v>42</v>
      </c>
      <c r="C8160">
        <v>0</v>
      </c>
      <c r="D8160">
        <v>0</v>
      </c>
      <c r="E8160">
        <v>0</v>
      </c>
      <c r="F8160">
        <v>0.2</v>
      </c>
    </row>
    <row r="8161" spans="1:6" x14ac:dyDescent="0.25">
      <c r="A8161">
        <v>8160</v>
      </c>
      <c r="B8161" t="s">
        <v>0</v>
      </c>
      <c r="C8161">
        <v>141</v>
      </c>
      <c r="D8161">
        <v>3489</v>
      </c>
      <c r="E8161">
        <v>80241237</v>
      </c>
    </row>
    <row r="8162" spans="1:6" x14ac:dyDescent="0.25">
      <c r="A8162">
        <v>8161</v>
      </c>
      <c r="B8162">
        <v>43</v>
      </c>
      <c r="C8162">
        <v>0</v>
      </c>
      <c r="D8162">
        <v>0</v>
      </c>
      <c r="E8162">
        <v>0</v>
      </c>
      <c r="F8162">
        <v>0</v>
      </c>
    </row>
    <row r="8163" spans="1:6" x14ac:dyDescent="0.25">
      <c r="A8163">
        <v>8162</v>
      </c>
      <c r="B8163">
        <v>44</v>
      </c>
      <c r="C8163">
        <v>0</v>
      </c>
      <c r="D8163">
        <v>0</v>
      </c>
      <c r="E8163">
        <v>0</v>
      </c>
      <c r="F8163">
        <v>-110.617</v>
      </c>
    </row>
    <row r="8164" spans="1:6" x14ac:dyDescent="0.25">
      <c r="A8164">
        <v>8163</v>
      </c>
      <c r="B8164">
        <v>45</v>
      </c>
      <c r="C8164">
        <v>0</v>
      </c>
      <c r="D8164">
        <v>0</v>
      </c>
      <c r="E8164">
        <v>0</v>
      </c>
      <c r="F8164">
        <v>528.99300000000005</v>
      </c>
    </row>
    <row r="8165" spans="1:6" x14ac:dyDescent="0.25">
      <c r="A8165">
        <v>8164</v>
      </c>
      <c r="B8165">
        <v>46</v>
      </c>
      <c r="C8165">
        <v>0</v>
      </c>
      <c r="D8165">
        <v>0</v>
      </c>
      <c r="E8165">
        <v>0</v>
      </c>
      <c r="F8165">
        <v>0</v>
      </c>
    </row>
    <row r="8166" spans="1:6" x14ac:dyDescent="0.25">
      <c r="A8166">
        <v>8165</v>
      </c>
      <c r="B8166">
        <v>2</v>
      </c>
      <c r="C8166">
        <v>0</v>
      </c>
      <c r="D8166">
        <v>0</v>
      </c>
      <c r="E8166">
        <v>0</v>
      </c>
      <c r="F8166">
        <v>286.452</v>
      </c>
    </row>
    <row r="8167" spans="1:6" x14ac:dyDescent="0.25">
      <c r="A8167">
        <v>8166</v>
      </c>
      <c r="B8167" t="s">
        <v>0</v>
      </c>
      <c r="C8167">
        <v>144</v>
      </c>
      <c r="D8167">
        <v>3489</v>
      </c>
      <c r="E8167">
        <v>80241588</v>
      </c>
    </row>
    <row r="8168" spans="1:6" x14ac:dyDescent="0.25">
      <c r="A8168">
        <v>8167</v>
      </c>
      <c r="B8168">
        <v>13</v>
      </c>
      <c r="C8168">
        <v>0</v>
      </c>
      <c r="D8168">
        <v>0</v>
      </c>
      <c r="E8168">
        <v>0</v>
      </c>
      <c r="F8168">
        <v>1605</v>
      </c>
    </row>
    <row r="8169" spans="1:6" x14ac:dyDescent="0.25">
      <c r="A8169">
        <v>8168</v>
      </c>
      <c r="B8169" t="s">
        <v>0</v>
      </c>
      <c r="C8169">
        <v>145</v>
      </c>
      <c r="D8169">
        <v>3489</v>
      </c>
      <c r="E8169">
        <v>80241705</v>
      </c>
    </row>
    <row r="8170" spans="1:6" x14ac:dyDescent="0.25">
      <c r="A8170">
        <v>8169</v>
      </c>
      <c r="B8170">
        <v>41</v>
      </c>
      <c r="C8170">
        <v>0</v>
      </c>
      <c r="D8170">
        <v>0</v>
      </c>
      <c r="E8170">
        <v>0</v>
      </c>
      <c r="F8170">
        <v>1</v>
      </c>
    </row>
    <row r="8171" spans="1:6" x14ac:dyDescent="0.25">
      <c r="A8171">
        <v>8170</v>
      </c>
      <c r="B8171">
        <v>42</v>
      </c>
      <c r="C8171">
        <v>0</v>
      </c>
      <c r="D8171">
        <v>0</v>
      </c>
      <c r="E8171">
        <v>0</v>
      </c>
      <c r="F8171">
        <v>0.2</v>
      </c>
    </row>
    <row r="8172" spans="1:6" x14ac:dyDescent="0.25">
      <c r="A8172">
        <v>8171</v>
      </c>
      <c r="B8172">
        <v>43</v>
      </c>
      <c r="C8172">
        <v>0</v>
      </c>
      <c r="D8172">
        <v>0</v>
      </c>
      <c r="E8172">
        <v>0</v>
      </c>
      <c r="F8172">
        <v>0</v>
      </c>
    </row>
    <row r="8173" spans="1:6" x14ac:dyDescent="0.25">
      <c r="A8173">
        <v>8172</v>
      </c>
      <c r="B8173">
        <v>44</v>
      </c>
      <c r="C8173">
        <v>0</v>
      </c>
      <c r="D8173">
        <v>0</v>
      </c>
      <c r="E8173">
        <v>0</v>
      </c>
      <c r="F8173">
        <v>-110.059</v>
      </c>
    </row>
    <row r="8174" spans="1:6" x14ac:dyDescent="0.25">
      <c r="A8174">
        <v>8173</v>
      </c>
      <c r="B8174">
        <v>45</v>
      </c>
      <c r="C8174">
        <v>0</v>
      </c>
      <c r="D8174">
        <v>0</v>
      </c>
      <c r="E8174">
        <v>0</v>
      </c>
      <c r="F8174">
        <v>528.91600000000005</v>
      </c>
    </row>
    <row r="8175" spans="1:6" x14ac:dyDescent="0.25">
      <c r="A8175">
        <v>8174</v>
      </c>
      <c r="B8175" t="s">
        <v>0</v>
      </c>
      <c r="C8175">
        <v>148</v>
      </c>
      <c r="D8175">
        <v>3489</v>
      </c>
      <c r="E8175">
        <v>80242055</v>
      </c>
    </row>
    <row r="8176" spans="1:6" x14ac:dyDescent="0.25">
      <c r="A8176">
        <v>8175</v>
      </c>
      <c r="B8176">
        <v>2</v>
      </c>
      <c r="C8176">
        <v>0</v>
      </c>
      <c r="D8176">
        <v>0</v>
      </c>
      <c r="E8176">
        <v>0</v>
      </c>
      <c r="F8176">
        <v>286.06</v>
      </c>
    </row>
    <row r="8177" spans="1:6" x14ac:dyDescent="0.25">
      <c r="A8177">
        <v>8176</v>
      </c>
      <c r="B8177" t="s">
        <v>0</v>
      </c>
      <c r="C8177">
        <v>149</v>
      </c>
      <c r="D8177">
        <v>3489</v>
      </c>
      <c r="E8177">
        <v>80242172</v>
      </c>
    </row>
    <row r="8178" spans="1:6" x14ac:dyDescent="0.25">
      <c r="A8178">
        <v>8177</v>
      </c>
      <c r="B8178">
        <v>10</v>
      </c>
      <c r="C8178">
        <v>1</v>
      </c>
      <c r="D8178">
        <v>0</v>
      </c>
      <c r="E8178">
        <v>0</v>
      </c>
      <c r="F8178">
        <v>3782</v>
      </c>
    </row>
    <row r="8179" spans="1:6" x14ac:dyDescent="0.25">
      <c r="A8179">
        <v>8178</v>
      </c>
      <c r="B8179">
        <v>13</v>
      </c>
      <c r="C8179">
        <v>0</v>
      </c>
      <c r="D8179">
        <v>0</v>
      </c>
      <c r="E8179">
        <v>0</v>
      </c>
      <c r="F8179">
        <v>1605</v>
      </c>
    </row>
    <row r="8180" spans="1:6" x14ac:dyDescent="0.25">
      <c r="A8180">
        <v>8179</v>
      </c>
      <c r="B8180">
        <v>41</v>
      </c>
      <c r="C8180">
        <v>0</v>
      </c>
      <c r="D8180">
        <v>0</v>
      </c>
      <c r="E8180">
        <v>0</v>
      </c>
      <c r="F8180">
        <v>1</v>
      </c>
    </row>
    <row r="8181" spans="1:6" x14ac:dyDescent="0.25">
      <c r="A8181">
        <v>8180</v>
      </c>
      <c r="B8181">
        <v>42</v>
      </c>
      <c r="C8181">
        <v>0</v>
      </c>
      <c r="D8181">
        <v>0</v>
      </c>
      <c r="E8181">
        <v>0</v>
      </c>
      <c r="F8181">
        <v>0.2</v>
      </c>
    </row>
    <row r="8182" spans="1:6" x14ac:dyDescent="0.25">
      <c r="A8182">
        <v>8181</v>
      </c>
      <c r="B8182">
        <v>43</v>
      </c>
      <c r="C8182">
        <v>0</v>
      </c>
      <c r="D8182">
        <v>0</v>
      </c>
      <c r="E8182">
        <v>0</v>
      </c>
      <c r="F8182">
        <v>0</v>
      </c>
    </row>
    <row r="8183" spans="1:6" x14ac:dyDescent="0.25">
      <c r="A8183">
        <v>8182</v>
      </c>
      <c r="B8183" t="s">
        <v>0</v>
      </c>
      <c r="C8183">
        <v>152</v>
      </c>
      <c r="D8183">
        <v>3489</v>
      </c>
      <c r="E8183">
        <v>80242522</v>
      </c>
    </row>
    <row r="8184" spans="1:6" x14ac:dyDescent="0.25">
      <c r="A8184">
        <v>8183</v>
      </c>
      <c r="B8184">
        <v>45</v>
      </c>
      <c r="C8184">
        <v>0</v>
      </c>
      <c r="D8184">
        <v>0</v>
      </c>
      <c r="E8184">
        <v>0</v>
      </c>
      <c r="F8184">
        <v>528.83900000000006</v>
      </c>
    </row>
    <row r="8185" spans="1:6" x14ac:dyDescent="0.25">
      <c r="A8185">
        <v>8184</v>
      </c>
      <c r="B8185" t="s">
        <v>0</v>
      </c>
      <c r="C8185">
        <v>153</v>
      </c>
      <c r="D8185">
        <v>3489</v>
      </c>
      <c r="E8185">
        <v>80242639</v>
      </c>
    </row>
    <row r="8186" spans="1:6" x14ac:dyDescent="0.25">
      <c r="A8186">
        <v>8185</v>
      </c>
      <c r="B8186">
        <v>46</v>
      </c>
      <c r="C8186">
        <v>0</v>
      </c>
      <c r="D8186">
        <v>0</v>
      </c>
      <c r="E8186">
        <v>0</v>
      </c>
      <c r="F8186">
        <v>0</v>
      </c>
    </row>
    <row r="8187" spans="1:6" x14ac:dyDescent="0.25">
      <c r="A8187">
        <v>8186</v>
      </c>
      <c r="B8187">
        <v>2</v>
      </c>
      <c r="C8187">
        <v>0</v>
      </c>
      <c r="D8187">
        <v>0</v>
      </c>
      <c r="E8187">
        <v>0</v>
      </c>
      <c r="F8187">
        <v>285.64699999999999</v>
      </c>
    </row>
    <row r="8188" spans="1:6" x14ac:dyDescent="0.25">
      <c r="A8188">
        <v>8187</v>
      </c>
      <c r="B8188">
        <v>10</v>
      </c>
      <c r="C8188">
        <v>1</v>
      </c>
      <c r="D8188">
        <v>0</v>
      </c>
      <c r="E8188">
        <v>0</v>
      </c>
      <c r="F8188">
        <v>3790</v>
      </c>
    </row>
    <row r="8189" spans="1:6" x14ac:dyDescent="0.25">
      <c r="A8189">
        <v>8188</v>
      </c>
      <c r="B8189">
        <v>13</v>
      </c>
      <c r="C8189">
        <v>0</v>
      </c>
      <c r="D8189">
        <v>0</v>
      </c>
      <c r="E8189">
        <v>0</v>
      </c>
      <c r="F8189">
        <v>1605</v>
      </c>
    </row>
    <row r="8190" spans="1:6" x14ac:dyDescent="0.25">
      <c r="A8190">
        <v>8189</v>
      </c>
      <c r="B8190">
        <v>41</v>
      </c>
      <c r="C8190">
        <v>0</v>
      </c>
      <c r="D8190">
        <v>0</v>
      </c>
      <c r="E8190">
        <v>0</v>
      </c>
      <c r="F8190">
        <v>1</v>
      </c>
    </row>
    <row r="8191" spans="1:6" x14ac:dyDescent="0.25">
      <c r="A8191">
        <v>8190</v>
      </c>
      <c r="B8191" t="s">
        <v>0</v>
      </c>
      <c r="C8191">
        <v>156</v>
      </c>
      <c r="D8191">
        <v>3489</v>
      </c>
      <c r="E8191">
        <v>80242989</v>
      </c>
    </row>
    <row r="8192" spans="1:6" x14ac:dyDescent="0.25">
      <c r="A8192">
        <v>8191</v>
      </c>
      <c r="B8192">
        <v>43</v>
      </c>
      <c r="C8192">
        <v>0</v>
      </c>
      <c r="D8192">
        <v>0</v>
      </c>
      <c r="E8192">
        <v>0</v>
      </c>
      <c r="F8192">
        <v>0</v>
      </c>
    </row>
    <row r="8193" spans="1:6" x14ac:dyDescent="0.25">
      <c r="A8193">
        <v>8192</v>
      </c>
      <c r="B8193" t="s">
        <v>0</v>
      </c>
      <c r="C8193">
        <v>157</v>
      </c>
      <c r="D8193">
        <v>3489</v>
      </c>
      <c r="E8193">
        <v>80243106</v>
      </c>
    </row>
    <row r="8194" spans="1:6" x14ac:dyDescent="0.25">
      <c r="A8194">
        <v>8193</v>
      </c>
      <c r="B8194">
        <v>44</v>
      </c>
      <c r="C8194">
        <v>0</v>
      </c>
      <c r="D8194">
        <v>0</v>
      </c>
      <c r="E8194">
        <v>0</v>
      </c>
      <c r="F8194">
        <v>-108.845</v>
      </c>
    </row>
    <row r="8195" spans="1:6" x14ac:dyDescent="0.25">
      <c r="A8195">
        <v>8194</v>
      </c>
      <c r="B8195">
        <v>45</v>
      </c>
      <c r="C8195">
        <v>0</v>
      </c>
      <c r="D8195">
        <v>0</v>
      </c>
      <c r="E8195">
        <v>0</v>
      </c>
      <c r="F8195">
        <v>528.76199999999994</v>
      </c>
    </row>
    <row r="8196" spans="1:6" x14ac:dyDescent="0.25">
      <c r="A8196">
        <v>8195</v>
      </c>
      <c r="B8196">
        <v>46</v>
      </c>
      <c r="C8196">
        <v>0</v>
      </c>
      <c r="D8196">
        <v>0</v>
      </c>
      <c r="E8196">
        <v>0</v>
      </c>
      <c r="F8196">
        <v>0</v>
      </c>
    </row>
    <row r="8197" spans="1:6" x14ac:dyDescent="0.25">
      <c r="A8197">
        <v>8196</v>
      </c>
      <c r="B8197" t="s">
        <v>1</v>
      </c>
      <c r="C8197">
        <v>158</v>
      </c>
      <c r="D8197">
        <v>3489</v>
      </c>
      <c r="E8197">
        <v>80243306</v>
      </c>
    </row>
    <row r="8198" spans="1:6" x14ac:dyDescent="0.25">
      <c r="A8198">
        <v>8197</v>
      </c>
      <c r="B8198">
        <v>2</v>
      </c>
      <c r="C8198">
        <v>0</v>
      </c>
      <c r="D8198">
        <v>0</v>
      </c>
      <c r="E8198">
        <v>0</v>
      </c>
      <c r="F8198">
        <v>285.238</v>
      </c>
    </row>
    <row r="8199" spans="1:6" x14ac:dyDescent="0.25">
      <c r="A8199">
        <v>8198</v>
      </c>
      <c r="B8199">
        <v>10</v>
      </c>
      <c r="C8199">
        <v>1</v>
      </c>
      <c r="D8199">
        <v>0</v>
      </c>
      <c r="E8199">
        <v>0</v>
      </c>
      <c r="F8199">
        <v>3799</v>
      </c>
    </row>
    <row r="8200" spans="1:6" x14ac:dyDescent="0.25">
      <c r="A8200">
        <v>8199</v>
      </c>
      <c r="B8200" t="s">
        <v>0</v>
      </c>
      <c r="C8200">
        <v>160</v>
      </c>
      <c r="D8200">
        <v>3489</v>
      </c>
      <c r="E8200">
        <v>80243457</v>
      </c>
    </row>
    <row r="8201" spans="1:6" x14ac:dyDescent="0.25">
      <c r="A8201">
        <v>8200</v>
      </c>
      <c r="B8201">
        <v>41</v>
      </c>
      <c r="C8201">
        <v>0</v>
      </c>
      <c r="D8201">
        <v>0</v>
      </c>
      <c r="E8201">
        <v>0</v>
      </c>
      <c r="F8201">
        <v>1</v>
      </c>
    </row>
    <row r="8202" spans="1:6" x14ac:dyDescent="0.25">
      <c r="A8202">
        <v>8201</v>
      </c>
      <c r="B8202" t="s">
        <v>0</v>
      </c>
      <c r="C8202">
        <v>161</v>
      </c>
      <c r="D8202">
        <v>3489</v>
      </c>
      <c r="E8202">
        <v>80243574</v>
      </c>
    </row>
    <row r="8203" spans="1:6" x14ac:dyDescent="0.25">
      <c r="A8203">
        <v>8202</v>
      </c>
      <c r="B8203">
        <v>42</v>
      </c>
      <c r="C8203">
        <v>0</v>
      </c>
      <c r="D8203">
        <v>0</v>
      </c>
      <c r="E8203">
        <v>0</v>
      </c>
      <c r="F8203">
        <v>0.2</v>
      </c>
    </row>
    <row r="8204" spans="1:6" x14ac:dyDescent="0.25">
      <c r="A8204">
        <v>8203</v>
      </c>
      <c r="B8204">
        <v>43</v>
      </c>
      <c r="C8204">
        <v>0</v>
      </c>
      <c r="D8204">
        <v>0</v>
      </c>
      <c r="E8204">
        <v>0</v>
      </c>
      <c r="F8204">
        <v>0</v>
      </c>
    </row>
    <row r="8205" spans="1:6" x14ac:dyDescent="0.25">
      <c r="A8205">
        <v>8204</v>
      </c>
      <c r="B8205">
        <v>44</v>
      </c>
      <c r="C8205">
        <v>0</v>
      </c>
      <c r="D8205">
        <v>0</v>
      </c>
      <c r="E8205">
        <v>0</v>
      </c>
      <c r="F8205">
        <v>-108.32</v>
      </c>
    </row>
    <row r="8206" spans="1:6" x14ac:dyDescent="0.25">
      <c r="A8206">
        <v>8205</v>
      </c>
      <c r="B8206">
        <v>45</v>
      </c>
      <c r="C8206">
        <v>0</v>
      </c>
      <c r="D8206">
        <v>0</v>
      </c>
      <c r="E8206">
        <v>0</v>
      </c>
      <c r="F8206">
        <v>528.68499999999995</v>
      </c>
    </row>
    <row r="8207" spans="1:6" x14ac:dyDescent="0.25">
      <c r="A8207">
        <v>8206</v>
      </c>
      <c r="B8207">
        <v>46</v>
      </c>
      <c r="C8207">
        <v>0</v>
      </c>
      <c r="D8207">
        <v>0</v>
      </c>
      <c r="E8207">
        <v>0</v>
      </c>
      <c r="F8207">
        <v>0</v>
      </c>
    </row>
    <row r="8208" spans="1:6" x14ac:dyDescent="0.25">
      <c r="A8208">
        <v>8207</v>
      </c>
      <c r="B8208" t="s">
        <v>0</v>
      </c>
      <c r="C8208">
        <v>164</v>
      </c>
      <c r="D8208">
        <v>3489</v>
      </c>
      <c r="E8208">
        <v>80243926</v>
      </c>
    </row>
    <row r="8209" spans="1:6" x14ac:dyDescent="0.25">
      <c r="A8209">
        <v>8208</v>
      </c>
      <c r="B8209">
        <v>10</v>
      </c>
      <c r="C8209">
        <v>1</v>
      </c>
      <c r="D8209">
        <v>0</v>
      </c>
      <c r="E8209">
        <v>0</v>
      </c>
      <c r="F8209">
        <v>3807</v>
      </c>
    </row>
    <row r="8210" spans="1:6" x14ac:dyDescent="0.25">
      <c r="A8210">
        <v>8209</v>
      </c>
      <c r="B8210" t="s">
        <v>0</v>
      </c>
      <c r="C8210">
        <v>165</v>
      </c>
      <c r="D8210">
        <v>3489</v>
      </c>
      <c r="E8210">
        <v>80244043</v>
      </c>
    </row>
    <row r="8211" spans="1:6" x14ac:dyDescent="0.25">
      <c r="A8211">
        <v>8210</v>
      </c>
      <c r="B8211">
        <v>13</v>
      </c>
      <c r="C8211">
        <v>0</v>
      </c>
      <c r="D8211">
        <v>0</v>
      </c>
      <c r="E8211">
        <v>0</v>
      </c>
      <c r="F8211">
        <v>1606</v>
      </c>
    </row>
    <row r="8212" spans="1:6" x14ac:dyDescent="0.25">
      <c r="A8212">
        <v>8211</v>
      </c>
      <c r="B8212">
        <v>41</v>
      </c>
      <c r="C8212">
        <v>0</v>
      </c>
      <c r="D8212">
        <v>0</v>
      </c>
      <c r="E8212">
        <v>0</v>
      </c>
      <c r="F8212">
        <v>1</v>
      </c>
    </row>
    <row r="8213" spans="1:6" x14ac:dyDescent="0.25">
      <c r="A8213">
        <v>8212</v>
      </c>
      <c r="B8213" t="s">
        <v>0</v>
      </c>
      <c r="C8213">
        <v>166</v>
      </c>
      <c r="D8213">
        <v>3489</v>
      </c>
      <c r="E8213">
        <v>80244160</v>
      </c>
    </row>
    <row r="8214" spans="1:6" x14ac:dyDescent="0.25">
      <c r="A8214">
        <v>8213</v>
      </c>
      <c r="B8214">
        <v>42</v>
      </c>
      <c r="C8214">
        <v>0</v>
      </c>
      <c r="D8214">
        <v>0</v>
      </c>
      <c r="E8214">
        <v>0</v>
      </c>
      <c r="F8214">
        <v>0.2</v>
      </c>
    </row>
    <row r="8215" spans="1:6" x14ac:dyDescent="0.25">
      <c r="A8215">
        <v>8214</v>
      </c>
      <c r="B8215">
        <v>43</v>
      </c>
      <c r="C8215">
        <v>0</v>
      </c>
      <c r="D8215">
        <v>0</v>
      </c>
      <c r="E8215">
        <v>0</v>
      </c>
      <c r="F8215">
        <v>0</v>
      </c>
    </row>
    <row r="8216" spans="1:6" x14ac:dyDescent="0.25">
      <c r="A8216">
        <v>8215</v>
      </c>
      <c r="B8216">
        <v>44</v>
      </c>
      <c r="C8216">
        <v>0</v>
      </c>
      <c r="D8216">
        <v>0</v>
      </c>
      <c r="E8216">
        <v>0</v>
      </c>
      <c r="F8216">
        <v>-107.773</v>
      </c>
    </row>
    <row r="8217" spans="1:6" x14ac:dyDescent="0.25">
      <c r="A8217">
        <v>8216</v>
      </c>
      <c r="B8217" t="s">
        <v>0</v>
      </c>
      <c r="C8217">
        <v>168</v>
      </c>
      <c r="D8217">
        <v>3489</v>
      </c>
      <c r="E8217">
        <v>80244394</v>
      </c>
    </row>
    <row r="8218" spans="1:6" x14ac:dyDescent="0.25">
      <c r="A8218">
        <v>8217</v>
      </c>
      <c r="B8218">
        <v>46</v>
      </c>
      <c r="C8218">
        <v>0</v>
      </c>
      <c r="D8218">
        <v>0</v>
      </c>
      <c r="E8218">
        <v>0</v>
      </c>
      <c r="F8218">
        <v>0</v>
      </c>
    </row>
    <row r="8219" spans="1:6" x14ac:dyDescent="0.25">
      <c r="A8219">
        <v>8218</v>
      </c>
      <c r="B8219" t="s">
        <v>0</v>
      </c>
      <c r="C8219">
        <v>169</v>
      </c>
      <c r="D8219">
        <v>3489</v>
      </c>
      <c r="E8219">
        <v>80244512</v>
      </c>
    </row>
    <row r="8220" spans="1:6" x14ac:dyDescent="0.25">
      <c r="A8220">
        <v>8219</v>
      </c>
      <c r="B8220">
        <v>2</v>
      </c>
      <c r="C8220">
        <v>0</v>
      </c>
      <c r="D8220">
        <v>0</v>
      </c>
      <c r="E8220">
        <v>0</v>
      </c>
      <c r="F8220">
        <v>284.351</v>
      </c>
    </row>
    <row r="8221" spans="1:6" x14ac:dyDescent="0.25">
      <c r="A8221">
        <v>8220</v>
      </c>
      <c r="B8221">
        <v>10</v>
      </c>
      <c r="C8221">
        <v>1</v>
      </c>
      <c r="D8221">
        <v>0</v>
      </c>
      <c r="E8221">
        <v>0</v>
      </c>
      <c r="F8221">
        <v>3814</v>
      </c>
    </row>
    <row r="8222" spans="1:6" x14ac:dyDescent="0.25">
      <c r="A8222">
        <v>8221</v>
      </c>
      <c r="B8222" t="s">
        <v>0</v>
      </c>
      <c r="C8222">
        <v>170</v>
      </c>
      <c r="D8222">
        <v>3489</v>
      </c>
      <c r="E8222">
        <v>80244630</v>
      </c>
    </row>
    <row r="8223" spans="1:6" x14ac:dyDescent="0.25">
      <c r="A8223">
        <v>8222</v>
      </c>
      <c r="B8223">
        <v>13</v>
      </c>
      <c r="C8223">
        <v>0</v>
      </c>
      <c r="D8223">
        <v>0</v>
      </c>
      <c r="E8223">
        <v>0</v>
      </c>
      <c r="F8223">
        <v>1606</v>
      </c>
    </row>
    <row r="8224" spans="1:6" x14ac:dyDescent="0.25">
      <c r="A8224">
        <v>8223</v>
      </c>
      <c r="B8224">
        <v>41</v>
      </c>
      <c r="C8224">
        <v>0</v>
      </c>
      <c r="D8224">
        <v>0</v>
      </c>
      <c r="E8224">
        <v>0</v>
      </c>
      <c r="F8224">
        <v>1</v>
      </c>
    </row>
    <row r="8225" spans="1:6" x14ac:dyDescent="0.25">
      <c r="A8225">
        <v>8224</v>
      </c>
      <c r="B8225">
        <v>42</v>
      </c>
      <c r="C8225">
        <v>0</v>
      </c>
      <c r="D8225">
        <v>0</v>
      </c>
      <c r="E8225">
        <v>0</v>
      </c>
      <c r="F8225">
        <v>0.2</v>
      </c>
    </row>
    <row r="8226" spans="1:6" x14ac:dyDescent="0.25">
      <c r="A8226">
        <v>8225</v>
      </c>
      <c r="B8226" t="s">
        <v>0</v>
      </c>
      <c r="C8226">
        <v>172</v>
      </c>
      <c r="D8226">
        <v>3489</v>
      </c>
      <c r="E8226">
        <v>80244866</v>
      </c>
    </row>
    <row r="8227" spans="1:6" x14ac:dyDescent="0.25">
      <c r="A8227">
        <v>8226</v>
      </c>
      <c r="B8227">
        <v>44</v>
      </c>
      <c r="C8227">
        <v>0</v>
      </c>
      <c r="D8227">
        <v>0</v>
      </c>
      <c r="E8227">
        <v>0</v>
      </c>
      <c r="F8227">
        <v>-107.23099999999999</v>
      </c>
    </row>
    <row r="8228" spans="1:6" x14ac:dyDescent="0.25">
      <c r="A8228">
        <v>8227</v>
      </c>
      <c r="B8228" t="s">
        <v>0</v>
      </c>
      <c r="C8228">
        <v>173</v>
      </c>
      <c r="D8228">
        <v>3489</v>
      </c>
      <c r="E8228">
        <v>80244984</v>
      </c>
    </row>
    <row r="8229" spans="1:6" x14ac:dyDescent="0.25">
      <c r="A8229">
        <v>8228</v>
      </c>
      <c r="B8229">
        <v>46</v>
      </c>
      <c r="C8229">
        <v>0</v>
      </c>
      <c r="D8229">
        <v>0</v>
      </c>
      <c r="E8229">
        <v>0</v>
      </c>
      <c r="F8229">
        <v>0</v>
      </c>
    </row>
    <row r="8230" spans="1:6" x14ac:dyDescent="0.25">
      <c r="A8230">
        <v>8229</v>
      </c>
      <c r="B8230" t="s">
        <v>0</v>
      </c>
      <c r="C8230">
        <v>174</v>
      </c>
      <c r="D8230">
        <v>3489</v>
      </c>
      <c r="E8230">
        <v>80245102</v>
      </c>
    </row>
    <row r="8231" spans="1:6" x14ac:dyDescent="0.25">
      <c r="A8231">
        <v>8230</v>
      </c>
      <c r="B8231">
        <v>2</v>
      </c>
      <c r="C8231">
        <v>0</v>
      </c>
      <c r="D8231">
        <v>0</v>
      </c>
      <c r="E8231">
        <v>0</v>
      </c>
      <c r="F8231">
        <v>283.95</v>
      </c>
    </row>
    <row r="8232" spans="1:6" x14ac:dyDescent="0.25">
      <c r="A8232">
        <v>8231</v>
      </c>
      <c r="B8232">
        <v>10</v>
      </c>
      <c r="C8232">
        <v>1</v>
      </c>
      <c r="D8232">
        <v>0</v>
      </c>
      <c r="E8232">
        <v>0</v>
      </c>
      <c r="F8232">
        <v>3822</v>
      </c>
    </row>
    <row r="8233" spans="1:6" x14ac:dyDescent="0.25">
      <c r="A8233">
        <v>8232</v>
      </c>
      <c r="B8233">
        <v>13</v>
      </c>
      <c r="C8233">
        <v>0</v>
      </c>
      <c r="D8233">
        <v>0</v>
      </c>
      <c r="E8233">
        <v>0</v>
      </c>
      <c r="F8233">
        <v>1606</v>
      </c>
    </row>
    <row r="8234" spans="1:6" x14ac:dyDescent="0.25">
      <c r="A8234">
        <v>8233</v>
      </c>
      <c r="B8234" t="s">
        <v>0</v>
      </c>
      <c r="C8234">
        <v>176</v>
      </c>
      <c r="D8234">
        <v>3489</v>
      </c>
      <c r="E8234">
        <v>80245336</v>
      </c>
    </row>
    <row r="8235" spans="1:6" x14ac:dyDescent="0.25">
      <c r="A8235">
        <v>8234</v>
      </c>
      <c r="B8235">
        <v>42</v>
      </c>
      <c r="C8235">
        <v>0</v>
      </c>
      <c r="D8235">
        <v>0</v>
      </c>
      <c r="E8235">
        <v>0</v>
      </c>
      <c r="F8235">
        <v>0.2</v>
      </c>
    </row>
    <row r="8236" spans="1:6" x14ac:dyDescent="0.25">
      <c r="A8236">
        <v>8235</v>
      </c>
      <c r="B8236" t="s">
        <v>0</v>
      </c>
      <c r="C8236">
        <v>177</v>
      </c>
      <c r="D8236">
        <v>3489</v>
      </c>
      <c r="E8236">
        <v>80245453</v>
      </c>
    </row>
    <row r="8237" spans="1:6" x14ac:dyDescent="0.25">
      <c r="A8237">
        <v>8236</v>
      </c>
      <c r="B8237">
        <v>44</v>
      </c>
      <c r="C8237">
        <v>0</v>
      </c>
      <c r="D8237">
        <v>0</v>
      </c>
      <c r="E8237">
        <v>0</v>
      </c>
      <c r="F8237">
        <v>-106.67</v>
      </c>
    </row>
    <row r="8238" spans="1:6" x14ac:dyDescent="0.25">
      <c r="A8238">
        <v>8237</v>
      </c>
      <c r="B8238" t="s">
        <v>0</v>
      </c>
      <c r="C8238">
        <v>178</v>
      </c>
      <c r="D8238">
        <v>3489</v>
      </c>
      <c r="E8238">
        <v>80245571</v>
      </c>
    </row>
    <row r="8239" spans="1:6" x14ac:dyDescent="0.25">
      <c r="A8239">
        <v>8238</v>
      </c>
      <c r="B8239">
        <v>45</v>
      </c>
      <c r="C8239">
        <v>0</v>
      </c>
      <c r="D8239">
        <v>0</v>
      </c>
      <c r="E8239">
        <v>0</v>
      </c>
      <c r="F8239">
        <v>528.44200000000001</v>
      </c>
    </row>
    <row r="8240" spans="1:6" x14ac:dyDescent="0.25">
      <c r="A8240">
        <v>8239</v>
      </c>
      <c r="B8240">
        <v>46</v>
      </c>
      <c r="C8240">
        <v>0</v>
      </c>
      <c r="D8240">
        <v>0</v>
      </c>
      <c r="E8240">
        <v>0</v>
      </c>
      <c r="F8240">
        <v>0</v>
      </c>
    </row>
    <row r="8241" spans="1:6" x14ac:dyDescent="0.25">
      <c r="A8241">
        <v>8240</v>
      </c>
      <c r="B8241">
        <v>2</v>
      </c>
      <c r="C8241">
        <v>0</v>
      </c>
      <c r="D8241">
        <v>0</v>
      </c>
      <c r="E8241">
        <v>0</v>
      </c>
      <c r="F8241">
        <v>283.64600000000002</v>
      </c>
    </row>
    <row r="8242" spans="1:6" x14ac:dyDescent="0.25">
      <c r="A8242">
        <v>8241</v>
      </c>
      <c r="B8242">
        <v>10</v>
      </c>
      <c r="C8242">
        <v>1</v>
      </c>
      <c r="D8242">
        <v>0</v>
      </c>
      <c r="E8242">
        <v>0</v>
      </c>
      <c r="F8242">
        <v>3828</v>
      </c>
    </row>
    <row r="8243" spans="1:6" x14ac:dyDescent="0.25">
      <c r="A8243">
        <v>8242</v>
      </c>
      <c r="B8243">
        <v>13</v>
      </c>
      <c r="C8243">
        <v>0</v>
      </c>
      <c r="D8243">
        <v>0</v>
      </c>
      <c r="E8243">
        <v>0</v>
      </c>
      <c r="F8243">
        <v>1606</v>
      </c>
    </row>
    <row r="8244" spans="1:6" x14ac:dyDescent="0.25">
      <c r="A8244">
        <v>8243</v>
      </c>
      <c r="B8244" t="s">
        <v>0</v>
      </c>
      <c r="C8244">
        <v>1</v>
      </c>
      <c r="D8244">
        <v>3490</v>
      </c>
      <c r="E8244">
        <v>80245925</v>
      </c>
    </row>
    <row r="8245" spans="1:6" x14ac:dyDescent="0.25">
      <c r="A8245">
        <v>8244</v>
      </c>
      <c r="B8245">
        <v>42</v>
      </c>
      <c r="C8245">
        <v>0</v>
      </c>
      <c r="D8245">
        <v>0</v>
      </c>
      <c r="E8245">
        <v>0</v>
      </c>
      <c r="F8245">
        <v>0.2</v>
      </c>
    </row>
    <row r="8246" spans="1:6" x14ac:dyDescent="0.25">
      <c r="A8246">
        <v>8245</v>
      </c>
      <c r="B8246" t="s">
        <v>0</v>
      </c>
      <c r="C8246">
        <v>2</v>
      </c>
      <c r="D8246">
        <v>3490</v>
      </c>
      <c r="E8246">
        <v>80246043</v>
      </c>
    </row>
    <row r="8247" spans="1:6" x14ac:dyDescent="0.25">
      <c r="A8247">
        <v>8246</v>
      </c>
      <c r="B8247">
        <v>43</v>
      </c>
      <c r="C8247">
        <v>0</v>
      </c>
      <c r="D8247">
        <v>0</v>
      </c>
      <c r="E8247">
        <v>0</v>
      </c>
      <c r="F8247">
        <v>0</v>
      </c>
    </row>
    <row r="8248" spans="1:6" x14ac:dyDescent="0.25">
      <c r="A8248">
        <v>8247</v>
      </c>
      <c r="B8248">
        <v>44</v>
      </c>
      <c r="C8248">
        <v>0</v>
      </c>
      <c r="D8248">
        <v>0</v>
      </c>
      <c r="E8248">
        <v>0</v>
      </c>
      <c r="F8248">
        <v>-106.273</v>
      </c>
    </row>
    <row r="8249" spans="1:6" x14ac:dyDescent="0.25">
      <c r="A8249">
        <v>8248</v>
      </c>
      <c r="B8249" t="s">
        <v>0</v>
      </c>
      <c r="C8249">
        <v>3</v>
      </c>
      <c r="D8249">
        <v>3490</v>
      </c>
      <c r="E8249">
        <v>80246161</v>
      </c>
    </row>
    <row r="8250" spans="1:6" x14ac:dyDescent="0.25">
      <c r="A8250">
        <v>8249</v>
      </c>
      <c r="B8250">
        <v>45</v>
      </c>
      <c r="C8250">
        <v>0</v>
      </c>
      <c r="D8250">
        <v>0</v>
      </c>
      <c r="E8250">
        <v>0</v>
      </c>
      <c r="F8250">
        <v>528.39700000000005</v>
      </c>
    </row>
    <row r="8251" spans="1:6" x14ac:dyDescent="0.25">
      <c r="A8251">
        <v>8250</v>
      </c>
      <c r="B8251">
        <v>46</v>
      </c>
      <c r="C8251">
        <v>0</v>
      </c>
      <c r="D8251">
        <v>0</v>
      </c>
      <c r="E8251">
        <v>0</v>
      </c>
      <c r="F8251">
        <v>0</v>
      </c>
    </row>
    <row r="8252" spans="1:6" x14ac:dyDescent="0.25">
      <c r="A8252">
        <v>8251</v>
      </c>
      <c r="B8252">
        <v>2</v>
      </c>
      <c r="C8252">
        <v>0</v>
      </c>
      <c r="D8252">
        <v>0</v>
      </c>
      <c r="E8252">
        <v>0</v>
      </c>
      <c r="F8252">
        <v>283.30900000000003</v>
      </c>
    </row>
    <row r="8253" spans="1:6" x14ac:dyDescent="0.25">
      <c r="A8253">
        <v>8252</v>
      </c>
      <c r="B8253" t="s">
        <v>0</v>
      </c>
      <c r="C8253">
        <v>5</v>
      </c>
      <c r="D8253">
        <v>3490</v>
      </c>
      <c r="E8253">
        <v>80246397</v>
      </c>
    </row>
    <row r="8254" spans="1:6" x14ac:dyDescent="0.25">
      <c r="A8254">
        <v>8253</v>
      </c>
      <c r="B8254">
        <v>13</v>
      </c>
      <c r="C8254">
        <v>0</v>
      </c>
      <c r="D8254">
        <v>0</v>
      </c>
      <c r="E8254">
        <v>0</v>
      </c>
      <c r="F8254">
        <v>1606</v>
      </c>
    </row>
    <row r="8255" spans="1:6" x14ac:dyDescent="0.25">
      <c r="A8255">
        <v>8254</v>
      </c>
      <c r="B8255" t="s">
        <v>0</v>
      </c>
      <c r="C8255">
        <v>6</v>
      </c>
      <c r="D8255">
        <v>3490</v>
      </c>
      <c r="E8255">
        <v>80246515</v>
      </c>
    </row>
    <row r="8256" spans="1:6" x14ac:dyDescent="0.25">
      <c r="A8256">
        <v>8255</v>
      </c>
      <c r="B8256">
        <v>42</v>
      </c>
      <c r="C8256">
        <v>0</v>
      </c>
      <c r="D8256">
        <v>0</v>
      </c>
      <c r="E8256">
        <v>0</v>
      </c>
      <c r="F8256">
        <v>0.2</v>
      </c>
    </row>
    <row r="8257" spans="1:6" x14ac:dyDescent="0.25">
      <c r="A8257">
        <v>8256</v>
      </c>
      <c r="B8257" t="s">
        <v>0</v>
      </c>
      <c r="C8257">
        <v>7</v>
      </c>
      <c r="D8257">
        <v>3490</v>
      </c>
      <c r="E8257">
        <v>80246632</v>
      </c>
    </row>
    <row r="8258" spans="1:6" x14ac:dyDescent="0.25">
      <c r="A8258">
        <v>8257</v>
      </c>
      <c r="B8258">
        <v>43</v>
      </c>
      <c r="C8258">
        <v>0</v>
      </c>
      <c r="D8258">
        <v>0</v>
      </c>
      <c r="E8258">
        <v>0</v>
      </c>
      <c r="F8258">
        <v>0</v>
      </c>
    </row>
    <row r="8259" spans="1:6" x14ac:dyDescent="0.25">
      <c r="A8259">
        <v>8258</v>
      </c>
      <c r="B8259">
        <v>44</v>
      </c>
      <c r="C8259">
        <v>0</v>
      </c>
      <c r="D8259">
        <v>0</v>
      </c>
      <c r="E8259">
        <v>0</v>
      </c>
      <c r="F8259">
        <v>-105.752</v>
      </c>
    </row>
    <row r="8260" spans="1:6" x14ac:dyDescent="0.25">
      <c r="A8260">
        <v>8259</v>
      </c>
      <c r="B8260">
        <v>45</v>
      </c>
      <c r="C8260">
        <v>0</v>
      </c>
      <c r="D8260">
        <v>0</v>
      </c>
      <c r="E8260">
        <v>0</v>
      </c>
      <c r="F8260">
        <v>528.322</v>
      </c>
    </row>
    <row r="8261" spans="1:6" x14ac:dyDescent="0.25">
      <c r="A8261">
        <v>8260</v>
      </c>
      <c r="B8261" t="s">
        <v>0</v>
      </c>
      <c r="C8261">
        <v>9</v>
      </c>
      <c r="D8261">
        <v>3490</v>
      </c>
      <c r="E8261">
        <v>80246868</v>
      </c>
    </row>
    <row r="8262" spans="1:6" x14ac:dyDescent="0.25">
      <c r="A8262">
        <v>8261</v>
      </c>
      <c r="B8262">
        <v>2</v>
      </c>
      <c r="C8262">
        <v>0</v>
      </c>
      <c r="D8262">
        <v>0</v>
      </c>
      <c r="E8262">
        <v>0</v>
      </c>
      <c r="F8262">
        <v>282.94</v>
      </c>
    </row>
    <row r="8263" spans="1:6" x14ac:dyDescent="0.25">
      <c r="A8263">
        <v>8262</v>
      </c>
      <c r="B8263" t="s">
        <v>0</v>
      </c>
      <c r="C8263">
        <v>10</v>
      </c>
      <c r="D8263">
        <v>3490</v>
      </c>
      <c r="E8263">
        <v>80246986</v>
      </c>
    </row>
    <row r="8264" spans="1:6" x14ac:dyDescent="0.25">
      <c r="A8264">
        <v>8263</v>
      </c>
      <c r="B8264">
        <v>13</v>
      </c>
      <c r="C8264">
        <v>0</v>
      </c>
      <c r="D8264">
        <v>0</v>
      </c>
      <c r="E8264">
        <v>0</v>
      </c>
      <c r="F8264">
        <v>1606</v>
      </c>
    </row>
    <row r="8265" spans="1:6" x14ac:dyDescent="0.25">
      <c r="A8265">
        <v>8264</v>
      </c>
      <c r="B8265" t="s">
        <v>0</v>
      </c>
      <c r="C8265">
        <v>11</v>
      </c>
      <c r="D8265">
        <v>3490</v>
      </c>
      <c r="E8265">
        <v>80247104</v>
      </c>
    </row>
    <row r="8266" spans="1:6" x14ac:dyDescent="0.25">
      <c r="A8266">
        <v>8265</v>
      </c>
      <c r="B8266">
        <v>41</v>
      </c>
      <c r="C8266">
        <v>0</v>
      </c>
      <c r="D8266">
        <v>0</v>
      </c>
      <c r="E8266">
        <v>0</v>
      </c>
      <c r="F8266">
        <v>1</v>
      </c>
    </row>
    <row r="8267" spans="1:6" x14ac:dyDescent="0.25">
      <c r="A8267">
        <v>8266</v>
      </c>
      <c r="B8267">
        <v>42</v>
      </c>
      <c r="C8267">
        <v>0</v>
      </c>
      <c r="D8267">
        <v>0</v>
      </c>
      <c r="E8267">
        <v>0</v>
      </c>
      <c r="F8267">
        <v>0.2</v>
      </c>
    </row>
    <row r="8268" spans="1:6" x14ac:dyDescent="0.25">
      <c r="A8268">
        <v>8267</v>
      </c>
      <c r="B8268">
        <v>43</v>
      </c>
      <c r="C8268">
        <v>0</v>
      </c>
      <c r="D8268">
        <v>0</v>
      </c>
      <c r="E8268">
        <v>0</v>
      </c>
      <c r="F8268">
        <v>0</v>
      </c>
    </row>
    <row r="8269" spans="1:6" x14ac:dyDescent="0.25">
      <c r="A8269">
        <v>8268</v>
      </c>
      <c r="B8269">
        <v>44</v>
      </c>
      <c r="C8269">
        <v>0</v>
      </c>
      <c r="D8269">
        <v>0</v>
      </c>
      <c r="E8269">
        <v>0</v>
      </c>
      <c r="F8269">
        <v>-105.218</v>
      </c>
    </row>
    <row r="8270" spans="1:6" x14ac:dyDescent="0.25">
      <c r="A8270">
        <v>8269</v>
      </c>
      <c r="B8270">
        <v>45</v>
      </c>
      <c r="C8270">
        <v>0</v>
      </c>
      <c r="D8270">
        <v>0</v>
      </c>
      <c r="E8270">
        <v>0</v>
      </c>
      <c r="F8270">
        <v>528.24699999999996</v>
      </c>
    </row>
    <row r="8271" spans="1:6" x14ac:dyDescent="0.25">
      <c r="A8271">
        <v>8270</v>
      </c>
      <c r="B8271" t="s">
        <v>0</v>
      </c>
      <c r="C8271">
        <v>14</v>
      </c>
      <c r="D8271">
        <v>3490</v>
      </c>
      <c r="E8271">
        <v>80247459</v>
      </c>
    </row>
    <row r="8272" spans="1:6" x14ac:dyDescent="0.25">
      <c r="A8272">
        <v>8271</v>
      </c>
      <c r="B8272">
        <v>2</v>
      </c>
      <c r="C8272">
        <v>0</v>
      </c>
      <c r="D8272">
        <v>0</v>
      </c>
      <c r="E8272">
        <v>0</v>
      </c>
      <c r="F8272">
        <v>282.58100000000002</v>
      </c>
    </row>
    <row r="8273" spans="1:6" x14ac:dyDescent="0.25">
      <c r="A8273">
        <v>8272</v>
      </c>
      <c r="B8273" t="s">
        <v>0</v>
      </c>
      <c r="C8273">
        <v>15</v>
      </c>
      <c r="D8273">
        <v>3490</v>
      </c>
      <c r="E8273">
        <v>80247577</v>
      </c>
    </row>
    <row r="8274" spans="1:6" x14ac:dyDescent="0.25">
      <c r="A8274">
        <v>8273</v>
      </c>
      <c r="B8274">
        <v>10</v>
      </c>
      <c r="C8274">
        <v>1</v>
      </c>
      <c r="D8274">
        <v>0</v>
      </c>
      <c r="E8274">
        <v>0</v>
      </c>
      <c r="F8274">
        <v>3849</v>
      </c>
    </row>
    <row r="8275" spans="1:6" x14ac:dyDescent="0.25">
      <c r="A8275">
        <v>8274</v>
      </c>
      <c r="B8275">
        <v>13</v>
      </c>
      <c r="C8275">
        <v>0</v>
      </c>
      <c r="D8275">
        <v>0</v>
      </c>
      <c r="E8275">
        <v>0</v>
      </c>
      <c r="F8275">
        <v>1606</v>
      </c>
    </row>
    <row r="8276" spans="1:6" x14ac:dyDescent="0.25">
      <c r="A8276">
        <v>8275</v>
      </c>
      <c r="B8276">
        <v>41</v>
      </c>
      <c r="C8276">
        <v>0</v>
      </c>
      <c r="D8276">
        <v>0</v>
      </c>
      <c r="E8276">
        <v>0</v>
      </c>
      <c r="F8276">
        <v>1</v>
      </c>
    </row>
    <row r="8277" spans="1:6" x14ac:dyDescent="0.25">
      <c r="A8277">
        <v>8276</v>
      </c>
      <c r="B8277">
        <v>42</v>
      </c>
      <c r="C8277">
        <v>0</v>
      </c>
      <c r="D8277">
        <v>0</v>
      </c>
      <c r="E8277">
        <v>0</v>
      </c>
      <c r="F8277">
        <v>0.2</v>
      </c>
    </row>
    <row r="8278" spans="1:6" x14ac:dyDescent="0.25">
      <c r="A8278">
        <v>8277</v>
      </c>
      <c r="B8278">
        <v>43</v>
      </c>
      <c r="C8278">
        <v>0</v>
      </c>
      <c r="D8278">
        <v>0</v>
      </c>
      <c r="E8278">
        <v>0</v>
      </c>
      <c r="F8278">
        <v>0</v>
      </c>
    </row>
    <row r="8279" spans="1:6" x14ac:dyDescent="0.25">
      <c r="A8279">
        <v>8278</v>
      </c>
      <c r="B8279" t="s">
        <v>0</v>
      </c>
      <c r="C8279">
        <v>18</v>
      </c>
      <c r="D8279">
        <v>3490</v>
      </c>
      <c r="E8279">
        <v>80247932</v>
      </c>
    </row>
    <row r="8280" spans="1:6" x14ac:dyDescent="0.25">
      <c r="A8280">
        <v>8279</v>
      </c>
      <c r="B8280">
        <v>45</v>
      </c>
      <c r="C8280">
        <v>0</v>
      </c>
      <c r="D8280">
        <v>0</v>
      </c>
      <c r="E8280">
        <v>0</v>
      </c>
      <c r="F8280">
        <v>528.17200000000003</v>
      </c>
    </row>
    <row r="8281" spans="1:6" x14ac:dyDescent="0.25">
      <c r="A8281">
        <v>8280</v>
      </c>
      <c r="B8281" t="s">
        <v>0</v>
      </c>
      <c r="C8281">
        <v>19</v>
      </c>
      <c r="D8281">
        <v>3490</v>
      </c>
      <c r="E8281">
        <v>80248050</v>
      </c>
    </row>
    <row r="8282" spans="1:6" x14ac:dyDescent="0.25">
      <c r="A8282">
        <v>8281</v>
      </c>
      <c r="B8282">
        <v>46</v>
      </c>
      <c r="C8282">
        <v>0</v>
      </c>
      <c r="D8282">
        <v>0</v>
      </c>
      <c r="E8282">
        <v>0</v>
      </c>
      <c r="F8282">
        <v>0</v>
      </c>
    </row>
    <row r="8283" spans="1:6" x14ac:dyDescent="0.25">
      <c r="A8283">
        <v>8282</v>
      </c>
      <c r="B8283">
        <v>2</v>
      </c>
      <c r="C8283">
        <v>0</v>
      </c>
      <c r="D8283">
        <v>0</v>
      </c>
      <c r="E8283">
        <v>0</v>
      </c>
      <c r="F8283">
        <v>282.226</v>
      </c>
    </row>
    <row r="8284" spans="1:6" x14ac:dyDescent="0.25">
      <c r="A8284">
        <v>8283</v>
      </c>
      <c r="B8284" t="s">
        <v>0</v>
      </c>
      <c r="C8284">
        <v>20</v>
      </c>
      <c r="D8284">
        <v>3490</v>
      </c>
      <c r="E8284">
        <v>80248168</v>
      </c>
    </row>
    <row r="8285" spans="1:6" x14ac:dyDescent="0.25">
      <c r="A8285">
        <v>8284</v>
      </c>
      <c r="B8285">
        <v>10</v>
      </c>
      <c r="C8285">
        <v>1</v>
      </c>
      <c r="D8285">
        <v>0</v>
      </c>
      <c r="E8285">
        <v>0</v>
      </c>
      <c r="F8285">
        <v>3856</v>
      </c>
    </row>
    <row r="8286" spans="1:6" x14ac:dyDescent="0.25">
      <c r="A8286">
        <v>8285</v>
      </c>
      <c r="B8286">
        <v>13</v>
      </c>
      <c r="C8286">
        <v>0</v>
      </c>
      <c r="D8286">
        <v>0</v>
      </c>
      <c r="E8286">
        <v>0</v>
      </c>
      <c r="F8286">
        <v>1606</v>
      </c>
    </row>
    <row r="8287" spans="1:6" x14ac:dyDescent="0.25">
      <c r="A8287">
        <v>8286</v>
      </c>
      <c r="B8287">
        <v>41</v>
      </c>
      <c r="C8287">
        <v>0</v>
      </c>
      <c r="D8287">
        <v>0</v>
      </c>
      <c r="E8287">
        <v>0</v>
      </c>
      <c r="F8287">
        <v>1</v>
      </c>
    </row>
    <row r="8288" spans="1:6" x14ac:dyDescent="0.25">
      <c r="A8288">
        <v>8287</v>
      </c>
      <c r="B8288" t="s">
        <v>0</v>
      </c>
      <c r="C8288">
        <v>22</v>
      </c>
      <c r="D8288">
        <v>3490</v>
      </c>
      <c r="E8288">
        <v>80248405</v>
      </c>
    </row>
    <row r="8289" spans="1:6" x14ac:dyDescent="0.25">
      <c r="A8289">
        <v>8288</v>
      </c>
      <c r="B8289">
        <v>43</v>
      </c>
      <c r="C8289">
        <v>0</v>
      </c>
      <c r="D8289">
        <v>0</v>
      </c>
      <c r="E8289">
        <v>0</v>
      </c>
      <c r="F8289">
        <v>0</v>
      </c>
    </row>
    <row r="8290" spans="1:6" x14ac:dyDescent="0.25">
      <c r="A8290">
        <v>8289</v>
      </c>
      <c r="B8290" t="s">
        <v>0</v>
      </c>
      <c r="C8290">
        <v>23</v>
      </c>
      <c r="D8290">
        <v>3490</v>
      </c>
      <c r="E8290">
        <v>80248523</v>
      </c>
    </row>
    <row r="8291" spans="1:6" x14ac:dyDescent="0.25">
      <c r="A8291">
        <v>8290</v>
      </c>
      <c r="B8291">
        <v>45</v>
      </c>
      <c r="C8291">
        <v>0</v>
      </c>
      <c r="D8291">
        <v>0</v>
      </c>
      <c r="E8291">
        <v>0</v>
      </c>
      <c r="F8291">
        <v>528.09799999999996</v>
      </c>
    </row>
    <row r="8292" spans="1:6" x14ac:dyDescent="0.25">
      <c r="A8292">
        <v>8291</v>
      </c>
      <c r="B8292" t="s">
        <v>0</v>
      </c>
      <c r="C8292">
        <v>24</v>
      </c>
      <c r="D8292">
        <v>3490</v>
      </c>
      <c r="E8292">
        <v>80248641</v>
      </c>
    </row>
    <row r="8293" spans="1:6" x14ac:dyDescent="0.25">
      <c r="A8293">
        <v>8292</v>
      </c>
      <c r="B8293">
        <v>46</v>
      </c>
      <c r="C8293">
        <v>0</v>
      </c>
      <c r="D8293">
        <v>0</v>
      </c>
      <c r="E8293">
        <v>0</v>
      </c>
      <c r="F8293">
        <v>0</v>
      </c>
    </row>
    <row r="8294" spans="1:6" x14ac:dyDescent="0.25">
      <c r="A8294">
        <v>8293</v>
      </c>
      <c r="B8294">
        <v>2</v>
      </c>
      <c r="C8294">
        <v>0</v>
      </c>
      <c r="D8294">
        <v>0</v>
      </c>
      <c r="E8294">
        <v>0</v>
      </c>
      <c r="F8294">
        <v>281.91000000000003</v>
      </c>
    </row>
    <row r="8295" spans="1:6" x14ac:dyDescent="0.25">
      <c r="A8295">
        <v>8294</v>
      </c>
      <c r="B8295">
        <v>10</v>
      </c>
      <c r="C8295">
        <v>1</v>
      </c>
      <c r="D8295">
        <v>0</v>
      </c>
      <c r="E8295">
        <v>0</v>
      </c>
      <c r="F8295">
        <v>3862</v>
      </c>
    </row>
    <row r="8296" spans="1:6" x14ac:dyDescent="0.25">
      <c r="A8296">
        <v>8295</v>
      </c>
      <c r="B8296">
        <v>13</v>
      </c>
      <c r="C8296">
        <v>0</v>
      </c>
      <c r="D8296">
        <v>0</v>
      </c>
      <c r="E8296">
        <v>0</v>
      </c>
      <c r="F8296">
        <v>1606</v>
      </c>
    </row>
    <row r="8297" spans="1:6" x14ac:dyDescent="0.25">
      <c r="A8297">
        <v>8296</v>
      </c>
      <c r="B8297">
        <v>41</v>
      </c>
      <c r="C8297">
        <v>0</v>
      </c>
      <c r="D8297">
        <v>0</v>
      </c>
      <c r="E8297">
        <v>0</v>
      </c>
      <c r="F8297">
        <v>1</v>
      </c>
    </row>
    <row r="8298" spans="1:6" x14ac:dyDescent="0.25">
      <c r="A8298">
        <v>8297</v>
      </c>
      <c r="B8298" t="s">
        <v>0</v>
      </c>
      <c r="C8298">
        <v>27</v>
      </c>
      <c r="D8298">
        <v>3490</v>
      </c>
      <c r="E8298">
        <v>80248995</v>
      </c>
    </row>
    <row r="8299" spans="1:6" x14ac:dyDescent="0.25">
      <c r="A8299">
        <v>8298</v>
      </c>
      <c r="B8299">
        <v>43</v>
      </c>
      <c r="C8299">
        <v>0</v>
      </c>
      <c r="D8299">
        <v>0</v>
      </c>
      <c r="E8299">
        <v>0</v>
      </c>
      <c r="F8299">
        <v>0</v>
      </c>
    </row>
    <row r="8300" spans="1:6" x14ac:dyDescent="0.25">
      <c r="A8300">
        <v>8299</v>
      </c>
      <c r="B8300" t="s">
        <v>0</v>
      </c>
      <c r="C8300">
        <v>28</v>
      </c>
      <c r="D8300">
        <v>3490</v>
      </c>
      <c r="E8300">
        <v>80249113</v>
      </c>
    </row>
    <row r="8301" spans="1:6" x14ac:dyDescent="0.25">
      <c r="A8301">
        <v>8300</v>
      </c>
      <c r="B8301">
        <v>44</v>
      </c>
      <c r="C8301">
        <v>0</v>
      </c>
      <c r="D8301">
        <v>0</v>
      </c>
      <c r="E8301">
        <v>0</v>
      </c>
      <c r="F8301">
        <v>-103.661</v>
      </c>
    </row>
    <row r="8302" spans="1:6" x14ac:dyDescent="0.25">
      <c r="A8302">
        <v>8301</v>
      </c>
      <c r="B8302">
        <v>45</v>
      </c>
      <c r="C8302">
        <v>0</v>
      </c>
      <c r="D8302">
        <v>0</v>
      </c>
      <c r="E8302">
        <v>0</v>
      </c>
      <c r="F8302">
        <v>528.024</v>
      </c>
    </row>
    <row r="8303" spans="1:6" x14ac:dyDescent="0.25">
      <c r="A8303">
        <v>8302</v>
      </c>
      <c r="B8303" t="s">
        <v>0</v>
      </c>
      <c r="C8303">
        <v>29</v>
      </c>
      <c r="D8303">
        <v>3490</v>
      </c>
      <c r="E8303">
        <v>80249232</v>
      </c>
    </row>
    <row r="8304" spans="1:6" x14ac:dyDescent="0.25">
      <c r="A8304">
        <v>8303</v>
      </c>
      <c r="B8304">
        <v>46</v>
      </c>
      <c r="C8304">
        <v>0</v>
      </c>
      <c r="D8304">
        <v>0</v>
      </c>
      <c r="E8304">
        <v>0</v>
      </c>
      <c r="F8304">
        <v>0</v>
      </c>
    </row>
    <row r="8305" spans="1:6" x14ac:dyDescent="0.25">
      <c r="A8305">
        <v>8304</v>
      </c>
      <c r="B8305">
        <v>2</v>
      </c>
      <c r="C8305">
        <v>0</v>
      </c>
      <c r="D8305">
        <v>0</v>
      </c>
      <c r="E8305">
        <v>0</v>
      </c>
      <c r="F8305">
        <v>281.57100000000003</v>
      </c>
    </row>
    <row r="8306" spans="1:6" x14ac:dyDescent="0.25">
      <c r="A8306">
        <v>8305</v>
      </c>
      <c r="B8306">
        <v>10</v>
      </c>
      <c r="C8306">
        <v>1</v>
      </c>
      <c r="D8306">
        <v>0</v>
      </c>
      <c r="E8306">
        <v>0</v>
      </c>
      <c r="F8306">
        <v>3870</v>
      </c>
    </row>
    <row r="8307" spans="1:6" x14ac:dyDescent="0.25">
      <c r="A8307">
        <v>8306</v>
      </c>
      <c r="B8307" t="s">
        <v>0</v>
      </c>
      <c r="C8307">
        <v>31</v>
      </c>
      <c r="D8307">
        <v>3490</v>
      </c>
      <c r="E8307">
        <v>80249470</v>
      </c>
    </row>
    <row r="8308" spans="1:6" x14ac:dyDescent="0.25">
      <c r="A8308">
        <v>8307</v>
      </c>
      <c r="B8308">
        <v>41</v>
      </c>
      <c r="C8308">
        <v>0</v>
      </c>
      <c r="D8308">
        <v>0</v>
      </c>
      <c r="E8308">
        <v>0</v>
      </c>
      <c r="F8308">
        <v>1</v>
      </c>
    </row>
    <row r="8309" spans="1:6" x14ac:dyDescent="0.25">
      <c r="A8309">
        <v>8308</v>
      </c>
      <c r="B8309" t="s">
        <v>0</v>
      </c>
      <c r="C8309">
        <v>32</v>
      </c>
      <c r="D8309">
        <v>3490</v>
      </c>
      <c r="E8309">
        <v>80249589</v>
      </c>
    </row>
    <row r="8310" spans="1:6" x14ac:dyDescent="0.25">
      <c r="A8310">
        <v>8309</v>
      </c>
      <c r="B8310">
        <v>43</v>
      </c>
      <c r="C8310">
        <v>0</v>
      </c>
      <c r="D8310">
        <v>0</v>
      </c>
      <c r="E8310">
        <v>0</v>
      </c>
      <c r="F8310">
        <v>0</v>
      </c>
    </row>
    <row r="8311" spans="1:6" x14ac:dyDescent="0.25">
      <c r="A8311">
        <v>8310</v>
      </c>
      <c r="B8311" t="s">
        <v>0</v>
      </c>
      <c r="C8311">
        <v>33</v>
      </c>
      <c r="D8311">
        <v>3490</v>
      </c>
      <c r="E8311">
        <v>80249708</v>
      </c>
    </row>
    <row r="8312" spans="1:6" x14ac:dyDescent="0.25">
      <c r="A8312">
        <v>8311</v>
      </c>
      <c r="B8312">
        <v>44</v>
      </c>
      <c r="C8312">
        <v>0</v>
      </c>
      <c r="D8312">
        <v>0</v>
      </c>
      <c r="E8312">
        <v>0</v>
      </c>
      <c r="F8312">
        <v>-103.21</v>
      </c>
    </row>
    <row r="8313" spans="1:6" x14ac:dyDescent="0.25">
      <c r="A8313">
        <v>8312</v>
      </c>
      <c r="B8313">
        <v>45</v>
      </c>
      <c r="C8313">
        <v>0</v>
      </c>
      <c r="D8313">
        <v>0</v>
      </c>
      <c r="E8313">
        <v>0</v>
      </c>
      <c r="F8313">
        <v>527.95000000000005</v>
      </c>
    </row>
    <row r="8314" spans="1:6" x14ac:dyDescent="0.25">
      <c r="A8314">
        <v>8313</v>
      </c>
      <c r="B8314">
        <v>46</v>
      </c>
      <c r="C8314">
        <v>0</v>
      </c>
      <c r="D8314">
        <v>0</v>
      </c>
      <c r="E8314">
        <v>0</v>
      </c>
      <c r="F8314">
        <v>0</v>
      </c>
    </row>
    <row r="8315" spans="1:6" x14ac:dyDescent="0.25">
      <c r="A8315">
        <v>8314</v>
      </c>
      <c r="B8315">
        <v>2</v>
      </c>
      <c r="C8315">
        <v>0</v>
      </c>
      <c r="D8315">
        <v>0</v>
      </c>
      <c r="E8315">
        <v>0</v>
      </c>
      <c r="F8315">
        <v>281.262</v>
      </c>
    </row>
    <row r="8316" spans="1:6" x14ac:dyDescent="0.25">
      <c r="A8316">
        <v>8315</v>
      </c>
      <c r="B8316">
        <v>10</v>
      </c>
      <c r="C8316">
        <v>1</v>
      </c>
      <c r="D8316">
        <v>0</v>
      </c>
      <c r="E8316">
        <v>0</v>
      </c>
      <c r="F8316">
        <v>3876</v>
      </c>
    </row>
    <row r="8317" spans="1:6" x14ac:dyDescent="0.25">
      <c r="A8317">
        <v>8316</v>
      </c>
      <c r="B8317" t="s">
        <v>0</v>
      </c>
      <c r="C8317">
        <v>36</v>
      </c>
      <c r="D8317">
        <v>3490</v>
      </c>
      <c r="E8317">
        <v>80250063</v>
      </c>
    </row>
    <row r="8318" spans="1:6" x14ac:dyDescent="0.25">
      <c r="A8318">
        <v>8317</v>
      </c>
      <c r="B8318">
        <v>41</v>
      </c>
      <c r="C8318">
        <v>0</v>
      </c>
      <c r="D8318">
        <v>0</v>
      </c>
      <c r="E8318">
        <v>0</v>
      </c>
      <c r="F8318">
        <v>1</v>
      </c>
    </row>
    <row r="8319" spans="1:6" x14ac:dyDescent="0.25">
      <c r="A8319">
        <v>8318</v>
      </c>
      <c r="B8319" t="s">
        <v>0</v>
      </c>
      <c r="C8319">
        <v>37</v>
      </c>
      <c r="D8319">
        <v>3490</v>
      </c>
      <c r="E8319">
        <v>80250181</v>
      </c>
    </row>
    <row r="8320" spans="1:6" x14ac:dyDescent="0.25">
      <c r="A8320">
        <v>8319</v>
      </c>
      <c r="B8320">
        <v>42</v>
      </c>
      <c r="C8320">
        <v>0</v>
      </c>
      <c r="D8320">
        <v>0</v>
      </c>
      <c r="E8320">
        <v>0</v>
      </c>
      <c r="F8320">
        <v>0.2</v>
      </c>
    </row>
    <row r="8321" spans="1:6" x14ac:dyDescent="0.25">
      <c r="A8321">
        <v>8320</v>
      </c>
      <c r="B8321">
        <v>43</v>
      </c>
      <c r="C8321">
        <v>0</v>
      </c>
      <c r="D8321">
        <v>0</v>
      </c>
      <c r="E8321">
        <v>0</v>
      </c>
      <c r="F8321">
        <v>0</v>
      </c>
    </row>
    <row r="8322" spans="1:6" x14ac:dyDescent="0.25">
      <c r="A8322">
        <v>8321</v>
      </c>
      <c r="B8322" t="s">
        <v>0</v>
      </c>
      <c r="C8322">
        <v>38</v>
      </c>
      <c r="D8322">
        <v>3490</v>
      </c>
      <c r="E8322">
        <v>80250300</v>
      </c>
    </row>
    <row r="8323" spans="1:6" x14ac:dyDescent="0.25">
      <c r="A8323">
        <v>8322</v>
      </c>
      <c r="B8323">
        <v>44</v>
      </c>
      <c r="C8323">
        <v>0</v>
      </c>
      <c r="D8323">
        <v>0</v>
      </c>
      <c r="E8323">
        <v>0</v>
      </c>
      <c r="F8323">
        <v>-102.741</v>
      </c>
    </row>
    <row r="8324" spans="1:6" x14ac:dyDescent="0.25">
      <c r="A8324">
        <v>8323</v>
      </c>
      <c r="B8324">
        <v>45</v>
      </c>
      <c r="C8324">
        <v>0</v>
      </c>
      <c r="D8324">
        <v>0</v>
      </c>
      <c r="E8324">
        <v>0</v>
      </c>
      <c r="F8324">
        <v>527.87699999999995</v>
      </c>
    </row>
    <row r="8325" spans="1:6" x14ac:dyDescent="0.25">
      <c r="A8325">
        <v>8324</v>
      </c>
      <c r="B8325">
        <v>46</v>
      </c>
      <c r="C8325">
        <v>0</v>
      </c>
      <c r="D8325">
        <v>0</v>
      </c>
      <c r="E8325">
        <v>0</v>
      </c>
      <c r="F8325">
        <v>0</v>
      </c>
    </row>
    <row r="8326" spans="1:6" x14ac:dyDescent="0.25">
      <c r="A8326">
        <v>8325</v>
      </c>
      <c r="B8326" t="s">
        <v>0</v>
      </c>
      <c r="C8326">
        <v>40</v>
      </c>
      <c r="D8326">
        <v>3490</v>
      </c>
      <c r="E8326">
        <v>80250538</v>
      </c>
    </row>
    <row r="8327" spans="1:6" x14ac:dyDescent="0.25">
      <c r="A8327">
        <v>8326</v>
      </c>
      <c r="B8327">
        <v>10</v>
      </c>
      <c r="C8327">
        <v>1</v>
      </c>
      <c r="D8327">
        <v>0</v>
      </c>
      <c r="E8327">
        <v>0</v>
      </c>
      <c r="F8327">
        <v>3882</v>
      </c>
    </row>
    <row r="8328" spans="1:6" x14ac:dyDescent="0.25">
      <c r="A8328">
        <v>8327</v>
      </c>
      <c r="B8328" t="s">
        <v>0</v>
      </c>
      <c r="C8328">
        <v>41</v>
      </c>
      <c r="D8328">
        <v>3490</v>
      </c>
      <c r="E8328">
        <v>80250657</v>
      </c>
    </row>
    <row r="8329" spans="1:6" x14ac:dyDescent="0.25">
      <c r="A8329">
        <v>8328</v>
      </c>
      <c r="B8329">
        <v>41</v>
      </c>
      <c r="C8329">
        <v>0</v>
      </c>
      <c r="D8329">
        <v>0</v>
      </c>
      <c r="E8329">
        <v>0</v>
      </c>
      <c r="F8329">
        <v>1</v>
      </c>
    </row>
    <row r="8330" spans="1:6" x14ac:dyDescent="0.25">
      <c r="A8330">
        <v>8329</v>
      </c>
      <c r="B8330" t="s">
        <v>0</v>
      </c>
      <c r="C8330">
        <v>42</v>
      </c>
      <c r="D8330">
        <v>3490</v>
      </c>
      <c r="E8330">
        <v>80250776</v>
      </c>
    </row>
    <row r="8331" spans="1:6" x14ac:dyDescent="0.25">
      <c r="A8331">
        <v>8330</v>
      </c>
      <c r="B8331">
        <v>42</v>
      </c>
      <c r="C8331">
        <v>0</v>
      </c>
      <c r="D8331">
        <v>0</v>
      </c>
      <c r="E8331">
        <v>0</v>
      </c>
      <c r="F8331">
        <v>0.2</v>
      </c>
    </row>
    <row r="8332" spans="1:6" x14ac:dyDescent="0.25">
      <c r="A8332">
        <v>8331</v>
      </c>
      <c r="B8332">
        <v>43</v>
      </c>
      <c r="C8332">
        <v>0</v>
      </c>
      <c r="D8332">
        <v>0</v>
      </c>
      <c r="E8332">
        <v>0</v>
      </c>
      <c r="F8332">
        <v>0</v>
      </c>
    </row>
    <row r="8333" spans="1:6" x14ac:dyDescent="0.25">
      <c r="A8333">
        <v>8332</v>
      </c>
      <c r="B8333">
        <v>44</v>
      </c>
      <c r="C8333">
        <v>0</v>
      </c>
      <c r="D8333">
        <v>0</v>
      </c>
      <c r="E8333">
        <v>0</v>
      </c>
      <c r="F8333">
        <v>-102.31</v>
      </c>
    </row>
    <row r="8334" spans="1:6" x14ac:dyDescent="0.25">
      <c r="A8334">
        <v>8333</v>
      </c>
      <c r="B8334">
        <v>45</v>
      </c>
      <c r="C8334">
        <v>0</v>
      </c>
      <c r="D8334">
        <v>0</v>
      </c>
      <c r="E8334">
        <v>0</v>
      </c>
      <c r="F8334">
        <v>527.803</v>
      </c>
    </row>
    <row r="8335" spans="1:6" x14ac:dyDescent="0.25">
      <c r="A8335">
        <v>8334</v>
      </c>
      <c r="B8335">
        <v>46</v>
      </c>
      <c r="C8335">
        <v>0</v>
      </c>
      <c r="D8335">
        <v>0</v>
      </c>
      <c r="E8335">
        <v>0</v>
      </c>
      <c r="F8335">
        <v>0</v>
      </c>
    </row>
    <row r="8336" spans="1:6" x14ac:dyDescent="0.25">
      <c r="A8336">
        <v>8335</v>
      </c>
      <c r="B8336" t="s">
        <v>0</v>
      </c>
      <c r="C8336">
        <v>45</v>
      </c>
      <c r="D8336">
        <v>3490</v>
      </c>
      <c r="E8336">
        <v>80251133</v>
      </c>
    </row>
    <row r="8337" spans="1:6" x14ac:dyDescent="0.25">
      <c r="A8337">
        <v>8336</v>
      </c>
      <c r="B8337">
        <v>10</v>
      </c>
      <c r="C8337">
        <v>1</v>
      </c>
      <c r="D8337">
        <v>0</v>
      </c>
      <c r="E8337">
        <v>0</v>
      </c>
      <c r="F8337">
        <v>3889</v>
      </c>
    </row>
    <row r="8338" spans="1:6" x14ac:dyDescent="0.25">
      <c r="A8338">
        <v>8337</v>
      </c>
      <c r="B8338" t="s">
        <v>0</v>
      </c>
      <c r="C8338">
        <v>46</v>
      </c>
      <c r="D8338">
        <v>3490</v>
      </c>
      <c r="E8338">
        <v>80251252</v>
      </c>
    </row>
    <row r="8339" spans="1:6" x14ac:dyDescent="0.25">
      <c r="A8339">
        <v>8338</v>
      </c>
      <c r="B8339">
        <v>13</v>
      </c>
      <c r="C8339">
        <v>0</v>
      </c>
      <c r="D8339">
        <v>0</v>
      </c>
      <c r="E8339">
        <v>0</v>
      </c>
      <c r="F8339">
        <v>1606</v>
      </c>
    </row>
    <row r="8340" spans="1:6" x14ac:dyDescent="0.25">
      <c r="A8340">
        <v>8339</v>
      </c>
      <c r="B8340">
        <v>41</v>
      </c>
      <c r="C8340">
        <v>0</v>
      </c>
      <c r="D8340">
        <v>0</v>
      </c>
      <c r="E8340">
        <v>0</v>
      </c>
      <c r="F8340">
        <v>1</v>
      </c>
    </row>
    <row r="8341" spans="1:6" x14ac:dyDescent="0.25">
      <c r="A8341">
        <v>8340</v>
      </c>
      <c r="B8341" t="s">
        <v>0</v>
      </c>
      <c r="C8341">
        <v>47</v>
      </c>
      <c r="D8341">
        <v>3490</v>
      </c>
      <c r="E8341">
        <v>80251371</v>
      </c>
    </row>
    <row r="8342" spans="1:6" x14ac:dyDescent="0.25">
      <c r="A8342">
        <v>8341</v>
      </c>
      <c r="B8342">
        <v>42</v>
      </c>
      <c r="C8342">
        <v>0</v>
      </c>
      <c r="D8342">
        <v>0</v>
      </c>
      <c r="E8342">
        <v>0</v>
      </c>
      <c r="F8342">
        <v>0.2</v>
      </c>
    </row>
    <row r="8343" spans="1:6" x14ac:dyDescent="0.25">
      <c r="A8343">
        <v>8342</v>
      </c>
      <c r="B8343">
        <v>43</v>
      </c>
      <c r="C8343">
        <v>0</v>
      </c>
      <c r="D8343">
        <v>0</v>
      </c>
      <c r="E8343">
        <v>0</v>
      </c>
      <c r="F8343">
        <v>0</v>
      </c>
    </row>
    <row r="8344" spans="1:6" x14ac:dyDescent="0.25">
      <c r="A8344">
        <v>8343</v>
      </c>
      <c r="B8344">
        <v>44</v>
      </c>
      <c r="C8344">
        <v>0</v>
      </c>
      <c r="D8344">
        <v>0</v>
      </c>
      <c r="E8344">
        <v>0</v>
      </c>
      <c r="F8344">
        <v>-101.86799999999999</v>
      </c>
    </row>
    <row r="8345" spans="1:6" x14ac:dyDescent="0.25">
      <c r="A8345">
        <v>8344</v>
      </c>
      <c r="B8345" t="s">
        <v>0</v>
      </c>
      <c r="C8345">
        <v>49</v>
      </c>
      <c r="D8345">
        <v>3490</v>
      </c>
      <c r="E8345">
        <v>80251609</v>
      </c>
    </row>
    <row r="8346" spans="1:6" x14ac:dyDescent="0.25">
      <c r="A8346">
        <v>8345</v>
      </c>
      <c r="B8346">
        <v>46</v>
      </c>
      <c r="C8346">
        <v>0</v>
      </c>
      <c r="D8346">
        <v>0</v>
      </c>
      <c r="E8346">
        <v>0</v>
      </c>
      <c r="F8346">
        <v>0</v>
      </c>
    </row>
    <row r="8347" spans="1:6" x14ac:dyDescent="0.25">
      <c r="A8347">
        <v>8346</v>
      </c>
      <c r="B8347" t="s">
        <v>0</v>
      </c>
      <c r="C8347">
        <v>50</v>
      </c>
      <c r="D8347">
        <v>3490</v>
      </c>
      <c r="E8347">
        <v>80251728</v>
      </c>
    </row>
    <row r="8348" spans="1:6" x14ac:dyDescent="0.25">
      <c r="A8348">
        <v>8347</v>
      </c>
      <c r="B8348">
        <v>10</v>
      </c>
      <c r="C8348">
        <v>1</v>
      </c>
      <c r="D8348">
        <v>0</v>
      </c>
      <c r="E8348">
        <v>0</v>
      </c>
      <c r="F8348">
        <v>3895</v>
      </c>
    </row>
    <row r="8349" spans="1:6" x14ac:dyDescent="0.25">
      <c r="A8349">
        <v>8348</v>
      </c>
      <c r="B8349" t="s">
        <v>0</v>
      </c>
      <c r="C8349">
        <v>51</v>
      </c>
      <c r="D8349">
        <v>3490</v>
      </c>
      <c r="E8349">
        <v>80251847</v>
      </c>
    </row>
    <row r="8350" spans="1:6" x14ac:dyDescent="0.25">
      <c r="A8350">
        <v>8349</v>
      </c>
      <c r="B8350">
        <v>13</v>
      </c>
      <c r="C8350">
        <v>0</v>
      </c>
      <c r="D8350">
        <v>0</v>
      </c>
      <c r="E8350">
        <v>0</v>
      </c>
      <c r="F8350">
        <v>1606</v>
      </c>
    </row>
    <row r="8351" spans="1:6" x14ac:dyDescent="0.25">
      <c r="A8351">
        <v>8350</v>
      </c>
      <c r="B8351">
        <v>41</v>
      </c>
      <c r="C8351">
        <v>0</v>
      </c>
      <c r="D8351">
        <v>0</v>
      </c>
      <c r="E8351">
        <v>0</v>
      </c>
      <c r="F8351">
        <v>1</v>
      </c>
    </row>
    <row r="8352" spans="1:6" x14ac:dyDescent="0.25">
      <c r="A8352">
        <v>8351</v>
      </c>
      <c r="B8352">
        <v>42</v>
      </c>
      <c r="C8352">
        <v>0</v>
      </c>
      <c r="D8352">
        <v>0</v>
      </c>
      <c r="E8352">
        <v>0</v>
      </c>
      <c r="F8352">
        <v>0.2</v>
      </c>
    </row>
    <row r="8353" spans="1:6" x14ac:dyDescent="0.25">
      <c r="A8353">
        <v>8352</v>
      </c>
      <c r="B8353">
        <v>43</v>
      </c>
      <c r="C8353">
        <v>0</v>
      </c>
      <c r="D8353">
        <v>0</v>
      </c>
      <c r="E8353">
        <v>0</v>
      </c>
      <c r="F8353">
        <v>0</v>
      </c>
    </row>
    <row r="8354" spans="1:6" x14ac:dyDescent="0.25">
      <c r="A8354">
        <v>8353</v>
      </c>
      <c r="B8354">
        <v>44</v>
      </c>
      <c r="C8354">
        <v>0</v>
      </c>
      <c r="D8354">
        <v>0</v>
      </c>
      <c r="E8354">
        <v>0</v>
      </c>
      <c r="F8354">
        <v>-101.398</v>
      </c>
    </row>
    <row r="8355" spans="1:6" x14ac:dyDescent="0.25">
      <c r="A8355">
        <v>8354</v>
      </c>
      <c r="B8355" t="s">
        <v>0</v>
      </c>
      <c r="C8355">
        <v>54</v>
      </c>
      <c r="D8355">
        <v>3490</v>
      </c>
      <c r="E8355">
        <v>80252204</v>
      </c>
    </row>
    <row r="8356" spans="1:6" x14ac:dyDescent="0.25">
      <c r="A8356">
        <v>8355</v>
      </c>
      <c r="B8356">
        <v>46</v>
      </c>
      <c r="C8356">
        <v>0</v>
      </c>
      <c r="D8356">
        <v>0</v>
      </c>
      <c r="E8356">
        <v>0</v>
      </c>
      <c r="F8356">
        <v>0</v>
      </c>
    </row>
    <row r="8357" spans="1:6" x14ac:dyDescent="0.25">
      <c r="A8357">
        <v>8356</v>
      </c>
      <c r="B8357" t="s">
        <v>0</v>
      </c>
      <c r="C8357">
        <v>55</v>
      </c>
      <c r="D8357">
        <v>3490</v>
      </c>
      <c r="E8357">
        <v>80252323</v>
      </c>
    </row>
    <row r="8358" spans="1:6" x14ac:dyDescent="0.25">
      <c r="A8358">
        <v>8357</v>
      </c>
      <c r="B8358">
        <v>10</v>
      </c>
      <c r="C8358">
        <v>1</v>
      </c>
      <c r="D8358">
        <v>0</v>
      </c>
      <c r="E8358">
        <v>0</v>
      </c>
      <c r="F8358">
        <v>3901</v>
      </c>
    </row>
    <row r="8359" spans="1:6" x14ac:dyDescent="0.25">
      <c r="A8359">
        <v>8358</v>
      </c>
      <c r="B8359" t="s">
        <v>0</v>
      </c>
      <c r="C8359">
        <v>56</v>
      </c>
      <c r="D8359">
        <v>3490</v>
      </c>
      <c r="E8359">
        <v>80252442</v>
      </c>
    </row>
    <row r="8360" spans="1:6" x14ac:dyDescent="0.25">
      <c r="A8360">
        <v>8359</v>
      </c>
      <c r="B8360">
        <v>13</v>
      </c>
      <c r="C8360">
        <v>0</v>
      </c>
      <c r="D8360">
        <v>0</v>
      </c>
      <c r="E8360">
        <v>0</v>
      </c>
      <c r="F8360">
        <v>1606</v>
      </c>
    </row>
    <row r="8361" spans="1:6" x14ac:dyDescent="0.25">
      <c r="A8361">
        <v>8360</v>
      </c>
      <c r="B8361">
        <v>41</v>
      </c>
      <c r="C8361">
        <v>0</v>
      </c>
      <c r="D8361">
        <v>0</v>
      </c>
      <c r="E8361">
        <v>0</v>
      </c>
      <c r="F8361">
        <v>1</v>
      </c>
    </row>
    <row r="8362" spans="1:6" x14ac:dyDescent="0.25">
      <c r="A8362">
        <v>8361</v>
      </c>
      <c r="B8362">
        <v>42</v>
      </c>
      <c r="C8362">
        <v>0</v>
      </c>
      <c r="D8362">
        <v>0</v>
      </c>
      <c r="E8362">
        <v>0</v>
      </c>
      <c r="F8362">
        <v>0.2</v>
      </c>
    </row>
    <row r="8363" spans="1:6" x14ac:dyDescent="0.25">
      <c r="A8363">
        <v>8362</v>
      </c>
      <c r="B8363">
        <v>43</v>
      </c>
      <c r="C8363">
        <v>0</v>
      </c>
      <c r="D8363">
        <v>0</v>
      </c>
      <c r="E8363">
        <v>0</v>
      </c>
      <c r="F8363">
        <v>0</v>
      </c>
    </row>
    <row r="8364" spans="1:6" x14ac:dyDescent="0.25">
      <c r="A8364">
        <v>8363</v>
      </c>
      <c r="B8364">
        <v>44</v>
      </c>
      <c r="C8364">
        <v>0</v>
      </c>
      <c r="D8364">
        <v>0</v>
      </c>
      <c r="E8364">
        <v>0</v>
      </c>
      <c r="F8364">
        <v>-100.955</v>
      </c>
    </row>
    <row r="8365" spans="1:6" x14ac:dyDescent="0.25">
      <c r="A8365">
        <v>8364</v>
      </c>
      <c r="B8365" t="s">
        <v>0</v>
      </c>
      <c r="C8365">
        <v>59</v>
      </c>
      <c r="D8365">
        <v>3490</v>
      </c>
      <c r="E8365">
        <v>80252800</v>
      </c>
    </row>
    <row r="8366" spans="1:6" x14ac:dyDescent="0.25">
      <c r="A8366">
        <v>8365</v>
      </c>
      <c r="B8366">
        <v>46</v>
      </c>
      <c r="C8366">
        <v>0</v>
      </c>
      <c r="D8366">
        <v>0</v>
      </c>
      <c r="E8366">
        <v>0</v>
      </c>
      <c r="F8366">
        <v>0</v>
      </c>
    </row>
    <row r="8367" spans="1:6" x14ac:dyDescent="0.25">
      <c r="A8367">
        <v>8366</v>
      </c>
      <c r="B8367" t="s">
        <v>0</v>
      </c>
      <c r="C8367">
        <v>60</v>
      </c>
      <c r="D8367">
        <v>3490</v>
      </c>
      <c r="E8367">
        <v>80252919</v>
      </c>
    </row>
    <row r="8368" spans="1:6" x14ac:dyDescent="0.25">
      <c r="A8368">
        <v>8367</v>
      </c>
      <c r="B8368">
        <v>2</v>
      </c>
      <c r="C8368">
        <v>0</v>
      </c>
      <c r="D8368">
        <v>0</v>
      </c>
      <c r="E8368">
        <v>0</v>
      </c>
      <c r="F8368">
        <v>279.678</v>
      </c>
    </row>
    <row r="8369" spans="1:6" x14ac:dyDescent="0.25">
      <c r="A8369">
        <v>8368</v>
      </c>
      <c r="B8369">
        <v>10</v>
      </c>
      <c r="C8369">
        <v>1</v>
      </c>
      <c r="D8369">
        <v>0</v>
      </c>
      <c r="E8369">
        <v>0</v>
      </c>
      <c r="F8369">
        <v>3907</v>
      </c>
    </row>
    <row r="8370" spans="1:6" x14ac:dyDescent="0.25">
      <c r="A8370">
        <v>8369</v>
      </c>
      <c r="B8370" t="s">
        <v>0</v>
      </c>
      <c r="C8370">
        <v>61</v>
      </c>
      <c r="D8370">
        <v>3490</v>
      </c>
      <c r="E8370">
        <v>80253039</v>
      </c>
    </row>
    <row r="8371" spans="1:6" x14ac:dyDescent="0.25">
      <c r="A8371">
        <v>8370</v>
      </c>
      <c r="B8371">
        <v>13</v>
      </c>
      <c r="C8371">
        <v>0</v>
      </c>
      <c r="D8371">
        <v>0</v>
      </c>
      <c r="E8371">
        <v>0</v>
      </c>
      <c r="F8371">
        <v>1606</v>
      </c>
    </row>
    <row r="8372" spans="1:6" x14ac:dyDescent="0.25">
      <c r="A8372">
        <v>8371</v>
      </c>
      <c r="B8372">
        <v>41</v>
      </c>
      <c r="C8372">
        <v>0</v>
      </c>
      <c r="D8372">
        <v>0</v>
      </c>
      <c r="E8372">
        <v>0</v>
      </c>
      <c r="F8372">
        <v>1</v>
      </c>
    </row>
    <row r="8373" spans="1:6" x14ac:dyDescent="0.25">
      <c r="A8373">
        <v>8372</v>
      </c>
      <c r="B8373">
        <v>42</v>
      </c>
      <c r="C8373">
        <v>0</v>
      </c>
      <c r="D8373">
        <v>0</v>
      </c>
      <c r="E8373">
        <v>0</v>
      </c>
      <c r="F8373">
        <v>0.2</v>
      </c>
    </row>
    <row r="8374" spans="1:6" x14ac:dyDescent="0.25">
      <c r="A8374">
        <v>8373</v>
      </c>
      <c r="B8374" t="s">
        <v>0</v>
      </c>
      <c r="C8374">
        <v>63</v>
      </c>
      <c r="D8374">
        <v>3490</v>
      </c>
      <c r="E8374">
        <v>80253277</v>
      </c>
    </row>
    <row r="8375" spans="1:6" x14ac:dyDescent="0.25">
      <c r="A8375">
        <v>8374</v>
      </c>
      <c r="B8375">
        <v>44</v>
      </c>
      <c r="C8375">
        <v>0</v>
      </c>
      <c r="D8375">
        <v>0</v>
      </c>
      <c r="E8375">
        <v>0</v>
      </c>
      <c r="F8375">
        <v>-100.51900000000001</v>
      </c>
    </row>
    <row r="8376" spans="1:6" x14ac:dyDescent="0.25">
      <c r="A8376">
        <v>8375</v>
      </c>
      <c r="B8376" t="s">
        <v>0</v>
      </c>
      <c r="C8376">
        <v>64</v>
      </c>
      <c r="D8376">
        <v>3490</v>
      </c>
      <c r="E8376">
        <v>80253396</v>
      </c>
    </row>
    <row r="8377" spans="1:6" x14ac:dyDescent="0.25">
      <c r="A8377">
        <v>8376</v>
      </c>
      <c r="B8377">
        <v>46</v>
      </c>
      <c r="C8377">
        <v>0</v>
      </c>
      <c r="D8377">
        <v>0</v>
      </c>
      <c r="E8377">
        <v>0</v>
      </c>
      <c r="F8377">
        <v>0</v>
      </c>
    </row>
    <row r="8378" spans="1:6" x14ac:dyDescent="0.25">
      <c r="A8378">
        <v>8377</v>
      </c>
      <c r="B8378" t="s">
        <v>0</v>
      </c>
      <c r="C8378">
        <v>65</v>
      </c>
      <c r="D8378">
        <v>3490</v>
      </c>
      <c r="E8378">
        <v>80253516</v>
      </c>
    </row>
    <row r="8379" spans="1:6" x14ac:dyDescent="0.25">
      <c r="A8379">
        <v>8378</v>
      </c>
      <c r="B8379">
        <v>2</v>
      </c>
      <c r="C8379">
        <v>0</v>
      </c>
      <c r="D8379">
        <v>0</v>
      </c>
      <c r="E8379">
        <v>0</v>
      </c>
      <c r="F8379">
        <v>279.39600000000002</v>
      </c>
    </row>
    <row r="8380" spans="1:6" x14ac:dyDescent="0.25">
      <c r="A8380">
        <v>8379</v>
      </c>
      <c r="B8380">
        <v>10</v>
      </c>
      <c r="C8380">
        <v>1</v>
      </c>
      <c r="D8380">
        <v>0</v>
      </c>
      <c r="E8380">
        <v>0</v>
      </c>
      <c r="F8380">
        <v>3913</v>
      </c>
    </row>
    <row r="8381" spans="1:6" x14ac:dyDescent="0.25">
      <c r="A8381">
        <v>8380</v>
      </c>
      <c r="B8381" t="s">
        <v>0</v>
      </c>
      <c r="C8381">
        <v>66</v>
      </c>
      <c r="D8381">
        <v>3490</v>
      </c>
      <c r="E8381">
        <v>80253636</v>
      </c>
    </row>
    <row r="8382" spans="1:6" x14ac:dyDescent="0.25">
      <c r="A8382">
        <v>8381</v>
      </c>
      <c r="B8382">
        <v>13</v>
      </c>
      <c r="C8382">
        <v>0</v>
      </c>
      <c r="D8382">
        <v>0</v>
      </c>
      <c r="E8382">
        <v>0</v>
      </c>
      <c r="F8382">
        <v>1606</v>
      </c>
    </row>
    <row r="8383" spans="1:6" x14ac:dyDescent="0.25">
      <c r="A8383">
        <v>8382</v>
      </c>
      <c r="B8383">
        <v>41</v>
      </c>
      <c r="C8383">
        <v>0</v>
      </c>
      <c r="D8383">
        <v>0</v>
      </c>
      <c r="E8383">
        <v>0</v>
      </c>
      <c r="F8383">
        <v>1</v>
      </c>
    </row>
    <row r="8384" spans="1:6" x14ac:dyDescent="0.25">
      <c r="A8384">
        <v>8383</v>
      </c>
      <c r="B8384">
        <v>42</v>
      </c>
      <c r="C8384">
        <v>0</v>
      </c>
      <c r="D8384">
        <v>0</v>
      </c>
      <c r="E8384">
        <v>0</v>
      </c>
      <c r="F8384">
        <v>0.2</v>
      </c>
    </row>
    <row r="8385" spans="1:6" x14ac:dyDescent="0.25">
      <c r="A8385">
        <v>8384</v>
      </c>
      <c r="B8385" t="s">
        <v>0</v>
      </c>
      <c r="C8385">
        <v>68</v>
      </c>
      <c r="D8385">
        <v>3490</v>
      </c>
      <c r="E8385">
        <v>80253876</v>
      </c>
    </row>
    <row r="8386" spans="1:6" x14ac:dyDescent="0.25">
      <c r="A8386">
        <v>8385</v>
      </c>
      <c r="B8386">
        <v>44</v>
      </c>
      <c r="C8386">
        <v>0</v>
      </c>
      <c r="D8386">
        <v>0</v>
      </c>
      <c r="E8386">
        <v>0</v>
      </c>
      <c r="F8386">
        <v>-100.06100000000001</v>
      </c>
    </row>
    <row r="8387" spans="1:6" x14ac:dyDescent="0.25">
      <c r="A8387">
        <v>8386</v>
      </c>
      <c r="B8387" t="s">
        <v>0</v>
      </c>
      <c r="C8387">
        <v>69</v>
      </c>
      <c r="D8387">
        <v>3490</v>
      </c>
      <c r="E8387">
        <v>80253996</v>
      </c>
    </row>
    <row r="8388" spans="1:6" x14ac:dyDescent="0.25">
      <c r="A8388">
        <v>8387</v>
      </c>
      <c r="B8388">
        <v>46</v>
      </c>
      <c r="C8388">
        <v>0</v>
      </c>
      <c r="D8388">
        <v>0</v>
      </c>
      <c r="E8388">
        <v>0</v>
      </c>
      <c r="F8388">
        <v>0</v>
      </c>
    </row>
    <row r="8389" spans="1:6" x14ac:dyDescent="0.25">
      <c r="A8389">
        <v>8388</v>
      </c>
      <c r="B8389" t="s">
        <v>0</v>
      </c>
      <c r="C8389">
        <v>70</v>
      </c>
      <c r="D8389">
        <v>3490</v>
      </c>
      <c r="E8389">
        <v>80254116</v>
      </c>
    </row>
    <row r="8390" spans="1:6" x14ac:dyDescent="0.25">
      <c r="A8390">
        <v>8389</v>
      </c>
      <c r="B8390">
        <v>2</v>
      </c>
      <c r="C8390">
        <v>0</v>
      </c>
      <c r="D8390">
        <v>0</v>
      </c>
      <c r="E8390">
        <v>0</v>
      </c>
      <c r="F8390">
        <v>279.09100000000001</v>
      </c>
    </row>
    <row r="8391" spans="1:6" x14ac:dyDescent="0.25">
      <c r="A8391">
        <v>8390</v>
      </c>
      <c r="B8391">
        <v>10</v>
      </c>
      <c r="C8391">
        <v>1</v>
      </c>
      <c r="D8391">
        <v>0</v>
      </c>
      <c r="E8391">
        <v>0</v>
      </c>
      <c r="F8391">
        <v>3919</v>
      </c>
    </row>
    <row r="8392" spans="1:6" x14ac:dyDescent="0.25">
      <c r="A8392">
        <v>8391</v>
      </c>
      <c r="B8392">
        <v>13</v>
      </c>
      <c r="C8392">
        <v>0</v>
      </c>
      <c r="D8392">
        <v>0</v>
      </c>
      <c r="E8392">
        <v>0</v>
      </c>
      <c r="F8392">
        <v>1606</v>
      </c>
    </row>
    <row r="8393" spans="1:6" x14ac:dyDescent="0.25">
      <c r="A8393">
        <v>8392</v>
      </c>
      <c r="B8393">
        <v>41</v>
      </c>
      <c r="C8393">
        <v>0</v>
      </c>
      <c r="D8393">
        <v>0</v>
      </c>
      <c r="E8393">
        <v>0</v>
      </c>
      <c r="F8393">
        <v>1</v>
      </c>
    </row>
    <row r="8394" spans="1:6" x14ac:dyDescent="0.25">
      <c r="A8394">
        <v>8393</v>
      </c>
      <c r="B8394">
        <v>42</v>
      </c>
      <c r="C8394">
        <v>0</v>
      </c>
      <c r="D8394">
        <v>0</v>
      </c>
      <c r="E8394">
        <v>0</v>
      </c>
      <c r="F8394">
        <v>0.2</v>
      </c>
    </row>
    <row r="8395" spans="1:6" x14ac:dyDescent="0.25">
      <c r="A8395">
        <v>8394</v>
      </c>
      <c r="B8395" t="s">
        <v>0</v>
      </c>
      <c r="C8395">
        <v>73</v>
      </c>
      <c r="D8395">
        <v>3490</v>
      </c>
      <c r="E8395">
        <v>80254473</v>
      </c>
    </row>
    <row r="8396" spans="1:6" x14ac:dyDescent="0.25">
      <c r="A8396">
        <v>8395</v>
      </c>
      <c r="B8396">
        <v>44</v>
      </c>
      <c r="C8396">
        <v>0</v>
      </c>
      <c r="D8396">
        <v>0</v>
      </c>
      <c r="E8396">
        <v>0</v>
      </c>
      <c r="F8396">
        <v>-99.642099999999999</v>
      </c>
    </row>
    <row r="8397" spans="1:6" x14ac:dyDescent="0.25">
      <c r="A8397">
        <v>8396</v>
      </c>
      <c r="B8397" t="s">
        <v>0</v>
      </c>
      <c r="C8397">
        <v>74</v>
      </c>
      <c r="D8397">
        <v>3490</v>
      </c>
      <c r="E8397">
        <v>80254593</v>
      </c>
    </row>
    <row r="8398" spans="1:6" x14ac:dyDescent="0.25">
      <c r="A8398">
        <v>8397</v>
      </c>
      <c r="B8398">
        <v>45</v>
      </c>
      <c r="C8398">
        <v>0</v>
      </c>
      <c r="D8398">
        <v>0</v>
      </c>
      <c r="E8398">
        <v>0</v>
      </c>
      <c r="F8398">
        <v>527.35500000000002</v>
      </c>
    </row>
    <row r="8399" spans="1:6" x14ac:dyDescent="0.25">
      <c r="A8399">
        <v>8398</v>
      </c>
      <c r="B8399">
        <v>46</v>
      </c>
      <c r="C8399">
        <v>0</v>
      </c>
      <c r="D8399">
        <v>0</v>
      </c>
      <c r="E8399">
        <v>0</v>
      </c>
      <c r="F8399">
        <v>0</v>
      </c>
    </row>
    <row r="8400" spans="1:6" x14ac:dyDescent="0.25">
      <c r="A8400">
        <v>8399</v>
      </c>
      <c r="B8400" t="s">
        <v>0</v>
      </c>
      <c r="C8400">
        <v>75</v>
      </c>
      <c r="D8400">
        <v>3490</v>
      </c>
      <c r="E8400">
        <v>80254713</v>
      </c>
    </row>
    <row r="8401" spans="1:6" x14ac:dyDescent="0.25">
      <c r="A8401">
        <v>8400</v>
      </c>
      <c r="B8401">
        <v>2</v>
      </c>
      <c r="C8401">
        <v>0</v>
      </c>
      <c r="D8401">
        <v>0</v>
      </c>
      <c r="E8401">
        <v>0</v>
      </c>
      <c r="F8401">
        <v>278.80799999999999</v>
      </c>
    </row>
    <row r="8402" spans="1:6" x14ac:dyDescent="0.25">
      <c r="A8402">
        <v>8401</v>
      </c>
      <c r="B8402">
        <v>10</v>
      </c>
      <c r="C8402">
        <v>1</v>
      </c>
      <c r="D8402">
        <v>0</v>
      </c>
      <c r="E8402">
        <v>0</v>
      </c>
      <c r="F8402">
        <v>3924</v>
      </c>
    </row>
    <row r="8403" spans="1:6" x14ac:dyDescent="0.25">
      <c r="A8403">
        <v>8402</v>
      </c>
      <c r="B8403">
        <v>13</v>
      </c>
      <c r="C8403">
        <v>0</v>
      </c>
      <c r="D8403">
        <v>0</v>
      </c>
      <c r="E8403">
        <v>0</v>
      </c>
      <c r="F8403">
        <v>1606</v>
      </c>
    </row>
    <row r="8404" spans="1:6" x14ac:dyDescent="0.25">
      <c r="A8404">
        <v>8403</v>
      </c>
      <c r="B8404">
        <v>41</v>
      </c>
      <c r="C8404">
        <v>0</v>
      </c>
      <c r="D8404">
        <v>0</v>
      </c>
      <c r="E8404">
        <v>0</v>
      </c>
      <c r="F8404">
        <v>1</v>
      </c>
    </row>
    <row r="8405" spans="1:6" x14ac:dyDescent="0.25">
      <c r="A8405">
        <v>8404</v>
      </c>
      <c r="B8405">
        <v>42</v>
      </c>
      <c r="C8405">
        <v>0</v>
      </c>
      <c r="D8405">
        <v>0</v>
      </c>
      <c r="E8405">
        <v>0</v>
      </c>
      <c r="F8405">
        <v>0.2</v>
      </c>
    </row>
    <row r="8406" spans="1:6" x14ac:dyDescent="0.25">
      <c r="A8406">
        <v>8405</v>
      </c>
      <c r="B8406" t="s">
        <v>0</v>
      </c>
      <c r="C8406">
        <v>78</v>
      </c>
      <c r="D8406">
        <v>3490</v>
      </c>
      <c r="E8406">
        <v>80255073</v>
      </c>
    </row>
    <row r="8407" spans="1:6" x14ac:dyDescent="0.25">
      <c r="A8407">
        <v>8406</v>
      </c>
      <c r="B8407">
        <v>44</v>
      </c>
      <c r="C8407">
        <v>0</v>
      </c>
      <c r="D8407">
        <v>0</v>
      </c>
      <c r="E8407">
        <v>0</v>
      </c>
      <c r="F8407">
        <v>-99.190799999999996</v>
      </c>
    </row>
    <row r="8408" spans="1:6" x14ac:dyDescent="0.25">
      <c r="A8408">
        <v>8407</v>
      </c>
      <c r="B8408" t="s">
        <v>0</v>
      </c>
      <c r="C8408">
        <v>79</v>
      </c>
      <c r="D8408">
        <v>3490</v>
      </c>
      <c r="E8408">
        <v>80255192</v>
      </c>
    </row>
    <row r="8409" spans="1:6" x14ac:dyDescent="0.25">
      <c r="A8409">
        <v>8408</v>
      </c>
      <c r="B8409">
        <v>45</v>
      </c>
      <c r="C8409">
        <v>0</v>
      </c>
      <c r="D8409">
        <v>0</v>
      </c>
      <c r="E8409">
        <v>0</v>
      </c>
      <c r="F8409">
        <v>527.28300000000002</v>
      </c>
    </row>
    <row r="8410" spans="1:6" x14ac:dyDescent="0.25">
      <c r="A8410">
        <v>8409</v>
      </c>
      <c r="B8410">
        <v>46</v>
      </c>
      <c r="C8410">
        <v>0</v>
      </c>
      <c r="D8410">
        <v>0</v>
      </c>
      <c r="E8410">
        <v>0</v>
      </c>
      <c r="F8410">
        <v>0</v>
      </c>
    </row>
    <row r="8411" spans="1:6" x14ac:dyDescent="0.25">
      <c r="A8411">
        <v>8410</v>
      </c>
      <c r="B8411" t="s">
        <v>0</v>
      </c>
      <c r="C8411">
        <v>80</v>
      </c>
      <c r="D8411">
        <v>3490</v>
      </c>
      <c r="E8411">
        <v>80255311</v>
      </c>
    </row>
    <row r="8412" spans="1:6" x14ac:dyDescent="0.25">
      <c r="A8412">
        <v>8411</v>
      </c>
      <c r="B8412">
        <v>2</v>
      </c>
      <c r="C8412">
        <v>0</v>
      </c>
      <c r="D8412">
        <v>0</v>
      </c>
      <c r="E8412">
        <v>0</v>
      </c>
      <c r="F8412">
        <v>278.536</v>
      </c>
    </row>
    <row r="8413" spans="1:6" x14ac:dyDescent="0.25">
      <c r="A8413">
        <v>8412</v>
      </c>
      <c r="B8413">
        <v>10</v>
      </c>
      <c r="C8413">
        <v>1</v>
      </c>
      <c r="D8413">
        <v>0</v>
      </c>
      <c r="E8413">
        <v>0</v>
      </c>
      <c r="F8413">
        <v>3930</v>
      </c>
    </row>
    <row r="8414" spans="1:6" x14ac:dyDescent="0.25">
      <c r="A8414">
        <v>8413</v>
      </c>
      <c r="B8414">
        <v>13</v>
      </c>
      <c r="C8414">
        <v>0</v>
      </c>
      <c r="D8414">
        <v>0</v>
      </c>
      <c r="E8414">
        <v>0</v>
      </c>
      <c r="F8414">
        <v>1606</v>
      </c>
    </row>
    <row r="8415" spans="1:6" x14ac:dyDescent="0.25">
      <c r="A8415">
        <v>8414</v>
      </c>
      <c r="B8415" t="s">
        <v>0</v>
      </c>
      <c r="C8415">
        <v>82</v>
      </c>
      <c r="D8415">
        <v>3490</v>
      </c>
      <c r="E8415">
        <v>80255551</v>
      </c>
    </row>
    <row r="8416" spans="1:6" x14ac:dyDescent="0.25">
      <c r="A8416">
        <v>8415</v>
      </c>
      <c r="B8416">
        <v>41</v>
      </c>
      <c r="C8416">
        <v>0</v>
      </c>
      <c r="D8416">
        <v>0</v>
      </c>
      <c r="E8416">
        <v>0</v>
      </c>
      <c r="F8416">
        <v>1</v>
      </c>
    </row>
    <row r="8417" spans="1:6" x14ac:dyDescent="0.25">
      <c r="A8417">
        <v>8416</v>
      </c>
      <c r="B8417" t="s">
        <v>0</v>
      </c>
      <c r="C8417">
        <v>83</v>
      </c>
      <c r="D8417">
        <v>3490</v>
      </c>
      <c r="E8417">
        <v>80255670</v>
      </c>
    </row>
    <row r="8418" spans="1:6" x14ac:dyDescent="0.25">
      <c r="A8418">
        <v>8417</v>
      </c>
      <c r="B8418">
        <v>43</v>
      </c>
      <c r="C8418">
        <v>0</v>
      </c>
      <c r="D8418">
        <v>0</v>
      </c>
      <c r="E8418">
        <v>0</v>
      </c>
      <c r="F8418">
        <v>0</v>
      </c>
    </row>
    <row r="8419" spans="1:6" x14ac:dyDescent="0.25">
      <c r="A8419">
        <v>8418</v>
      </c>
      <c r="B8419" t="s">
        <v>0</v>
      </c>
      <c r="C8419">
        <v>84</v>
      </c>
      <c r="D8419">
        <v>3490</v>
      </c>
      <c r="E8419">
        <v>80255790</v>
      </c>
    </row>
    <row r="8420" spans="1:6" x14ac:dyDescent="0.25">
      <c r="A8420">
        <v>8419</v>
      </c>
      <c r="B8420">
        <v>44</v>
      </c>
      <c r="C8420">
        <v>0</v>
      </c>
      <c r="D8420">
        <v>0</v>
      </c>
      <c r="E8420">
        <v>0</v>
      </c>
      <c r="F8420">
        <v>-98.667100000000005</v>
      </c>
    </row>
    <row r="8421" spans="1:6" x14ac:dyDescent="0.25">
      <c r="A8421">
        <v>8420</v>
      </c>
      <c r="B8421">
        <v>45</v>
      </c>
      <c r="C8421">
        <v>0</v>
      </c>
      <c r="D8421">
        <v>0</v>
      </c>
      <c r="E8421">
        <v>0</v>
      </c>
      <c r="F8421">
        <v>527.21199999999999</v>
      </c>
    </row>
    <row r="8422" spans="1:6" x14ac:dyDescent="0.25">
      <c r="A8422">
        <v>8421</v>
      </c>
      <c r="B8422" t="s">
        <v>0</v>
      </c>
      <c r="C8422">
        <v>85</v>
      </c>
      <c r="D8422">
        <v>3490</v>
      </c>
      <c r="E8422">
        <v>80255910</v>
      </c>
    </row>
    <row r="8423" spans="1:6" x14ac:dyDescent="0.25">
      <c r="A8423">
        <v>8422</v>
      </c>
      <c r="B8423">
        <v>46</v>
      </c>
      <c r="C8423">
        <v>0</v>
      </c>
      <c r="D8423">
        <v>0</v>
      </c>
      <c r="E8423">
        <v>0</v>
      </c>
      <c r="F8423">
        <v>0</v>
      </c>
    </row>
    <row r="8424" spans="1:6" x14ac:dyDescent="0.25">
      <c r="A8424">
        <v>8423</v>
      </c>
      <c r="B8424">
        <v>2</v>
      </c>
      <c r="C8424">
        <v>0</v>
      </c>
      <c r="D8424">
        <v>0</v>
      </c>
      <c r="E8424">
        <v>0</v>
      </c>
      <c r="F8424">
        <v>278.23099999999999</v>
      </c>
    </row>
    <row r="8425" spans="1:6" x14ac:dyDescent="0.25">
      <c r="A8425">
        <v>8424</v>
      </c>
      <c r="B8425">
        <v>10</v>
      </c>
      <c r="C8425">
        <v>1</v>
      </c>
      <c r="D8425">
        <v>0</v>
      </c>
      <c r="E8425">
        <v>0</v>
      </c>
      <c r="F8425">
        <v>3936</v>
      </c>
    </row>
    <row r="8426" spans="1:6" x14ac:dyDescent="0.25">
      <c r="A8426">
        <v>8425</v>
      </c>
      <c r="B8426" t="s">
        <v>0</v>
      </c>
      <c r="C8426">
        <v>87</v>
      </c>
      <c r="D8426">
        <v>3490</v>
      </c>
      <c r="E8426">
        <v>80256149</v>
      </c>
    </row>
    <row r="8427" spans="1:6" x14ac:dyDescent="0.25">
      <c r="A8427">
        <v>8426</v>
      </c>
      <c r="B8427">
        <v>41</v>
      </c>
      <c r="C8427">
        <v>0</v>
      </c>
      <c r="D8427">
        <v>0</v>
      </c>
      <c r="E8427">
        <v>0</v>
      </c>
      <c r="F8427">
        <v>1</v>
      </c>
    </row>
    <row r="8428" spans="1:6" x14ac:dyDescent="0.25">
      <c r="A8428">
        <v>8427</v>
      </c>
      <c r="B8428" t="s">
        <v>0</v>
      </c>
      <c r="C8428">
        <v>88</v>
      </c>
      <c r="D8428">
        <v>3490</v>
      </c>
      <c r="E8428">
        <v>80256269</v>
      </c>
    </row>
    <row r="8429" spans="1:6" x14ac:dyDescent="0.25">
      <c r="A8429">
        <v>8428</v>
      </c>
      <c r="B8429">
        <v>43</v>
      </c>
      <c r="C8429">
        <v>0</v>
      </c>
      <c r="D8429">
        <v>0</v>
      </c>
      <c r="E8429">
        <v>0</v>
      </c>
      <c r="F8429">
        <v>0</v>
      </c>
    </row>
    <row r="8430" spans="1:6" x14ac:dyDescent="0.25">
      <c r="A8430">
        <v>8429</v>
      </c>
      <c r="B8430" t="s">
        <v>0</v>
      </c>
      <c r="C8430">
        <v>89</v>
      </c>
      <c r="D8430">
        <v>3490</v>
      </c>
      <c r="E8430">
        <v>80256388</v>
      </c>
    </row>
    <row r="8431" spans="1:6" x14ac:dyDescent="0.25">
      <c r="A8431">
        <v>8430</v>
      </c>
      <c r="B8431">
        <v>44</v>
      </c>
      <c r="C8431">
        <v>0</v>
      </c>
      <c r="D8431">
        <v>0</v>
      </c>
      <c r="E8431">
        <v>0</v>
      </c>
      <c r="F8431">
        <v>-98.247200000000007</v>
      </c>
    </row>
    <row r="8432" spans="1:6" x14ac:dyDescent="0.25">
      <c r="A8432">
        <v>8431</v>
      </c>
      <c r="B8432">
        <v>45</v>
      </c>
      <c r="C8432">
        <v>0</v>
      </c>
      <c r="D8432">
        <v>0</v>
      </c>
      <c r="E8432">
        <v>0</v>
      </c>
      <c r="F8432">
        <v>527.14099999999996</v>
      </c>
    </row>
    <row r="8433" spans="1:6" x14ac:dyDescent="0.25">
      <c r="A8433">
        <v>8432</v>
      </c>
      <c r="B8433" t="s">
        <v>0</v>
      </c>
      <c r="C8433">
        <v>90</v>
      </c>
      <c r="D8433">
        <v>3490</v>
      </c>
      <c r="E8433">
        <v>80256508</v>
      </c>
    </row>
    <row r="8434" spans="1:6" x14ac:dyDescent="0.25">
      <c r="A8434">
        <v>8433</v>
      </c>
      <c r="B8434">
        <v>46</v>
      </c>
      <c r="C8434">
        <v>0</v>
      </c>
      <c r="D8434">
        <v>0</v>
      </c>
      <c r="E8434">
        <v>0</v>
      </c>
      <c r="F8434">
        <v>0</v>
      </c>
    </row>
    <row r="8435" spans="1:6" x14ac:dyDescent="0.25">
      <c r="A8435">
        <v>8434</v>
      </c>
      <c r="B8435">
        <v>2</v>
      </c>
      <c r="C8435">
        <v>0</v>
      </c>
      <c r="D8435">
        <v>0</v>
      </c>
      <c r="E8435">
        <v>0</v>
      </c>
      <c r="F8435">
        <v>277.95100000000002</v>
      </c>
    </row>
    <row r="8436" spans="1:6" x14ac:dyDescent="0.25">
      <c r="A8436">
        <v>8435</v>
      </c>
      <c r="B8436">
        <v>10</v>
      </c>
      <c r="C8436">
        <v>1</v>
      </c>
      <c r="D8436">
        <v>0</v>
      </c>
      <c r="E8436">
        <v>0</v>
      </c>
      <c r="F8436">
        <v>3943</v>
      </c>
    </row>
    <row r="8437" spans="1:6" x14ac:dyDescent="0.25">
      <c r="A8437">
        <v>8436</v>
      </c>
      <c r="B8437" t="s">
        <v>0</v>
      </c>
      <c r="C8437">
        <v>92</v>
      </c>
      <c r="D8437">
        <v>3490</v>
      </c>
      <c r="E8437">
        <v>80256748</v>
      </c>
    </row>
    <row r="8438" spans="1:6" x14ac:dyDescent="0.25">
      <c r="A8438">
        <v>8437</v>
      </c>
      <c r="B8438">
        <v>41</v>
      </c>
      <c r="C8438">
        <v>0</v>
      </c>
      <c r="D8438">
        <v>0</v>
      </c>
      <c r="E8438">
        <v>0</v>
      </c>
      <c r="F8438">
        <v>1</v>
      </c>
    </row>
    <row r="8439" spans="1:6" x14ac:dyDescent="0.25">
      <c r="A8439">
        <v>8438</v>
      </c>
      <c r="B8439" t="s">
        <v>0</v>
      </c>
      <c r="C8439">
        <v>93</v>
      </c>
      <c r="D8439">
        <v>3490</v>
      </c>
      <c r="E8439">
        <v>80256868</v>
      </c>
    </row>
    <row r="8440" spans="1:6" x14ac:dyDescent="0.25">
      <c r="A8440">
        <v>8439</v>
      </c>
      <c r="B8440">
        <v>43</v>
      </c>
      <c r="C8440">
        <v>0</v>
      </c>
      <c r="D8440">
        <v>0</v>
      </c>
      <c r="E8440">
        <v>0</v>
      </c>
      <c r="F8440">
        <v>0</v>
      </c>
    </row>
    <row r="8441" spans="1:6" x14ac:dyDescent="0.25">
      <c r="A8441">
        <v>8440</v>
      </c>
      <c r="B8441" t="s">
        <v>0</v>
      </c>
      <c r="C8441">
        <v>94</v>
      </c>
      <c r="D8441">
        <v>3490</v>
      </c>
      <c r="E8441">
        <v>80256988</v>
      </c>
    </row>
    <row r="8442" spans="1:6" x14ac:dyDescent="0.25">
      <c r="A8442">
        <v>8441</v>
      </c>
      <c r="B8442">
        <v>44</v>
      </c>
      <c r="C8442">
        <v>0</v>
      </c>
      <c r="D8442">
        <v>0</v>
      </c>
      <c r="E8442">
        <v>0</v>
      </c>
      <c r="F8442">
        <v>-97.795599999999993</v>
      </c>
    </row>
    <row r="8443" spans="1:6" x14ac:dyDescent="0.25">
      <c r="A8443">
        <v>8442</v>
      </c>
      <c r="B8443">
        <v>45</v>
      </c>
      <c r="C8443">
        <v>0</v>
      </c>
      <c r="D8443">
        <v>0</v>
      </c>
      <c r="E8443">
        <v>0</v>
      </c>
      <c r="F8443">
        <v>527.07000000000005</v>
      </c>
    </row>
    <row r="8444" spans="1:6" x14ac:dyDescent="0.25">
      <c r="A8444">
        <v>8443</v>
      </c>
      <c r="B8444" t="s">
        <v>0</v>
      </c>
      <c r="C8444">
        <v>95</v>
      </c>
      <c r="D8444">
        <v>3490</v>
      </c>
      <c r="E8444">
        <v>80257108</v>
      </c>
    </row>
    <row r="8445" spans="1:6" x14ac:dyDescent="0.25">
      <c r="A8445">
        <v>8444</v>
      </c>
      <c r="B8445">
        <v>46</v>
      </c>
      <c r="C8445">
        <v>0</v>
      </c>
      <c r="D8445">
        <v>0</v>
      </c>
      <c r="E8445">
        <v>0</v>
      </c>
      <c r="F8445">
        <v>0</v>
      </c>
    </row>
    <row r="8446" spans="1:6" x14ac:dyDescent="0.25">
      <c r="A8446">
        <v>8445</v>
      </c>
      <c r="B8446">
        <v>2</v>
      </c>
      <c r="C8446">
        <v>0</v>
      </c>
      <c r="D8446">
        <v>0</v>
      </c>
      <c r="E8446">
        <v>0</v>
      </c>
      <c r="F8446">
        <v>277.66500000000002</v>
      </c>
    </row>
    <row r="8447" spans="1:6" x14ac:dyDescent="0.25">
      <c r="A8447">
        <v>8446</v>
      </c>
      <c r="B8447">
        <v>10</v>
      </c>
      <c r="C8447">
        <v>1</v>
      </c>
      <c r="D8447">
        <v>0</v>
      </c>
      <c r="E8447">
        <v>0</v>
      </c>
      <c r="F8447">
        <v>3949</v>
      </c>
    </row>
    <row r="8448" spans="1:6" x14ac:dyDescent="0.25">
      <c r="A8448">
        <v>8447</v>
      </c>
      <c r="B8448" t="s">
        <v>0</v>
      </c>
      <c r="C8448">
        <v>97</v>
      </c>
      <c r="D8448">
        <v>3490</v>
      </c>
      <c r="E8448">
        <v>80257348</v>
      </c>
    </row>
    <row r="8449" spans="1:6" x14ac:dyDescent="0.25">
      <c r="A8449">
        <v>8448</v>
      </c>
      <c r="B8449">
        <v>41</v>
      </c>
      <c r="C8449">
        <v>0</v>
      </c>
      <c r="D8449">
        <v>0</v>
      </c>
      <c r="E8449">
        <v>0</v>
      </c>
      <c r="F8449">
        <v>1</v>
      </c>
    </row>
    <row r="8450" spans="1:6" x14ac:dyDescent="0.25">
      <c r="A8450">
        <v>8449</v>
      </c>
      <c r="B8450" t="s">
        <v>0</v>
      </c>
      <c r="C8450">
        <v>98</v>
      </c>
      <c r="D8450">
        <v>3490</v>
      </c>
      <c r="E8450">
        <v>80257469</v>
      </c>
    </row>
    <row r="8451" spans="1:6" x14ac:dyDescent="0.25">
      <c r="A8451">
        <v>8450</v>
      </c>
      <c r="B8451">
        <v>43</v>
      </c>
      <c r="C8451">
        <v>0</v>
      </c>
      <c r="D8451">
        <v>0</v>
      </c>
      <c r="E8451">
        <v>0</v>
      </c>
      <c r="F8451">
        <v>0</v>
      </c>
    </row>
    <row r="8452" spans="1:6" x14ac:dyDescent="0.25">
      <c r="A8452">
        <v>8451</v>
      </c>
      <c r="B8452" t="s">
        <v>0</v>
      </c>
      <c r="C8452">
        <v>99</v>
      </c>
      <c r="D8452">
        <v>3490</v>
      </c>
      <c r="E8452">
        <v>80257589</v>
      </c>
    </row>
    <row r="8453" spans="1:6" x14ac:dyDescent="0.25">
      <c r="A8453">
        <v>8452</v>
      </c>
      <c r="B8453">
        <v>44</v>
      </c>
      <c r="C8453">
        <v>0</v>
      </c>
      <c r="D8453">
        <v>0</v>
      </c>
      <c r="E8453">
        <v>0</v>
      </c>
      <c r="F8453">
        <v>-97.367900000000006</v>
      </c>
    </row>
    <row r="8454" spans="1:6" x14ac:dyDescent="0.25">
      <c r="A8454">
        <v>8453</v>
      </c>
      <c r="B8454">
        <v>45</v>
      </c>
      <c r="C8454">
        <v>0</v>
      </c>
      <c r="D8454">
        <v>0</v>
      </c>
      <c r="E8454">
        <v>0</v>
      </c>
      <c r="F8454">
        <v>526.99900000000002</v>
      </c>
    </row>
    <row r="8455" spans="1:6" x14ac:dyDescent="0.25">
      <c r="A8455">
        <v>8454</v>
      </c>
      <c r="B8455" t="s">
        <v>0</v>
      </c>
      <c r="C8455">
        <v>100</v>
      </c>
      <c r="D8455">
        <v>3490</v>
      </c>
      <c r="E8455">
        <v>80257709</v>
      </c>
    </row>
    <row r="8456" spans="1:6" x14ac:dyDescent="0.25">
      <c r="A8456">
        <v>8455</v>
      </c>
      <c r="B8456">
        <v>46</v>
      </c>
      <c r="C8456">
        <v>0</v>
      </c>
      <c r="D8456">
        <v>0</v>
      </c>
      <c r="E8456">
        <v>0</v>
      </c>
      <c r="F8456">
        <v>0</v>
      </c>
    </row>
    <row r="8457" spans="1:6" x14ac:dyDescent="0.25">
      <c r="A8457">
        <v>8456</v>
      </c>
      <c r="B8457">
        <v>2</v>
      </c>
      <c r="C8457">
        <v>0</v>
      </c>
      <c r="D8457">
        <v>0</v>
      </c>
      <c r="E8457">
        <v>0</v>
      </c>
      <c r="F8457">
        <v>277.37799999999999</v>
      </c>
    </row>
    <row r="8458" spans="1:6" x14ac:dyDescent="0.25">
      <c r="A8458">
        <v>8457</v>
      </c>
      <c r="B8458">
        <v>10</v>
      </c>
      <c r="C8458">
        <v>1</v>
      </c>
      <c r="D8458">
        <v>0</v>
      </c>
      <c r="E8458">
        <v>0</v>
      </c>
      <c r="F8458">
        <v>3955</v>
      </c>
    </row>
    <row r="8459" spans="1:6" x14ac:dyDescent="0.25">
      <c r="A8459">
        <v>8458</v>
      </c>
      <c r="B8459" t="s">
        <v>0</v>
      </c>
      <c r="C8459">
        <v>102</v>
      </c>
      <c r="D8459">
        <v>3490</v>
      </c>
      <c r="E8459">
        <v>80257949</v>
      </c>
    </row>
    <row r="8460" spans="1:6" x14ac:dyDescent="0.25">
      <c r="A8460">
        <v>8459</v>
      </c>
      <c r="B8460">
        <v>41</v>
      </c>
      <c r="C8460">
        <v>0</v>
      </c>
      <c r="D8460">
        <v>0</v>
      </c>
      <c r="E8460">
        <v>0</v>
      </c>
      <c r="F8460">
        <v>1</v>
      </c>
    </row>
    <row r="8461" spans="1:6" x14ac:dyDescent="0.25">
      <c r="A8461">
        <v>8460</v>
      </c>
      <c r="B8461" t="s">
        <v>0</v>
      </c>
      <c r="C8461">
        <v>103</v>
      </c>
      <c r="D8461">
        <v>3490</v>
      </c>
      <c r="E8461">
        <v>80258069</v>
      </c>
    </row>
    <row r="8462" spans="1:6" x14ac:dyDescent="0.25">
      <c r="A8462">
        <v>8461</v>
      </c>
      <c r="B8462">
        <v>43</v>
      </c>
      <c r="C8462">
        <v>0</v>
      </c>
      <c r="D8462">
        <v>0</v>
      </c>
      <c r="E8462">
        <v>0</v>
      </c>
      <c r="F8462">
        <v>0</v>
      </c>
    </row>
    <row r="8463" spans="1:6" x14ac:dyDescent="0.25">
      <c r="A8463">
        <v>8462</v>
      </c>
      <c r="B8463" t="s">
        <v>0</v>
      </c>
      <c r="C8463">
        <v>104</v>
      </c>
      <c r="D8463">
        <v>3490</v>
      </c>
      <c r="E8463">
        <v>80258189</v>
      </c>
    </row>
    <row r="8464" spans="1:6" x14ac:dyDescent="0.25">
      <c r="A8464">
        <v>8463</v>
      </c>
      <c r="B8464">
        <v>44</v>
      </c>
      <c r="C8464">
        <v>0</v>
      </c>
      <c r="D8464">
        <v>0</v>
      </c>
      <c r="E8464">
        <v>0</v>
      </c>
      <c r="F8464">
        <v>-96.934100000000001</v>
      </c>
    </row>
    <row r="8465" spans="1:6" x14ac:dyDescent="0.25">
      <c r="A8465">
        <v>8464</v>
      </c>
      <c r="B8465">
        <v>45</v>
      </c>
      <c r="C8465">
        <v>0</v>
      </c>
      <c r="D8465">
        <v>0</v>
      </c>
      <c r="E8465">
        <v>0</v>
      </c>
      <c r="F8465">
        <v>526.92899999999997</v>
      </c>
    </row>
    <row r="8466" spans="1:6" x14ac:dyDescent="0.25">
      <c r="A8466">
        <v>8465</v>
      </c>
      <c r="B8466" t="s">
        <v>0</v>
      </c>
      <c r="C8466">
        <v>105</v>
      </c>
      <c r="D8466">
        <v>3490</v>
      </c>
      <c r="E8466">
        <v>80258309</v>
      </c>
    </row>
    <row r="8467" spans="1:6" x14ac:dyDescent="0.25">
      <c r="A8467">
        <v>8466</v>
      </c>
      <c r="B8467">
        <v>46</v>
      </c>
      <c r="C8467">
        <v>0</v>
      </c>
      <c r="D8467">
        <v>0</v>
      </c>
      <c r="E8467">
        <v>0</v>
      </c>
      <c r="F8467">
        <v>0</v>
      </c>
    </row>
    <row r="8468" spans="1:6" x14ac:dyDescent="0.25">
      <c r="A8468">
        <v>8467</v>
      </c>
      <c r="B8468">
        <v>2</v>
      </c>
      <c r="C8468">
        <v>0</v>
      </c>
      <c r="D8468">
        <v>0</v>
      </c>
      <c r="E8468">
        <v>0</v>
      </c>
      <c r="F8468">
        <v>277.11799999999999</v>
      </c>
    </row>
    <row r="8469" spans="1:6" x14ac:dyDescent="0.25">
      <c r="A8469">
        <v>8468</v>
      </c>
      <c r="B8469">
        <v>10</v>
      </c>
      <c r="C8469">
        <v>1</v>
      </c>
      <c r="D8469">
        <v>0</v>
      </c>
      <c r="E8469">
        <v>0</v>
      </c>
      <c r="F8469">
        <v>3961</v>
      </c>
    </row>
    <row r="8470" spans="1:6" x14ac:dyDescent="0.25">
      <c r="A8470">
        <v>8469</v>
      </c>
      <c r="B8470" t="s">
        <v>0</v>
      </c>
      <c r="C8470">
        <v>107</v>
      </c>
      <c r="D8470">
        <v>3490</v>
      </c>
      <c r="E8470">
        <v>80258551</v>
      </c>
    </row>
    <row r="8471" spans="1:6" x14ac:dyDescent="0.25">
      <c r="A8471">
        <v>8470</v>
      </c>
      <c r="B8471">
        <v>41</v>
      </c>
      <c r="C8471">
        <v>0</v>
      </c>
      <c r="D8471">
        <v>0</v>
      </c>
      <c r="E8471">
        <v>0</v>
      </c>
      <c r="F8471">
        <v>1</v>
      </c>
    </row>
    <row r="8472" spans="1:6" x14ac:dyDescent="0.25">
      <c r="A8472">
        <v>8471</v>
      </c>
      <c r="B8472" t="s">
        <v>0</v>
      </c>
      <c r="C8472">
        <v>108</v>
      </c>
      <c r="D8472">
        <v>3490</v>
      </c>
      <c r="E8472">
        <v>80258671</v>
      </c>
    </row>
    <row r="8473" spans="1:6" x14ac:dyDescent="0.25">
      <c r="A8473">
        <v>8472</v>
      </c>
      <c r="B8473">
        <v>43</v>
      </c>
      <c r="C8473">
        <v>0</v>
      </c>
      <c r="D8473">
        <v>0</v>
      </c>
      <c r="E8473">
        <v>0</v>
      </c>
      <c r="F8473">
        <v>0</v>
      </c>
    </row>
    <row r="8474" spans="1:6" x14ac:dyDescent="0.25">
      <c r="A8474">
        <v>8473</v>
      </c>
      <c r="B8474" t="s">
        <v>0</v>
      </c>
      <c r="C8474">
        <v>109</v>
      </c>
      <c r="D8474">
        <v>3490</v>
      </c>
      <c r="E8474">
        <v>80258791</v>
      </c>
    </row>
    <row r="8475" spans="1:6" x14ac:dyDescent="0.25">
      <c r="A8475">
        <v>8474</v>
      </c>
      <c r="B8475">
        <v>44</v>
      </c>
      <c r="C8475">
        <v>0</v>
      </c>
      <c r="D8475">
        <v>0</v>
      </c>
      <c r="E8475">
        <v>0</v>
      </c>
      <c r="F8475">
        <v>-96.497</v>
      </c>
    </row>
    <row r="8476" spans="1:6" x14ac:dyDescent="0.25">
      <c r="A8476">
        <v>8475</v>
      </c>
      <c r="B8476">
        <v>45</v>
      </c>
      <c r="C8476">
        <v>0</v>
      </c>
      <c r="D8476">
        <v>0</v>
      </c>
      <c r="E8476">
        <v>0</v>
      </c>
      <c r="F8476">
        <v>526.85900000000004</v>
      </c>
    </row>
    <row r="8477" spans="1:6" x14ac:dyDescent="0.25">
      <c r="A8477">
        <v>8476</v>
      </c>
      <c r="B8477" t="s">
        <v>0</v>
      </c>
      <c r="C8477">
        <v>110</v>
      </c>
      <c r="D8477">
        <v>3490</v>
      </c>
      <c r="E8477">
        <v>80258911</v>
      </c>
    </row>
    <row r="8478" spans="1:6" x14ac:dyDescent="0.25">
      <c r="A8478">
        <v>8477</v>
      </c>
      <c r="B8478">
        <v>46</v>
      </c>
      <c r="C8478">
        <v>0</v>
      </c>
      <c r="D8478">
        <v>0</v>
      </c>
      <c r="E8478">
        <v>0</v>
      </c>
      <c r="F8478">
        <v>0</v>
      </c>
    </row>
    <row r="8479" spans="1:6" x14ac:dyDescent="0.25">
      <c r="A8479">
        <v>8478</v>
      </c>
      <c r="B8479">
        <v>2</v>
      </c>
      <c r="C8479">
        <v>0</v>
      </c>
      <c r="D8479">
        <v>0</v>
      </c>
      <c r="E8479">
        <v>0</v>
      </c>
      <c r="F8479">
        <v>276.81299999999999</v>
      </c>
    </row>
    <row r="8480" spans="1:6" x14ac:dyDescent="0.25">
      <c r="A8480">
        <v>8479</v>
      </c>
      <c r="B8480">
        <v>10</v>
      </c>
      <c r="C8480">
        <v>1</v>
      </c>
      <c r="D8480">
        <v>0</v>
      </c>
      <c r="E8480">
        <v>0</v>
      </c>
      <c r="F8480">
        <v>3967</v>
      </c>
    </row>
    <row r="8481" spans="1:6" x14ac:dyDescent="0.25">
      <c r="A8481">
        <v>8480</v>
      </c>
      <c r="B8481" t="s">
        <v>0</v>
      </c>
      <c r="C8481">
        <v>112</v>
      </c>
      <c r="D8481">
        <v>3490</v>
      </c>
      <c r="E8481">
        <v>80259151</v>
      </c>
    </row>
    <row r="8482" spans="1:6" x14ac:dyDescent="0.25">
      <c r="A8482">
        <v>8481</v>
      </c>
      <c r="B8482">
        <v>41</v>
      </c>
      <c r="C8482">
        <v>0</v>
      </c>
      <c r="D8482">
        <v>0</v>
      </c>
      <c r="E8482">
        <v>0</v>
      </c>
      <c r="F8482">
        <v>1</v>
      </c>
    </row>
    <row r="8483" spans="1:6" x14ac:dyDescent="0.25">
      <c r="A8483">
        <v>8482</v>
      </c>
      <c r="B8483" t="s">
        <v>0</v>
      </c>
      <c r="C8483">
        <v>113</v>
      </c>
      <c r="D8483">
        <v>3490</v>
      </c>
      <c r="E8483">
        <v>80259271</v>
      </c>
    </row>
    <row r="8484" spans="1:6" x14ac:dyDescent="0.25">
      <c r="A8484">
        <v>8483</v>
      </c>
      <c r="B8484">
        <v>43</v>
      </c>
      <c r="C8484">
        <v>0</v>
      </c>
      <c r="D8484">
        <v>0</v>
      </c>
      <c r="E8484">
        <v>0</v>
      </c>
      <c r="F8484">
        <v>0</v>
      </c>
    </row>
    <row r="8485" spans="1:6" x14ac:dyDescent="0.25">
      <c r="A8485">
        <v>8484</v>
      </c>
      <c r="B8485" t="s">
        <v>0</v>
      </c>
      <c r="C8485">
        <v>114</v>
      </c>
      <c r="D8485">
        <v>3490</v>
      </c>
      <c r="E8485">
        <v>80259391</v>
      </c>
    </row>
    <row r="8486" spans="1:6" x14ac:dyDescent="0.25">
      <c r="A8486">
        <v>8485</v>
      </c>
      <c r="B8486">
        <v>44</v>
      </c>
      <c r="C8486">
        <v>0</v>
      </c>
      <c r="D8486">
        <v>0</v>
      </c>
      <c r="E8486">
        <v>0</v>
      </c>
      <c r="F8486">
        <v>-96.087199999999996</v>
      </c>
    </row>
    <row r="8487" spans="1:6" x14ac:dyDescent="0.25">
      <c r="A8487">
        <v>8486</v>
      </c>
      <c r="B8487">
        <v>45</v>
      </c>
      <c r="C8487">
        <v>0</v>
      </c>
      <c r="D8487">
        <v>0</v>
      </c>
      <c r="E8487">
        <v>0</v>
      </c>
      <c r="F8487">
        <v>526.78899999999999</v>
      </c>
    </row>
    <row r="8488" spans="1:6" x14ac:dyDescent="0.25">
      <c r="A8488">
        <v>8487</v>
      </c>
      <c r="B8488" t="s">
        <v>0</v>
      </c>
      <c r="C8488">
        <v>115</v>
      </c>
      <c r="D8488">
        <v>3490</v>
      </c>
      <c r="E8488">
        <v>80259511</v>
      </c>
    </row>
    <row r="8489" spans="1:6" x14ac:dyDescent="0.25">
      <c r="A8489">
        <v>8488</v>
      </c>
      <c r="B8489">
        <v>46</v>
      </c>
      <c r="C8489">
        <v>0</v>
      </c>
      <c r="D8489">
        <v>0</v>
      </c>
      <c r="E8489">
        <v>0</v>
      </c>
      <c r="F8489">
        <v>0</v>
      </c>
    </row>
    <row r="8490" spans="1:6" x14ac:dyDescent="0.25">
      <c r="A8490">
        <v>8489</v>
      </c>
      <c r="B8490">
        <v>2</v>
      </c>
      <c r="C8490">
        <v>0</v>
      </c>
      <c r="D8490">
        <v>0</v>
      </c>
      <c r="E8490">
        <v>0</v>
      </c>
      <c r="F8490">
        <v>276.54300000000001</v>
      </c>
    </row>
    <row r="8491" spans="1:6" x14ac:dyDescent="0.25">
      <c r="A8491">
        <v>8490</v>
      </c>
      <c r="B8491">
        <v>10</v>
      </c>
      <c r="C8491">
        <v>1</v>
      </c>
      <c r="D8491">
        <v>0</v>
      </c>
      <c r="E8491">
        <v>0</v>
      </c>
      <c r="F8491">
        <v>3971</v>
      </c>
    </row>
    <row r="8492" spans="1:6" x14ac:dyDescent="0.25">
      <c r="A8492">
        <v>8491</v>
      </c>
      <c r="B8492" t="s">
        <v>0</v>
      </c>
      <c r="C8492">
        <v>117</v>
      </c>
      <c r="D8492">
        <v>3490</v>
      </c>
      <c r="E8492">
        <v>80259753</v>
      </c>
    </row>
    <row r="8493" spans="1:6" x14ac:dyDescent="0.25">
      <c r="A8493">
        <v>8492</v>
      </c>
      <c r="B8493">
        <v>41</v>
      </c>
      <c r="C8493">
        <v>0</v>
      </c>
      <c r="D8493">
        <v>0</v>
      </c>
      <c r="E8493">
        <v>0</v>
      </c>
      <c r="F8493">
        <v>1</v>
      </c>
    </row>
    <row r="8494" spans="1:6" x14ac:dyDescent="0.25">
      <c r="A8494">
        <v>8493</v>
      </c>
      <c r="B8494" t="s">
        <v>0</v>
      </c>
      <c r="C8494">
        <v>118</v>
      </c>
      <c r="D8494">
        <v>3490</v>
      </c>
      <c r="E8494">
        <v>80259874</v>
      </c>
    </row>
    <row r="8495" spans="1:6" x14ac:dyDescent="0.25">
      <c r="A8495">
        <v>8494</v>
      </c>
      <c r="B8495">
        <v>43</v>
      </c>
      <c r="C8495">
        <v>0</v>
      </c>
      <c r="D8495">
        <v>0</v>
      </c>
      <c r="E8495">
        <v>0</v>
      </c>
      <c r="F8495">
        <v>0</v>
      </c>
    </row>
    <row r="8496" spans="1:6" x14ac:dyDescent="0.25">
      <c r="A8496">
        <v>8495</v>
      </c>
      <c r="B8496" t="s">
        <v>0</v>
      </c>
      <c r="C8496">
        <v>119</v>
      </c>
      <c r="D8496">
        <v>3490</v>
      </c>
      <c r="E8496">
        <v>80259995</v>
      </c>
    </row>
    <row r="8497" spans="1:6" x14ac:dyDescent="0.25">
      <c r="A8497">
        <v>8496</v>
      </c>
      <c r="B8497">
        <v>44</v>
      </c>
      <c r="C8497">
        <v>0</v>
      </c>
      <c r="D8497">
        <v>0</v>
      </c>
      <c r="E8497">
        <v>0</v>
      </c>
      <c r="F8497">
        <v>-95.644599999999997</v>
      </c>
    </row>
    <row r="8498" spans="1:6" x14ac:dyDescent="0.25">
      <c r="A8498">
        <v>8497</v>
      </c>
      <c r="B8498">
        <v>45</v>
      </c>
      <c r="C8498">
        <v>0</v>
      </c>
      <c r="D8498">
        <v>0</v>
      </c>
      <c r="E8498">
        <v>0</v>
      </c>
      <c r="F8498">
        <v>526.71900000000005</v>
      </c>
    </row>
    <row r="8499" spans="1:6" x14ac:dyDescent="0.25">
      <c r="A8499">
        <v>8498</v>
      </c>
      <c r="B8499" t="s">
        <v>0</v>
      </c>
      <c r="C8499">
        <v>120</v>
      </c>
      <c r="D8499">
        <v>3490</v>
      </c>
      <c r="E8499">
        <v>80260116</v>
      </c>
    </row>
    <row r="8500" spans="1:6" x14ac:dyDescent="0.25">
      <c r="A8500">
        <v>8499</v>
      </c>
      <c r="B8500">
        <v>46</v>
      </c>
      <c r="C8500">
        <v>0</v>
      </c>
      <c r="D8500">
        <v>0</v>
      </c>
      <c r="E8500">
        <v>0</v>
      </c>
      <c r="F8500">
        <v>0</v>
      </c>
    </row>
    <row r="8501" spans="1:6" x14ac:dyDescent="0.25">
      <c r="A8501">
        <v>8500</v>
      </c>
      <c r="B8501">
        <v>2</v>
      </c>
      <c r="C8501">
        <v>0</v>
      </c>
      <c r="D8501">
        <v>0</v>
      </c>
      <c r="E8501">
        <v>0</v>
      </c>
      <c r="F8501">
        <v>276.26499999999999</v>
      </c>
    </row>
    <row r="8502" spans="1:6" x14ac:dyDescent="0.25">
      <c r="A8502">
        <v>8501</v>
      </c>
      <c r="B8502">
        <v>10</v>
      </c>
      <c r="C8502">
        <v>1</v>
      </c>
      <c r="D8502">
        <v>0</v>
      </c>
      <c r="E8502">
        <v>0</v>
      </c>
      <c r="F8502">
        <v>3977</v>
      </c>
    </row>
    <row r="8503" spans="1:6" x14ac:dyDescent="0.25">
      <c r="A8503">
        <v>8502</v>
      </c>
      <c r="B8503">
        <v>13</v>
      </c>
      <c r="C8503">
        <v>0</v>
      </c>
      <c r="D8503">
        <v>0</v>
      </c>
      <c r="E8503">
        <v>0</v>
      </c>
      <c r="F8503">
        <v>1606</v>
      </c>
    </row>
    <row r="8504" spans="1:6" x14ac:dyDescent="0.25">
      <c r="A8504">
        <v>8503</v>
      </c>
      <c r="B8504">
        <v>41</v>
      </c>
      <c r="C8504">
        <v>0</v>
      </c>
      <c r="D8504">
        <v>0</v>
      </c>
      <c r="E8504">
        <v>0</v>
      </c>
      <c r="F8504">
        <v>1</v>
      </c>
    </row>
    <row r="8505" spans="1:6" x14ac:dyDescent="0.25">
      <c r="A8505">
        <v>8504</v>
      </c>
      <c r="B8505" t="s">
        <v>0</v>
      </c>
      <c r="C8505">
        <v>123</v>
      </c>
      <c r="D8505">
        <v>3490</v>
      </c>
      <c r="E8505">
        <v>80260477</v>
      </c>
    </row>
    <row r="8506" spans="1:6" x14ac:dyDescent="0.25">
      <c r="A8506">
        <v>8505</v>
      </c>
      <c r="B8506">
        <v>43</v>
      </c>
      <c r="C8506">
        <v>0</v>
      </c>
      <c r="D8506">
        <v>0</v>
      </c>
      <c r="E8506">
        <v>0</v>
      </c>
      <c r="F8506">
        <v>0</v>
      </c>
    </row>
    <row r="8507" spans="1:6" x14ac:dyDescent="0.25">
      <c r="A8507">
        <v>8506</v>
      </c>
      <c r="B8507" t="s">
        <v>0</v>
      </c>
      <c r="C8507">
        <v>124</v>
      </c>
      <c r="D8507">
        <v>3490</v>
      </c>
      <c r="E8507">
        <v>80260598</v>
      </c>
    </row>
    <row r="8508" spans="1:6" x14ac:dyDescent="0.25">
      <c r="A8508">
        <v>8507</v>
      </c>
      <c r="B8508">
        <v>45</v>
      </c>
      <c r="C8508">
        <v>0</v>
      </c>
      <c r="D8508">
        <v>0</v>
      </c>
      <c r="E8508">
        <v>0</v>
      </c>
      <c r="F8508">
        <v>526.65</v>
      </c>
    </row>
    <row r="8509" spans="1:6" x14ac:dyDescent="0.25">
      <c r="A8509">
        <v>8508</v>
      </c>
      <c r="B8509" t="s">
        <v>0</v>
      </c>
      <c r="C8509">
        <v>125</v>
      </c>
      <c r="D8509">
        <v>3490</v>
      </c>
      <c r="E8509">
        <v>80260718</v>
      </c>
    </row>
    <row r="8510" spans="1:6" x14ac:dyDescent="0.25">
      <c r="A8510">
        <v>8509</v>
      </c>
      <c r="B8510">
        <v>46</v>
      </c>
      <c r="C8510">
        <v>0</v>
      </c>
      <c r="D8510">
        <v>0</v>
      </c>
      <c r="E8510">
        <v>0</v>
      </c>
      <c r="F8510">
        <v>0</v>
      </c>
    </row>
    <row r="8511" spans="1:6" x14ac:dyDescent="0.25">
      <c r="A8511">
        <v>8510</v>
      </c>
      <c r="B8511">
        <v>2</v>
      </c>
      <c r="C8511">
        <v>0</v>
      </c>
      <c r="D8511">
        <v>0</v>
      </c>
      <c r="E8511">
        <v>0</v>
      </c>
      <c r="F8511">
        <v>275.97500000000002</v>
      </c>
    </row>
    <row r="8512" spans="1:6" x14ac:dyDescent="0.25">
      <c r="A8512">
        <v>8511</v>
      </c>
      <c r="B8512">
        <v>10</v>
      </c>
      <c r="C8512">
        <v>1</v>
      </c>
      <c r="D8512">
        <v>0</v>
      </c>
      <c r="E8512">
        <v>0</v>
      </c>
      <c r="F8512">
        <v>3983</v>
      </c>
    </row>
    <row r="8513" spans="1:6" x14ac:dyDescent="0.25">
      <c r="A8513">
        <v>8512</v>
      </c>
      <c r="B8513">
        <v>13</v>
      </c>
      <c r="C8513">
        <v>0</v>
      </c>
      <c r="D8513">
        <v>0</v>
      </c>
      <c r="E8513">
        <v>0</v>
      </c>
      <c r="F8513">
        <v>1606</v>
      </c>
    </row>
    <row r="8514" spans="1:6" x14ac:dyDescent="0.25">
      <c r="A8514">
        <v>8513</v>
      </c>
      <c r="B8514">
        <v>41</v>
      </c>
      <c r="C8514">
        <v>0</v>
      </c>
      <c r="D8514">
        <v>0</v>
      </c>
      <c r="E8514">
        <v>0</v>
      </c>
      <c r="F8514">
        <v>1</v>
      </c>
    </row>
    <row r="8515" spans="1:6" x14ac:dyDescent="0.25">
      <c r="A8515">
        <v>8514</v>
      </c>
      <c r="B8515" t="s">
        <v>0</v>
      </c>
      <c r="C8515">
        <v>128</v>
      </c>
      <c r="D8515">
        <v>3490</v>
      </c>
      <c r="E8515">
        <v>80261080</v>
      </c>
    </row>
    <row r="8516" spans="1:6" x14ac:dyDescent="0.25">
      <c r="A8516">
        <v>8515</v>
      </c>
      <c r="B8516">
        <v>43</v>
      </c>
      <c r="C8516">
        <v>0</v>
      </c>
      <c r="D8516">
        <v>0</v>
      </c>
      <c r="E8516">
        <v>0</v>
      </c>
      <c r="F8516">
        <v>0</v>
      </c>
    </row>
    <row r="8517" spans="1:6" x14ac:dyDescent="0.25">
      <c r="A8517">
        <v>8516</v>
      </c>
      <c r="B8517" t="s">
        <v>0</v>
      </c>
      <c r="C8517">
        <v>129</v>
      </c>
      <c r="D8517">
        <v>3490</v>
      </c>
      <c r="E8517">
        <v>80261201</v>
      </c>
    </row>
    <row r="8518" spans="1:6" x14ac:dyDescent="0.25">
      <c r="A8518">
        <v>8517</v>
      </c>
      <c r="B8518">
        <v>45</v>
      </c>
      <c r="C8518">
        <v>0</v>
      </c>
      <c r="D8518">
        <v>0</v>
      </c>
      <c r="E8518">
        <v>0</v>
      </c>
      <c r="F8518">
        <v>526.58100000000002</v>
      </c>
    </row>
    <row r="8519" spans="1:6" x14ac:dyDescent="0.25">
      <c r="A8519">
        <v>8518</v>
      </c>
      <c r="B8519" t="s">
        <v>0</v>
      </c>
      <c r="C8519">
        <v>130</v>
      </c>
      <c r="D8519">
        <v>3490</v>
      </c>
      <c r="E8519">
        <v>80261321</v>
      </c>
    </row>
    <row r="8520" spans="1:6" x14ac:dyDescent="0.25">
      <c r="A8520">
        <v>8519</v>
      </c>
      <c r="B8520">
        <v>46</v>
      </c>
      <c r="C8520">
        <v>0</v>
      </c>
      <c r="D8520">
        <v>0</v>
      </c>
      <c r="E8520">
        <v>0</v>
      </c>
      <c r="F8520">
        <v>0</v>
      </c>
    </row>
    <row r="8521" spans="1:6" x14ac:dyDescent="0.25">
      <c r="A8521">
        <v>8520</v>
      </c>
      <c r="B8521">
        <v>2</v>
      </c>
      <c r="C8521">
        <v>0</v>
      </c>
      <c r="D8521">
        <v>0</v>
      </c>
      <c r="E8521">
        <v>0</v>
      </c>
      <c r="F8521">
        <v>275.72300000000001</v>
      </c>
    </row>
    <row r="8522" spans="1:6" x14ac:dyDescent="0.25">
      <c r="A8522">
        <v>8521</v>
      </c>
      <c r="B8522">
        <v>10</v>
      </c>
      <c r="C8522">
        <v>1</v>
      </c>
      <c r="D8522">
        <v>0</v>
      </c>
      <c r="E8522">
        <v>0</v>
      </c>
      <c r="F8522">
        <v>3988</v>
      </c>
    </row>
    <row r="8523" spans="1:6" x14ac:dyDescent="0.25">
      <c r="A8523">
        <v>8522</v>
      </c>
      <c r="B8523">
        <v>13</v>
      </c>
      <c r="C8523">
        <v>0</v>
      </c>
      <c r="D8523">
        <v>0</v>
      </c>
      <c r="E8523">
        <v>0</v>
      </c>
      <c r="F8523">
        <v>1606</v>
      </c>
    </row>
    <row r="8524" spans="1:6" x14ac:dyDescent="0.25">
      <c r="A8524">
        <v>8523</v>
      </c>
      <c r="B8524">
        <v>41</v>
      </c>
      <c r="C8524">
        <v>0</v>
      </c>
      <c r="D8524">
        <v>0</v>
      </c>
      <c r="E8524">
        <v>0</v>
      </c>
      <c r="F8524">
        <v>1</v>
      </c>
    </row>
    <row r="8525" spans="1:6" x14ac:dyDescent="0.25">
      <c r="A8525">
        <v>8524</v>
      </c>
      <c r="B8525" t="s">
        <v>0</v>
      </c>
      <c r="C8525">
        <v>133</v>
      </c>
      <c r="D8525">
        <v>3490</v>
      </c>
      <c r="E8525">
        <v>80261684</v>
      </c>
    </row>
    <row r="8526" spans="1:6" x14ac:dyDescent="0.25">
      <c r="A8526">
        <v>8525</v>
      </c>
      <c r="B8526">
        <v>43</v>
      </c>
      <c r="C8526">
        <v>0</v>
      </c>
      <c r="D8526">
        <v>0</v>
      </c>
      <c r="E8526">
        <v>0</v>
      </c>
      <c r="F8526">
        <v>0</v>
      </c>
    </row>
    <row r="8527" spans="1:6" x14ac:dyDescent="0.25">
      <c r="A8527">
        <v>8526</v>
      </c>
      <c r="B8527" t="s">
        <v>0</v>
      </c>
      <c r="C8527">
        <v>134</v>
      </c>
      <c r="D8527">
        <v>3490</v>
      </c>
      <c r="E8527">
        <v>80261805</v>
      </c>
    </row>
    <row r="8528" spans="1:6" x14ac:dyDescent="0.25">
      <c r="A8528">
        <v>8527</v>
      </c>
      <c r="B8528">
        <v>45</v>
      </c>
      <c r="C8528">
        <v>0</v>
      </c>
      <c r="D8528">
        <v>0</v>
      </c>
      <c r="E8528">
        <v>0</v>
      </c>
      <c r="F8528">
        <v>526.51199999999994</v>
      </c>
    </row>
    <row r="8529" spans="1:6" x14ac:dyDescent="0.25">
      <c r="A8529">
        <v>8528</v>
      </c>
      <c r="B8529" t="s">
        <v>0</v>
      </c>
      <c r="C8529">
        <v>135</v>
      </c>
      <c r="D8529">
        <v>3490</v>
      </c>
      <c r="E8529">
        <v>80261926</v>
      </c>
    </row>
    <row r="8530" spans="1:6" x14ac:dyDescent="0.25">
      <c r="A8530">
        <v>8529</v>
      </c>
      <c r="B8530">
        <v>46</v>
      </c>
      <c r="C8530">
        <v>0</v>
      </c>
      <c r="D8530">
        <v>0</v>
      </c>
      <c r="E8530">
        <v>0</v>
      </c>
      <c r="F8530">
        <v>0</v>
      </c>
    </row>
    <row r="8531" spans="1:6" x14ac:dyDescent="0.25">
      <c r="A8531">
        <v>8530</v>
      </c>
      <c r="B8531">
        <v>2</v>
      </c>
      <c r="C8531">
        <v>0</v>
      </c>
      <c r="D8531">
        <v>0</v>
      </c>
      <c r="E8531">
        <v>0</v>
      </c>
      <c r="F8531">
        <v>275.42500000000001</v>
      </c>
    </row>
    <row r="8532" spans="1:6" x14ac:dyDescent="0.25">
      <c r="A8532">
        <v>8531</v>
      </c>
      <c r="B8532" t="s">
        <v>0</v>
      </c>
      <c r="C8532">
        <v>136</v>
      </c>
      <c r="D8532">
        <v>3490</v>
      </c>
      <c r="E8532">
        <v>80262046</v>
      </c>
    </row>
    <row r="8533" spans="1:6" x14ac:dyDescent="0.25">
      <c r="A8533">
        <v>8532</v>
      </c>
      <c r="B8533">
        <v>10</v>
      </c>
      <c r="C8533">
        <v>1</v>
      </c>
      <c r="D8533">
        <v>0</v>
      </c>
      <c r="E8533">
        <v>0</v>
      </c>
      <c r="F8533">
        <v>3995</v>
      </c>
    </row>
    <row r="8534" spans="1:6" x14ac:dyDescent="0.25">
      <c r="A8534">
        <v>8533</v>
      </c>
      <c r="B8534">
        <v>13</v>
      </c>
      <c r="C8534">
        <v>0</v>
      </c>
      <c r="D8534">
        <v>0</v>
      </c>
      <c r="E8534">
        <v>0</v>
      </c>
      <c r="F8534">
        <v>1606</v>
      </c>
    </row>
    <row r="8535" spans="1:6" x14ac:dyDescent="0.25">
      <c r="A8535">
        <v>8534</v>
      </c>
      <c r="B8535">
        <v>41</v>
      </c>
      <c r="C8535">
        <v>0</v>
      </c>
      <c r="D8535">
        <v>0</v>
      </c>
      <c r="E8535">
        <v>0</v>
      </c>
      <c r="F8535">
        <v>1</v>
      </c>
    </row>
    <row r="8536" spans="1:6" x14ac:dyDescent="0.25">
      <c r="A8536">
        <v>8535</v>
      </c>
      <c r="B8536" t="s">
        <v>0</v>
      </c>
      <c r="C8536">
        <v>138</v>
      </c>
      <c r="D8536">
        <v>3490</v>
      </c>
      <c r="E8536">
        <v>80262288</v>
      </c>
    </row>
    <row r="8537" spans="1:6" x14ac:dyDescent="0.25">
      <c r="A8537">
        <v>8536</v>
      </c>
      <c r="B8537">
        <v>43</v>
      </c>
      <c r="C8537">
        <v>0</v>
      </c>
      <c r="D8537">
        <v>0</v>
      </c>
      <c r="E8537">
        <v>0</v>
      </c>
      <c r="F8537">
        <v>0</v>
      </c>
    </row>
    <row r="8538" spans="1:6" x14ac:dyDescent="0.25">
      <c r="A8538">
        <v>8537</v>
      </c>
      <c r="B8538" t="s">
        <v>0</v>
      </c>
      <c r="C8538">
        <v>139</v>
      </c>
      <c r="D8538">
        <v>3490</v>
      </c>
      <c r="E8538">
        <v>80262409</v>
      </c>
    </row>
    <row r="8539" spans="1:6" x14ac:dyDescent="0.25">
      <c r="A8539">
        <v>8538</v>
      </c>
      <c r="B8539">
        <v>45</v>
      </c>
      <c r="C8539">
        <v>0</v>
      </c>
      <c r="D8539">
        <v>0</v>
      </c>
      <c r="E8539">
        <v>0</v>
      </c>
      <c r="F8539">
        <v>526.44399999999996</v>
      </c>
    </row>
    <row r="8540" spans="1:6" x14ac:dyDescent="0.25">
      <c r="A8540">
        <v>8539</v>
      </c>
      <c r="B8540" t="s">
        <v>0</v>
      </c>
      <c r="C8540">
        <v>140</v>
      </c>
      <c r="D8540">
        <v>3490</v>
      </c>
      <c r="E8540">
        <v>80262530</v>
      </c>
    </row>
    <row r="8541" spans="1:6" x14ac:dyDescent="0.25">
      <c r="A8541">
        <v>8540</v>
      </c>
      <c r="B8541">
        <v>2</v>
      </c>
      <c r="C8541">
        <v>0</v>
      </c>
      <c r="D8541">
        <v>0</v>
      </c>
      <c r="E8541">
        <v>0</v>
      </c>
      <c r="F8541">
        <v>275.15100000000001</v>
      </c>
    </row>
    <row r="8542" spans="1:6" x14ac:dyDescent="0.25">
      <c r="A8542">
        <v>8541</v>
      </c>
      <c r="B8542" t="s">
        <v>0</v>
      </c>
      <c r="C8542">
        <v>141</v>
      </c>
      <c r="D8542">
        <v>3490</v>
      </c>
      <c r="E8542">
        <v>80262652</v>
      </c>
    </row>
    <row r="8543" spans="1:6" x14ac:dyDescent="0.25">
      <c r="A8543">
        <v>8542</v>
      </c>
      <c r="B8543">
        <v>10</v>
      </c>
      <c r="C8543">
        <v>1</v>
      </c>
      <c r="D8543">
        <v>0</v>
      </c>
      <c r="E8543">
        <v>0</v>
      </c>
      <c r="F8543">
        <v>4000</v>
      </c>
    </row>
    <row r="8544" spans="1:6" x14ac:dyDescent="0.25">
      <c r="A8544">
        <v>8543</v>
      </c>
      <c r="B8544">
        <v>13</v>
      </c>
      <c r="C8544">
        <v>0</v>
      </c>
      <c r="D8544">
        <v>0</v>
      </c>
      <c r="E8544">
        <v>0</v>
      </c>
      <c r="F8544">
        <v>1606</v>
      </c>
    </row>
    <row r="8545" spans="1:6" x14ac:dyDescent="0.25">
      <c r="A8545">
        <v>8544</v>
      </c>
      <c r="B8545">
        <v>41</v>
      </c>
      <c r="C8545">
        <v>0</v>
      </c>
      <c r="D8545">
        <v>0</v>
      </c>
      <c r="E8545">
        <v>0</v>
      </c>
      <c r="F8545">
        <v>1</v>
      </c>
    </row>
    <row r="8546" spans="1:6" x14ac:dyDescent="0.25">
      <c r="A8546">
        <v>8545</v>
      </c>
      <c r="B8546">
        <v>42</v>
      </c>
      <c r="C8546">
        <v>0</v>
      </c>
      <c r="D8546">
        <v>0</v>
      </c>
      <c r="E8546">
        <v>0</v>
      </c>
      <c r="F8546">
        <v>0.2</v>
      </c>
    </row>
    <row r="8547" spans="1:6" x14ac:dyDescent="0.25">
      <c r="A8547">
        <v>8546</v>
      </c>
      <c r="B8547">
        <v>43</v>
      </c>
      <c r="C8547">
        <v>0</v>
      </c>
      <c r="D8547">
        <v>0</v>
      </c>
      <c r="E8547">
        <v>0</v>
      </c>
      <c r="F8547">
        <v>0</v>
      </c>
    </row>
    <row r="8548" spans="1:6" x14ac:dyDescent="0.25">
      <c r="A8548">
        <v>8547</v>
      </c>
      <c r="B8548" t="s">
        <v>0</v>
      </c>
      <c r="C8548">
        <v>144</v>
      </c>
      <c r="D8548">
        <v>3490</v>
      </c>
      <c r="E8548">
        <v>80263015</v>
      </c>
    </row>
    <row r="8549" spans="1:6" x14ac:dyDescent="0.25">
      <c r="A8549">
        <v>8548</v>
      </c>
      <c r="B8549">
        <v>45</v>
      </c>
      <c r="C8549">
        <v>0</v>
      </c>
      <c r="D8549">
        <v>0</v>
      </c>
      <c r="E8549">
        <v>0</v>
      </c>
      <c r="F8549">
        <v>526.375</v>
      </c>
    </row>
    <row r="8550" spans="1:6" x14ac:dyDescent="0.25">
      <c r="A8550">
        <v>8549</v>
      </c>
      <c r="B8550" t="s">
        <v>0</v>
      </c>
      <c r="C8550">
        <v>145</v>
      </c>
      <c r="D8550">
        <v>3490</v>
      </c>
      <c r="E8550">
        <v>80263137</v>
      </c>
    </row>
    <row r="8551" spans="1:6" x14ac:dyDescent="0.25">
      <c r="A8551">
        <v>8550</v>
      </c>
      <c r="B8551">
        <v>2</v>
      </c>
      <c r="C8551">
        <v>0</v>
      </c>
      <c r="D8551">
        <v>0</v>
      </c>
      <c r="E8551">
        <v>0</v>
      </c>
      <c r="F8551">
        <v>274.88099999999997</v>
      </c>
    </row>
    <row r="8552" spans="1:6" x14ac:dyDescent="0.25">
      <c r="A8552">
        <v>8551</v>
      </c>
      <c r="B8552" t="s">
        <v>0</v>
      </c>
      <c r="C8552">
        <v>146</v>
      </c>
      <c r="D8552">
        <v>3490</v>
      </c>
      <c r="E8552">
        <v>80263258</v>
      </c>
    </row>
    <row r="8553" spans="1:6" x14ac:dyDescent="0.25">
      <c r="A8553">
        <v>8552</v>
      </c>
      <c r="B8553">
        <v>10</v>
      </c>
      <c r="C8553">
        <v>1</v>
      </c>
      <c r="D8553">
        <v>0</v>
      </c>
      <c r="E8553">
        <v>0</v>
      </c>
      <c r="F8553">
        <v>4006</v>
      </c>
    </row>
    <row r="8554" spans="1:6" x14ac:dyDescent="0.25">
      <c r="A8554">
        <v>8553</v>
      </c>
      <c r="B8554">
        <v>13</v>
      </c>
      <c r="C8554">
        <v>0</v>
      </c>
      <c r="D8554">
        <v>0</v>
      </c>
      <c r="E8554">
        <v>0</v>
      </c>
      <c r="F8554">
        <v>1606</v>
      </c>
    </row>
    <row r="8555" spans="1:6" x14ac:dyDescent="0.25">
      <c r="A8555">
        <v>8554</v>
      </c>
      <c r="B8555" t="s">
        <v>0</v>
      </c>
      <c r="C8555">
        <v>147</v>
      </c>
      <c r="D8555">
        <v>3490</v>
      </c>
      <c r="E8555">
        <v>80263379</v>
      </c>
    </row>
    <row r="8556" spans="1:6" x14ac:dyDescent="0.25">
      <c r="A8556">
        <v>8555</v>
      </c>
      <c r="B8556">
        <v>41</v>
      </c>
      <c r="C8556">
        <v>0</v>
      </c>
      <c r="D8556">
        <v>0</v>
      </c>
      <c r="E8556">
        <v>0</v>
      </c>
      <c r="F8556">
        <v>1</v>
      </c>
    </row>
    <row r="8557" spans="1:6" x14ac:dyDescent="0.25">
      <c r="A8557">
        <v>8556</v>
      </c>
      <c r="B8557">
        <v>42</v>
      </c>
      <c r="C8557">
        <v>0</v>
      </c>
      <c r="D8557">
        <v>0</v>
      </c>
      <c r="E8557">
        <v>0</v>
      </c>
      <c r="F8557">
        <v>0.2</v>
      </c>
    </row>
    <row r="8558" spans="1:6" x14ac:dyDescent="0.25">
      <c r="A8558">
        <v>8557</v>
      </c>
      <c r="B8558">
        <v>43</v>
      </c>
      <c r="C8558">
        <v>0</v>
      </c>
      <c r="D8558">
        <v>0</v>
      </c>
      <c r="E8558">
        <v>0</v>
      </c>
      <c r="F8558">
        <v>0</v>
      </c>
    </row>
    <row r="8559" spans="1:6" x14ac:dyDescent="0.25">
      <c r="A8559">
        <v>8558</v>
      </c>
      <c r="B8559" t="s">
        <v>0</v>
      </c>
      <c r="C8559">
        <v>149</v>
      </c>
      <c r="D8559">
        <v>3490</v>
      </c>
      <c r="E8559">
        <v>80263621</v>
      </c>
    </row>
    <row r="8560" spans="1:6" x14ac:dyDescent="0.25">
      <c r="A8560">
        <v>8559</v>
      </c>
      <c r="B8560">
        <v>45</v>
      </c>
      <c r="C8560">
        <v>0</v>
      </c>
      <c r="D8560">
        <v>0</v>
      </c>
      <c r="E8560">
        <v>0</v>
      </c>
      <c r="F8560">
        <v>526.30700000000002</v>
      </c>
    </row>
    <row r="8561" spans="1:6" x14ac:dyDescent="0.25">
      <c r="A8561">
        <v>8560</v>
      </c>
      <c r="B8561" t="s">
        <v>0</v>
      </c>
      <c r="C8561">
        <v>150</v>
      </c>
      <c r="D8561">
        <v>3490</v>
      </c>
      <c r="E8561">
        <v>80263742</v>
      </c>
    </row>
    <row r="8562" spans="1:6" x14ac:dyDescent="0.25">
      <c r="A8562">
        <v>8561</v>
      </c>
      <c r="B8562">
        <v>2</v>
      </c>
      <c r="C8562">
        <v>0</v>
      </c>
      <c r="D8562">
        <v>0</v>
      </c>
      <c r="E8562">
        <v>0</v>
      </c>
      <c r="F8562">
        <v>274.59800000000001</v>
      </c>
    </row>
    <row r="8563" spans="1:6" x14ac:dyDescent="0.25">
      <c r="A8563">
        <v>8562</v>
      </c>
      <c r="B8563" t="s">
        <v>0</v>
      </c>
      <c r="C8563">
        <v>151</v>
      </c>
      <c r="D8563">
        <v>3490</v>
      </c>
      <c r="E8563">
        <v>80263863</v>
      </c>
    </row>
    <row r="8564" spans="1:6" x14ac:dyDescent="0.25">
      <c r="A8564">
        <v>8563</v>
      </c>
      <c r="B8564">
        <v>10</v>
      </c>
      <c r="C8564">
        <v>1</v>
      </c>
      <c r="D8564">
        <v>0</v>
      </c>
      <c r="E8564">
        <v>0</v>
      </c>
      <c r="F8564">
        <v>4012</v>
      </c>
    </row>
    <row r="8565" spans="1:6" x14ac:dyDescent="0.25">
      <c r="A8565">
        <v>8564</v>
      </c>
      <c r="B8565">
        <v>13</v>
      </c>
      <c r="C8565">
        <v>0</v>
      </c>
      <c r="D8565">
        <v>0</v>
      </c>
      <c r="E8565">
        <v>0</v>
      </c>
      <c r="F8565">
        <v>1606</v>
      </c>
    </row>
    <row r="8566" spans="1:6" x14ac:dyDescent="0.25">
      <c r="A8566">
        <v>8565</v>
      </c>
      <c r="B8566" t="s">
        <v>0</v>
      </c>
      <c r="C8566">
        <v>152</v>
      </c>
      <c r="D8566">
        <v>3490</v>
      </c>
      <c r="E8566">
        <v>80263985</v>
      </c>
    </row>
    <row r="8567" spans="1:6" x14ac:dyDescent="0.25">
      <c r="A8567">
        <v>8566</v>
      </c>
      <c r="B8567">
        <v>41</v>
      </c>
      <c r="C8567">
        <v>0</v>
      </c>
      <c r="D8567">
        <v>0</v>
      </c>
      <c r="E8567">
        <v>0</v>
      </c>
      <c r="F8567">
        <v>1</v>
      </c>
    </row>
    <row r="8568" spans="1:6" x14ac:dyDescent="0.25">
      <c r="A8568">
        <v>8567</v>
      </c>
      <c r="B8568">
        <v>42</v>
      </c>
      <c r="C8568">
        <v>0</v>
      </c>
      <c r="D8568">
        <v>0</v>
      </c>
      <c r="E8568">
        <v>0</v>
      </c>
      <c r="F8568">
        <v>0.2</v>
      </c>
    </row>
    <row r="8569" spans="1:6" x14ac:dyDescent="0.25">
      <c r="A8569">
        <v>8568</v>
      </c>
      <c r="B8569">
        <v>43</v>
      </c>
      <c r="C8569">
        <v>0</v>
      </c>
      <c r="D8569">
        <v>0</v>
      </c>
      <c r="E8569">
        <v>0</v>
      </c>
      <c r="F8569">
        <v>0</v>
      </c>
    </row>
    <row r="8570" spans="1:6" x14ac:dyDescent="0.25">
      <c r="A8570">
        <v>8569</v>
      </c>
      <c r="B8570">
        <v>44</v>
      </c>
      <c r="C8570">
        <v>0</v>
      </c>
      <c r="D8570">
        <v>0</v>
      </c>
      <c r="E8570">
        <v>0</v>
      </c>
      <c r="F8570">
        <v>-92.722200000000001</v>
      </c>
    </row>
    <row r="8571" spans="1:6" x14ac:dyDescent="0.25">
      <c r="A8571">
        <v>8570</v>
      </c>
      <c r="B8571">
        <v>45</v>
      </c>
      <c r="C8571">
        <v>0</v>
      </c>
      <c r="D8571">
        <v>0</v>
      </c>
      <c r="E8571">
        <v>0</v>
      </c>
      <c r="F8571">
        <v>526.23900000000003</v>
      </c>
    </row>
    <row r="8572" spans="1:6" x14ac:dyDescent="0.25">
      <c r="A8572">
        <v>8571</v>
      </c>
      <c r="B8572" t="s">
        <v>0</v>
      </c>
      <c r="C8572">
        <v>155</v>
      </c>
      <c r="D8572">
        <v>3490</v>
      </c>
      <c r="E8572">
        <v>80264350</v>
      </c>
    </row>
    <row r="8573" spans="1:6" x14ac:dyDescent="0.25">
      <c r="A8573">
        <v>8572</v>
      </c>
      <c r="B8573">
        <v>2</v>
      </c>
      <c r="C8573">
        <v>0</v>
      </c>
      <c r="D8573">
        <v>0</v>
      </c>
      <c r="E8573">
        <v>0</v>
      </c>
      <c r="F8573">
        <v>274.33999999999997</v>
      </c>
    </row>
    <row r="8574" spans="1:6" x14ac:dyDescent="0.25">
      <c r="A8574">
        <v>8573</v>
      </c>
      <c r="B8574" t="s">
        <v>0</v>
      </c>
      <c r="C8574">
        <v>156</v>
      </c>
      <c r="D8574">
        <v>3490</v>
      </c>
      <c r="E8574">
        <v>80264472</v>
      </c>
    </row>
    <row r="8575" spans="1:6" x14ac:dyDescent="0.25">
      <c r="A8575">
        <v>8574</v>
      </c>
      <c r="B8575">
        <v>13</v>
      </c>
      <c r="C8575">
        <v>0</v>
      </c>
      <c r="D8575">
        <v>0</v>
      </c>
      <c r="E8575">
        <v>0</v>
      </c>
      <c r="F8575">
        <v>1606</v>
      </c>
    </row>
    <row r="8576" spans="1:6" x14ac:dyDescent="0.25">
      <c r="A8576">
        <v>8575</v>
      </c>
      <c r="B8576" t="s">
        <v>0</v>
      </c>
      <c r="C8576">
        <v>157</v>
      </c>
      <c r="D8576">
        <v>3490</v>
      </c>
      <c r="E8576">
        <v>80264594</v>
      </c>
    </row>
    <row r="8577" spans="1:6" x14ac:dyDescent="0.25">
      <c r="A8577">
        <v>8576</v>
      </c>
      <c r="B8577">
        <v>41</v>
      </c>
      <c r="C8577">
        <v>0</v>
      </c>
      <c r="D8577">
        <v>0</v>
      </c>
      <c r="E8577">
        <v>0</v>
      </c>
      <c r="F8577">
        <v>1</v>
      </c>
    </row>
    <row r="8578" spans="1:6" x14ac:dyDescent="0.25">
      <c r="A8578">
        <v>8577</v>
      </c>
      <c r="B8578">
        <v>42</v>
      </c>
      <c r="C8578">
        <v>0</v>
      </c>
      <c r="D8578">
        <v>0</v>
      </c>
      <c r="E8578">
        <v>0</v>
      </c>
      <c r="F8578">
        <v>0.2</v>
      </c>
    </row>
    <row r="8579" spans="1:6" x14ac:dyDescent="0.25">
      <c r="A8579">
        <v>8578</v>
      </c>
      <c r="B8579" t="s">
        <v>0</v>
      </c>
      <c r="C8579">
        <v>158</v>
      </c>
      <c r="D8579">
        <v>3490</v>
      </c>
      <c r="E8579">
        <v>80264715</v>
      </c>
    </row>
    <row r="8580" spans="1:6" x14ac:dyDescent="0.25">
      <c r="A8580">
        <v>8579</v>
      </c>
      <c r="B8580">
        <v>43</v>
      </c>
      <c r="C8580">
        <v>0</v>
      </c>
      <c r="D8580">
        <v>0</v>
      </c>
      <c r="E8580">
        <v>0</v>
      </c>
      <c r="F8580">
        <v>0</v>
      </c>
    </row>
    <row r="8581" spans="1:6" x14ac:dyDescent="0.25">
      <c r="A8581">
        <v>8580</v>
      </c>
      <c r="B8581">
        <v>44</v>
      </c>
      <c r="C8581">
        <v>0</v>
      </c>
      <c r="D8581">
        <v>0</v>
      </c>
      <c r="E8581">
        <v>0</v>
      </c>
      <c r="F8581">
        <v>-92.287099999999995</v>
      </c>
    </row>
    <row r="8582" spans="1:6" x14ac:dyDescent="0.25">
      <c r="A8582">
        <v>8581</v>
      </c>
      <c r="B8582">
        <v>45</v>
      </c>
      <c r="C8582">
        <v>0</v>
      </c>
      <c r="D8582">
        <v>0</v>
      </c>
      <c r="E8582">
        <v>0</v>
      </c>
      <c r="F8582">
        <v>526.17200000000003</v>
      </c>
    </row>
    <row r="8583" spans="1:6" x14ac:dyDescent="0.25">
      <c r="A8583">
        <v>8582</v>
      </c>
      <c r="B8583">
        <v>46</v>
      </c>
      <c r="C8583">
        <v>0</v>
      </c>
      <c r="D8583">
        <v>0</v>
      </c>
      <c r="E8583">
        <v>0</v>
      </c>
      <c r="F8583">
        <v>0</v>
      </c>
    </row>
    <row r="8584" spans="1:6" x14ac:dyDescent="0.25">
      <c r="A8584">
        <v>8583</v>
      </c>
      <c r="B8584">
        <v>2</v>
      </c>
      <c r="C8584">
        <v>0</v>
      </c>
      <c r="D8584">
        <v>0</v>
      </c>
      <c r="E8584">
        <v>0</v>
      </c>
      <c r="F8584">
        <v>274.05</v>
      </c>
    </row>
    <row r="8585" spans="1:6" x14ac:dyDescent="0.25">
      <c r="A8585">
        <v>8584</v>
      </c>
      <c r="B8585" t="s">
        <v>0</v>
      </c>
      <c r="C8585">
        <v>161</v>
      </c>
      <c r="D8585">
        <v>3490</v>
      </c>
      <c r="E8585">
        <v>80265079</v>
      </c>
    </row>
    <row r="8586" spans="1:6" x14ac:dyDescent="0.25">
      <c r="A8586">
        <v>8585</v>
      </c>
      <c r="B8586">
        <v>13</v>
      </c>
      <c r="C8586">
        <v>0</v>
      </c>
      <c r="D8586">
        <v>0</v>
      </c>
      <c r="E8586">
        <v>0</v>
      </c>
      <c r="F8586">
        <v>1606</v>
      </c>
    </row>
    <row r="8587" spans="1:6" x14ac:dyDescent="0.25">
      <c r="A8587">
        <v>8586</v>
      </c>
      <c r="B8587" t="s">
        <v>0</v>
      </c>
      <c r="C8587">
        <v>162</v>
      </c>
      <c r="D8587">
        <v>3490</v>
      </c>
      <c r="E8587">
        <v>80265201</v>
      </c>
    </row>
    <row r="8588" spans="1:6" x14ac:dyDescent="0.25">
      <c r="A8588">
        <v>8587</v>
      </c>
      <c r="B8588">
        <v>42</v>
      </c>
      <c r="C8588">
        <v>0</v>
      </c>
      <c r="D8588">
        <v>0</v>
      </c>
      <c r="E8588">
        <v>0</v>
      </c>
      <c r="F8588">
        <v>0.2</v>
      </c>
    </row>
    <row r="8589" spans="1:6" x14ac:dyDescent="0.25">
      <c r="A8589">
        <v>8588</v>
      </c>
      <c r="B8589" t="s">
        <v>0</v>
      </c>
      <c r="C8589">
        <v>163</v>
      </c>
      <c r="D8589">
        <v>3490</v>
      </c>
      <c r="E8589">
        <v>80265323</v>
      </c>
    </row>
    <row r="8590" spans="1:6" x14ac:dyDescent="0.25">
      <c r="A8590">
        <v>8589</v>
      </c>
      <c r="B8590">
        <v>43</v>
      </c>
      <c r="C8590">
        <v>0</v>
      </c>
      <c r="D8590">
        <v>0</v>
      </c>
      <c r="E8590">
        <v>0</v>
      </c>
      <c r="F8590">
        <v>0</v>
      </c>
    </row>
    <row r="8591" spans="1:6" x14ac:dyDescent="0.25">
      <c r="A8591">
        <v>8590</v>
      </c>
      <c r="B8591">
        <v>44</v>
      </c>
      <c r="C8591">
        <v>0</v>
      </c>
      <c r="D8591">
        <v>0</v>
      </c>
      <c r="E8591">
        <v>0</v>
      </c>
      <c r="F8591">
        <v>-91.877399999999994</v>
      </c>
    </row>
    <row r="8592" spans="1:6" x14ac:dyDescent="0.25">
      <c r="A8592">
        <v>8591</v>
      </c>
      <c r="B8592">
        <v>45</v>
      </c>
      <c r="C8592">
        <v>0</v>
      </c>
      <c r="D8592">
        <v>0</v>
      </c>
      <c r="E8592">
        <v>0</v>
      </c>
      <c r="F8592">
        <v>526.10400000000004</v>
      </c>
    </row>
    <row r="8593" spans="1:6" x14ac:dyDescent="0.25">
      <c r="A8593">
        <v>8592</v>
      </c>
      <c r="B8593">
        <v>46</v>
      </c>
      <c r="C8593">
        <v>0</v>
      </c>
      <c r="D8593">
        <v>0</v>
      </c>
      <c r="E8593">
        <v>0</v>
      </c>
      <c r="F8593">
        <v>0</v>
      </c>
    </row>
    <row r="8594" spans="1:6" x14ac:dyDescent="0.25">
      <c r="A8594">
        <v>8593</v>
      </c>
      <c r="B8594">
        <v>2</v>
      </c>
      <c r="C8594">
        <v>0</v>
      </c>
      <c r="D8594">
        <v>0</v>
      </c>
      <c r="E8594">
        <v>0</v>
      </c>
      <c r="F8594">
        <v>273.77199999999999</v>
      </c>
    </row>
    <row r="8595" spans="1:6" x14ac:dyDescent="0.25">
      <c r="A8595">
        <v>8594</v>
      </c>
      <c r="B8595" t="s">
        <v>0</v>
      </c>
      <c r="C8595">
        <v>166</v>
      </c>
      <c r="D8595">
        <v>3490</v>
      </c>
      <c r="E8595">
        <v>80265688</v>
      </c>
    </row>
    <row r="8596" spans="1:6" x14ac:dyDescent="0.25">
      <c r="A8596">
        <v>8595</v>
      </c>
      <c r="B8596">
        <v>13</v>
      </c>
      <c r="C8596">
        <v>0</v>
      </c>
      <c r="D8596">
        <v>0</v>
      </c>
      <c r="E8596">
        <v>0</v>
      </c>
      <c r="F8596">
        <v>1606</v>
      </c>
    </row>
    <row r="8597" spans="1:6" x14ac:dyDescent="0.25">
      <c r="A8597">
        <v>8596</v>
      </c>
      <c r="B8597" t="s">
        <v>0</v>
      </c>
      <c r="C8597">
        <v>167</v>
      </c>
      <c r="D8597">
        <v>3490</v>
      </c>
      <c r="E8597">
        <v>80265809</v>
      </c>
    </row>
    <row r="8598" spans="1:6" x14ac:dyDescent="0.25">
      <c r="A8598">
        <v>8597</v>
      </c>
      <c r="B8598">
        <v>42</v>
      </c>
      <c r="C8598">
        <v>0</v>
      </c>
      <c r="D8598">
        <v>0</v>
      </c>
      <c r="E8598">
        <v>0</v>
      </c>
      <c r="F8598">
        <v>0.2</v>
      </c>
    </row>
    <row r="8599" spans="1:6" x14ac:dyDescent="0.25">
      <c r="A8599">
        <v>8598</v>
      </c>
      <c r="B8599" t="s">
        <v>0</v>
      </c>
      <c r="C8599">
        <v>168</v>
      </c>
      <c r="D8599">
        <v>3490</v>
      </c>
      <c r="E8599">
        <v>80265931</v>
      </c>
    </row>
    <row r="8600" spans="1:6" x14ac:dyDescent="0.25">
      <c r="A8600">
        <v>8599</v>
      </c>
      <c r="B8600">
        <v>43</v>
      </c>
      <c r="C8600">
        <v>0</v>
      </c>
      <c r="D8600">
        <v>0</v>
      </c>
      <c r="E8600">
        <v>0</v>
      </c>
      <c r="F8600">
        <v>0</v>
      </c>
    </row>
    <row r="8601" spans="1:6" x14ac:dyDescent="0.25">
      <c r="A8601">
        <v>8600</v>
      </c>
      <c r="B8601">
        <v>44</v>
      </c>
      <c r="C8601">
        <v>0</v>
      </c>
      <c r="D8601">
        <v>0</v>
      </c>
      <c r="E8601">
        <v>0</v>
      </c>
      <c r="F8601">
        <v>-91.436499999999995</v>
      </c>
    </row>
    <row r="8602" spans="1:6" x14ac:dyDescent="0.25">
      <c r="A8602">
        <v>8601</v>
      </c>
      <c r="B8602" t="s">
        <v>0</v>
      </c>
      <c r="C8602">
        <v>169</v>
      </c>
      <c r="D8602">
        <v>3490</v>
      </c>
      <c r="E8602">
        <v>80266053</v>
      </c>
    </row>
    <row r="8603" spans="1:6" x14ac:dyDescent="0.25">
      <c r="A8603">
        <v>8602</v>
      </c>
      <c r="B8603">
        <v>45</v>
      </c>
      <c r="C8603">
        <v>0</v>
      </c>
      <c r="D8603">
        <v>0</v>
      </c>
      <c r="E8603">
        <v>0</v>
      </c>
      <c r="F8603">
        <v>526.03700000000003</v>
      </c>
    </row>
    <row r="8604" spans="1:6" x14ac:dyDescent="0.25">
      <c r="A8604">
        <v>8603</v>
      </c>
      <c r="B8604">
        <v>46</v>
      </c>
      <c r="C8604">
        <v>0</v>
      </c>
      <c r="D8604">
        <v>0</v>
      </c>
      <c r="E8604">
        <v>0</v>
      </c>
      <c r="F8604">
        <v>0</v>
      </c>
    </row>
    <row r="8605" spans="1:6" x14ac:dyDescent="0.25">
      <c r="A8605">
        <v>8604</v>
      </c>
      <c r="B8605">
        <v>2</v>
      </c>
      <c r="C8605">
        <v>0</v>
      </c>
      <c r="D8605">
        <v>0</v>
      </c>
      <c r="E8605">
        <v>0</v>
      </c>
      <c r="F8605">
        <v>273.505</v>
      </c>
    </row>
    <row r="8606" spans="1:6" x14ac:dyDescent="0.25">
      <c r="A8606">
        <v>8605</v>
      </c>
      <c r="B8606">
        <v>10</v>
      </c>
      <c r="C8606">
        <v>1</v>
      </c>
      <c r="D8606">
        <v>0</v>
      </c>
      <c r="E8606">
        <v>0</v>
      </c>
      <c r="F8606">
        <v>4035</v>
      </c>
    </row>
    <row r="8607" spans="1:6" x14ac:dyDescent="0.25">
      <c r="A8607">
        <v>8606</v>
      </c>
      <c r="B8607">
        <v>13</v>
      </c>
      <c r="C8607">
        <v>0</v>
      </c>
      <c r="D8607">
        <v>0</v>
      </c>
      <c r="E8607">
        <v>0</v>
      </c>
      <c r="F8607">
        <v>1606</v>
      </c>
    </row>
    <row r="8608" spans="1:6" x14ac:dyDescent="0.25">
      <c r="A8608">
        <v>8607</v>
      </c>
      <c r="B8608" t="s">
        <v>0</v>
      </c>
      <c r="C8608">
        <v>172</v>
      </c>
      <c r="D8608">
        <v>3490</v>
      </c>
      <c r="E8608">
        <v>80266418</v>
      </c>
    </row>
    <row r="8609" spans="1:6" x14ac:dyDescent="0.25">
      <c r="A8609">
        <v>8608</v>
      </c>
      <c r="B8609">
        <v>42</v>
      </c>
      <c r="C8609">
        <v>0</v>
      </c>
      <c r="D8609">
        <v>0</v>
      </c>
      <c r="E8609">
        <v>0</v>
      </c>
      <c r="F8609">
        <v>0.2</v>
      </c>
    </row>
    <row r="8610" spans="1:6" x14ac:dyDescent="0.25">
      <c r="A8610">
        <v>8609</v>
      </c>
      <c r="B8610" t="s">
        <v>0</v>
      </c>
      <c r="C8610">
        <v>173</v>
      </c>
      <c r="D8610">
        <v>3490</v>
      </c>
      <c r="E8610">
        <v>80266540</v>
      </c>
    </row>
    <row r="8611" spans="1:6" x14ac:dyDescent="0.25">
      <c r="A8611">
        <v>8610</v>
      </c>
      <c r="B8611">
        <v>44</v>
      </c>
      <c r="C8611">
        <v>0</v>
      </c>
      <c r="D8611">
        <v>0</v>
      </c>
      <c r="E8611">
        <v>0</v>
      </c>
      <c r="F8611">
        <v>-91.018100000000004</v>
      </c>
    </row>
    <row r="8612" spans="1:6" x14ac:dyDescent="0.25">
      <c r="A8612">
        <v>8611</v>
      </c>
      <c r="B8612" t="s">
        <v>0</v>
      </c>
      <c r="C8612">
        <v>174</v>
      </c>
      <c r="D8612">
        <v>3490</v>
      </c>
      <c r="E8612">
        <v>80266662</v>
      </c>
    </row>
    <row r="8613" spans="1:6" x14ac:dyDescent="0.25">
      <c r="A8613">
        <v>8612</v>
      </c>
      <c r="B8613">
        <v>45</v>
      </c>
      <c r="C8613">
        <v>0</v>
      </c>
      <c r="D8613">
        <v>0</v>
      </c>
      <c r="E8613">
        <v>0</v>
      </c>
      <c r="F8613">
        <v>525.97</v>
      </c>
    </row>
    <row r="8614" spans="1:6" x14ac:dyDescent="0.25">
      <c r="A8614">
        <v>8613</v>
      </c>
      <c r="B8614">
        <v>46</v>
      </c>
      <c r="C8614">
        <v>0</v>
      </c>
      <c r="D8614">
        <v>0</v>
      </c>
      <c r="E8614">
        <v>0</v>
      </c>
      <c r="F8614">
        <v>0</v>
      </c>
    </row>
    <row r="8615" spans="1:6" x14ac:dyDescent="0.25">
      <c r="A8615">
        <v>8614</v>
      </c>
      <c r="B8615" t="s">
        <v>0</v>
      </c>
      <c r="C8615">
        <v>175</v>
      </c>
      <c r="D8615">
        <v>3490</v>
      </c>
      <c r="E8615">
        <v>80266784</v>
      </c>
    </row>
    <row r="8616" spans="1:6" x14ac:dyDescent="0.25">
      <c r="A8616">
        <v>8615</v>
      </c>
      <c r="B8616">
        <v>2</v>
      </c>
      <c r="C8616">
        <v>0</v>
      </c>
      <c r="D8616">
        <v>0</v>
      </c>
      <c r="E8616">
        <v>0</v>
      </c>
      <c r="F8616">
        <v>273.22399999999999</v>
      </c>
    </row>
    <row r="8617" spans="1:6" x14ac:dyDescent="0.25">
      <c r="A8617">
        <v>8616</v>
      </c>
      <c r="B8617">
        <v>10</v>
      </c>
      <c r="C8617">
        <v>1</v>
      </c>
      <c r="D8617">
        <v>0</v>
      </c>
      <c r="E8617">
        <v>0</v>
      </c>
      <c r="F8617">
        <v>4041</v>
      </c>
    </row>
    <row r="8618" spans="1:6" x14ac:dyDescent="0.25">
      <c r="A8618">
        <v>8617</v>
      </c>
      <c r="B8618">
        <v>13</v>
      </c>
      <c r="C8618">
        <v>0</v>
      </c>
      <c r="D8618">
        <v>0</v>
      </c>
      <c r="E8618">
        <v>0</v>
      </c>
      <c r="F8618">
        <v>1606</v>
      </c>
    </row>
    <row r="8619" spans="1:6" x14ac:dyDescent="0.25">
      <c r="A8619">
        <v>8618</v>
      </c>
      <c r="B8619">
        <v>41</v>
      </c>
      <c r="C8619">
        <v>0</v>
      </c>
      <c r="D8619">
        <v>0</v>
      </c>
      <c r="E8619">
        <v>0</v>
      </c>
      <c r="F8619">
        <v>1</v>
      </c>
    </row>
    <row r="8620" spans="1:6" x14ac:dyDescent="0.25">
      <c r="A8620">
        <v>8619</v>
      </c>
      <c r="B8620">
        <v>42</v>
      </c>
      <c r="C8620">
        <v>0</v>
      </c>
      <c r="D8620">
        <v>0</v>
      </c>
      <c r="E8620">
        <v>0</v>
      </c>
      <c r="F8620">
        <v>0.2</v>
      </c>
    </row>
    <row r="8621" spans="1:6" x14ac:dyDescent="0.25">
      <c r="A8621">
        <v>8620</v>
      </c>
      <c r="B8621" t="s">
        <v>0</v>
      </c>
      <c r="C8621">
        <v>178</v>
      </c>
      <c r="D8621">
        <v>3490</v>
      </c>
      <c r="E8621">
        <v>80267150</v>
      </c>
    </row>
    <row r="8622" spans="1:6" x14ac:dyDescent="0.25">
      <c r="A8622">
        <v>8621</v>
      </c>
      <c r="B8622">
        <v>44</v>
      </c>
      <c r="C8622">
        <v>0</v>
      </c>
      <c r="D8622">
        <v>0</v>
      </c>
      <c r="E8622">
        <v>0</v>
      </c>
      <c r="F8622">
        <v>-90.603099999999998</v>
      </c>
    </row>
    <row r="8623" spans="1:6" x14ac:dyDescent="0.25">
      <c r="A8623">
        <v>8622</v>
      </c>
      <c r="B8623">
        <v>45</v>
      </c>
      <c r="C8623">
        <v>0</v>
      </c>
      <c r="D8623">
        <v>0</v>
      </c>
      <c r="E8623">
        <v>0</v>
      </c>
      <c r="F8623">
        <v>525.91700000000003</v>
      </c>
    </row>
    <row r="8624" spans="1:6" x14ac:dyDescent="0.25">
      <c r="A8624">
        <v>8623</v>
      </c>
      <c r="B8624">
        <v>46</v>
      </c>
      <c r="C8624">
        <v>0</v>
      </c>
      <c r="D8624">
        <v>0</v>
      </c>
      <c r="E8624">
        <v>0</v>
      </c>
      <c r="F8624">
        <v>0</v>
      </c>
    </row>
    <row r="8625" spans="1:6" x14ac:dyDescent="0.25">
      <c r="A8625">
        <v>8624</v>
      </c>
      <c r="B8625" t="s">
        <v>0</v>
      </c>
      <c r="C8625">
        <v>0</v>
      </c>
      <c r="D8625">
        <v>3491</v>
      </c>
      <c r="E8625">
        <v>80267395</v>
      </c>
    </row>
    <row r="8626" spans="1:6" x14ac:dyDescent="0.25">
      <c r="A8626">
        <v>8625</v>
      </c>
      <c r="B8626">
        <v>2</v>
      </c>
      <c r="C8626">
        <v>0</v>
      </c>
      <c r="D8626">
        <v>0</v>
      </c>
      <c r="E8626">
        <v>0</v>
      </c>
      <c r="F8626">
        <v>273.07299999999998</v>
      </c>
    </row>
    <row r="8627" spans="1:6" x14ac:dyDescent="0.25">
      <c r="A8627">
        <v>8626</v>
      </c>
      <c r="B8627">
        <v>10</v>
      </c>
      <c r="C8627">
        <v>1</v>
      </c>
      <c r="D8627">
        <v>0</v>
      </c>
      <c r="E8627">
        <v>0</v>
      </c>
      <c r="F8627">
        <v>4045</v>
      </c>
    </row>
    <row r="8628" spans="1:6" x14ac:dyDescent="0.25">
      <c r="A8628">
        <v>8627</v>
      </c>
      <c r="B8628" t="s">
        <v>0</v>
      </c>
      <c r="C8628">
        <v>1</v>
      </c>
      <c r="D8628">
        <v>3491</v>
      </c>
      <c r="E8628">
        <v>80267517</v>
      </c>
    </row>
    <row r="8629" spans="1:6" x14ac:dyDescent="0.25">
      <c r="A8629">
        <v>8628</v>
      </c>
      <c r="B8629">
        <v>13</v>
      </c>
      <c r="C8629">
        <v>0</v>
      </c>
      <c r="D8629">
        <v>0</v>
      </c>
      <c r="E8629">
        <v>0</v>
      </c>
      <c r="F8629">
        <v>1606</v>
      </c>
    </row>
    <row r="8630" spans="1:6" x14ac:dyDescent="0.25">
      <c r="A8630">
        <v>8629</v>
      </c>
      <c r="B8630">
        <v>41</v>
      </c>
      <c r="C8630">
        <v>0</v>
      </c>
      <c r="D8630">
        <v>0</v>
      </c>
      <c r="E8630">
        <v>0</v>
      </c>
      <c r="F8630">
        <v>1</v>
      </c>
    </row>
    <row r="8631" spans="1:6" x14ac:dyDescent="0.25">
      <c r="A8631">
        <v>8630</v>
      </c>
      <c r="B8631">
        <v>42</v>
      </c>
      <c r="C8631">
        <v>0</v>
      </c>
      <c r="D8631">
        <v>0</v>
      </c>
      <c r="E8631">
        <v>0</v>
      </c>
      <c r="F8631">
        <v>0.2</v>
      </c>
    </row>
    <row r="8632" spans="1:6" x14ac:dyDescent="0.25">
      <c r="A8632">
        <v>8631</v>
      </c>
      <c r="B8632">
        <v>43</v>
      </c>
      <c r="C8632">
        <v>0</v>
      </c>
      <c r="D8632">
        <v>0</v>
      </c>
      <c r="E8632">
        <v>0</v>
      </c>
      <c r="F8632">
        <v>0</v>
      </c>
    </row>
    <row r="8633" spans="1:6" x14ac:dyDescent="0.25">
      <c r="A8633">
        <v>8632</v>
      </c>
      <c r="B8633">
        <v>44</v>
      </c>
      <c r="C8633">
        <v>0</v>
      </c>
      <c r="D8633">
        <v>0</v>
      </c>
      <c r="E8633">
        <v>0</v>
      </c>
      <c r="F8633">
        <v>-90.260599999999997</v>
      </c>
    </row>
    <row r="8634" spans="1:6" x14ac:dyDescent="0.25">
      <c r="A8634">
        <v>8633</v>
      </c>
      <c r="B8634" t="s">
        <v>0</v>
      </c>
      <c r="C8634">
        <v>4</v>
      </c>
      <c r="D8634">
        <v>3491</v>
      </c>
      <c r="E8634">
        <v>80267884</v>
      </c>
    </row>
    <row r="8635" spans="1:6" x14ac:dyDescent="0.25">
      <c r="A8635">
        <v>8634</v>
      </c>
      <c r="B8635">
        <v>46</v>
      </c>
      <c r="C8635">
        <v>0</v>
      </c>
      <c r="D8635">
        <v>0</v>
      </c>
      <c r="E8635">
        <v>0</v>
      </c>
      <c r="F8635">
        <v>0</v>
      </c>
    </row>
    <row r="8636" spans="1:6" x14ac:dyDescent="0.25">
      <c r="A8636">
        <v>8635</v>
      </c>
      <c r="B8636" t="s">
        <v>0</v>
      </c>
      <c r="C8636">
        <v>5</v>
      </c>
      <c r="D8636">
        <v>3491</v>
      </c>
      <c r="E8636">
        <v>80268006</v>
      </c>
    </row>
    <row r="8637" spans="1:6" x14ac:dyDescent="0.25">
      <c r="A8637">
        <v>8636</v>
      </c>
      <c r="B8637">
        <v>10</v>
      </c>
      <c r="C8637">
        <v>1</v>
      </c>
      <c r="D8637">
        <v>0</v>
      </c>
      <c r="E8637">
        <v>0</v>
      </c>
      <c r="F8637">
        <v>4051</v>
      </c>
    </row>
    <row r="8638" spans="1:6" x14ac:dyDescent="0.25">
      <c r="A8638">
        <v>8637</v>
      </c>
      <c r="B8638" t="s">
        <v>0</v>
      </c>
      <c r="C8638">
        <v>6</v>
      </c>
      <c r="D8638">
        <v>3491</v>
      </c>
      <c r="E8638">
        <v>80268128</v>
      </c>
    </row>
    <row r="8639" spans="1:6" x14ac:dyDescent="0.25">
      <c r="A8639">
        <v>8638</v>
      </c>
      <c r="B8639">
        <v>41</v>
      </c>
      <c r="C8639">
        <v>0</v>
      </c>
      <c r="D8639">
        <v>0</v>
      </c>
      <c r="E8639">
        <v>0</v>
      </c>
      <c r="F8639">
        <v>1</v>
      </c>
    </row>
    <row r="8640" spans="1:6" x14ac:dyDescent="0.25">
      <c r="A8640">
        <v>8639</v>
      </c>
      <c r="B8640" t="s">
        <v>0</v>
      </c>
      <c r="C8640">
        <v>7</v>
      </c>
      <c r="D8640">
        <v>3491</v>
      </c>
      <c r="E8640">
        <v>80268250</v>
      </c>
    </row>
    <row r="8641" spans="1:6" x14ac:dyDescent="0.25">
      <c r="A8641">
        <v>8640</v>
      </c>
      <c r="B8641">
        <v>42</v>
      </c>
      <c r="C8641">
        <v>0</v>
      </c>
      <c r="D8641">
        <v>0</v>
      </c>
      <c r="E8641">
        <v>0</v>
      </c>
      <c r="F8641">
        <v>0.2</v>
      </c>
    </row>
    <row r="8642" spans="1:6" x14ac:dyDescent="0.25">
      <c r="A8642">
        <v>8641</v>
      </c>
      <c r="B8642">
        <v>43</v>
      </c>
      <c r="C8642">
        <v>0</v>
      </c>
      <c r="D8642">
        <v>0</v>
      </c>
      <c r="E8642">
        <v>0</v>
      </c>
      <c r="F8642">
        <v>0</v>
      </c>
    </row>
    <row r="8643" spans="1:6" x14ac:dyDescent="0.25">
      <c r="A8643">
        <v>8642</v>
      </c>
      <c r="B8643">
        <v>44</v>
      </c>
      <c r="C8643">
        <v>0</v>
      </c>
      <c r="D8643">
        <v>0</v>
      </c>
      <c r="E8643">
        <v>0</v>
      </c>
      <c r="F8643">
        <v>-89.848100000000002</v>
      </c>
    </row>
    <row r="8644" spans="1:6" x14ac:dyDescent="0.25">
      <c r="A8644">
        <v>8643</v>
      </c>
      <c r="B8644">
        <v>45</v>
      </c>
      <c r="C8644">
        <v>0</v>
      </c>
      <c r="D8644">
        <v>0</v>
      </c>
      <c r="E8644">
        <v>0</v>
      </c>
      <c r="F8644">
        <v>525.81100000000004</v>
      </c>
    </row>
    <row r="8645" spans="1:6" x14ac:dyDescent="0.25">
      <c r="A8645">
        <v>8644</v>
      </c>
      <c r="B8645">
        <v>46</v>
      </c>
      <c r="C8645">
        <v>0</v>
      </c>
      <c r="D8645">
        <v>0</v>
      </c>
      <c r="E8645">
        <v>0</v>
      </c>
      <c r="F8645">
        <v>0</v>
      </c>
    </row>
    <row r="8646" spans="1:6" x14ac:dyDescent="0.25">
      <c r="A8646">
        <v>8645</v>
      </c>
      <c r="B8646" t="s">
        <v>0</v>
      </c>
      <c r="C8646">
        <v>10</v>
      </c>
      <c r="D8646">
        <v>3491</v>
      </c>
      <c r="E8646">
        <v>80268617</v>
      </c>
    </row>
    <row r="8647" spans="1:6" x14ac:dyDescent="0.25">
      <c r="A8647">
        <v>8646</v>
      </c>
      <c r="B8647">
        <v>10</v>
      </c>
      <c r="C8647">
        <v>1</v>
      </c>
      <c r="D8647">
        <v>0</v>
      </c>
      <c r="E8647">
        <v>0</v>
      </c>
      <c r="F8647">
        <v>4057</v>
      </c>
    </row>
    <row r="8648" spans="1:6" x14ac:dyDescent="0.25">
      <c r="A8648">
        <v>8647</v>
      </c>
      <c r="B8648" t="s">
        <v>0</v>
      </c>
      <c r="C8648">
        <v>11</v>
      </c>
      <c r="D8648">
        <v>3491</v>
      </c>
      <c r="E8648">
        <v>80268739</v>
      </c>
    </row>
    <row r="8649" spans="1:6" x14ac:dyDescent="0.25">
      <c r="A8649">
        <v>8648</v>
      </c>
      <c r="B8649">
        <v>41</v>
      </c>
      <c r="C8649">
        <v>0</v>
      </c>
      <c r="D8649">
        <v>0</v>
      </c>
      <c r="E8649">
        <v>0</v>
      </c>
      <c r="F8649">
        <v>1</v>
      </c>
    </row>
    <row r="8650" spans="1:6" x14ac:dyDescent="0.25">
      <c r="A8650">
        <v>8649</v>
      </c>
      <c r="B8650" t="s">
        <v>0</v>
      </c>
      <c r="C8650">
        <v>12</v>
      </c>
      <c r="D8650">
        <v>3491</v>
      </c>
      <c r="E8650">
        <v>80268861</v>
      </c>
    </row>
    <row r="8651" spans="1:6" x14ac:dyDescent="0.25">
      <c r="A8651">
        <v>8650</v>
      </c>
      <c r="B8651">
        <v>43</v>
      </c>
      <c r="C8651">
        <v>0</v>
      </c>
      <c r="D8651">
        <v>0</v>
      </c>
      <c r="E8651">
        <v>0</v>
      </c>
      <c r="F8651">
        <v>0</v>
      </c>
    </row>
    <row r="8652" spans="1:6" x14ac:dyDescent="0.25">
      <c r="A8652">
        <v>8651</v>
      </c>
      <c r="B8652" t="s">
        <v>0</v>
      </c>
      <c r="C8652">
        <v>13</v>
      </c>
      <c r="D8652">
        <v>3491</v>
      </c>
      <c r="E8652">
        <v>80268983</v>
      </c>
    </row>
    <row r="8653" spans="1:6" x14ac:dyDescent="0.25">
      <c r="A8653">
        <v>8652</v>
      </c>
      <c r="B8653">
        <v>44</v>
      </c>
      <c r="C8653">
        <v>0</v>
      </c>
      <c r="D8653">
        <v>0</v>
      </c>
      <c r="E8653">
        <v>0</v>
      </c>
      <c r="F8653">
        <v>-89.395899999999997</v>
      </c>
    </row>
    <row r="8654" spans="1:6" x14ac:dyDescent="0.25">
      <c r="A8654">
        <v>8653</v>
      </c>
      <c r="B8654">
        <v>45</v>
      </c>
      <c r="C8654">
        <v>0</v>
      </c>
      <c r="D8654">
        <v>0</v>
      </c>
      <c r="E8654">
        <v>0</v>
      </c>
      <c r="F8654">
        <v>525.745</v>
      </c>
    </row>
    <row r="8655" spans="1:6" x14ac:dyDescent="0.25">
      <c r="A8655">
        <v>8654</v>
      </c>
      <c r="B8655" t="s">
        <v>0</v>
      </c>
      <c r="C8655">
        <v>14</v>
      </c>
      <c r="D8655">
        <v>3491</v>
      </c>
      <c r="E8655">
        <v>80269105</v>
      </c>
    </row>
    <row r="8656" spans="1:6" x14ac:dyDescent="0.25">
      <c r="A8656">
        <v>8655</v>
      </c>
      <c r="B8656">
        <v>46</v>
      </c>
      <c r="C8656">
        <v>0</v>
      </c>
      <c r="D8656">
        <v>0</v>
      </c>
      <c r="E8656">
        <v>0</v>
      </c>
      <c r="F8656">
        <v>0</v>
      </c>
    </row>
    <row r="8657" spans="1:6" x14ac:dyDescent="0.25">
      <c r="A8657">
        <v>8656</v>
      </c>
      <c r="B8657">
        <v>2</v>
      </c>
      <c r="C8657">
        <v>0</v>
      </c>
      <c r="D8657">
        <v>0</v>
      </c>
      <c r="E8657">
        <v>0</v>
      </c>
      <c r="F8657">
        <v>272.26400000000001</v>
      </c>
    </row>
    <row r="8658" spans="1:6" x14ac:dyDescent="0.25">
      <c r="A8658">
        <v>8657</v>
      </c>
      <c r="B8658">
        <v>10</v>
      </c>
      <c r="C8658">
        <v>1</v>
      </c>
      <c r="D8658">
        <v>0</v>
      </c>
      <c r="E8658">
        <v>0</v>
      </c>
      <c r="F8658">
        <v>4062</v>
      </c>
    </row>
    <row r="8659" spans="1:6" x14ac:dyDescent="0.25">
      <c r="A8659">
        <v>8658</v>
      </c>
      <c r="B8659">
        <v>13</v>
      </c>
      <c r="C8659">
        <v>0</v>
      </c>
      <c r="D8659">
        <v>0</v>
      </c>
      <c r="E8659">
        <v>0</v>
      </c>
      <c r="F8659">
        <v>1606</v>
      </c>
    </row>
    <row r="8660" spans="1:6" x14ac:dyDescent="0.25">
      <c r="A8660">
        <v>8659</v>
      </c>
      <c r="B8660">
        <v>41</v>
      </c>
      <c r="C8660">
        <v>0</v>
      </c>
      <c r="D8660">
        <v>0</v>
      </c>
      <c r="E8660">
        <v>0</v>
      </c>
      <c r="F8660">
        <v>1</v>
      </c>
    </row>
    <row r="8661" spans="1:6" x14ac:dyDescent="0.25">
      <c r="A8661">
        <v>8660</v>
      </c>
      <c r="B8661" t="s">
        <v>0</v>
      </c>
      <c r="C8661">
        <v>17</v>
      </c>
      <c r="D8661">
        <v>3491</v>
      </c>
      <c r="E8661">
        <v>80269472</v>
      </c>
    </row>
    <row r="8662" spans="1:6" x14ac:dyDescent="0.25">
      <c r="A8662">
        <v>8661</v>
      </c>
      <c r="B8662">
        <v>43</v>
      </c>
      <c r="C8662">
        <v>0</v>
      </c>
      <c r="D8662">
        <v>0</v>
      </c>
      <c r="E8662">
        <v>0</v>
      </c>
      <c r="F8662">
        <v>0</v>
      </c>
    </row>
    <row r="8663" spans="1:6" x14ac:dyDescent="0.25">
      <c r="A8663">
        <v>8662</v>
      </c>
      <c r="B8663" t="s">
        <v>0</v>
      </c>
      <c r="C8663">
        <v>18</v>
      </c>
      <c r="D8663">
        <v>3491</v>
      </c>
      <c r="E8663">
        <v>80269594</v>
      </c>
    </row>
    <row r="8664" spans="1:6" x14ac:dyDescent="0.25">
      <c r="A8664">
        <v>8663</v>
      </c>
      <c r="B8664">
        <v>45</v>
      </c>
      <c r="C8664">
        <v>0</v>
      </c>
      <c r="D8664">
        <v>0</v>
      </c>
      <c r="E8664">
        <v>0</v>
      </c>
      <c r="F8664">
        <v>525.67899999999997</v>
      </c>
    </row>
    <row r="8665" spans="1:6" x14ac:dyDescent="0.25">
      <c r="A8665">
        <v>8664</v>
      </c>
      <c r="B8665" t="s">
        <v>0</v>
      </c>
      <c r="C8665">
        <v>19</v>
      </c>
      <c r="D8665">
        <v>3491</v>
      </c>
      <c r="E8665">
        <v>80269716</v>
      </c>
    </row>
    <row r="8666" spans="1:6" x14ac:dyDescent="0.25">
      <c r="A8666">
        <v>8665</v>
      </c>
      <c r="B8666">
        <v>46</v>
      </c>
      <c r="C8666">
        <v>0</v>
      </c>
      <c r="D8666">
        <v>0</v>
      </c>
      <c r="E8666">
        <v>0</v>
      </c>
      <c r="F8666">
        <v>0</v>
      </c>
    </row>
    <row r="8667" spans="1:6" x14ac:dyDescent="0.25">
      <c r="A8667">
        <v>8666</v>
      </c>
      <c r="B8667">
        <v>2</v>
      </c>
      <c r="C8667">
        <v>0</v>
      </c>
      <c r="D8667">
        <v>0</v>
      </c>
      <c r="E8667">
        <v>0</v>
      </c>
      <c r="F8667">
        <v>271.97899999999998</v>
      </c>
    </row>
    <row r="8668" spans="1:6" x14ac:dyDescent="0.25">
      <c r="A8668">
        <v>8667</v>
      </c>
      <c r="B8668" t="s">
        <v>0</v>
      </c>
      <c r="C8668">
        <v>20</v>
      </c>
      <c r="D8668">
        <v>3491</v>
      </c>
      <c r="E8668">
        <v>80269839</v>
      </c>
    </row>
    <row r="8669" spans="1:6" x14ac:dyDescent="0.25">
      <c r="A8669">
        <v>8668</v>
      </c>
      <c r="B8669">
        <v>10</v>
      </c>
      <c r="C8669">
        <v>1</v>
      </c>
      <c r="D8669">
        <v>0</v>
      </c>
      <c r="E8669">
        <v>0</v>
      </c>
      <c r="F8669">
        <v>4068</v>
      </c>
    </row>
    <row r="8670" spans="1:6" x14ac:dyDescent="0.25">
      <c r="A8670">
        <v>8669</v>
      </c>
      <c r="B8670">
        <v>13</v>
      </c>
      <c r="C8670">
        <v>0</v>
      </c>
      <c r="D8670">
        <v>0</v>
      </c>
      <c r="E8670">
        <v>0</v>
      </c>
      <c r="F8670">
        <v>1606</v>
      </c>
    </row>
    <row r="8671" spans="1:6" x14ac:dyDescent="0.25">
      <c r="A8671">
        <v>8670</v>
      </c>
      <c r="B8671">
        <v>41</v>
      </c>
      <c r="C8671">
        <v>0</v>
      </c>
      <c r="D8671">
        <v>0</v>
      </c>
      <c r="E8671">
        <v>0</v>
      </c>
      <c r="F8671">
        <v>1</v>
      </c>
    </row>
    <row r="8672" spans="1:6" x14ac:dyDescent="0.25">
      <c r="A8672">
        <v>8671</v>
      </c>
      <c r="B8672">
        <v>42</v>
      </c>
      <c r="C8672">
        <v>0</v>
      </c>
      <c r="D8672">
        <v>0</v>
      </c>
      <c r="E8672">
        <v>0</v>
      </c>
      <c r="F8672">
        <v>0.2</v>
      </c>
    </row>
    <row r="8673" spans="1:6" x14ac:dyDescent="0.25">
      <c r="A8673">
        <v>8672</v>
      </c>
      <c r="B8673">
        <v>43</v>
      </c>
      <c r="C8673">
        <v>0</v>
      </c>
      <c r="D8673">
        <v>0</v>
      </c>
      <c r="E8673">
        <v>0</v>
      </c>
      <c r="F8673">
        <v>0</v>
      </c>
    </row>
    <row r="8674" spans="1:6" x14ac:dyDescent="0.25">
      <c r="A8674">
        <v>8673</v>
      </c>
      <c r="B8674" t="s">
        <v>0</v>
      </c>
      <c r="C8674">
        <v>23</v>
      </c>
      <c r="D8674">
        <v>3491</v>
      </c>
      <c r="E8674">
        <v>80270208</v>
      </c>
    </row>
    <row r="8675" spans="1:6" x14ac:dyDescent="0.25">
      <c r="A8675">
        <v>8674</v>
      </c>
      <c r="B8675">
        <v>45</v>
      </c>
      <c r="C8675">
        <v>0</v>
      </c>
      <c r="D8675">
        <v>0</v>
      </c>
      <c r="E8675">
        <v>0</v>
      </c>
      <c r="F8675">
        <v>525.61300000000006</v>
      </c>
    </row>
    <row r="8676" spans="1:6" x14ac:dyDescent="0.25">
      <c r="A8676">
        <v>8675</v>
      </c>
      <c r="B8676" t="s">
        <v>0</v>
      </c>
      <c r="C8676">
        <v>24</v>
      </c>
      <c r="D8676">
        <v>3491</v>
      </c>
      <c r="E8676">
        <v>80270330</v>
      </c>
    </row>
    <row r="8677" spans="1:6" x14ac:dyDescent="0.25">
      <c r="A8677">
        <v>8676</v>
      </c>
      <c r="B8677">
        <v>2</v>
      </c>
      <c r="C8677">
        <v>0</v>
      </c>
      <c r="D8677">
        <v>0</v>
      </c>
      <c r="E8677">
        <v>0</v>
      </c>
      <c r="F8677">
        <v>271.721</v>
      </c>
    </row>
    <row r="8678" spans="1:6" x14ac:dyDescent="0.25">
      <c r="A8678">
        <v>8677</v>
      </c>
      <c r="B8678" t="s">
        <v>0</v>
      </c>
      <c r="C8678">
        <v>25</v>
      </c>
      <c r="D8678">
        <v>3491</v>
      </c>
      <c r="E8678">
        <v>80270452</v>
      </c>
    </row>
    <row r="8679" spans="1:6" x14ac:dyDescent="0.25">
      <c r="A8679">
        <v>8678</v>
      </c>
      <c r="B8679">
        <v>10</v>
      </c>
      <c r="C8679">
        <v>1</v>
      </c>
      <c r="D8679">
        <v>0</v>
      </c>
      <c r="E8679">
        <v>0</v>
      </c>
      <c r="F8679">
        <v>4074</v>
      </c>
    </row>
    <row r="8680" spans="1:6" x14ac:dyDescent="0.25">
      <c r="A8680">
        <v>8679</v>
      </c>
      <c r="B8680">
        <v>13</v>
      </c>
      <c r="C8680">
        <v>0</v>
      </c>
      <c r="D8680">
        <v>0</v>
      </c>
      <c r="E8680">
        <v>0</v>
      </c>
      <c r="F8680">
        <v>1606</v>
      </c>
    </row>
    <row r="8681" spans="1:6" x14ac:dyDescent="0.25">
      <c r="A8681">
        <v>8680</v>
      </c>
      <c r="B8681" t="s">
        <v>0</v>
      </c>
      <c r="C8681">
        <v>26</v>
      </c>
      <c r="D8681">
        <v>3491</v>
      </c>
      <c r="E8681">
        <v>80270575</v>
      </c>
    </row>
    <row r="8682" spans="1:6" x14ac:dyDescent="0.25">
      <c r="A8682">
        <v>8681</v>
      </c>
      <c r="B8682">
        <v>41</v>
      </c>
      <c r="C8682">
        <v>0</v>
      </c>
      <c r="D8682">
        <v>0</v>
      </c>
      <c r="E8682">
        <v>0</v>
      </c>
      <c r="F8682">
        <v>1</v>
      </c>
    </row>
    <row r="8683" spans="1:6" x14ac:dyDescent="0.25">
      <c r="A8683">
        <v>8682</v>
      </c>
      <c r="B8683">
        <v>42</v>
      </c>
      <c r="C8683">
        <v>0</v>
      </c>
      <c r="D8683">
        <v>0</v>
      </c>
      <c r="E8683">
        <v>0</v>
      </c>
      <c r="F8683">
        <v>0.2</v>
      </c>
    </row>
    <row r="8684" spans="1:6" x14ac:dyDescent="0.25">
      <c r="A8684">
        <v>8683</v>
      </c>
      <c r="B8684">
        <v>43</v>
      </c>
      <c r="C8684">
        <v>0</v>
      </c>
      <c r="D8684">
        <v>0</v>
      </c>
      <c r="E8684">
        <v>0</v>
      </c>
      <c r="F8684">
        <v>0</v>
      </c>
    </row>
    <row r="8685" spans="1:6" x14ac:dyDescent="0.25">
      <c r="A8685">
        <v>8684</v>
      </c>
      <c r="B8685">
        <v>44</v>
      </c>
      <c r="C8685">
        <v>0</v>
      </c>
      <c r="D8685">
        <v>0</v>
      </c>
      <c r="E8685">
        <v>0</v>
      </c>
      <c r="F8685">
        <v>-88.197900000000004</v>
      </c>
    </row>
    <row r="8686" spans="1:6" x14ac:dyDescent="0.25">
      <c r="A8686">
        <v>8685</v>
      </c>
      <c r="B8686">
        <v>45</v>
      </c>
      <c r="C8686">
        <v>0</v>
      </c>
      <c r="D8686">
        <v>0</v>
      </c>
      <c r="E8686">
        <v>0</v>
      </c>
      <c r="F8686">
        <v>525.548</v>
      </c>
    </row>
    <row r="8687" spans="1:6" x14ac:dyDescent="0.25">
      <c r="A8687">
        <v>8686</v>
      </c>
      <c r="B8687" t="s">
        <v>0</v>
      </c>
      <c r="C8687">
        <v>29</v>
      </c>
      <c r="D8687">
        <v>3491</v>
      </c>
      <c r="E8687">
        <v>80270943</v>
      </c>
    </row>
    <row r="8688" spans="1:6" x14ac:dyDescent="0.25">
      <c r="A8688">
        <v>8687</v>
      </c>
      <c r="B8688">
        <v>2</v>
      </c>
      <c r="C8688">
        <v>0</v>
      </c>
      <c r="D8688">
        <v>0</v>
      </c>
      <c r="E8688">
        <v>0</v>
      </c>
      <c r="F8688">
        <v>271.43099999999998</v>
      </c>
    </row>
    <row r="8689" spans="1:6" x14ac:dyDescent="0.25">
      <c r="A8689">
        <v>8688</v>
      </c>
      <c r="B8689" t="s">
        <v>0</v>
      </c>
      <c r="C8689">
        <v>30</v>
      </c>
      <c r="D8689">
        <v>3491</v>
      </c>
      <c r="E8689">
        <v>80271066</v>
      </c>
    </row>
    <row r="8690" spans="1:6" x14ac:dyDescent="0.25">
      <c r="A8690">
        <v>8689</v>
      </c>
      <c r="B8690">
        <v>13</v>
      </c>
      <c r="C8690">
        <v>0</v>
      </c>
      <c r="D8690">
        <v>0</v>
      </c>
      <c r="E8690">
        <v>0</v>
      </c>
      <c r="F8690">
        <v>1606</v>
      </c>
    </row>
    <row r="8691" spans="1:6" x14ac:dyDescent="0.25">
      <c r="A8691">
        <v>8690</v>
      </c>
      <c r="B8691" t="s">
        <v>0</v>
      </c>
      <c r="C8691">
        <v>31</v>
      </c>
      <c r="D8691">
        <v>3491</v>
      </c>
      <c r="E8691">
        <v>80271188</v>
      </c>
    </row>
    <row r="8692" spans="1:6" x14ac:dyDescent="0.25">
      <c r="A8692">
        <v>8691</v>
      </c>
      <c r="B8692">
        <v>42</v>
      </c>
      <c r="C8692">
        <v>0</v>
      </c>
      <c r="D8692">
        <v>0</v>
      </c>
      <c r="E8692">
        <v>0</v>
      </c>
      <c r="F8692">
        <v>0.2</v>
      </c>
    </row>
    <row r="8693" spans="1:6" x14ac:dyDescent="0.25">
      <c r="A8693">
        <v>8692</v>
      </c>
      <c r="B8693" t="s">
        <v>0</v>
      </c>
      <c r="C8693">
        <v>32</v>
      </c>
      <c r="D8693">
        <v>3491</v>
      </c>
      <c r="E8693">
        <v>80271311</v>
      </c>
    </row>
    <row r="8694" spans="1:6" x14ac:dyDescent="0.25">
      <c r="A8694">
        <v>8693</v>
      </c>
      <c r="B8694">
        <v>43</v>
      </c>
      <c r="C8694">
        <v>0</v>
      </c>
      <c r="D8694">
        <v>0</v>
      </c>
      <c r="E8694">
        <v>0</v>
      </c>
      <c r="F8694">
        <v>0</v>
      </c>
    </row>
    <row r="8695" spans="1:6" x14ac:dyDescent="0.25">
      <c r="A8695">
        <v>8694</v>
      </c>
      <c r="B8695">
        <v>44</v>
      </c>
      <c r="C8695">
        <v>0</v>
      </c>
      <c r="D8695">
        <v>0</v>
      </c>
      <c r="E8695">
        <v>0</v>
      </c>
      <c r="F8695">
        <v>-87.764499999999998</v>
      </c>
    </row>
    <row r="8696" spans="1:6" x14ac:dyDescent="0.25">
      <c r="A8696">
        <v>8695</v>
      </c>
      <c r="B8696" t="s">
        <v>0</v>
      </c>
      <c r="C8696">
        <v>33</v>
      </c>
      <c r="D8696">
        <v>3491</v>
      </c>
      <c r="E8696">
        <v>80271434</v>
      </c>
    </row>
    <row r="8697" spans="1:6" x14ac:dyDescent="0.25">
      <c r="A8697">
        <v>8696</v>
      </c>
      <c r="B8697">
        <v>45</v>
      </c>
      <c r="C8697">
        <v>0</v>
      </c>
      <c r="D8697">
        <v>0</v>
      </c>
      <c r="E8697">
        <v>0</v>
      </c>
      <c r="F8697">
        <v>525.48299999999995</v>
      </c>
    </row>
    <row r="8698" spans="1:6" x14ac:dyDescent="0.25">
      <c r="A8698">
        <v>8697</v>
      </c>
      <c r="B8698">
        <v>46</v>
      </c>
      <c r="C8698">
        <v>0</v>
      </c>
      <c r="D8698">
        <v>0</v>
      </c>
      <c r="E8698">
        <v>0</v>
      </c>
      <c r="F8698">
        <v>0</v>
      </c>
    </row>
    <row r="8699" spans="1:6" x14ac:dyDescent="0.25">
      <c r="A8699">
        <v>8698</v>
      </c>
      <c r="B8699">
        <v>2</v>
      </c>
      <c r="C8699">
        <v>0</v>
      </c>
      <c r="D8699">
        <v>0</v>
      </c>
      <c r="E8699">
        <v>0</v>
      </c>
      <c r="F8699">
        <v>271.166</v>
      </c>
    </row>
    <row r="8700" spans="1:6" x14ac:dyDescent="0.25">
      <c r="A8700">
        <v>8699</v>
      </c>
      <c r="B8700">
        <v>10</v>
      </c>
      <c r="C8700">
        <v>1</v>
      </c>
      <c r="D8700">
        <v>0</v>
      </c>
      <c r="E8700">
        <v>0</v>
      </c>
      <c r="F8700">
        <v>4086</v>
      </c>
    </row>
    <row r="8701" spans="1:6" x14ac:dyDescent="0.25">
      <c r="A8701">
        <v>8700</v>
      </c>
      <c r="B8701">
        <v>13</v>
      </c>
      <c r="C8701">
        <v>0</v>
      </c>
      <c r="D8701">
        <v>0</v>
      </c>
      <c r="E8701">
        <v>0</v>
      </c>
      <c r="F8701">
        <v>1606</v>
      </c>
    </row>
    <row r="8702" spans="1:6" x14ac:dyDescent="0.25">
      <c r="A8702">
        <v>8701</v>
      </c>
      <c r="B8702" t="s">
        <v>0</v>
      </c>
      <c r="C8702">
        <v>36</v>
      </c>
      <c r="D8702">
        <v>3491</v>
      </c>
      <c r="E8702">
        <v>80271803</v>
      </c>
    </row>
    <row r="8703" spans="1:6" x14ac:dyDescent="0.25">
      <c r="A8703">
        <v>8702</v>
      </c>
      <c r="B8703">
        <v>42</v>
      </c>
      <c r="C8703">
        <v>0</v>
      </c>
      <c r="D8703">
        <v>0</v>
      </c>
      <c r="E8703">
        <v>0</v>
      </c>
      <c r="F8703">
        <v>0.2</v>
      </c>
    </row>
    <row r="8704" spans="1:6" x14ac:dyDescent="0.25">
      <c r="A8704">
        <v>8703</v>
      </c>
      <c r="B8704" t="s">
        <v>0</v>
      </c>
      <c r="C8704">
        <v>37</v>
      </c>
      <c r="D8704">
        <v>3491</v>
      </c>
      <c r="E8704">
        <v>80271925</v>
      </c>
    </row>
    <row r="8705" spans="1:6" x14ac:dyDescent="0.25">
      <c r="A8705">
        <v>8704</v>
      </c>
      <c r="B8705">
        <v>44</v>
      </c>
      <c r="C8705">
        <v>0</v>
      </c>
      <c r="D8705">
        <v>0</v>
      </c>
      <c r="E8705">
        <v>0</v>
      </c>
      <c r="F8705">
        <v>-87.324399999999997</v>
      </c>
    </row>
    <row r="8706" spans="1:6" x14ac:dyDescent="0.25">
      <c r="A8706">
        <v>8705</v>
      </c>
      <c r="B8706" t="s">
        <v>0</v>
      </c>
      <c r="C8706">
        <v>38</v>
      </c>
      <c r="D8706">
        <v>3491</v>
      </c>
      <c r="E8706">
        <v>80272048</v>
      </c>
    </row>
    <row r="8707" spans="1:6" x14ac:dyDescent="0.25">
      <c r="A8707">
        <v>8706</v>
      </c>
      <c r="B8707">
        <v>45</v>
      </c>
      <c r="C8707">
        <v>0</v>
      </c>
      <c r="D8707">
        <v>0</v>
      </c>
      <c r="E8707">
        <v>0</v>
      </c>
      <c r="F8707">
        <v>525.41800000000001</v>
      </c>
    </row>
    <row r="8708" spans="1:6" x14ac:dyDescent="0.25">
      <c r="A8708">
        <v>8707</v>
      </c>
      <c r="B8708">
        <v>46</v>
      </c>
      <c r="C8708">
        <v>0</v>
      </c>
      <c r="D8708">
        <v>0</v>
      </c>
      <c r="E8708">
        <v>0</v>
      </c>
      <c r="F8708">
        <v>0</v>
      </c>
    </row>
    <row r="8709" spans="1:6" x14ac:dyDescent="0.25">
      <c r="A8709">
        <v>8708</v>
      </c>
      <c r="B8709" t="s">
        <v>0</v>
      </c>
      <c r="C8709">
        <v>39</v>
      </c>
      <c r="D8709">
        <v>3491</v>
      </c>
      <c r="E8709">
        <v>80272171</v>
      </c>
    </row>
    <row r="8710" spans="1:6" x14ac:dyDescent="0.25">
      <c r="A8710">
        <v>8709</v>
      </c>
      <c r="B8710">
        <v>2</v>
      </c>
      <c r="C8710">
        <v>0</v>
      </c>
      <c r="D8710">
        <v>0</v>
      </c>
      <c r="E8710">
        <v>0</v>
      </c>
      <c r="F8710">
        <v>270.89299999999997</v>
      </c>
    </row>
    <row r="8711" spans="1:6" x14ac:dyDescent="0.25">
      <c r="A8711">
        <v>8710</v>
      </c>
      <c r="B8711">
        <v>10</v>
      </c>
      <c r="C8711">
        <v>1</v>
      </c>
      <c r="D8711">
        <v>0</v>
      </c>
      <c r="E8711">
        <v>0</v>
      </c>
      <c r="F8711">
        <v>4092</v>
      </c>
    </row>
    <row r="8712" spans="1:6" x14ac:dyDescent="0.25">
      <c r="A8712">
        <v>8711</v>
      </c>
      <c r="B8712">
        <v>13</v>
      </c>
      <c r="C8712">
        <v>0</v>
      </c>
      <c r="D8712">
        <v>0</v>
      </c>
      <c r="E8712">
        <v>0</v>
      </c>
      <c r="F8712">
        <v>1606</v>
      </c>
    </row>
    <row r="8713" spans="1:6" x14ac:dyDescent="0.25">
      <c r="A8713">
        <v>8712</v>
      </c>
      <c r="B8713">
        <v>41</v>
      </c>
      <c r="C8713">
        <v>0</v>
      </c>
      <c r="D8713">
        <v>0</v>
      </c>
      <c r="E8713">
        <v>0</v>
      </c>
      <c r="F8713">
        <v>1</v>
      </c>
    </row>
    <row r="8714" spans="1:6" x14ac:dyDescent="0.25">
      <c r="A8714">
        <v>8713</v>
      </c>
      <c r="B8714">
        <v>42</v>
      </c>
      <c r="C8714">
        <v>0</v>
      </c>
      <c r="D8714">
        <v>0</v>
      </c>
      <c r="E8714">
        <v>0</v>
      </c>
      <c r="F8714">
        <v>0.2</v>
      </c>
    </row>
    <row r="8715" spans="1:6" x14ac:dyDescent="0.25">
      <c r="A8715">
        <v>8714</v>
      </c>
      <c r="B8715" t="s">
        <v>0</v>
      </c>
      <c r="C8715">
        <v>42</v>
      </c>
      <c r="D8715">
        <v>3491</v>
      </c>
      <c r="E8715">
        <v>80272540</v>
      </c>
    </row>
    <row r="8716" spans="1:6" x14ac:dyDescent="0.25">
      <c r="A8716">
        <v>8715</v>
      </c>
      <c r="B8716">
        <v>44</v>
      </c>
      <c r="C8716">
        <v>0</v>
      </c>
      <c r="D8716">
        <v>0</v>
      </c>
      <c r="E8716">
        <v>0</v>
      </c>
      <c r="F8716">
        <v>-86.9191</v>
      </c>
    </row>
    <row r="8717" spans="1:6" x14ac:dyDescent="0.25">
      <c r="A8717">
        <v>8716</v>
      </c>
      <c r="B8717" t="s">
        <v>0</v>
      </c>
      <c r="C8717">
        <v>43</v>
      </c>
      <c r="D8717">
        <v>3491</v>
      </c>
      <c r="E8717">
        <v>80272663</v>
      </c>
    </row>
    <row r="8718" spans="1:6" x14ac:dyDescent="0.25">
      <c r="A8718">
        <v>8717</v>
      </c>
      <c r="B8718">
        <v>46</v>
      </c>
      <c r="C8718">
        <v>0</v>
      </c>
      <c r="D8718">
        <v>0</v>
      </c>
      <c r="E8718">
        <v>0</v>
      </c>
      <c r="F8718">
        <v>0</v>
      </c>
    </row>
    <row r="8719" spans="1:6" x14ac:dyDescent="0.25">
      <c r="A8719">
        <v>8718</v>
      </c>
      <c r="B8719" t="s">
        <v>0</v>
      </c>
      <c r="C8719">
        <v>44</v>
      </c>
      <c r="D8719">
        <v>3491</v>
      </c>
      <c r="E8719">
        <v>80272787</v>
      </c>
    </row>
    <row r="8720" spans="1:6" x14ac:dyDescent="0.25">
      <c r="A8720">
        <v>8719</v>
      </c>
      <c r="B8720">
        <v>10</v>
      </c>
      <c r="C8720">
        <v>1</v>
      </c>
      <c r="D8720">
        <v>0</v>
      </c>
      <c r="E8720">
        <v>0</v>
      </c>
      <c r="F8720">
        <v>4098</v>
      </c>
    </row>
    <row r="8721" spans="1:6" x14ac:dyDescent="0.25">
      <c r="A8721">
        <v>8720</v>
      </c>
      <c r="B8721" t="s">
        <v>0</v>
      </c>
      <c r="C8721">
        <v>45</v>
      </c>
      <c r="D8721">
        <v>3491</v>
      </c>
      <c r="E8721">
        <v>80272910</v>
      </c>
    </row>
    <row r="8722" spans="1:6" x14ac:dyDescent="0.25">
      <c r="A8722">
        <v>8721</v>
      </c>
      <c r="B8722">
        <v>13</v>
      </c>
      <c r="C8722">
        <v>0</v>
      </c>
      <c r="D8722">
        <v>0</v>
      </c>
      <c r="E8722">
        <v>0</v>
      </c>
      <c r="F8722">
        <v>1606</v>
      </c>
    </row>
    <row r="8723" spans="1:6" x14ac:dyDescent="0.25">
      <c r="A8723">
        <v>8722</v>
      </c>
      <c r="B8723">
        <v>41</v>
      </c>
      <c r="C8723">
        <v>0</v>
      </c>
      <c r="D8723">
        <v>0</v>
      </c>
      <c r="E8723">
        <v>0</v>
      </c>
      <c r="F8723">
        <v>1</v>
      </c>
    </row>
    <row r="8724" spans="1:6" x14ac:dyDescent="0.25">
      <c r="A8724">
        <v>8723</v>
      </c>
      <c r="B8724" t="s">
        <v>0</v>
      </c>
      <c r="C8724">
        <v>46</v>
      </c>
      <c r="D8724">
        <v>3491</v>
      </c>
      <c r="E8724">
        <v>80273033</v>
      </c>
    </row>
    <row r="8725" spans="1:6" x14ac:dyDescent="0.25">
      <c r="A8725">
        <v>8724</v>
      </c>
      <c r="B8725">
        <v>42</v>
      </c>
      <c r="C8725">
        <v>0</v>
      </c>
      <c r="D8725">
        <v>0</v>
      </c>
      <c r="E8725">
        <v>0</v>
      </c>
      <c r="F8725">
        <v>0.2</v>
      </c>
    </row>
    <row r="8726" spans="1:6" x14ac:dyDescent="0.25">
      <c r="A8726">
        <v>8725</v>
      </c>
      <c r="B8726">
        <v>43</v>
      </c>
      <c r="C8726">
        <v>0</v>
      </c>
      <c r="D8726">
        <v>0</v>
      </c>
      <c r="E8726">
        <v>0</v>
      </c>
      <c r="F8726">
        <v>0</v>
      </c>
    </row>
    <row r="8727" spans="1:6" x14ac:dyDescent="0.25">
      <c r="A8727">
        <v>8726</v>
      </c>
      <c r="B8727">
        <v>44</v>
      </c>
      <c r="C8727">
        <v>0</v>
      </c>
      <c r="D8727">
        <v>0</v>
      </c>
      <c r="E8727">
        <v>0</v>
      </c>
      <c r="F8727">
        <v>-86.494699999999995</v>
      </c>
    </row>
    <row r="8728" spans="1:6" x14ac:dyDescent="0.25">
      <c r="A8728">
        <v>8727</v>
      </c>
      <c r="B8728">
        <v>45</v>
      </c>
      <c r="C8728">
        <v>0</v>
      </c>
      <c r="D8728">
        <v>0</v>
      </c>
      <c r="E8728">
        <v>0</v>
      </c>
      <c r="F8728">
        <v>525.30200000000002</v>
      </c>
    </row>
    <row r="8729" spans="1:6" x14ac:dyDescent="0.25">
      <c r="A8729">
        <v>8728</v>
      </c>
      <c r="B8729">
        <v>46</v>
      </c>
      <c r="C8729">
        <v>0</v>
      </c>
      <c r="D8729">
        <v>0</v>
      </c>
      <c r="E8729">
        <v>0</v>
      </c>
      <c r="F8729">
        <v>0</v>
      </c>
    </row>
    <row r="8730" spans="1:6" x14ac:dyDescent="0.25">
      <c r="A8730">
        <v>8729</v>
      </c>
      <c r="B8730" t="s">
        <v>0</v>
      </c>
      <c r="C8730">
        <v>49</v>
      </c>
      <c r="D8730">
        <v>3491</v>
      </c>
      <c r="E8730">
        <v>80273402</v>
      </c>
    </row>
    <row r="8731" spans="1:6" x14ac:dyDescent="0.25">
      <c r="A8731">
        <v>8730</v>
      </c>
      <c r="B8731">
        <v>10</v>
      </c>
      <c r="C8731">
        <v>1</v>
      </c>
      <c r="D8731">
        <v>0</v>
      </c>
      <c r="E8731">
        <v>0</v>
      </c>
      <c r="F8731">
        <v>4104</v>
      </c>
    </row>
    <row r="8732" spans="1:6" x14ac:dyDescent="0.25">
      <c r="A8732">
        <v>8731</v>
      </c>
      <c r="B8732" t="s">
        <v>0</v>
      </c>
      <c r="C8732">
        <v>50</v>
      </c>
      <c r="D8732">
        <v>3491</v>
      </c>
      <c r="E8732">
        <v>80273525</v>
      </c>
    </row>
    <row r="8733" spans="1:6" x14ac:dyDescent="0.25">
      <c r="A8733">
        <v>8732</v>
      </c>
      <c r="B8733">
        <v>41</v>
      </c>
      <c r="C8733">
        <v>0</v>
      </c>
      <c r="D8733">
        <v>0</v>
      </c>
      <c r="E8733">
        <v>0</v>
      </c>
      <c r="F8733">
        <v>1</v>
      </c>
    </row>
    <row r="8734" spans="1:6" x14ac:dyDescent="0.25">
      <c r="A8734">
        <v>8733</v>
      </c>
      <c r="B8734" t="s">
        <v>0</v>
      </c>
      <c r="C8734">
        <v>51</v>
      </c>
      <c r="D8734">
        <v>3491</v>
      </c>
      <c r="E8734">
        <v>80273648</v>
      </c>
    </row>
    <row r="8735" spans="1:6" x14ac:dyDescent="0.25">
      <c r="A8735">
        <v>8734</v>
      </c>
      <c r="B8735">
        <v>43</v>
      </c>
      <c r="C8735">
        <v>0</v>
      </c>
      <c r="D8735">
        <v>0</v>
      </c>
      <c r="E8735">
        <v>0</v>
      </c>
      <c r="F8735">
        <v>0</v>
      </c>
    </row>
    <row r="8736" spans="1:6" x14ac:dyDescent="0.25">
      <c r="A8736">
        <v>8735</v>
      </c>
      <c r="B8736" t="s">
        <v>0</v>
      </c>
      <c r="C8736">
        <v>52</v>
      </c>
      <c r="D8736">
        <v>3491</v>
      </c>
      <c r="E8736">
        <v>80273771</v>
      </c>
    </row>
    <row r="8737" spans="1:6" x14ac:dyDescent="0.25">
      <c r="A8737">
        <v>8736</v>
      </c>
      <c r="B8737">
        <v>44</v>
      </c>
      <c r="C8737">
        <v>0</v>
      </c>
      <c r="D8737">
        <v>0</v>
      </c>
      <c r="E8737">
        <v>0</v>
      </c>
      <c r="F8737">
        <v>-86.080100000000002</v>
      </c>
    </row>
    <row r="8738" spans="1:6" x14ac:dyDescent="0.25">
      <c r="A8738">
        <v>8737</v>
      </c>
      <c r="B8738">
        <v>45</v>
      </c>
      <c r="C8738">
        <v>0</v>
      </c>
      <c r="D8738">
        <v>0</v>
      </c>
      <c r="E8738">
        <v>0</v>
      </c>
      <c r="F8738">
        <v>525.23800000000006</v>
      </c>
    </row>
    <row r="8739" spans="1:6" x14ac:dyDescent="0.25">
      <c r="A8739">
        <v>8738</v>
      </c>
      <c r="B8739" t="s">
        <v>0</v>
      </c>
      <c r="C8739">
        <v>53</v>
      </c>
      <c r="D8739">
        <v>3491</v>
      </c>
      <c r="E8739">
        <v>80273894</v>
      </c>
    </row>
    <row r="8740" spans="1:6" x14ac:dyDescent="0.25">
      <c r="A8740">
        <v>8739</v>
      </c>
      <c r="B8740">
        <v>46</v>
      </c>
      <c r="C8740">
        <v>0</v>
      </c>
      <c r="D8740">
        <v>0</v>
      </c>
      <c r="E8740">
        <v>0</v>
      </c>
      <c r="F8740">
        <v>0</v>
      </c>
    </row>
    <row r="8741" spans="1:6" x14ac:dyDescent="0.25">
      <c r="A8741">
        <v>8740</v>
      </c>
      <c r="B8741">
        <v>2</v>
      </c>
      <c r="C8741">
        <v>0</v>
      </c>
      <c r="D8741">
        <v>0</v>
      </c>
      <c r="E8741">
        <v>0</v>
      </c>
      <c r="F8741">
        <v>270.14400000000001</v>
      </c>
    </row>
    <row r="8742" spans="1:6" x14ac:dyDescent="0.25">
      <c r="A8742">
        <v>8741</v>
      </c>
      <c r="B8742">
        <v>10</v>
      </c>
      <c r="C8742">
        <v>1</v>
      </c>
      <c r="D8742">
        <v>0</v>
      </c>
      <c r="E8742">
        <v>0</v>
      </c>
      <c r="F8742">
        <v>4109</v>
      </c>
    </row>
    <row r="8743" spans="1:6" x14ac:dyDescent="0.25">
      <c r="A8743">
        <v>8742</v>
      </c>
      <c r="B8743">
        <v>13</v>
      </c>
      <c r="C8743">
        <v>0</v>
      </c>
      <c r="D8743">
        <v>0</v>
      </c>
      <c r="E8743">
        <v>0</v>
      </c>
      <c r="F8743">
        <v>1606</v>
      </c>
    </row>
    <row r="8744" spans="1:6" x14ac:dyDescent="0.25">
      <c r="A8744">
        <v>8743</v>
      </c>
      <c r="B8744">
        <v>41</v>
      </c>
      <c r="C8744">
        <v>0</v>
      </c>
      <c r="D8744">
        <v>0</v>
      </c>
      <c r="E8744">
        <v>0</v>
      </c>
      <c r="F8744">
        <v>1</v>
      </c>
    </row>
    <row r="8745" spans="1:6" x14ac:dyDescent="0.25">
      <c r="A8745">
        <v>8744</v>
      </c>
      <c r="B8745" t="s">
        <v>0</v>
      </c>
      <c r="C8745">
        <v>56</v>
      </c>
      <c r="D8745">
        <v>3491</v>
      </c>
      <c r="E8745">
        <v>80274264</v>
      </c>
    </row>
    <row r="8746" spans="1:6" x14ac:dyDescent="0.25">
      <c r="A8746">
        <v>8745</v>
      </c>
      <c r="B8746">
        <v>43</v>
      </c>
      <c r="C8746">
        <v>0</v>
      </c>
      <c r="D8746">
        <v>0</v>
      </c>
      <c r="E8746">
        <v>0</v>
      </c>
      <c r="F8746">
        <v>0</v>
      </c>
    </row>
    <row r="8747" spans="1:6" x14ac:dyDescent="0.25">
      <c r="A8747">
        <v>8746</v>
      </c>
      <c r="B8747" t="s">
        <v>0</v>
      </c>
      <c r="C8747">
        <v>57</v>
      </c>
      <c r="D8747">
        <v>3491</v>
      </c>
      <c r="E8747">
        <v>80274388</v>
      </c>
    </row>
    <row r="8748" spans="1:6" x14ac:dyDescent="0.25">
      <c r="A8748">
        <v>8747</v>
      </c>
      <c r="B8748">
        <v>45</v>
      </c>
      <c r="C8748">
        <v>0</v>
      </c>
      <c r="D8748">
        <v>0</v>
      </c>
      <c r="E8748">
        <v>0</v>
      </c>
      <c r="F8748">
        <v>525.17499999999995</v>
      </c>
    </row>
    <row r="8749" spans="1:6" x14ac:dyDescent="0.25">
      <c r="A8749">
        <v>8748</v>
      </c>
      <c r="B8749" t="s">
        <v>0</v>
      </c>
      <c r="C8749">
        <v>58</v>
      </c>
      <c r="D8749">
        <v>3491</v>
      </c>
      <c r="E8749">
        <v>80274512</v>
      </c>
    </row>
    <row r="8750" spans="1:6" x14ac:dyDescent="0.25">
      <c r="A8750">
        <v>8749</v>
      </c>
      <c r="B8750">
        <v>46</v>
      </c>
      <c r="C8750">
        <v>0</v>
      </c>
      <c r="D8750">
        <v>0</v>
      </c>
      <c r="E8750">
        <v>0</v>
      </c>
      <c r="F8750">
        <v>0</v>
      </c>
    </row>
    <row r="8751" spans="1:6" x14ac:dyDescent="0.25">
      <c r="A8751">
        <v>8750</v>
      </c>
      <c r="B8751">
        <v>2</v>
      </c>
      <c r="C8751">
        <v>0</v>
      </c>
      <c r="D8751">
        <v>0</v>
      </c>
      <c r="E8751">
        <v>0</v>
      </c>
      <c r="F8751">
        <v>269.90600000000001</v>
      </c>
    </row>
    <row r="8752" spans="1:6" x14ac:dyDescent="0.25">
      <c r="A8752">
        <v>8751</v>
      </c>
      <c r="B8752" t="s">
        <v>0</v>
      </c>
      <c r="C8752">
        <v>59</v>
      </c>
      <c r="D8752">
        <v>3491</v>
      </c>
      <c r="E8752">
        <v>80274636</v>
      </c>
    </row>
    <row r="8753" spans="1:6" x14ac:dyDescent="0.25">
      <c r="A8753">
        <v>8752</v>
      </c>
      <c r="B8753">
        <v>10</v>
      </c>
      <c r="C8753">
        <v>1</v>
      </c>
      <c r="D8753">
        <v>0</v>
      </c>
      <c r="E8753">
        <v>0</v>
      </c>
      <c r="F8753">
        <v>4114</v>
      </c>
    </row>
    <row r="8754" spans="1:6" x14ac:dyDescent="0.25">
      <c r="A8754">
        <v>8753</v>
      </c>
      <c r="B8754">
        <v>13</v>
      </c>
      <c r="C8754">
        <v>0</v>
      </c>
      <c r="D8754">
        <v>0</v>
      </c>
      <c r="E8754">
        <v>0</v>
      </c>
      <c r="F8754">
        <v>1606</v>
      </c>
    </row>
    <row r="8755" spans="1:6" x14ac:dyDescent="0.25">
      <c r="A8755">
        <v>8754</v>
      </c>
      <c r="B8755">
        <v>41</v>
      </c>
      <c r="C8755">
        <v>0</v>
      </c>
      <c r="D8755">
        <v>0</v>
      </c>
      <c r="E8755">
        <v>0</v>
      </c>
      <c r="F8755">
        <v>1</v>
      </c>
    </row>
    <row r="8756" spans="1:6" x14ac:dyDescent="0.25">
      <c r="A8756">
        <v>8755</v>
      </c>
      <c r="B8756">
        <v>42</v>
      </c>
      <c r="C8756">
        <v>0</v>
      </c>
      <c r="D8756">
        <v>0</v>
      </c>
      <c r="E8756">
        <v>0</v>
      </c>
      <c r="F8756">
        <v>0.2</v>
      </c>
    </row>
    <row r="8757" spans="1:6" x14ac:dyDescent="0.25">
      <c r="A8757">
        <v>8756</v>
      </c>
      <c r="B8757">
        <v>43</v>
      </c>
      <c r="C8757">
        <v>0</v>
      </c>
      <c r="D8757">
        <v>0</v>
      </c>
      <c r="E8757">
        <v>0</v>
      </c>
      <c r="F8757">
        <v>0</v>
      </c>
    </row>
    <row r="8758" spans="1:6" x14ac:dyDescent="0.25">
      <c r="A8758">
        <v>8757</v>
      </c>
      <c r="B8758">
        <v>44</v>
      </c>
      <c r="C8758">
        <v>0</v>
      </c>
      <c r="D8758">
        <v>0</v>
      </c>
      <c r="E8758">
        <v>0</v>
      </c>
      <c r="F8758">
        <v>-85.331800000000001</v>
      </c>
    </row>
    <row r="8759" spans="1:6" x14ac:dyDescent="0.25">
      <c r="A8759">
        <v>8758</v>
      </c>
      <c r="B8759">
        <v>45</v>
      </c>
      <c r="C8759">
        <v>0</v>
      </c>
      <c r="D8759">
        <v>0</v>
      </c>
      <c r="E8759">
        <v>0</v>
      </c>
      <c r="F8759">
        <v>525.11099999999999</v>
      </c>
    </row>
    <row r="8760" spans="1:6" x14ac:dyDescent="0.25">
      <c r="A8760">
        <v>8759</v>
      </c>
      <c r="B8760" t="s">
        <v>0</v>
      </c>
      <c r="C8760">
        <v>63</v>
      </c>
      <c r="D8760">
        <v>3491</v>
      </c>
      <c r="E8760">
        <v>80275130</v>
      </c>
    </row>
    <row r="8761" spans="1:6" x14ac:dyDescent="0.25">
      <c r="A8761">
        <v>8760</v>
      </c>
      <c r="B8761">
        <v>2</v>
      </c>
      <c r="C8761">
        <v>0</v>
      </c>
      <c r="D8761">
        <v>0</v>
      </c>
      <c r="E8761">
        <v>0</v>
      </c>
      <c r="F8761">
        <v>269.62400000000002</v>
      </c>
    </row>
    <row r="8762" spans="1:6" x14ac:dyDescent="0.25">
      <c r="A8762">
        <v>8761</v>
      </c>
      <c r="B8762" t="s">
        <v>0</v>
      </c>
      <c r="C8762">
        <v>64</v>
      </c>
      <c r="D8762">
        <v>3491</v>
      </c>
      <c r="E8762">
        <v>80275254</v>
      </c>
    </row>
    <row r="8763" spans="1:6" x14ac:dyDescent="0.25">
      <c r="A8763">
        <v>8762</v>
      </c>
      <c r="B8763">
        <v>13</v>
      </c>
      <c r="C8763">
        <v>0</v>
      </c>
      <c r="D8763">
        <v>0</v>
      </c>
      <c r="E8763">
        <v>0</v>
      </c>
      <c r="F8763">
        <v>1606</v>
      </c>
    </row>
    <row r="8764" spans="1:6" x14ac:dyDescent="0.25">
      <c r="A8764">
        <v>8763</v>
      </c>
      <c r="B8764" t="s">
        <v>0</v>
      </c>
      <c r="C8764">
        <v>65</v>
      </c>
      <c r="D8764">
        <v>3491</v>
      </c>
      <c r="E8764">
        <v>80275378</v>
      </c>
    </row>
    <row r="8765" spans="1:6" x14ac:dyDescent="0.25">
      <c r="A8765">
        <v>8764</v>
      </c>
      <c r="B8765">
        <v>41</v>
      </c>
      <c r="C8765">
        <v>0</v>
      </c>
      <c r="D8765">
        <v>0</v>
      </c>
      <c r="E8765">
        <v>0</v>
      </c>
      <c r="F8765">
        <v>1</v>
      </c>
    </row>
    <row r="8766" spans="1:6" x14ac:dyDescent="0.25">
      <c r="A8766">
        <v>8765</v>
      </c>
      <c r="B8766">
        <v>42</v>
      </c>
      <c r="C8766">
        <v>0</v>
      </c>
      <c r="D8766">
        <v>0</v>
      </c>
      <c r="E8766">
        <v>0</v>
      </c>
      <c r="F8766">
        <v>0.2</v>
      </c>
    </row>
    <row r="8767" spans="1:6" x14ac:dyDescent="0.25">
      <c r="A8767">
        <v>8766</v>
      </c>
      <c r="B8767" t="s">
        <v>0</v>
      </c>
      <c r="C8767">
        <v>66</v>
      </c>
      <c r="D8767">
        <v>3491</v>
      </c>
      <c r="E8767">
        <v>80275502</v>
      </c>
    </row>
    <row r="8768" spans="1:6" x14ac:dyDescent="0.25">
      <c r="A8768">
        <v>8767</v>
      </c>
      <c r="B8768">
        <v>43</v>
      </c>
      <c r="C8768">
        <v>0</v>
      </c>
      <c r="D8768">
        <v>0</v>
      </c>
      <c r="E8768">
        <v>0</v>
      </c>
      <c r="F8768">
        <v>0</v>
      </c>
    </row>
    <row r="8769" spans="1:6" x14ac:dyDescent="0.25">
      <c r="A8769">
        <v>8768</v>
      </c>
      <c r="B8769">
        <v>44</v>
      </c>
      <c r="C8769">
        <v>0</v>
      </c>
      <c r="D8769">
        <v>0</v>
      </c>
      <c r="E8769">
        <v>0</v>
      </c>
      <c r="F8769">
        <v>-84.916600000000003</v>
      </c>
    </row>
    <row r="8770" spans="1:6" x14ac:dyDescent="0.25">
      <c r="A8770">
        <v>8769</v>
      </c>
      <c r="B8770">
        <v>45</v>
      </c>
      <c r="C8770">
        <v>0</v>
      </c>
      <c r="D8770">
        <v>0</v>
      </c>
      <c r="E8770">
        <v>0</v>
      </c>
      <c r="F8770">
        <v>525.048</v>
      </c>
    </row>
    <row r="8771" spans="1:6" x14ac:dyDescent="0.25">
      <c r="A8771">
        <v>8770</v>
      </c>
      <c r="B8771">
        <v>46</v>
      </c>
      <c r="C8771">
        <v>0</v>
      </c>
      <c r="D8771">
        <v>0</v>
      </c>
      <c r="E8771">
        <v>0</v>
      </c>
      <c r="F8771">
        <v>0</v>
      </c>
    </row>
    <row r="8772" spans="1:6" x14ac:dyDescent="0.25">
      <c r="A8772">
        <v>8771</v>
      </c>
      <c r="B8772">
        <v>2</v>
      </c>
      <c r="C8772">
        <v>0</v>
      </c>
      <c r="D8772">
        <v>0</v>
      </c>
      <c r="E8772">
        <v>0</v>
      </c>
      <c r="F8772">
        <v>269.363</v>
      </c>
    </row>
    <row r="8773" spans="1:6" x14ac:dyDescent="0.25">
      <c r="A8773">
        <v>8772</v>
      </c>
      <c r="B8773">
        <v>10</v>
      </c>
      <c r="C8773">
        <v>1</v>
      </c>
      <c r="D8773">
        <v>0</v>
      </c>
      <c r="E8773">
        <v>0</v>
      </c>
      <c r="F8773">
        <v>4126</v>
      </c>
    </row>
    <row r="8774" spans="1:6" x14ac:dyDescent="0.25">
      <c r="A8774">
        <v>8773</v>
      </c>
      <c r="B8774">
        <v>13</v>
      </c>
      <c r="C8774">
        <v>0</v>
      </c>
      <c r="D8774">
        <v>0</v>
      </c>
      <c r="E8774">
        <v>0</v>
      </c>
      <c r="F8774">
        <v>1606</v>
      </c>
    </row>
    <row r="8775" spans="1:6" x14ac:dyDescent="0.25">
      <c r="A8775">
        <v>8774</v>
      </c>
      <c r="B8775" t="s">
        <v>0</v>
      </c>
      <c r="C8775">
        <v>70</v>
      </c>
      <c r="D8775">
        <v>3491</v>
      </c>
      <c r="E8775">
        <v>80275996</v>
      </c>
    </row>
    <row r="8776" spans="1:6" x14ac:dyDescent="0.25">
      <c r="A8776">
        <v>8775</v>
      </c>
      <c r="B8776">
        <v>42</v>
      </c>
      <c r="C8776">
        <v>0</v>
      </c>
      <c r="D8776">
        <v>0</v>
      </c>
      <c r="E8776">
        <v>0</v>
      </c>
      <c r="F8776">
        <v>0.2</v>
      </c>
    </row>
    <row r="8777" spans="1:6" x14ac:dyDescent="0.25">
      <c r="A8777">
        <v>8776</v>
      </c>
      <c r="B8777" t="s">
        <v>0</v>
      </c>
      <c r="C8777">
        <v>71</v>
      </c>
      <c r="D8777">
        <v>3491</v>
      </c>
      <c r="E8777">
        <v>80276120</v>
      </c>
    </row>
    <row r="8778" spans="1:6" x14ac:dyDescent="0.25">
      <c r="A8778">
        <v>8777</v>
      </c>
      <c r="B8778">
        <v>44</v>
      </c>
      <c r="C8778">
        <v>0</v>
      </c>
      <c r="D8778">
        <v>0</v>
      </c>
      <c r="E8778">
        <v>0</v>
      </c>
      <c r="F8778">
        <v>-84.475800000000007</v>
      </c>
    </row>
    <row r="8779" spans="1:6" x14ac:dyDescent="0.25">
      <c r="A8779">
        <v>8778</v>
      </c>
      <c r="B8779" t="s">
        <v>0</v>
      </c>
      <c r="C8779">
        <v>72</v>
      </c>
      <c r="D8779">
        <v>3491</v>
      </c>
      <c r="E8779">
        <v>80276244</v>
      </c>
    </row>
    <row r="8780" spans="1:6" x14ac:dyDescent="0.25">
      <c r="A8780">
        <v>8779</v>
      </c>
      <c r="B8780">
        <v>45</v>
      </c>
      <c r="C8780">
        <v>0</v>
      </c>
      <c r="D8780">
        <v>0</v>
      </c>
      <c r="E8780">
        <v>0</v>
      </c>
      <c r="F8780">
        <v>524.98500000000001</v>
      </c>
    </row>
    <row r="8781" spans="1:6" x14ac:dyDescent="0.25">
      <c r="A8781">
        <v>8780</v>
      </c>
      <c r="B8781">
        <v>46</v>
      </c>
      <c r="C8781">
        <v>0</v>
      </c>
      <c r="D8781">
        <v>0</v>
      </c>
      <c r="E8781">
        <v>0</v>
      </c>
      <c r="F8781">
        <v>0</v>
      </c>
    </row>
    <row r="8782" spans="1:6" x14ac:dyDescent="0.25">
      <c r="A8782">
        <v>8781</v>
      </c>
      <c r="B8782" t="s">
        <v>0</v>
      </c>
      <c r="C8782">
        <v>73</v>
      </c>
      <c r="D8782">
        <v>3491</v>
      </c>
      <c r="E8782">
        <v>80276368</v>
      </c>
    </row>
    <row r="8783" spans="1:6" x14ac:dyDescent="0.25">
      <c r="A8783">
        <v>8782</v>
      </c>
      <c r="B8783">
        <v>2</v>
      </c>
      <c r="C8783">
        <v>0</v>
      </c>
      <c r="D8783">
        <v>0</v>
      </c>
      <c r="E8783">
        <v>0</v>
      </c>
      <c r="F8783">
        <v>269.10599999999999</v>
      </c>
    </row>
    <row r="8784" spans="1:6" x14ac:dyDescent="0.25">
      <c r="A8784">
        <v>8783</v>
      </c>
      <c r="B8784">
        <v>10</v>
      </c>
      <c r="C8784">
        <v>1</v>
      </c>
      <c r="D8784">
        <v>0</v>
      </c>
      <c r="E8784">
        <v>0</v>
      </c>
      <c r="F8784">
        <v>4132</v>
      </c>
    </row>
    <row r="8785" spans="1:6" x14ac:dyDescent="0.25">
      <c r="A8785">
        <v>8784</v>
      </c>
      <c r="B8785">
        <v>13</v>
      </c>
      <c r="C8785">
        <v>0</v>
      </c>
      <c r="D8785">
        <v>0</v>
      </c>
      <c r="E8785">
        <v>0</v>
      </c>
      <c r="F8785">
        <v>1606</v>
      </c>
    </row>
    <row r="8786" spans="1:6" x14ac:dyDescent="0.25">
      <c r="A8786">
        <v>8785</v>
      </c>
      <c r="B8786">
        <v>41</v>
      </c>
      <c r="C8786">
        <v>0</v>
      </c>
      <c r="D8786">
        <v>0</v>
      </c>
      <c r="E8786">
        <v>0</v>
      </c>
      <c r="F8786">
        <v>1</v>
      </c>
    </row>
    <row r="8787" spans="1:6" x14ac:dyDescent="0.25">
      <c r="A8787">
        <v>8786</v>
      </c>
      <c r="B8787">
        <v>42</v>
      </c>
      <c r="C8787">
        <v>0</v>
      </c>
      <c r="D8787">
        <v>0</v>
      </c>
      <c r="E8787">
        <v>0</v>
      </c>
      <c r="F8787">
        <v>0.2</v>
      </c>
    </row>
    <row r="8788" spans="1:6" x14ac:dyDescent="0.25">
      <c r="A8788">
        <v>8787</v>
      </c>
      <c r="B8788">
        <v>43</v>
      </c>
      <c r="C8788">
        <v>0</v>
      </c>
      <c r="D8788">
        <v>0</v>
      </c>
      <c r="E8788">
        <v>0</v>
      </c>
      <c r="F8788">
        <v>0</v>
      </c>
    </row>
    <row r="8789" spans="1:6" x14ac:dyDescent="0.25">
      <c r="A8789">
        <v>8788</v>
      </c>
      <c r="B8789">
        <v>44</v>
      </c>
      <c r="C8789">
        <v>0</v>
      </c>
      <c r="D8789">
        <v>0</v>
      </c>
      <c r="E8789">
        <v>0</v>
      </c>
      <c r="F8789">
        <v>-84.079300000000003</v>
      </c>
    </row>
    <row r="8790" spans="1:6" x14ac:dyDescent="0.25">
      <c r="A8790">
        <v>8789</v>
      </c>
      <c r="B8790" t="s">
        <v>0</v>
      </c>
      <c r="C8790">
        <v>77</v>
      </c>
      <c r="D8790">
        <v>3491</v>
      </c>
      <c r="E8790">
        <v>80276863</v>
      </c>
    </row>
    <row r="8791" spans="1:6" x14ac:dyDescent="0.25">
      <c r="A8791">
        <v>8790</v>
      </c>
      <c r="B8791">
        <v>46</v>
      </c>
      <c r="C8791">
        <v>0</v>
      </c>
      <c r="D8791">
        <v>0</v>
      </c>
      <c r="E8791">
        <v>0</v>
      </c>
      <c r="F8791">
        <v>0</v>
      </c>
    </row>
    <row r="8792" spans="1:6" x14ac:dyDescent="0.25">
      <c r="A8792">
        <v>8791</v>
      </c>
      <c r="B8792" t="s">
        <v>0</v>
      </c>
      <c r="C8792">
        <v>78</v>
      </c>
      <c r="D8792">
        <v>3491</v>
      </c>
      <c r="E8792">
        <v>80276987</v>
      </c>
    </row>
    <row r="8793" spans="1:6" x14ac:dyDescent="0.25">
      <c r="A8793">
        <v>8792</v>
      </c>
      <c r="B8793">
        <v>10</v>
      </c>
      <c r="C8793">
        <v>1</v>
      </c>
      <c r="D8793">
        <v>0</v>
      </c>
      <c r="E8793">
        <v>0</v>
      </c>
      <c r="F8793">
        <v>4138</v>
      </c>
    </row>
    <row r="8794" spans="1:6" x14ac:dyDescent="0.25">
      <c r="A8794">
        <v>8793</v>
      </c>
      <c r="B8794" t="s">
        <v>0</v>
      </c>
      <c r="C8794">
        <v>79</v>
      </c>
      <c r="D8794">
        <v>3491</v>
      </c>
      <c r="E8794">
        <v>80277111</v>
      </c>
    </row>
    <row r="8795" spans="1:6" x14ac:dyDescent="0.25">
      <c r="A8795">
        <v>8794</v>
      </c>
      <c r="B8795">
        <v>13</v>
      </c>
      <c r="C8795">
        <v>0</v>
      </c>
      <c r="D8795">
        <v>0</v>
      </c>
      <c r="E8795">
        <v>0</v>
      </c>
      <c r="F8795">
        <v>1606</v>
      </c>
    </row>
    <row r="8796" spans="1:6" x14ac:dyDescent="0.25">
      <c r="A8796">
        <v>8795</v>
      </c>
      <c r="B8796">
        <v>41</v>
      </c>
      <c r="C8796">
        <v>0</v>
      </c>
      <c r="D8796">
        <v>0</v>
      </c>
      <c r="E8796">
        <v>0</v>
      </c>
      <c r="F8796">
        <v>1</v>
      </c>
    </row>
    <row r="8797" spans="1:6" x14ac:dyDescent="0.25">
      <c r="A8797">
        <v>8796</v>
      </c>
      <c r="B8797" t="s">
        <v>0</v>
      </c>
      <c r="C8797">
        <v>80</v>
      </c>
      <c r="D8797">
        <v>3491</v>
      </c>
      <c r="E8797">
        <v>80277235</v>
      </c>
    </row>
    <row r="8798" spans="1:6" x14ac:dyDescent="0.25">
      <c r="A8798">
        <v>8797</v>
      </c>
      <c r="B8798">
        <v>42</v>
      </c>
      <c r="C8798">
        <v>0</v>
      </c>
      <c r="D8798">
        <v>0</v>
      </c>
      <c r="E8798">
        <v>0</v>
      </c>
      <c r="F8798">
        <v>0.2</v>
      </c>
    </row>
    <row r="8799" spans="1:6" x14ac:dyDescent="0.25">
      <c r="A8799">
        <v>8798</v>
      </c>
      <c r="B8799">
        <v>43</v>
      </c>
      <c r="C8799">
        <v>0</v>
      </c>
      <c r="D8799">
        <v>0</v>
      </c>
      <c r="E8799">
        <v>0</v>
      </c>
      <c r="F8799">
        <v>0</v>
      </c>
    </row>
    <row r="8800" spans="1:6" x14ac:dyDescent="0.25">
      <c r="A8800">
        <v>8799</v>
      </c>
      <c r="B8800" t="s">
        <v>0</v>
      </c>
      <c r="C8800">
        <v>81</v>
      </c>
      <c r="D8800">
        <v>3491</v>
      </c>
      <c r="E8800">
        <v>80277359</v>
      </c>
    </row>
    <row r="8801" spans="1:6" x14ac:dyDescent="0.25">
      <c r="A8801">
        <v>8800</v>
      </c>
      <c r="B8801">
        <v>44</v>
      </c>
      <c r="C8801">
        <v>0</v>
      </c>
      <c r="D8801">
        <v>0</v>
      </c>
      <c r="E8801">
        <v>0</v>
      </c>
      <c r="F8801">
        <v>-83.668000000000006</v>
      </c>
    </row>
    <row r="8802" spans="1:6" x14ac:dyDescent="0.25">
      <c r="A8802">
        <v>8801</v>
      </c>
      <c r="B8802">
        <v>45</v>
      </c>
      <c r="C8802">
        <v>0</v>
      </c>
      <c r="D8802">
        <v>0</v>
      </c>
      <c r="E8802">
        <v>0</v>
      </c>
      <c r="F8802">
        <v>524.87199999999996</v>
      </c>
    </row>
    <row r="8803" spans="1:6" x14ac:dyDescent="0.25">
      <c r="A8803">
        <v>8802</v>
      </c>
      <c r="B8803">
        <v>46</v>
      </c>
      <c r="C8803">
        <v>0</v>
      </c>
      <c r="D8803">
        <v>0</v>
      </c>
      <c r="E8803">
        <v>0</v>
      </c>
      <c r="F8803">
        <v>0</v>
      </c>
    </row>
    <row r="8804" spans="1:6" x14ac:dyDescent="0.25">
      <c r="A8804">
        <v>8803</v>
      </c>
      <c r="B8804">
        <v>2</v>
      </c>
      <c r="C8804">
        <v>0</v>
      </c>
      <c r="D8804">
        <v>0</v>
      </c>
      <c r="E8804">
        <v>0</v>
      </c>
      <c r="F8804">
        <v>268.64299999999997</v>
      </c>
    </row>
    <row r="8805" spans="1:6" x14ac:dyDescent="0.25">
      <c r="A8805">
        <v>8804</v>
      </c>
      <c r="B8805">
        <v>10</v>
      </c>
      <c r="C8805">
        <v>1</v>
      </c>
      <c r="D8805">
        <v>0</v>
      </c>
      <c r="E8805">
        <v>0</v>
      </c>
      <c r="F8805">
        <v>4143</v>
      </c>
    </row>
    <row r="8806" spans="1:6" x14ac:dyDescent="0.25">
      <c r="A8806">
        <v>8805</v>
      </c>
      <c r="B8806" t="s">
        <v>0</v>
      </c>
      <c r="C8806">
        <v>84</v>
      </c>
      <c r="D8806">
        <v>3491</v>
      </c>
      <c r="E8806">
        <v>80277731</v>
      </c>
    </row>
    <row r="8807" spans="1:6" x14ac:dyDescent="0.25">
      <c r="A8807">
        <v>8806</v>
      </c>
      <c r="B8807">
        <v>41</v>
      </c>
      <c r="C8807">
        <v>0</v>
      </c>
      <c r="D8807">
        <v>0</v>
      </c>
      <c r="E8807">
        <v>0</v>
      </c>
      <c r="F8807">
        <v>1</v>
      </c>
    </row>
    <row r="8808" spans="1:6" x14ac:dyDescent="0.25">
      <c r="A8808">
        <v>8807</v>
      </c>
      <c r="B8808" t="s">
        <v>0</v>
      </c>
      <c r="C8808">
        <v>85</v>
      </c>
      <c r="D8808">
        <v>3491</v>
      </c>
      <c r="E8808">
        <v>80277855</v>
      </c>
    </row>
    <row r="8809" spans="1:6" x14ac:dyDescent="0.25">
      <c r="A8809">
        <v>8808</v>
      </c>
      <c r="B8809">
        <v>43</v>
      </c>
      <c r="C8809">
        <v>0</v>
      </c>
      <c r="D8809">
        <v>0</v>
      </c>
      <c r="E8809">
        <v>0</v>
      </c>
      <c r="F8809">
        <v>0</v>
      </c>
    </row>
    <row r="8810" spans="1:6" x14ac:dyDescent="0.25">
      <c r="A8810">
        <v>8809</v>
      </c>
      <c r="B8810" t="s">
        <v>0</v>
      </c>
      <c r="C8810">
        <v>86</v>
      </c>
      <c r="D8810">
        <v>3491</v>
      </c>
      <c r="E8810">
        <v>80277979</v>
      </c>
    </row>
    <row r="8811" spans="1:6" x14ac:dyDescent="0.25">
      <c r="A8811">
        <v>8810</v>
      </c>
      <c r="B8811">
        <v>45</v>
      </c>
      <c r="C8811">
        <v>0</v>
      </c>
      <c r="D8811">
        <v>0</v>
      </c>
      <c r="E8811">
        <v>0</v>
      </c>
      <c r="F8811">
        <v>524.80999999999995</v>
      </c>
    </row>
    <row r="8812" spans="1:6" x14ac:dyDescent="0.25">
      <c r="A8812">
        <v>8811</v>
      </c>
      <c r="B8812" t="s">
        <v>0</v>
      </c>
      <c r="C8812">
        <v>87</v>
      </c>
      <c r="D8812">
        <v>3491</v>
      </c>
      <c r="E8812">
        <v>80278103</v>
      </c>
    </row>
    <row r="8813" spans="1:6" x14ac:dyDescent="0.25">
      <c r="A8813">
        <v>8812</v>
      </c>
      <c r="B8813">
        <v>46</v>
      </c>
      <c r="C8813">
        <v>0</v>
      </c>
      <c r="D8813">
        <v>0</v>
      </c>
      <c r="E8813">
        <v>0</v>
      </c>
      <c r="F8813">
        <v>0</v>
      </c>
    </row>
    <row r="8814" spans="1:6" x14ac:dyDescent="0.25">
      <c r="A8814">
        <v>8813</v>
      </c>
      <c r="B8814">
        <v>2</v>
      </c>
      <c r="C8814">
        <v>0</v>
      </c>
      <c r="D8814">
        <v>0</v>
      </c>
      <c r="E8814">
        <v>0</v>
      </c>
      <c r="F8814">
        <v>268.37099999999998</v>
      </c>
    </row>
    <row r="8815" spans="1:6" x14ac:dyDescent="0.25">
      <c r="A8815">
        <v>8814</v>
      </c>
      <c r="B8815" t="s">
        <v>0</v>
      </c>
      <c r="C8815">
        <v>88</v>
      </c>
      <c r="D8815">
        <v>3491</v>
      </c>
      <c r="E8815">
        <v>80278227</v>
      </c>
    </row>
    <row r="8816" spans="1:6" x14ac:dyDescent="0.25">
      <c r="A8816">
        <v>8815</v>
      </c>
      <c r="B8816">
        <v>10</v>
      </c>
      <c r="C8816">
        <v>1</v>
      </c>
      <c r="D8816">
        <v>0</v>
      </c>
      <c r="E8816">
        <v>0</v>
      </c>
      <c r="F8816">
        <v>4148</v>
      </c>
    </row>
    <row r="8817" spans="1:6" x14ac:dyDescent="0.25">
      <c r="A8817">
        <v>8816</v>
      </c>
      <c r="B8817">
        <v>13</v>
      </c>
      <c r="C8817">
        <v>0</v>
      </c>
      <c r="D8817">
        <v>0</v>
      </c>
      <c r="E8817">
        <v>0</v>
      </c>
      <c r="F8817">
        <v>1606</v>
      </c>
    </row>
    <row r="8818" spans="1:6" x14ac:dyDescent="0.25">
      <c r="A8818">
        <v>8817</v>
      </c>
      <c r="B8818">
        <v>41</v>
      </c>
      <c r="C8818">
        <v>0</v>
      </c>
      <c r="D8818">
        <v>0</v>
      </c>
      <c r="E8818">
        <v>0</v>
      </c>
      <c r="F8818">
        <v>1</v>
      </c>
    </row>
    <row r="8819" spans="1:6" x14ac:dyDescent="0.25">
      <c r="A8819">
        <v>8818</v>
      </c>
      <c r="B8819">
        <v>42</v>
      </c>
      <c r="C8819">
        <v>0</v>
      </c>
      <c r="D8819">
        <v>0</v>
      </c>
      <c r="E8819">
        <v>0</v>
      </c>
      <c r="F8819">
        <v>0.2</v>
      </c>
    </row>
    <row r="8820" spans="1:6" x14ac:dyDescent="0.25">
      <c r="A8820">
        <v>8819</v>
      </c>
      <c r="B8820">
        <v>43</v>
      </c>
      <c r="C8820">
        <v>0</v>
      </c>
      <c r="D8820">
        <v>0</v>
      </c>
      <c r="E8820">
        <v>0</v>
      </c>
      <c r="F8820">
        <v>0</v>
      </c>
    </row>
    <row r="8821" spans="1:6" x14ac:dyDescent="0.25">
      <c r="A8821">
        <v>8820</v>
      </c>
      <c r="B8821" t="s">
        <v>0</v>
      </c>
      <c r="C8821">
        <v>91</v>
      </c>
      <c r="D8821">
        <v>3491</v>
      </c>
      <c r="E8821">
        <v>80278600</v>
      </c>
    </row>
    <row r="8822" spans="1:6" x14ac:dyDescent="0.25">
      <c r="A8822">
        <v>8821</v>
      </c>
      <c r="B8822">
        <v>45</v>
      </c>
      <c r="C8822">
        <v>0</v>
      </c>
      <c r="D8822">
        <v>0</v>
      </c>
      <c r="E8822">
        <v>0</v>
      </c>
      <c r="F8822">
        <v>524.74699999999996</v>
      </c>
    </row>
    <row r="8823" spans="1:6" x14ac:dyDescent="0.25">
      <c r="A8823">
        <v>8822</v>
      </c>
      <c r="B8823" t="s">
        <v>0</v>
      </c>
      <c r="C8823">
        <v>92</v>
      </c>
      <c r="D8823">
        <v>3491</v>
      </c>
      <c r="E8823">
        <v>80278724</v>
      </c>
    </row>
    <row r="8824" spans="1:6" x14ac:dyDescent="0.25">
      <c r="A8824">
        <v>8823</v>
      </c>
      <c r="B8824">
        <v>2</v>
      </c>
      <c r="C8824">
        <v>0</v>
      </c>
      <c r="D8824">
        <v>0</v>
      </c>
      <c r="E8824">
        <v>0</v>
      </c>
      <c r="F8824">
        <v>268.13200000000001</v>
      </c>
    </row>
    <row r="8825" spans="1:6" x14ac:dyDescent="0.25">
      <c r="A8825">
        <v>8824</v>
      </c>
      <c r="B8825" t="s">
        <v>0</v>
      </c>
      <c r="C8825">
        <v>93</v>
      </c>
      <c r="D8825">
        <v>3491</v>
      </c>
      <c r="E8825">
        <v>80278848</v>
      </c>
    </row>
    <row r="8826" spans="1:6" x14ac:dyDescent="0.25">
      <c r="A8826">
        <v>8825</v>
      </c>
      <c r="B8826">
        <v>13</v>
      </c>
      <c r="C8826">
        <v>0</v>
      </c>
      <c r="D8826">
        <v>0</v>
      </c>
      <c r="E8826">
        <v>0</v>
      </c>
      <c r="F8826">
        <v>1606</v>
      </c>
    </row>
    <row r="8827" spans="1:6" x14ac:dyDescent="0.25">
      <c r="A8827">
        <v>8826</v>
      </c>
      <c r="B8827" t="s">
        <v>0</v>
      </c>
      <c r="C8827">
        <v>94</v>
      </c>
      <c r="D8827">
        <v>3491</v>
      </c>
      <c r="E8827">
        <v>80278973</v>
      </c>
    </row>
    <row r="8828" spans="1:6" x14ac:dyDescent="0.25">
      <c r="A8828">
        <v>8827</v>
      </c>
      <c r="B8828">
        <v>41</v>
      </c>
      <c r="C8828">
        <v>0</v>
      </c>
      <c r="D8828">
        <v>0</v>
      </c>
      <c r="E8828">
        <v>0</v>
      </c>
      <c r="F8828">
        <v>1</v>
      </c>
    </row>
    <row r="8829" spans="1:6" x14ac:dyDescent="0.25">
      <c r="A8829">
        <v>8828</v>
      </c>
      <c r="B8829">
        <v>42</v>
      </c>
      <c r="C8829">
        <v>0</v>
      </c>
      <c r="D8829">
        <v>0</v>
      </c>
      <c r="E8829">
        <v>0</v>
      </c>
      <c r="F8829">
        <v>0.2</v>
      </c>
    </row>
    <row r="8830" spans="1:6" x14ac:dyDescent="0.25">
      <c r="A8830">
        <v>8829</v>
      </c>
      <c r="B8830" t="s">
        <v>0</v>
      </c>
      <c r="C8830">
        <v>95</v>
      </c>
      <c r="D8830">
        <v>3491</v>
      </c>
      <c r="E8830">
        <v>80279098</v>
      </c>
    </row>
    <row r="8831" spans="1:6" x14ac:dyDescent="0.25">
      <c r="A8831">
        <v>8830</v>
      </c>
      <c r="B8831">
        <v>43</v>
      </c>
      <c r="C8831">
        <v>0</v>
      </c>
      <c r="D8831">
        <v>0</v>
      </c>
      <c r="E8831">
        <v>0</v>
      </c>
      <c r="F8831">
        <v>0</v>
      </c>
    </row>
    <row r="8832" spans="1:6" x14ac:dyDescent="0.25">
      <c r="A8832">
        <v>8831</v>
      </c>
      <c r="B8832">
        <v>44</v>
      </c>
      <c r="C8832">
        <v>0</v>
      </c>
      <c r="D8832">
        <v>0</v>
      </c>
      <c r="E8832">
        <v>0</v>
      </c>
      <c r="F8832">
        <v>-82.517300000000006</v>
      </c>
    </row>
    <row r="8833" spans="1:6" x14ac:dyDescent="0.25">
      <c r="A8833">
        <v>8832</v>
      </c>
      <c r="B8833">
        <v>45</v>
      </c>
      <c r="C8833">
        <v>0</v>
      </c>
      <c r="D8833">
        <v>0</v>
      </c>
      <c r="E8833">
        <v>0</v>
      </c>
      <c r="F8833">
        <v>524.68499999999995</v>
      </c>
    </row>
    <row r="8834" spans="1:6" x14ac:dyDescent="0.25">
      <c r="A8834">
        <v>8833</v>
      </c>
      <c r="B8834">
        <v>46</v>
      </c>
      <c r="C8834">
        <v>0</v>
      </c>
      <c r="D8834">
        <v>0</v>
      </c>
      <c r="E8834">
        <v>0</v>
      </c>
      <c r="F8834">
        <v>0</v>
      </c>
    </row>
    <row r="8835" spans="1:6" x14ac:dyDescent="0.25">
      <c r="A8835">
        <v>8834</v>
      </c>
      <c r="B8835">
        <v>2</v>
      </c>
      <c r="C8835">
        <v>0</v>
      </c>
      <c r="D8835">
        <v>0</v>
      </c>
      <c r="E8835">
        <v>0</v>
      </c>
      <c r="F8835">
        <v>267.86099999999999</v>
      </c>
    </row>
    <row r="8836" spans="1:6" x14ac:dyDescent="0.25">
      <c r="A8836">
        <v>8835</v>
      </c>
      <c r="B8836" t="s">
        <v>0</v>
      </c>
      <c r="C8836">
        <v>98</v>
      </c>
      <c r="D8836">
        <v>3491</v>
      </c>
      <c r="E8836">
        <v>80279473</v>
      </c>
    </row>
    <row r="8837" spans="1:6" x14ac:dyDescent="0.25">
      <c r="A8837">
        <v>8836</v>
      </c>
      <c r="B8837">
        <v>13</v>
      </c>
      <c r="C8837">
        <v>0</v>
      </c>
      <c r="D8837">
        <v>0</v>
      </c>
      <c r="E8837">
        <v>0</v>
      </c>
      <c r="F8837">
        <v>1606</v>
      </c>
    </row>
    <row r="8838" spans="1:6" x14ac:dyDescent="0.25">
      <c r="A8838">
        <v>8837</v>
      </c>
      <c r="B8838" t="s">
        <v>0</v>
      </c>
      <c r="C8838">
        <v>99</v>
      </c>
      <c r="D8838">
        <v>3491</v>
      </c>
      <c r="E8838">
        <v>80279598</v>
      </c>
    </row>
    <row r="8839" spans="1:6" x14ac:dyDescent="0.25">
      <c r="A8839">
        <v>8838</v>
      </c>
      <c r="B8839">
        <v>42</v>
      </c>
      <c r="C8839">
        <v>0</v>
      </c>
      <c r="D8839">
        <v>0</v>
      </c>
      <c r="E8839">
        <v>0</v>
      </c>
      <c r="F8839">
        <v>0.2</v>
      </c>
    </row>
    <row r="8840" spans="1:6" x14ac:dyDescent="0.25">
      <c r="A8840">
        <v>8839</v>
      </c>
      <c r="B8840" t="s">
        <v>0</v>
      </c>
      <c r="C8840">
        <v>100</v>
      </c>
      <c r="D8840">
        <v>3491</v>
      </c>
      <c r="E8840">
        <v>80279722</v>
      </c>
    </row>
    <row r="8841" spans="1:6" x14ac:dyDescent="0.25">
      <c r="A8841">
        <v>8840</v>
      </c>
      <c r="B8841">
        <v>44</v>
      </c>
      <c r="C8841">
        <v>0</v>
      </c>
      <c r="D8841">
        <v>0</v>
      </c>
      <c r="E8841">
        <v>0</v>
      </c>
      <c r="F8841">
        <v>-82.110100000000003</v>
      </c>
    </row>
    <row r="8842" spans="1:6" x14ac:dyDescent="0.25">
      <c r="A8842">
        <v>8841</v>
      </c>
      <c r="B8842" t="s">
        <v>0</v>
      </c>
      <c r="C8842">
        <v>101</v>
      </c>
      <c r="D8842">
        <v>3491</v>
      </c>
      <c r="E8842">
        <v>80279847</v>
      </c>
    </row>
    <row r="8843" spans="1:6" x14ac:dyDescent="0.25">
      <c r="A8843">
        <v>8842</v>
      </c>
      <c r="B8843">
        <v>45</v>
      </c>
      <c r="C8843">
        <v>0</v>
      </c>
      <c r="D8843">
        <v>0</v>
      </c>
      <c r="E8843">
        <v>0</v>
      </c>
      <c r="F8843">
        <v>524.62400000000002</v>
      </c>
    </row>
    <row r="8844" spans="1:6" x14ac:dyDescent="0.25">
      <c r="A8844">
        <v>8843</v>
      </c>
      <c r="B8844">
        <v>46</v>
      </c>
      <c r="C8844">
        <v>0</v>
      </c>
      <c r="D8844">
        <v>0</v>
      </c>
      <c r="E8844">
        <v>0</v>
      </c>
      <c r="F8844">
        <v>0</v>
      </c>
    </row>
    <row r="8845" spans="1:6" x14ac:dyDescent="0.25">
      <c r="A8845">
        <v>8844</v>
      </c>
      <c r="B8845" t="s">
        <v>0</v>
      </c>
      <c r="C8845">
        <v>102</v>
      </c>
      <c r="D8845">
        <v>3491</v>
      </c>
      <c r="E8845">
        <v>80279972</v>
      </c>
    </row>
    <row r="8846" spans="1:6" x14ac:dyDescent="0.25">
      <c r="A8846">
        <v>8845</v>
      </c>
      <c r="B8846">
        <v>2</v>
      </c>
      <c r="C8846">
        <v>0</v>
      </c>
      <c r="D8846">
        <v>0</v>
      </c>
      <c r="E8846">
        <v>0</v>
      </c>
      <c r="F8846">
        <v>267.61099999999999</v>
      </c>
    </row>
    <row r="8847" spans="1:6" x14ac:dyDescent="0.25">
      <c r="A8847">
        <v>8846</v>
      </c>
      <c r="B8847">
        <v>10</v>
      </c>
      <c r="C8847">
        <v>1</v>
      </c>
      <c r="D8847">
        <v>0</v>
      </c>
      <c r="E8847">
        <v>0</v>
      </c>
      <c r="F8847">
        <v>4165</v>
      </c>
    </row>
    <row r="8848" spans="1:6" x14ac:dyDescent="0.25">
      <c r="A8848">
        <v>8847</v>
      </c>
      <c r="B8848">
        <v>13</v>
      </c>
      <c r="C8848">
        <v>0</v>
      </c>
      <c r="D8848">
        <v>0</v>
      </c>
      <c r="E8848">
        <v>0</v>
      </c>
      <c r="F8848">
        <v>1606</v>
      </c>
    </row>
    <row r="8849" spans="1:6" x14ac:dyDescent="0.25">
      <c r="A8849">
        <v>8848</v>
      </c>
      <c r="B8849">
        <v>41</v>
      </c>
      <c r="C8849">
        <v>0</v>
      </c>
      <c r="D8849">
        <v>0</v>
      </c>
      <c r="E8849">
        <v>0</v>
      </c>
      <c r="F8849">
        <v>1</v>
      </c>
    </row>
    <row r="8850" spans="1:6" x14ac:dyDescent="0.25">
      <c r="A8850">
        <v>8849</v>
      </c>
      <c r="B8850">
        <v>42</v>
      </c>
      <c r="C8850">
        <v>0</v>
      </c>
      <c r="D8850">
        <v>0</v>
      </c>
      <c r="E8850">
        <v>0</v>
      </c>
      <c r="F8850">
        <v>0.2</v>
      </c>
    </row>
    <row r="8851" spans="1:6" x14ac:dyDescent="0.25">
      <c r="A8851">
        <v>8850</v>
      </c>
      <c r="B8851">
        <v>43</v>
      </c>
      <c r="C8851">
        <v>0</v>
      </c>
      <c r="D8851">
        <v>0</v>
      </c>
      <c r="E8851">
        <v>0</v>
      </c>
      <c r="F8851">
        <v>0</v>
      </c>
    </row>
    <row r="8852" spans="1:6" x14ac:dyDescent="0.25">
      <c r="A8852">
        <v>8851</v>
      </c>
      <c r="B8852">
        <v>44</v>
      </c>
      <c r="C8852">
        <v>0</v>
      </c>
      <c r="D8852">
        <v>0</v>
      </c>
      <c r="E8852">
        <v>0</v>
      </c>
      <c r="F8852">
        <v>-81.684200000000004</v>
      </c>
    </row>
    <row r="8853" spans="1:6" x14ac:dyDescent="0.25">
      <c r="A8853">
        <v>8852</v>
      </c>
      <c r="B8853" t="s">
        <v>0</v>
      </c>
      <c r="C8853">
        <v>106</v>
      </c>
      <c r="D8853">
        <v>3491</v>
      </c>
      <c r="E8853">
        <v>80280470</v>
      </c>
    </row>
    <row r="8854" spans="1:6" x14ac:dyDescent="0.25">
      <c r="A8854">
        <v>8853</v>
      </c>
      <c r="B8854">
        <v>46</v>
      </c>
      <c r="C8854">
        <v>0</v>
      </c>
      <c r="D8854">
        <v>0</v>
      </c>
      <c r="E8854">
        <v>0</v>
      </c>
      <c r="F8854">
        <v>0</v>
      </c>
    </row>
    <row r="8855" spans="1:6" x14ac:dyDescent="0.25">
      <c r="A8855">
        <v>8854</v>
      </c>
      <c r="B8855" t="s">
        <v>0</v>
      </c>
      <c r="C8855">
        <v>107</v>
      </c>
      <c r="D8855">
        <v>3491</v>
      </c>
      <c r="E8855">
        <v>80280594</v>
      </c>
    </row>
    <row r="8856" spans="1:6" x14ac:dyDescent="0.25">
      <c r="A8856">
        <v>8855</v>
      </c>
      <c r="B8856">
        <v>10</v>
      </c>
      <c r="C8856">
        <v>1</v>
      </c>
      <c r="D8856">
        <v>0</v>
      </c>
      <c r="E8856">
        <v>0</v>
      </c>
      <c r="F8856">
        <v>4171</v>
      </c>
    </row>
    <row r="8857" spans="1:6" x14ac:dyDescent="0.25">
      <c r="A8857">
        <v>8856</v>
      </c>
      <c r="B8857" t="s">
        <v>0</v>
      </c>
      <c r="C8857">
        <v>108</v>
      </c>
      <c r="D8857">
        <v>3491</v>
      </c>
      <c r="E8857">
        <v>80280719</v>
      </c>
    </row>
    <row r="8858" spans="1:6" x14ac:dyDescent="0.25">
      <c r="A8858">
        <v>8857</v>
      </c>
      <c r="B8858">
        <v>13</v>
      </c>
      <c r="C8858">
        <v>0</v>
      </c>
      <c r="D8858">
        <v>0</v>
      </c>
      <c r="E8858">
        <v>0</v>
      </c>
      <c r="F8858">
        <v>1606</v>
      </c>
    </row>
    <row r="8859" spans="1:6" x14ac:dyDescent="0.25">
      <c r="A8859">
        <v>8858</v>
      </c>
      <c r="B8859">
        <v>41</v>
      </c>
      <c r="C8859">
        <v>0</v>
      </c>
      <c r="D8859">
        <v>0</v>
      </c>
      <c r="E8859">
        <v>0</v>
      </c>
      <c r="F8859">
        <v>1</v>
      </c>
    </row>
    <row r="8860" spans="1:6" x14ac:dyDescent="0.25">
      <c r="A8860">
        <v>8859</v>
      </c>
      <c r="B8860" t="s">
        <v>0</v>
      </c>
      <c r="C8860">
        <v>109</v>
      </c>
      <c r="D8860">
        <v>3491</v>
      </c>
      <c r="E8860">
        <v>80280844</v>
      </c>
    </row>
    <row r="8861" spans="1:6" x14ac:dyDescent="0.25">
      <c r="A8861">
        <v>8860</v>
      </c>
      <c r="B8861">
        <v>42</v>
      </c>
      <c r="C8861">
        <v>0</v>
      </c>
      <c r="D8861">
        <v>0</v>
      </c>
      <c r="E8861">
        <v>0</v>
      </c>
      <c r="F8861">
        <v>0.2</v>
      </c>
    </row>
    <row r="8862" spans="1:6" x14ac:dyDescent="0.25">
      <c r="A8862">
        <v>8861</v>
      </c>
      <c r="B8862">
        <v>43</v>
      </c>
      <c r="C8862">
        <v>0</v>
      </c>
      <c r="D8862">
        <v>0</v>
      </c>
      <c r="E8862">
        <v>0</v>
      </c>
      <c r="F8862">
        <v>0</v>
      </c>
    </row>
    <row r="8863" spans="1:6" x14ac:dyDescent="0.25">
      <c r="A8863">
        <v>8862</v>
      </c>
      <c r="B8863" t="s">
        <v>0</v>
      </c>
      <c r="C8863">
        <v>110</v>
      </c>
      <c r="D8863">
        <v>3491</v>
      </c>
      <c r="E8863">
        <v>80280969</v>
      </c>
    </row>
    <row r="8864" spans="1:6" x14ac:dyDescent="0.25">
      <c r="A8864">
        <v>8863</v>
      </c>
      <c r="B8864">
        <v>44</v>
      </c>
      <c r="C8864">
        <v>0</v>
      </c>
      <c r="D8864">
        <v>0</v>
      </c>
      <c r="E8864">
        <v>0</v>
      </c>
      <c r="F8864">
        <v>-81.288899999999998</v>
      </c>
    </row>
    <row r="8865" spans="1:6" x14ac:dyDescent="0.25">
      <c r="A8865">
        <v>8864</v>
      </c>
      <c r="B8865">
        <v>45</v>
      </c>
      <c r="C8865">
        <v>0</v>
      </c>
      <c r="D8865">
        <v>0</v>
      </c>
      <c r="E8865">
        <v>0</v>
      </c>
      <c r="F8865">
        <v>524.51400000000001</v>
      </c>
    </row>
    <row r="8866" spans="1:6" x14ac:dyDescent="0.25">
      <c r="A8866">
        <v>8865</v>
      </c>
      <c r="B8866">
        <v>46</v>
      </c>
      <c r="C8866">
        <v>0</v>
      </c>
      <c r="D8866">
        <v>0</v>
      </c>
      <c r="E8866">
        <v>0</v>
      </c>
      <c r="F8866">
        <v>0</v>
      </c>
    </row>
    <row r="8867" spans="1:6" x14ac:dyDescent="0.25">
      <c r="A8867">
        <v>8866</v>
      </c>
      <c r="B8867">
        <v>2</v>
      </c>
      <c r="C8867">
        <v>0</v>
      </c>
      <c r="D8867">
        <v>0</v>
      </c>
      <c r="E8867">
        <v>0</v>
      </c>
      <c r="F8867">
        <v>267.15199999999999</v>
      </c>
    </row>
    <row r="8868" spans="1:6" x14ac:dyDescent="0.25">
      <c r="A8868">
        <v>8867</v>
      </c>
      <c r="B8868">
        <v>10</v>
      </c>
      <c r="C8868">
        <v>1</v>
      </c>
      <c r="D8868">
        <v>0</v>
      </c>
      <c r="E8868">
        <v>0</v>
      </c>
      <c r="F8868">
        <v>4177</v>
      </c>
    </row>
    <row r="8869" spans="1:6" x14ac:dyDescent="0.25">
      <c r="A8869">
        <v>8868</v>
      </c>
      <c r="B8869">
        <v>13</v>
      </c>
      <c r="C8869">
        <v>0</v>
      </c>
      <c r="D8869">
        <v>0</v>
      </c>
      <c r="E8869">
        <v>0</v>
      </c>
      <c r="F8869">
        <v>1606</v>
      </c>
    </row>
    <row r="8870" spans="1:6" x14ac:dyDescent="0.25">
      <c r="A8870">
        <v>8869</v>
      </c>
      <c r="B8870">
        <v>41</v>
      </c>
      <c r="C8870">
        <v>0</v>
      </c>
      <c r="D8870">
        <v>0</v>
      </c>
      <c r="E8870">
        <v>0</v>
      </c>
      <c r="F8870">
        <v>1</v>
      </c>
    </row>
    <row r="8871" spans="1:6" x14ac:dyDescent="0.25">
      <c r="A8871">
        <v>8870</v>
      </c>
      <c r="B8871" t="s">
        <v>0</v>
      </c>
      <c r="C8871">
        <v>114</v>
      </c>
      <c r="D8871">
        <v>3491</v>
      </c>
      <c r="E8871">
        <v>80281467</v>
      </c>
    </row>
    <row r="8872" spans="1:6" x14ac:dyDescent="0.25">
      <c r="A8872">
        <v>8871</v>
      </c>
      <c r="B8872">
        <v>43</v>
      </c>
      <c r="C8872">
        <v>0</v>
      </c>
      <c r="D8872">
        <v>0</v>
      </c>
      <c r="E8872">
        <v>0</v>
      </c>
      <c r="F8872">
        <v>0</v>
      </c>
    </row>
    <row r="8873" spans="1:6" x14ac:dyDescent="0.25">
      <c r="A8873">
        <v>8872</v>
      </c>
      <c r="B8873" t="s">
        <v>0</v>
      </c>
      <c r="C8873">
        <v>115</v>
      </c>
      <c r="D8873">
        <v>3491</v>
      </c>
      <c r="E8873">
        <v>80281592</v>
      </c>
    </row>
    <row r="8874" spans="1:6" x14ac:dyDescent="0.25">
      <c r="A8874">
        <v>8873</v>
      </c>
      <c r="B8874">
        <v>45</v>
      </c>
      <c r="C8874">
        <v>0</v>
      </c>
      <c r="D8874">
        <v>0</v>
      </c>
      <c r="E8874">
        <v>0</v>
      </c>
      <c r="F8874">
        <v>524.45299999999997</v>
      </c>
    </row>
    <row r="8875" spans="1:6" x14ac:dyDescent="0.25">
      <c r="A8875">
        <v>8874</v>
      </c>
      <c r="B8875" t="s">
        <v>0</v>
      </c>
      <c r="C8875">
        <v>116</v>
      </c>
      <c r="D8875">
        <v>3491</v>
      </c>
      <c r="E8875">
        <v>80281717</v>
      </c>
    </row>
    <row r="8876" spans="1:6" x14ac:dyDescent="0.25">
      <c r="A8876">
        <v>8875</v>
      </c>
      <c r="B8876">
        <v>46</v>
      </c>
      <c r="C8876">
        <v>0</v>
      </c>
      <c r="D8876">
        <v>0</v>
      </c>
      <c r="E8876">
        <v>0</v>
      </c>
      <c r="F8876">
        <v>0</v>
      </c>
    </row>
    <row r="8877" spans="1:6" x14ac:dyDescent="0.25">
      <c r="A8877">
        <v>8876</v>
      </c>
      <c r="B8877">
        <v>2</v>
      </c>
      <c r="C8877">
        <v>0</v>
      </c>
      <c r="D8877">
        <v>0</v>
      </c>
      <c r="E8877">
        <v>0</v>
      </c>
      <c r="F8877">
        <v>266.91000000000003</v>
      </c>
    </row>
    <row r="8878" spans="1:6" x14ac:dyDescent="0.25">
      <c r="A8878">
        <v>8877</v>
      </c>
      <c r="B8878" t="s">
        <v>0</v>
      </c>
      <c r="C8878">
        <v>117</v>
      </c>
      <c r="D8878">
        <v>3491</v>
      </c>
      <c r="E8878">
        <v>80281841</v>
      </c>
    </row>
    <row r="8879" spans="1:6" x14ac:dyDescent="0.25">
      <c r="A8879">
        <v>8878</v>
      </c>
      <c r="B8879">
        <v>10</v>
      </c>
      <c r="C8879">
        <v>1</v>
      </c>
      <c r="D8879">
        <v>0</v>
      </c>
      <c r="E8879">
        <v>0</v>
      </c>
      <c r="F8879">
        <v>4181</v>
      </c>
    </row>
    <row r="8880" spans="1:6" x14ac:dyDescent="0.25">
      <c r="A8880">
        <v>8879</v>
      </c>
      <c r="B8880">
        <v>13</v>
      </c>
      <c r="C8880">
        <v>0</v>
      </c>
      <c r="D8880">
        <v>0</v>
      </c>
      <c r="E8880">
        <v>0</v>
      </c>
      <c r="F8880">
        <v>1606</v>
      </c>
    </row>
    <row r="8881" spans="1:6" x14ac:dyDescent="0.25">
      <c r="A8881">
        <v>8880</v>
      </c>
      <c r="B8881" t="s">
        <v>0</v>
      </c>
      <c r="C8881">
        <v>118</v>
      </c>
      <c r="D8881">
        <v>3491</v>
      </c>
      <c r="E8881">
        <v>80281966</v>
      </c>
    </row>
    <row r="8882" spans="1:6" x14ac:dyDescent="0.25">
      <c r="A8882">
        <v>8881</v>
      </c>
      <c r="B8882">
        <v>41</v>
      </c>
      <c r="C8882">
        <v>0</v>
      </c>
      <c r="D8882">
        <v>0</v>
      </c>
      <c r="E8882">
        <v>0</v>
      </c>
      <c r="F8882">
        <v>1</v>
      </c>
    </row>
    <row r="8883" spans="1:6" x14ac:dyDescent="0.25">
      <c r="A8883">
        <v>8882</v>
      </c>
      <c r="B8883">
        <v>42</v>
      </c>
      <c r="C8883">
        <v>0</v>
      </c>
      <c r="D8883">
        <v>0</v>
      </c>
      <c r="E8883">
        <v>0</v>
      </c>
      <c r="F8883">
        <v>0.2</v>
      </c>
    </row>
    <row r="8884" spans="1:6" x14ac:dyDescent="0.25">
      <c r="A8884">
        <v>8883</v>
      </c>
      <c r="B8884">
        <v>43</v>
      </c>
      <c r="C8884">
        <v>0</v>
      </c>
      <c r="D8884">
        <v>0</v>
      </c>
      <c r="E8884">
        <v>0</v>
      </c>
      <c r="F8884">
        <v>0</v>
      </c>
    </row>
    <row r="8885" spans="1:6" x14ac:dyDescent="0.25">
      <c r="A8885">
        <v>8884</v>
      </c>
      <c r="B8885">
        <v>44</v>
      </c>
      <c r="C8885">
        <v>0</v>
      </c>
      <c r="D8885">
        <v>0</v>
      </c>
      <c r="E8885">
        <v>0</v>
      </c>
      <c r="F8885">
        <v>-80.556899999999999</v>
      </c>
    </row>
    <row r="8886" spans="1:6" x14ac:dyDescent="0.25">
      <c r="A8886">
        <v>8885</v>
      </c>
      <c r="B8886">
        <v>45</v>
      </c>
      <c r="C8886">
        <v>0</v>
      </c>
      <c r="D8886">
        <v>0</v>
      </c>
      <c r="E8886">
        <v>0</v>
      </c>
      <c r="F8886">
        <v>524.39200000000005</v>
      </c>
    </row>
    <row r="8887" spans="1:6" x14ac:dyDescent="0.25">
      <c r="A8887">
        <v>8886</v>
      </c>
      <c r="B8887">
        <v>46</v>
      </c>
      <c r="C8887">
        <v>0</v>
      </c>
      <c r="D8887">
        <v>0</v>
      </c>
      <c r="E8887">
        <v>0</v>
      </c>
      <c r="F8887">
        <v>0</v>
      </c>
    </row>
    <row r="8888" spans="1:6" x14ac:dyDescent="0.25">
      <c r="A8888">
        <v>8887</v>
      </c>
      <c r="B8888">
        <v>2</v>
      </c>
      <c r="C8888">
        <v>0</v>
      </c>
      <c r="D8888">
        <v>0</v>
      </c>
      <c r="E8888">
        <v>0</v>
      </c>
      <c r="F8888">
        <v>266.64499999999998</v>
      </c>
    </row>
    <row r="8889" spans="1:6" x14ac:dyDescent="0.25">
      <c r="A8889">
        <v>8888</v>
      </c>
      <c r="B8889" t="s">
        <v>0</v>
      </c>
      <c r="C8889">
        <v>122</v>
      </c>
      <c r="D8889">
        <v>3491</v>
      </c>
      <c r="E8889">
        <v>80282466</v>
      </c>
    </row>
    <row r="8890" spans="1:6" x14ac:dyDescent="0.25">
      <c r="A8890">
        <v>8889</v>
      </c>
      <c r="B8890">
        <v>13</v>
      </c>
      <c r="C8890">
        <v>0</v>
      </c>
      <c r="D8890">
        <v>0</v>
      </c>
      <c r="E8890">
        <v>0</v>
      </c>
      <c r="F8890">
        <v>1606</v>
      </c>
    </row>
    <row r="8891" spans="1:6" x14ac:dyDescent="0.25">
      <c r="A8891">
        <v>8890</v>
      </c>
      <c r="B8891" t="s">
        <v>0</v>
      </c>
      <c r="C8891">
        <v>123</v>
      </c>
      <c r="D8891">
        <v>3491</v>
      </c>
      <c r="E8891">
        <v>80282591</v>
      </c>
    </row>
    <row r="8892" spans="1:6" x14ac:dyDescent="0.25">
      <c r="A8892">
        <v>8891</v>
      </c>
      <c r="B8892">
        <v>42</v>
      </c>
      <c r="C8892">
        <v>0</v>
      </c>
      <c r="D8892">
        <v>0</v>
      </c>
      <c r="E8892">
        <v>0</v>
      </c>
      <c r="F8892">
        <v>0.2</v>
      </c>
    </row>
    <row r="8893" spans="1:6" x14ac:dyDescent="0.25">
      <c r="A8893">
        <v>8892</v>
      </c>
      <c r="B8893" t="s">
        <v>0</v>
      </c>
      <c r="C8893">
        <v>124</v>
      </c>
      <c r="D8893">
        <v>3491</v>
      </c>
      <c r="E8893">
        <v>80282716</v>
      </c>
    </row>
    <row r="8894" spans="1:6" x14ac:dyDescent="0.25">
      <c r="A8894">
        <v>8893</v>
      </c>
      <c r="B8894">
        <v>43</v>
      </c>
      <c r="C8894">
        <v>0</v>
      </c>
      <c r="D8894">
        <v>0</v>
      </c>
      <c r="E8894">
        <v>0</v>
      </c>
      <c r="F8894">
        <v>0</v>
      </c>
    </row>
    <row r="8895" spans="1:6" x14ac:dyDescent="0.25">
      <c r="A8895">
        <v>8894</v>
      </c>
      <c r="B8895">
        <v>44</v>
      </c>
      <c r="C8895">
        <v>0</v>
      </c>
      <c r="D8895">
        <v>0</v>
      </c>
      <c r="E8895">
        <v>0</v>
      </c>
      <c r="F8895">
        <v>-80.134900000000002</v>
      </c>
    </row>
    <row r="8896" spans="1:6" x14ac:dyDescent="0.25">
      <c r="A8896">
        <v>8895</v>
      </c>
      <c r="B8896" t="s">
        <v>0</v>
      </c>
      <c r="C8896">
        <v>125</v>
      </c>
      <c r="D8896">
        <v>3491</v>
      </c>
      <c r="E8896">
        <v>80282841</v>
      </c>
    </row>
    <row r="8897" spans="1:6" x14ac:dyDescent="0.25">
      <c r="A8897">
        <v>8896</v>
      </c>
      <c r="B8897">
        <v>45</v>
      </c>
      <c r="C8897">
        <v>0</v>
      </c>
      <c r="D8897">
        <v>0</v>
      </c>
      <c r="E8897">
        <v>0</v>
      </c>
      <c r="F8897">
        <v>524.33199999999999</v>
      </c>
    </row>
    <row r="8898" spans="1:6" x14ac:dyDescent="0.25">
      <c r="A8898">
        <v>8897</v>
      </c>
      <c r="B8898">
        <v>46</v>
      </c>
      <c r="C8898">
        <v>0</v>
      </c>
      <c r="D8898">
        <v>0</v>
      </c>
      <c r="E8898">
        <v>0</v>
      </c>
      <c r="F8898">
        <v>0</v>
      </c>
    </row>
    <row r="8899" spans="1:6" x14ac:dyDescent="0.25">
      <c r="A8899">
        <v>8898</v>
      </c>
      <c r="B8899" t="s">
        <v>0</v>
      </c>
      <c r="C8899">
        <v>126</v>
      </c>
      <c r="D8899">
        <v>3491</v>
      </c>
      <c r="E8899">
        <v>80282966</v>
      </c>
    </row>
    <row r="8900" spans="1:6" x14ac:dyDescent="0.25">
      <c r="A8900">
        <v>8899</v>
      </c>
      <c r="B8900">
        <v>2</v>
      </c>
      <c r="C8900">
        <v>0</v>
      </c>
      <c r="D8900">
        <v>0</v>
      </c>
      <c r="E8900">
        <v>0</v>
      </c>
      <c r="F8900">
        <v>266.411</v>
      </c>
    </row>
    <row r="8901" spans="1:6" x14ac:dyDescent="0.25">
      <c r="A8901">
        <v>8900</v>
      </c>
      <c r="B8901">
        <v>10</v>
      </c>
      <c r="C8901">
        <v>1</v>
      </c>
      <c r="D8901">
        <v>0</v>
      </c>
      <c r="E8901">
        <v>0</v>
      </c>
      <c r="F8901">
        <v>4193</v>
      </c>
    </row>
    <row r="8902" spans="1:6" x14ac:dyDescent="0.25">
      <c r="A8902">
        <v>8901</v>
      </c>
      <c r="B8902">
        <v>13</v>
      </c>
      <c r="C8902">
        <v>0</v>
      </c>
      <c r="D8902">
        <v>0</v>
      </c>
      <c r="E8902">
        <v>0</v>
      </c>
      <c r="F8902">
        <v>1606</v>
      </c>
    </row>
    <row r="8903" spans="1:6" x14ac:dyDescent="0.25">
      <c r="A8903">
        <v>8902</v>
      </c>
      <c r="B8903">
        <v>41</v>
      </c>
      <c r="C8903">
        <v>0</v>
      </c>
      <c r="D8903">
        <v>0</v>
      </c>
      <c r="E8903">
        <v>0</v>
      </c>
      <c r="F8903">
        <v>1</v>
      </c>
    </row>
    <row r="8904" spans="1:6" x14ac:dyDescent="0.25">
      <c r="A8904">
        <v>8903</v>
      </c>
      <c r="B8904">
        <v>42</v>
      </c>
      <c r="C8904">
        <v>0</v>
      </c>
      <c r="D8904">
        <v>0</v>
      </c>
      <c r="E8904">
        <v>0</v>
      </c>
      <c r="F8904">
        <v>0.2</v>
      </c>
    </row>
    <row r="8905" spans="1:6" x14ac:dyDescent="0.25">
      <c r="A8905">
        <v>8904</v>
      </c>
      <c r="B8905">
        <v>43</v>
      </c>
      <c r="C8905">
        <v>0</v>
      </c>
      <c r="D8905">
        <v>0</v>
      </c>
      <c r="E8905">
        <v>0</v>
      </c>
      <c r="F8905">
        <v>0</v>
      </c>
    </row>
    <row r="8906" spans="1:6" x14ac:dyDescent="0.25">
      <c r="A8906">
        <v>8905</v>
      </c>
      <c r="B8906">
        <v>44</v>
      </c>
      <c r="C8906">
        <v>0</v>
      </c>
      <c r="D8906">
        <v>0</v>
      </c>
      <c r="E8906">
        <v>0</v>
      </c>
      <c r="F8906">
        <v>-79.724400000000003</v>
      </c>
    </row>
    <row r="8907" spans="1:6" x14ac:dyDescent="0.25">
      <c r="A8907">
        <v>8906</v>
      </c>
      <c r="B8907" t="s">
        <v>0</v>
      </c>
      <c r="C8907">
        <v>130</v>
      </c>
      <c r="D8907">
        <v>3491</v>
      </c>
      <c r="E8907">
        <v>80283467</v>
      </c>
    </row>
    <row r="8908" spans="1:6" x14ac:dyDescent="0.25">
      <c r="A8908">
        <v>8907</v>
      </c>
      <c r="B8908">
        <v>46</v>
      </c>
      <c r="C8908">
        <v>0</v>
      </c>
      <c r="D8908">
        <v>0</v>
      </c>
      <c r="E8908">
        <v>0</v>
      </c>
      <c r="F8908">
        <v>0</v>
      </c>
    </row>
    <row r="8909" spans="1:6" x14ac:dyDescent="0.25">
      <c r="A8909">
        <v>8908</v>
      </c>
      <c r="B8909" t="s">
        <v>0</v>
      </c>
      <c r="C8909">
        <v>131</v>
      </c>
      <c r="D8909">
        <v>3491</v>
      </c>
      <c r="E8909">
        <v>80283592</v>
      </c>
    </row>
    <row r="8910" spans="1:6" x14ac:dyDescent="0.25">
      <c r="A8910">
        <v>8909</v>
      </c>
      <c r="B8910">
        <v>10</v>
      </c>
      <c r="C8910">
        <v>1</v>
      </c>
      <c r="D8910">
        <v>0</v>
      </c>
      <c r="E8910">
        <v>0</v>
      </c>
      <c r="F8910">
        <v>4199</v>
      </c>
    </row>
    <row r="8911" spans="1:6" x14ac:dyDescent="0.25">
      <c r="A8911">
        <v>8910</v>
      </c>
      <c r="B8911" t="s">
        <v>0</v>
      </c>
      <c r="C8911">
        <v>132</v>
      </c>
      <c r="D8911">
        <v>3491</v>
      </c>
      <c r="E8911">
        <v>80283717</v>
      </c>
    </row>
    <row r="8912" spans="1:6" x14ac:dyDescent="0.25">
      <c r="A8912">
        <v>8911</v>
      </c>
      <c r="B8912">
        <v>13</v>
      </c>
      <c r="C8912">
        <v>0</v>
      </c>
      <c r="D8912">
        <v>0</v>
      </c>
      <c r="E8912">
        <v>0</v>
      </c>
      <c r="F8912">
        <v>1606</v>
      </c>
    </row>
    <row r="8913" spans="1:6" x14ac:dyDescent="0.25">
      <c r="A8913">
        <v>8912</v>
      </c>
      <c r="B8913">
        <v>41</v>
      </c>
      <c r="C8913">
        <v>0</v>
      </c>
      <c r="D8913">
        <v>0</v>
      </c>
      <c r="E8913">
        <v>0</v>
      </c>
      <c r="F8913">
        <v>1</v>
      </c>
    </row>
    <row r="8914" spans="1:6" x14ac:dyDescent="0.25">
      <c r="A8914">
        <v>8913</v>
      </c>
      <c r="B8914" t="s">
        <v>0</v>
      </c>
      <c r="C8914">
        <v>133</v>
      </c>
      <c r="D8914">
        <v>3491</v>
      </c>
      <c r="E8914">
        <v>80283843</v>
      </c>
    </row>
    <row r="8915" spans="1:6" x14ac:dyDescent="0.25">
      <c r="A8915">
        <v>8914</v>
      </c>
      <c r="B8915">
        <v>42</v>
      </c>
      <c r="C8915">
        <v>0</v>
      </c>
      <c r="D8915">
        <v>0</v>
      </c>
      <c r="E8915">
        <v>0</v>
      </c>
      <c r="F8915">
        <v>0.2</v>
      </c>
    </row>
    <row r="8916" spans="1:6" x14ac:dyDescent="0.25">
      <c r="A8916">
        <v>8915</v>
      </c>
      <c r="B8916">
        <v>43</v>
      </c>
      <c r="C8916">
        <v>0</v>
      </c>
      <c r="D8916">
        <v>0</v>
      </c>
      <c r="E8916">
        <v>0</v>
      </c>
      <c r="F8916">
        <v>0</v>
      </c>
    </row>
    <row r="8917" spans="1:6" x14ac:dyDescent="0.25">
      <c r="A8917">
        <v>8916</v>
      </c>
      <c r="B8917" t="s">
        <v>0</v>
      </c>
      <c r="C8917">
        <v>134</v>
      </c>
      <c r="D8917">
        <v>3491</v>
      </c>
      <c r="E8917">
        <v>80283968</v>
      </c>
    </row>
    <row r="8918" spans="1:6" x14ac:dyDescent="0.25">
      <c r="A8918">
        <v>8917</v>
      </c>
      <c r="B8918">
        <v>44</v>
      </c>
      <c r="C8918">
        <v>0</v>
      </c>
      <c r="D8918">
        <v>0</v>
      </c>
      <c r="E8918">
        <v>0</v>
      </c>
      <c r="F8918">
        <v>-79.336100000000002</v>
      </c>
    </row>
    <row r="8919" spans="1:6" x14ac:dyDescent="0.25">
      <c r="A8919">
        <v>8918</v>
      </c>
      <c r="B8919">
        <v>45</v>
      </c>
      <c r="C8919">
        <v>0</v>
      </c>
      <c r="D8919">
        <v>0</v>
      </c>
      <c r="E8919">
        <v>0</v>
      </c>
      <c r="F8919">
        <v>524.22400000000005</v>
      </c>
    </row>
    <row r="8920" spans="1:6" x14ac:dyDescent="0.25">
      <c r="A8920">
        <v>8919</v>
      </c>
      <c r="B8920">
        <v>46</v>
      </c>
      <c r="C8920">
        <v>0</v>
      </c>
      <c r="D8920">
        <v>0</v>
      </c>
      <c r="E8920">
        <v>0</v>
      </c>
      <c r="F8920">
        <v>0</v>
      </c>
    </row>
    <row r="8921" spans="1:6" x14ac:dyDescent="0.25">
      <c r="A8921">
        <v>8920</v>
      </c>
      <c r="B8921">
        <v>2</v>
      </c>
      <c r="C8921">
        <v>0</v>
      </c>
      <c r="D8921">
        <v>0</v>
      </c>
      <c r="E8921">
        <v>0</v>
      </c>
      <c r="F8921">
        <v>265.94600000000003</v>
      </c>
    </row>
    <row r="8922" spans="1:6" x14ac:dyDescent="0.25">
      <c r="A8922">
        <v>8921</v>
      </c>
      <c r="B8922">
        <v>10</v>
      </c>
      <c r="C8922">
        <v>1</v>
      </c>
      <c r="D8922">
        <v>0</v>
      </c>
      <c r="E8922">
        <v>0</v>
      </c>
      <c r="F8922">
        <v>4203</v>
      </c>
    </row>
    <row r="8923" spans="1:6" x14ac:dyDescent="0.25">
      <c r="A8923">
        <v>8922</v>
      </c>
      <c r="B8923">
        <v>13</v>
      </c>
      <c r="C8923">
        <v>0</v>
      </c>
      <c r="D8923">
        <v>0</v>
      </c>
      <c r="E8923">
        <v>0</v>
      </c>
      <c r="F8923">
        <v>1606</v>
      </c>
    </row>
    <row r="8924" spans="1:6" x14ac:dyDescent="0.25">
      <c r="A8924">
        <v>8923</v>
      </c>
      <c r="B8924">
        <v>41</v>
      </c>
      <c r="C8924">
        <v>0</v>
      </c>
      <c r="D8924">
        <v>0</v>
      </c>
      <c r="E8924">
        <v>0</v>
      </c>
      <c r="F8924">
        <v>1</v>
      </c>
    </row>
    <row r="8925" spans="1:6" x14ac:dyDescent="0.25">
      <c r="A8925">
        <v>8924</v>
      </c>
      <c r="B8925" t="s">
        <v>0</v>
      </c>
      <c r="C8925">
        <v>138</v>
      </c>
      <c r="D8925">
        <v>3491</v>
      </c>
      <c r="E8925">
        <v>80284468</v>
      </c>
    </row>
    <row r="8926" spans="1:6" x14ac:dyDescent="0.25">
      <c r="A8926">
        <v>8925</v>
      </c>
      <c r="B8926">
        <v>43</v>
      </c>
      <c r="C8926">
        <v>0</v>
      </c>
      <c r="D8926">
        <v>0</v>
      </c>
      <c r="E8926">
        <v>0</v>
      </c>
      <c r="F8926">
        <v>0</v>
      </c>
    </row>
    <row r="8927" spans="1:6" x14ac:dyDescent="0.25">
      <c r="A8927">
        <v>8926</v>
      </c>
      <c r="B8927" t="s">
        <v>0</v>
      </c>
      <c r="C8927">
        <v>139</v>
      </c>
      <c r="D8927">
        <v>3491</v>
      </c>
      <c r="E8927">
        <v>80284593</v>
      </c>
    </row>
    <row r="8928" spans="1:6" x14ac:dyDescent="0.25">
      <c r="A8928">
        <v>8927</v>
      </c>
      <c r="B8928">
        <v>45</v>
      </c>
      <c r="C8928">
        <v>0</v>
      </c>
      <c r="D8928">
        <v>0</v>
      </c>
      <c r="E8928">
        <v>0</v>
      </c>
      <c r="F8928">
        <v>524.16399999999999</v>
      </c>
    </row>
    <row r="8929" spans="1:6" x14ac:dyDescent="0.25">
      <c r="A8929">
        <v>8928</v>
      </c>
      <c r="B8929" t="s">
        <v>0</v>
      </c>
      <c r="C8929">
        <v>140</v>
      </c>
      <c r="D8929">
        <v>3491</v>
      </c>
      <c r="E8929">
        <v>80284718</v>
      </c>
    </row>
    <row r="8930" spans="1:6" x14ac:dyDescent="0.25">
      <c r="A8930">
        <v>8929</v>
      </c>
      <c r="B8930">
        <v>2</v>
      </c>
      <c r="C8930">
        <v>0</v>
      </c>
      <c r="D8930">
        <v>0</v>
      </c>
      <c r="E8930">
        <v>0</v>
      </c>
      <c r="F8930">
        <v>265.69</v>
      </c>
    </row>
    <row r="8931" spans="1:6" x14ac:dyDescent="0.25">
      <c r="A8931">
        <v>8930</v>
      </c>
      <c r="B8931" t="s">
        <v>0</v>
      </c>
      <c r="C8931">
        <v>141</v>
      </c>
      <c r="D8931">
        <v>3491</v>
      </c>
      <c r="E8931">
        <v>80284843</v>
      </c>
    </row>
    <row r="8932" spans="1:6" x14ac:dyDescent="0.25">
      <c r="A8932">
        <v>8931</v>
      </c>
      <c r="B8932">
        <v>10</v>
      </c>
      <c r="C8932">
        <v>1</v>
      </c>
      <c r="D8932">
        <v>0</v>
      </c>
      <c r="E8932">
        <v>0</v>
      </c>
      <c r="F8932">
        <v>4209</v>
      </c>
    </row>
    <row r="8933" spans="1:6" x14ac:dyDescent="0.25">
      <c r="A8933">
        <v>8932</v>
      </c>
      <c r="B8933">
        <v>13</v>
      </c>
      <c r="C8933">
        <v>0</v>
      </c>
      <c r="D8933">
        <v>0</v>
      </c>
      <c r="E8933">
        <v>0</v>
      </c>
      <c r="F8933">
        <v>1606</v>
      </c>
    </row>
    <row r="8934" spans="1:6" x14ac:dyDescent="0.25">
      <c r="A8934">
        <v>8933</v>
      </c>
      <c r="B8934" t="s">
        <v>0</v>
      </c>
      <c r="C8934">
        <v>142</v>
      </c>
      <c r="D8934">
        <v>3491</v>
      </c>
      <c r="E8934">
        <v>80284969</v>
      </c>
    </row>
    <row r="8935" spans="1:6" x14ac:dyDescent="0.25">
      <c r="A8935">
        <v>8934</v>
      </c>
      <c r="B8935">
        <v>41</v>
      </c>
      <c r="C8935">
        <v>0</v>
      </c>
      <c r="D8935">
        <v>0</v>
      </c>
      <c r="E8935">
        <v>0</v>
      </c>
      <c r="F8935">
        <v>1</v>
      </c>
    </row>
    <row r="8936" spans="1:6" x14ac:dyDescent="0.25">
      <c r="A8936">
        <v>8935</v>
      </c>
      <c r="B8936">
        <v>42</v>
      </c>
      <c r="C8936">
        <v>0</v>
      </c>
      <c r="D8936">
        <v>0</v>
      </c>
      <c r="E8936">
        <v>0</v>
      </c>
      <c r="F8936">
        <v>0.2</v>
      </c>
    </row>
    <row r="8937" spans="1:6" x14ac:dyDescent="0.25">
      <c r="A8937">
        <v>8936</v>
      </c>
      <c r="B8937" t="s">
        <v>0</v>
      </c>
      <c r="C8937">
        <v>143</v>
      </c>
      <c r="D8937">
        <v>3491</v>
      </c>
      <c r="E8937">
        <v>80285095</v>
      </c>
    </row>
    <row r="8938" spans="1:6" x14ac:dyDescent="0.25">
      <c r="A8938">
        <v>8937</v>
      </c>
      <c r="B8938">
        <v>43</v>
      </c>
      <c r="C8938">
        <v>0</v>
      </c>
      <c r="D8938">
        <v>0</v>
      </c>
      <c r="E8938">
        <v>0</v>
      </c>
      <c r="F8938">
        <v>0</v>
      </c>
    </row>
    <row r="8939" spans="1:6" x14ac:dyDescent="0.25">
      <c r="A8939">
        <v>8938</v>
      </c>
      <c r="B8939">
        <v>44</v>
      </c>
      <c r="C8939">
        <v>0</v>
      </c>
      <c r="D8939">
        <v>0</v>
      </c>
      <c r="E8939">
        <v>0</v>
      </c>
      <c r="F8939">
        <v>-78.610699999999994</v>
      </c>
    </row>
    <row r="8940" spans="1:6" x14ac:dyDescent="0.25">
      <c r="A8940">
        <v>8939</v>
      </c>
      <c r="B8940">
        <v>45</v>
      </c>
      <c r="C8940">
        <v>0</v>
      </c>
      <c r="D8940">
        <v>0</v>
      </c>
      <c r="E8940">
        <v>0</v>
      </c>
      <c r="F8940">
        <v>524.10500000000002</v>
      </c>
    </row>
    <row r="8941" spans="1:6" x14ac:dyDescent="0.25">
      <c r="A8941">
        <v>8940</v>
      </c>
      <c r="B8941">
        <v>46</v>
      </c>
      <c r="C8941">
        <v>0</v>
      </c>
      <c r="D8941">
        <v>0</v>
      </c>
      <c r="E8941">
        <v>0</v>
      </c>
      <c r="F8941">
        <v>0</v>
      </c>
    </row>
    <row r="8942" spans="1:6" x14ac:dyDescent="0.25">
      <c r="A8942">
        <v>8941</v>
      </c>
      <c r="B8942">
        <v>2</v>
      </c>
      <c r="C8942">
        <v>0</v>
      </c>
      <c r="D8942">
        <v>0</v>
      </c>
      <c r="E8942">
        <v>0</v>
      </c>
      <c r="F8942">
        <v>265.44200000000001</v>
      </c>
    </row>
    <row r="8943" spans="1:6" x14ac:dyDescent="0.25">
      <c r="A8943">
        <v>8942</v>
      </c>
      <c r="B8943">
        <v>10</v>
      </c>
      <c r="C8943">
        <v>1</v>
      </c>
      <c r="D8943">
        <v>0</v>
      </c>
      <c r="E8943">
        <v>0</v>
      </c>
      <c r="F8943">
        <v>4215</v>
      </c>
    </row>
    <row r="8944" spans="1:6" x14ac:dyDescent="0.25">
      <c r="A8944">
        <v>8943</v>
      </c>
      <c r="B8944">
        <v>13</v>
      </c>
      <c r="C8944">
        <v>0</v>
      </c>
      <c r="D8944">
        <v>0</v>
      </c>
      <c r="E8944">
        <v>0</v>
      </c>
      <c r="F8944">
        <v>1606</v>
      </c>
    </row>
    <row r="8945" spans="1:6" x14ac:dyDescent="0.25">
      <c r="A8945">
        <v>8944</v>
      </c>
      <c r="B8945" t="s">
        <v>0</v>
      </c>
      <c r="C8945">
        <v>147</v>
      </c>
      <c r="D8945">
        <v>3491</v>
      </c>
      <c r="E8945">
        <v>80285597</v>
      </c>
    </row>
    <row r="8946" spans="1:6" x14ac:dyDescent="0.25">
      <c r="A8946">
        <v>8945</v>
      </c>
      <c r="B8946">
        <v>42</v>
      </c>
      <c r="C8946">
        <v>0</v>
      </c>
      <c r="D8946">
        <v>0</v>
      </c>
      <c r="E8946">
        <v>0</v>
      </c>
      <c r="F8946">
        <v>0.2</v>
      </c>
    </row>
    <row r="8947" spans="1:6" x14ac:dyDescent="0.25">
      <c r="A8947">
        <v>8946</v>
      </c>
      <c r="B8947" t="s">
        <v>0</v>
      </c>
      <c r="C8947">
        <v>148</v>
      </c>
      <c r="D8947">
        <v>3491</v>
      </c>
      <c r="E8947">
        <v>80285723</v>
      </c>
    </row>
    <row r="8948" spans="1:6" x14ac:dyDescent="0.25">
      <c r="A8948">
        <v>8947</v>
      </c>
      <c r="B8948">
        <v>44</v>
      </c>
      <c r="C8948">
        <v>0</v>
      </c>
      <c r="D8948">
        <v>0</v>
      </c>
      <c r="E8948">
        <v>0</v>
      </c>
      <c r="F8948">
        <v>-78.173299999999998</v>
      </c>
    </row>
    <row r="8949" spans="1:6" x14ac:dyDescent="0.25">
      <c r="A8949">
        <v>8948</v>
      </c>
      <c r="B8949" t="s">
        <v>0</v>
      </c>
      <c r="C8949">
        <v>149</v>
      </c>
      <c r="D8949">
        <v>3491</v>
      </c>
      <c r="E8949">
        <v>80285849</v>
      </c>
    </row>
    <row r="8950" spans="1:6" x14ac:dyDescent="0.25">
      <c r="A8950">
        <v>8949</v>
      </c>
      <c r="B8950">
        <v>46</v>
      </c>
      <c r="C8950">
        <v>0</v>
      </c>
      <c r="D8950">
        <v>0</v>
      </c>
      <c r="E8950">
        <v>0</v>
      </c>
      <c r="F8950">
        <v>0</v>
      </c>
    </row>
    <row r="8951" spans="1:6" x14ac:dyDescent="0.25">
      <c r="A8951">
        <v>8950</v>
      </c>
      <c r="B8951" t="s">
        <v>0</v>
      </c>
      <c r="C8951">
        <v>150</v>
      </c>
      <c r="D8951">
        <v>3491</v>
      </c>
      <c r="E8951">
        <v>80285975</v>
      </c>
    </row>
    <row r="8952" spans="1:6" x14ac:dyDescent="0.25">
      <c r="A8952">
        <v>8951</v>
      </c>
      <c r="B8952">
        <v>2</v>
      </c>
      <c r="C8952">
        <v>0</v>
      </c>
      <c r="D8952">
        <v>0</v>
      </c>
      <c r="E8952">
        <v>0</v>
      </c>
      <c r="F8952">
        <v>265.20299999999997</v>
      </c>
    </row>
    <row r="8953" spans="1:6" x14ac:dyDescent="0.25">
      <c r="A8953">
        <v>8952</v>
      </c>
      <c r="B8953">
        <v>10</v>
      </c>
      <c r="C8953">
        <v>1</v>
      </c>
      <c r="D8953">
        <v>0</v>
      </c>
      <c r="E8953">
        <v>0</v>
      </c>
      <c r="F8953">
        <v>4221</v>
      </c>
    </row>
    <row r="8954" spans="1:6" x14ac:dyDescent="0.25">
      <c r="A8954">
        <v>8953</v>
      </c>
      <c r="B8954" t="s">
        <v>0</v>
      </c>
      <c r="C8954">
        <v>151</v>
      </c>
      <c r="D8954">
        <v>3491</v>
      </c>
      <c r="E8954">
        <v>80286101</v>
      </c>
    </row>
    <row r="8955" spans="1:6" x14ac:dyDescent="0.25">
      <c r="A8955">
        <v>8954</v>
      </c>
      <c r="B8955">
        <v>13</v>
      </c>
      <c r="C8955">
        <v>0</v>
      </c>
      <c r="D8955">
        <v>0</v>
      </c>
      <c r="E8955">
        <v>0</v>
      </c>
      <c r="F8955">
        <v>1606</v>
      </c>
    </row>
    <row r="8956" spans="1:6" x14ac:dyDescent="0.25">
      <c r="A8956">
        <v>8955</v>
      </c>
      <c r="B8956">
        <v>41</v>
      </c>
      <c r="C8956">
        <v>0</v>
      </c>
      <c r="D8956">
        <v>0</v>
      </c>
      <c r="E8956">
        <v>0</v>
      </c>
      <c r="F8956">
        <v>1</v>
      </c>
    </row>
    <row r="8957" spans="1:6" x14ac:dyDescent="0.25">
      <c r="A8957">
        <v>8956</v>
      </c>
      <c r="B8957" t="s">
        <v>0</v>
      </c>
      <c r="C8957">
        <v>152</v>
      </c>
      <c r="D8957">
        <v>3491</v>
      </c>
      <c r="E8957">
        <v>80286226</v>
      </c>
    </row>
    <row r="8958" spans="1:6" x14ac:dyDescent="0.25">
      <c r="A8958">
        <v>8957</v>
      </c>
      <c r="B8958">
        <v>42</v>
      </c>
      <c r="C8958">
        <v>0</v>
      </c>
      <c r="D8958">
        <v>0</v>
      </c>
      <c r="E8958">
        <v>0</v>
      </c>
      <c r="F8958">
        <v>0.2</v>
      </c>
    </row>
    <row r="8959" spans="1:6" x14ac:dyDescent="0.25">
      <c r="A8959">
        <v>8958</v>
      </c>
      <c r="B8959">
        <v>43</v>
      </c>
      <c r="C8959">
        <v>0</v>
      </c>
      <c r="D8959">
        <v>0</v>
      </c>
      <c r="E8959">
        <v>0</v>
      </c>
      <c r="F8959">
        <v>0</v>
      </c>
    </row>
    <row r="8960" spans="1:6" x14ac:dyDescent="0.25">
      <c r="A8960">
        <v>8959</v>
      </c>
      <c r="B8960">
        <v>44</v>
      </c>
      <c r="C8960">
        <v>0</v>
      </c>
      <c r="D8960">
        <v>0</v>
      </c>
      <c r="E8960">
        <v>0</v>
      </c>
      <c r="F8960">
        <v>-77.779600000000002</v>
      </c>
    </row>
    <row r="8961" spans="1:6" x14ac:dyDescent="0.25">
      <c r="A8961">
        <v>8960</v>
      </c>
      <c r="B8961">
        <v>45</v>
      </c>
      <c r="C8961">
        <v>0</v>
      </c>
      <c r="D8961">
        <v>0</v>
      </c>
      <c r="E8961">
        <v>0</v>
      </c>
      <c r="F8961">
        <v>523.99800000000005</v>
      </c>
    </row>
    <row r="8962" spans="1:6" x14ac:dyDescent="0.25">
      <c r="A8962">
        <v>8961</v>
      </c>
      <c r="B8962">
        <v>46</v>
      </c>
      <c r="C8962">
        <v>0</v>
      </c>
      <c r="D8962">
        <v>0</v>
      </c>
      <c r="E8962">
        <v>0</v>
      </c>
      <c r="F8962">
        <v>0</v>
      </c>
    </row>
    <row r="8963" spans="1:6" x14ac:dyDescent="0.25">
      <c r="A8963">
        <v>8962</v>
      </c>
      <c r="B8963">
        <v>2</v>
      </c>
      <c r="C8963">
        <v>0</v>
      </c>
      <c r="D8963">
        <v>0</v>
      </c>
      <c r="E8963">
        <v>0</v>
      </c>
      <c r="F8963">
        <v>264.995</v>
      </c>
    </row>
    <row r="8964" spans="1:6" x14ac:dyDescent="0.25">
      <c r="A8964">
        <v>8963</v>
      </c>
      <c r="B8964">
        <v>10</v>
      </c>
      <c r="C8964">
        <v>1</v>
      </c>
      <c r="D8964">
        <v>0</v>
      </c>
      <c r="E8964">
        <v>0</v>
      </c>
      <c r="F8964">
        <v>4227</v>
      </c>
    </row>
    <row r="8965" spans="1:6" x14ac:dyDescent="0.25">
      <c r="A8965">
        <v>8964</v>
      </c>
      <c r="B8965" t="s">
        <v>0</v>
      </c>
      <c r="C8965">
        <v>156</v>
      </c>
      <c r="D8965">
        <v>3491</v>
      </c>
      <c r="E8965">
        <v>80286730</v>
      </c>
    </row>
    <row r="8966" spans="1:6" x14ac:dyDescent="0.25">
      <c r="A8966">
        <v>8965</v>
      </c>
      <c r="B8966">
        <v>41</v>
      </c>
      <c r="C8966">
        <v>0</v>
      </c>
      <c r="D8966">
        <v>0</v>
      </c>
      <c r="E8966">
        <v>0</v>
      </c>
      <c r="F8966">
        <v>1</v>
      </c>
    </row>
    <row r="8967" spans="1:6" x14ac:dyDescent="0.25">
      <c r="A8967">
        <v>8966</v>
      </c>
      <c r="B8967" t="s">
        <v>0</v>
      </c>
      <c r="C8967">
        <v>157</v>
      </c>
      <c r="D8967">
        <v>3491</v>
      </c>
      <c r="E8967">
        <v>80286856</v>
      </c>
    </row>
    <row r="8968" spans="1:6" x14ac:dyDescent="0.25">
      <c r="A8968">
        <v>8967</v>
      </c>
      <c r="B8968">
        <v>43</v>
      </c>
      <c r="C8968">
        <v>0</v>
      </c>
      <c r="D8968">
        <v>0</v>
      </c>
      <c r="E8968">
        <v>0</v>
      </c>
      <c r="F8968">
        <v>0</v>
      </c>
    </row>
    <row r="8969" spans="1:6" x14ac:dyDescent="0.25">
      <c r="A8969">
        <v>8968</v>
      </c>
      <c r="B8969" t="s">
        <v>0</v>
      </c>
      <c r="C8969">
        <v>158</v>
      </c>
      <c r="D8969">
        <v>3491</v>
      </c>
      <c r="E8969">
        <v>80286981</v>
      </c>
    </row>
    <row r="8970" spans="1:6" x14ac:dyDescent="0.25">
      <c r="A8970">
        <v>8969</v>
      </c>
      <c r="B8970">
        <v>45</v>
      </c>
      <c r="C8970">
        <v>0</v>
      </c>
      <c r="D8970">
        <v>0</v>
      </c>
      <c r="E8970">
        <v>0</v>
      </c>
      <c r="F8970">
        <v>523.93899999999996</v>
      </c>
    </row>
    <row r="8971" spans="1:6" x14ac:dyDescent="0.25">
      <c r="A8971">
        <v>8970</v>
      </c>
      <c r="B8971" t="s">
        <v>0</v>
      </c>
      <c r="C8971">
        <v>159</v>
      </c>
      <c r="D8971">
        <v>3491</v>
      </c>
      <c r="E8971">
        <v>80287107</v>
      </c>
    </row>
    <row r="8972" spans="1:6" x14ac:dyDescent="0.25">
      <c r="A8972">
        <v>8971</v>
      </c>
      <c r="B8972">
        <v>46</v>
      </c>
      <c r="C8972">
        <v>0</v>
      </c>
      <c r="D8972">
        <v>0</v>
      </c>
      <c r="E8972">
        <v>0</v>
      </c>
      <c r="F8972">
        <v>0</v>
      </c>
    </row>
    <row r="8973" spans="1:6" x14ac:dyDescent="0.25">
      <c r="A8973">
        <v>8972</v>
      </c>
      <c r="B8973">
        <v>2</v>
      </c>
      <c r="C8973">
        <v>0</v>
      </c>
      <c r="D8973">
        <v>0</v>
      </c>
      <c r="E8973">
        <v>0</v>
      </c>
      <c r="F8973">
        <v>264.76400000000001</v>
      </c>
    </row>
    <row r="8974" spans="1:6" x14ac:dyDescent="0.25">
      <c r="A8974">
        <v>8973</v>
      </c>
      <c r="B8974" t="s">
        <v>0</v>
      </c>
      <c r="C8974">
        <v>160</v>
      </c>
      <c r="D8974">
        <v>3491</v>
      </c>
      <c r="E8974">
        <v>80287233</v>
      </c>
    </row>
    <row r="8975" spans="1:6" x14ac:dyDescent="0.25">
      <c r="A8975">
        <v>8974</v>
      </c>
      <c r="B8975">
        <v>10</v>
      </c>
      <c r="C8975">
        <v>1</v>
      </c>
      <c r="D8975">
        <v>0</v>
      </c>
      <c r="E8975">
        <v>0</v>
      </c>
      <c r="F8975">
        <v>4231</v>
      </c>
    </row>
    <row r="8976" spans="1:6" x14ac:dyDescent="0.25">
      <c r="A8976">
        <v>8975</v>
      </c>
      <c r="B8976">
        <v>13</v>
      </c>
      <c r="C8976">
        <v>0</v>
      </c>
      <c r="D8976">
        <v>0</v>
      </c>
      <c r="E8976">
        <v>0</v>
      </c>
      <c r="F8976">
        <v>1607</v>
      </c>
    </row>
    <row r="8977" spans="1:6" x14ac:dyDescent="0.25">
      <c r="A8977">
        <v>8976</v>
      </c>
      <c r="B8977" t="s">
        <v>0</v>
      </c>
      <c r="C8977">
        <v>161</v>
      </c>
      <c r="D8977">
        <v>3491</v>
      </c>
      <c r="E8977">
        <v>80287359</v>
      </c>
    </row>
    <row r="8978" spans="1:6" x14ac:dyDescent="0.25">
      <c r="A8978">
        <v>8977</v>
      </c>
      <c r="B8978">
        <v>41</v>
      </c>
      <c r="C8978">
        <v>0</v>
      </c>
      <c r="D8978">
        <v>0</v>
      </c>
      <c r="E8978">
        <v>0</v>
      </c>
      <c r="F8978">
        <v>1</v>
      </c>
    </row>
    <row r="8979" spans="1:6" x14ac:dyDescent="0.25">
      <c r="A8979">
        <v>8978</v>
      </c>
      <c r="B8979">
        <v>42</v>
      </c>
      <c r="C8979">
        <v>0</v>
      </c>
      <c r="D8979">
        <v>0</v>
      </c>
      <c r="E8979">
        <v>0</v>
      </c>
      <c r="F8979">
        <v>0.2</v>
      </c>
    </row>
    <row r="8980" spans="1:6" x14ac:dyDescent="0.25">
      <c r="A8980">
        <v>8979</v>
      </c>
      <c r="B8980">
        <v>43</v>
      </c>
      <c r="C8980">
        <v>0</v>
      </c>
      <c r="D8980">
        <v>0</v>
      </c>
      <c r="E8980">
        <v>0</v>
      </c>
      <c r="F8980">
        <v>0</v>
      </c>
    </row>
    <row r="8981" spans="1:6" x14ac:dyDescent="0.25">
      <c r="A8981">
        <v>8980</v>
      </c>
      <c r="B8981">
        <v>44</v>
      </c>
      <c r="C8981">
        <v>0</v>
      </c>
      <c r="D8981">
        <v>0</v>
      </c>
      <c r="E8981">
        <v>0</v>
      </c>
      <c r="F8981">
        <v>-77.059399999999997</v>
      </c>
    </row>
    <row r="8982" spans="1:6" x14ac:dyDescent="0.25">
      <c r="A8982">
        <v>8981</v>
      </c>
      <c r="B8982">
        <v>45</v>
      </c>
      <c r="C8982">
        <v>0</v>
      </c>
      <c r="D8982">
        <v>0</v>
      </c>
      <c r="E8982">
        <v>0</v>
      </c>
      <c r="F8982">
        <v>523.88099999999997</v>
      </c>
    </row>
    <row r="8983" spans="1:6" x14ac:dyDescent="0.25">
      <c r="A8983">
        <v>8982</v>
      </c>
      <c r="B8983">
        <v>46</v>
      </c>
      <c r="C8983">
        <v>0</v>
      </c>
      <c r="D8983">
        <v>0</v>
      </c>
      <c r="E8983">
        <v>0</v>
      </c>
      <c r="F8983">
        <v>0</v>
      </c>
    </row>
    <row r="8984" spans="1:6" x14ac:dyDescent="0.25">
      <c r="A8984">
        <v>8983</v>
      </c>
      <c r="B8984">
        <v>2</v>
      </c>
      <c r="C8984">
        <v>0</v>
      </c>
      <c r="D8984">
        <v>0</v>
      </c>
      <c r="E8984">
        <v>0</v>
      </c>
      <c r="F8984">
        <v>264.50099999999998</v>
      </c>
    </row>
    <row r="8985" spans="1:6" x14ac:dyDescent="0.25">
      <c r="A8985">
        <v>8984</v>
      </c>
      <c r="B8985" t="s">
        <v>0</v>
      </c>
      <c r="C8985">
        <v>165</v>
      </c>
      <c r="D8985">
        <v>3491</v>
      </c>
      <c r="E8985">
        <v>80287863</v>
      </c>
    </row>
    <row r="8986" spans="1:6" x14ac:dyDescent="0.25">
      <c r="A8986">
        <v>8985</v>
      </c>
      <c r="B8986">
        <v>13</v>
      </c>
      <c r="C8986">
        <v>0</v>
      </c>
      <c r="D8986">
        <v>0</v>
      </c>
      <c r="E8986">
        <v>0</v>
      </c>
      <c r="F8986">
        <v>1607</v>
      </c>
    </row>
    <row r="8987" spans="1:6" x14ac:dyDescent="0.25">
      <c r="A8987">
        <v>8986</v>
      </c>
      <c r="B8987" t="s">
        <v>0</v>
      </c>
      <c r="C8987">
        <v>166</v>
      </c>
      <c r="D8987">
        <v>3491</v>
      </c>
      <c r="E8987">
        <v>80287989</v>
      </c>
    </row>
    <row r="8988" spans="1:6" x14ac:dyDescent="0.25">
      <c r="A8988">
        <v>8987</v>
      </c>
      <c r="B8988">
        <v>42</v>
      </c>
      <c r="C8988">
        <v>0</v>
      </c>
      <c r="D8988">
        <v>0</v>
      </c>
      <c r="E8988">
        <v>0</v>
      </c>
      <c r="F8988">
        <v>0.2</v>
      </c>
    </row>
    <row r="8989" spans="1:6" x14ac:dyDescent="0.25">
      <c r="A8989">
        <v>8988</v>
      </c>
      <c r="B8989" t="s">
        <v>0</v>
      </c>
      <c r="C8989">
        <v>167</v>
      </c>
      <c r="D8989">
        <v>3491</v>
      </c>
      <c r="E8989">
        <v>80288115</v>
      </c>
    </row>
    <row r="8990" spans="1:6" x14ac:dyDescent="0.25">
      <c r="A8990">
        <v>8989</v>
      </c>
      <c r="B8990">
        <v>44</v>
      </c>
      <c r="C8990">
        <v>0</v>
      </c>
      <c r="D8990">
        <v>0</v>
      </c>
      <c r="E8990">
        <v>0</v>
      </c>
      <c r="F8990">
        <v>-76.648099999999999</v>
      </c>
    </row>
    <row r="8991" spans="1:6" x14ac:dyDescent="0.25">
      <c r="A8991">
        <v>8990</v>
      </c>
      <c r="B8991" t="s">
        <v>0</v>
      </c>
      <c r="C8991">
        <v>168</v>
      </c>
      <c r="D8991">
        <v>3491</v>
      </c>
      <c r="E8991">
        <v>80288241</v>
      </c>
    </row>
    <row r="8992" spans="1:6" x14ac:dyDescent="0.25">
      <c r="A8992">
        <v>8991</v>
      </c>
      <c r="B8992">
        <v>45</v>
      </c>
      <c r="C8992">
        <v>0</v>
      </c>
      <c r="D8992">
        <v>0</v>
      </c>
      <c r="E8992">
        <v>0</v>
      </c>
      <c r="F8992">
        <v>523.82299999999998</v>
      </c>
    </row>
    <row r="8993" spans="1:6" x14ac:dyDescent="0.25">
      <c r="A8993">
        <v>8992</v>
      </c>
      <c r="B8993">
        <v>46</v>
      </c>
      <c r="C8993">
        <v>0</v>
      </c>
      <c r="D8993">
        <v>0</v>
      </c>
      <c r="E8993">
        <v>0</v>
      </c>
      <c r="F8993">
        <v>0</v>
      </c>
    </row>
    <row r="8994" spans="1:6" x14ac:dyDescent="0.25">
      <c r="A8994">
        <v>8993</v>
      </c>
      <c r="B8994" t="s">
        <v>0</v>
      </c>
      <c r="C8994">
        <v>169</v>
      </c>
      <c r="D8994">
        <v>3491</v>
      </c>
      <c r="E8994">
        <v>80288367</v>
      </c>
    </row>
    <row r="8995" spans="1:6" x14ac:dyDescent="0.25">
      <c r="A8995">
        <v>8994</v>
      </c>
      <c r="B8995">
        <v>2</v>
      </c>
      <c r="C8995">
        <v>0</v>
      </c>
      <c r="D8995">
        <v>0</v>
      </c>
      <c r="E8995">
        <v>0</v>
      </c>
      <c r="F8995">
        <v>264.267</v>
      </c>
    </row>
    <row r="8996" spans="1:6" x14ac:dyDescent="0.25">
      <c r="A8996">
        <v>8995</v>
      </c>
      <c r="B8996">
        <v>10</v>
      </c>
      <c r="C8996">
        <v>1</v>
      </c>
      <c r="D8996">
        <v>0</v>
      </c>
      <c r="E8996">
        <v>0</v>
      </c>
      <c r="F8996">
        <v>4242</v>
      </c>
    </row>
    <row r="8997" spans="1:6" x14ac:dyDescent="0.25">
      <c r="A8997">
        <v>8996</v>
      </c>
      <c r="B8997" t="s">
        <v>0</v>
      </c>
      <c r="C8997">
        <v>170</v>
      </c>
      <c r="D8997">
        <v>3491</v>
      </c>
      <c r="E8997">
        <v>80288493</v>
      </c>
    </row>
    <row r="8998" spans="1:6" x14ac:dyDescent="0.25">
      <c r="A8998">
        <v>8997</v>
      </c>
      <c r="B8998">
        <v>13</v>
      </c>
      <c r="C8998">
        <v>0</v>
      </c>
      <c r="D8998">
        <v>0</v>
      </c>
      <c r="E8998">
        <v>0</v>
      </c>
      <c r="F8998">
        <v>1607</v>
      </c>
    </row>
    <row r="8999" spans="1:6" x14ac:dyDescent="0.25">
      <c r="A8999">
        <v>8998</v>
      </c>
      <c r="B8999">
        <v>41</v>
      </c>
      <c r="C8999">
        <v>0</v>
      </c>
      <c r="D8999">
        <v>0</v>
      </c>
      <c r="E8999">
        <v>0</v>
      </c>
      <c r="F8999">
        <v>1</v>
      </c>
    </row>
    <row r="9000" spans="1:6" x14ac:dyDescent="0.25">
      <c r="A9000">
        <v>8999</v>
      </c>
      <c r="B9000">
        <v>42</v>
      </c>
      <c r="C9000">
        <v>0</v>
      </c>
      <c r="D9000">
        <v>0</v>
      </c>
      <c r="E9000">
        <v>0</v>
      </c>
      <c r="F9000">
        <v>0.2</v>
      </c>
    </row>
    <row r="9001" spans="1:6" x14ac:dyDescent="0.25">
      <c r="A9001">
        <v>9000</v>
      </c>
      <c r="B9001">
        <v>43</v>
      </c>
      <c r="C9001">
        <v>0</v>
      </c>
      <c r="D9001">
        <v>0</v>
      </c>
      <c r="E9001">
        <v>0</v>
      </c>
      <c r="F9001">
        <v>0</v>
      </c>
    </row>
    <row r="9002" spans="1:6" x14ac:dyDescent="0.25">
      <c r="A9002">
        <v>9001</v>
      </c>
      <c r="B9002">
        <v>44</v>
      </c>
      <c r="C9002">
        <v>0</v>
      </c>
      <c r="D9002">
        <v>0</v>
      </c>
      <c r="E9002">
        <v>0</v>
      </c>
      <c r="F9002">
        <v>-76.238200000000006</v>
      </c>
    </row>
    <row r="9003" spans="1:6" x14ac:dyDescent="0.25">
      <c r="A9003">
        <v>9002</v>
      </c>
      <c r="B9003">
        <v>45</v>
      </c>
      <c r="C9003">
        <v>0</v>
      </c>
      <c r="D9003">
        <v>0</v>
      </c>
      <c r="E9003">
        <v>0</v>
      </c>
      <c r="F9003">
        <v>523.77599999999995</v>
      </c>
    </row>
    <row r="9004" spans="1:6" x14ac:dyDescent="0.25">
      <c r="A9004">
        <v>9003</v>
      </c>
      <c r="B9004">
        <v>46</v>
      </c>
      <c r="C9004">
        <v>0</v>
      </c>
      <c r="D9004">
        <v>0</v>
      </c>
      <c r="E9004">
        <v>0</v>
      </c>
      <c r="F9004">
        <v>0</v>
      </c>
    </row>
    <row r="9005" spans="1:6" x14ac:dyDescent="0.25">
      <c r="A9005">
        <v>9004</v>
      </c>
      <c r="B9005" t="s">
        <v>0</v>
      </c>
      <c r="C9005">
        <v>174</v>
      </c>
      <c r="D9005">
        <v>3491</v>
      </c>
      <c r="E9005">
        <v>80288998</v>
      </c>
    </row>
    <row r="9006" spans="1:6" x14ac:dyDescent="0.25">
      <c r="A9006">
        <v>9005</v>
      </c>
      <c r="B9006">
        <v>10</v>
      </c>
      <c r="C9006">
        <v>1</v>
      </c>
      <c r="D9006">
        <v>0</v>
      </c>
      <c r="E9006">
        <v>0</v>
      </c>
      <c r="F9006">
        <v>4248</v>
      </c>
    </row>
    <row r="9007" spans="1:6" x14ac:dyDescent="0.25">
      <c r="A9007">
        <v>9006</v>
      </c>
      <c r="B9007" t="s">
        <v>0</v>
      </c>
      <c r="C9007">
        <v>175</v>
      </c>
      <c r="D9007">
        <v>3491</v>
      </c>
      <c r="E9007">
        <v>80289125</v>
      </c>
    </row>
    <row r="9008" spans="1:6" x14ac:dyDescent="0.25">
      <c r="A9008">
        <v>9007</v>
      </c>
      <c r="B9008">
        <v>41</v>
      </c>
      <c r="C9008">
        <v>0</v>
      </c>
      <c r="D9008">
        <v>0</v>
      </c>
      <c r="E9008">
        <v>0</v>
      </c>
      <c r="F9008">
        <v>1</v>
      </c>
    </row>
    <row r="9009" spans="1:6" x14ac:dyDescent="0.25">
      <c r="A9009">
        <v>9008</v>
      </c>
      <c r="B9009" t="s">
        <v>0</v>
      </c>
      <c r="C9009">
        <v>176</v>
      </c>
      <c r="D9009">
        <v>3491</v>
      </c>
      <c r="E9009">
        <v>80289251</v>
      </c>
    </row>
    <row r="9010" spans="1:6" x14ac:dyDescent="0.25">
      <c r="A9010">
        <v>9009</v>
      </c>
      <c r="B9010">
        <v>43</v>
      </c>
      <c r="C9010">
        <v>0</v>
      </c>
      <c r="D9010">
        <v>0</v>
      </c>
      <c r="E9010">
        <v>0</v>
      </c>
      <c r="F9010">
        <v>0</v>
      </c>
    </row>
    <row r="9011" spans="1:6" x14ac:dyDescent="0.25">
      <c r="A9011">
        <v>9010</v>
      </c>
      <c r="B9011" t="s">
        <v>0</v>
      </c>
      <c r="C9011">
        <v>177</v>
      </c>
      <c r="D9011">
        <v>3491</v>
      </c>
      <c r="E9011">
        <v>80289377</v>
      </c>
    </row>
    <row r="9012" spans="1:6" x14ac:dyDescent="0.25">
      <c r="A9012">
        <v>9011</v>
      </c>
      <c r="B9012">
        <v>44</v>
      </c>
      <c r="C9012">
        <v>0</v>
      </c>
      <c r="D9012">
        <v>0</v>
      </c>
      <c r="E9012">
        <v>0</v>
      </c>
      <c r="F9012">
        <v>-75.870099999999994</v>
      </c>
    </row>
    <row r="9013" spans="1:6" x14ac:dyDescent="0.25">
      <c r="A9013">
        <v>9012</v>
      </c>
      <c r="B9013">
        <v>45</v>
      </c>
      <c r="C9013">
        <v>0</v>
      </c>
      <c r="D9013">
        <v>0</v>
      </c>
      <c r="E9013">
        <v>0</v>
      </c>
      <c r="F9013">
        <v>523.71799999999996</v>
      </c>
    </row>
    <row r="9014" spans="1:6" x14ac:dyDescent="0.25">
      <c r="A9014">
        <v>9013</v>
      </c>
      <c r="B9014" t="s">
        <v>0</v>
      </c>
      <c r="C9014">
        <v>178</v>
      </c>
      <c r="D9014">
        <v>3491</v>
      </c>
      <c r="E9014">
        <v>80289503</v>
      </c>
    </row>
    <row r="9015" spans="1:6" x14ac:dyDescent="0.25">
      <c r="A9015">
        <v>9014</v>
      </c>
      <c r="B9015">
        <v>46</v>
      </c>
      <c r="C9015">
        <v>0</v>
      </c>
      <c r="D9015">
        <v>0</v>
      </c>
      <c r="E9015">
        <v>0</v>
      </c>
      <c r="F9015">
        <v>0</v>
      </c>
    </row>
    <row r="9016" spans="1:6" x14ac:dyDescent="0.25">
      <c r="A9016">
        <v>9015</v>
      </c>
      <c r="B9016">
        <v>2</v>
      </c>
      <c r="C9016">
        <v>0</v>
      </c>
      <c r="D9016">
        <v>0</v>
      </c>
      <c r="E9016">
        <v>0</v>
      </c>
      <c r="F9016">
        <v>263.84100000000001</v>
      </c>
    </row>
    <row r="9017" spans="1:6" x14ac:dyDescent="0.25">
      <c r="A9017">
        <v>9016</v>
      </c>
      <c r="B9017">
        <v>10</v>
      </c>
      <c r="C9017">
        <v>1</v>
      </c>
      <c r="D9017">
        <v>0</v>
      </c>
      <c r="E9017">
        <v>0</v>
      </c>
      <c r="F9017">
        <v>4253</v>
      </c>
    </row>
    <row r="9018" spans="1:6" x14ac:dyDescent="0.25">
      <c r="A9018">
        <v>9017</v>
      </c>
      <c r="B9018">
        <v>13</v>
      </c>
      <c r="C9018">
        <v>0</v>
      </c>
      <c r="D9018">
        <v>0</v>
      </c>
      <c r="E9018">
        <v>0</v>
      </c>
      <c r="F9018">
        <v>1607</v>
      </c>
    </row>
    <row r="9019" spans="1:6" x14ac:dyDescent="0.25">
      <c r="A9019">
        <v>9018</v>
      </c>
      <c r="B9019" t="s">
        <v>0</v>
      </c>
      <c r="C9019">
        <v>0</v>
      </c>
      <c r="D9019">
        <v>3492</v>
      </c>
      <c r="E9019">
        <v>80289757</v>
      </c>
    </row>
    <row r="9020" spans="1:6" x14ac:dyDescent="0.25">
      <c r="A9020">
        <v>9019</v>
      </c>
      <c r="B9020">
        <v>41</v>
      </c>
      <c r="C9020">
        <v>0</v>
      </c>
      <c r="D9020">
        <v>0</v>
      </c>
      <c r="E9020">
        <v>0</v>
      </c>
      <c r="F9020">
        <v>1</v>
      </c>
    </row>
    <row r="9021" spans="1:6" x14ac:dyDescent="0.25">
      <c r="A9021">
        <v>9020</v>
      </c>
      <c r="B9021">
        <v>42</v>
      </c>
      <c r="C9021">
        <v>0</v>
      </c>
      <c r="D9021">
        <v>0</v>
      </c>
      <c r="E9021">
        <v>0</v>
      </c>
      <c r="F9021">
        <v>0.2</v>
      </c>
    </row>
    <row r="9022" spans="1:6" x14ac:dyDescent="0.25">
      <c r="A9022">
        <v>9021</v>
      </c>
      <c r="B9022">
        <v>43</v>
      </c>
      <c r="C9022">
        <v>0</v>
      </c>
      <c r="D9022">
        <v>0</v>
      </c>
      <c r="E9022">
        <v>0</v>
      </c>
      <c r="F9022">
        <v>0</v>
      </c>
    </row>
    <row r="9023" spans="1:6" x14ac:dyDescent="0.25">
      <c r="A9023">
        <v>9022</v>
      </c>
      <c r="B9023">
        <v>44</v>
      </c>
      <c r="C9023">
        <v>0</v>
      </c>
      <c r="D9023">
        <v>0</v>
      </c>
      <c r="E9023">
        <v>0</v>
      </c>
      <c r="F9023">
        <v>-75.641800000000003</v>
      </c>
    </row>
    <row r="9024" spans="1:6" x14ac:dyDescent="0.25">
      <c r="A9024">
        <v>9023</v>
      </c>
      <c r="B9024">
        <v>45</v>
      </c>
      <c r="C9024">
        <v>0</v>
      </c>
      <c r="D9024">
        <v>0</v>
      </c>
      <c r="E9024">
        <v>0</v>
      </c>
      <c r="F9024">
        <v>523.68399999999997</v>
      </c>
    </row>
    <row r="9025" spans="1:6" x14ac:dyDescent="0.25">
      <c r="A9025">
        <v>9024</v>
      </c>
      <c r="B9025">
        <v>46</v>
      </c>
      <c r="C9025">
        <v>0</v>
      </c>
      <c r="D9025">
        <v>0</v>
      </c>
      <c r="E9025">
        <v>0</v>
      </c>
      <c r="F9025">
        <v>0</v>
      </c>
    </row>
    <row r="9026" spans="1:6" x14ac:dyDescent="0.25">
      <c r="A9026">
        <v>9025</v>
      </c>
      <c r="B9026">
        <v>2</v>
      </c>
      <c r="C9026">
        <v>0</v>
      </c>
      <c r="D9026">
        <v>0</v>
      </c>
      <c r="E9026">
        <v>0</v>
      </c>
      <c r="F9026">
        <v>263.68099999999998</v>
      </c>
    </row>
    <row r="9027" spans="1:6" x14ac:dyDescent="0.25">
      <c r="A9027">
        <v>9026</v>
      </c>
      <c r="B9027" t="s">
        <v>0</v>
      </c>
      <c r="C9027">
        <v>4</v>
      </c>
      <c r="D9027">
        <v>3492</v>
      </c>
      <c r="E9027">
        <v>80290264</v>
      </c>
    </row>
    <row r="9028" spans="1:6" x14ac:dyDescent="0.25">
      <c r="A9028">
        <v>9027</v>
      </c>
      <c r="B9028">
        <v>13</v>
      </c>
      <c r="C9028">
        <v>0</v>
      </c>
      <c r="D9028">
        <v>0</v>
      </c>
      <c r="E9028">
        <v>0</v>
      </c>
      <c r="F9028">
        <v>1607</v>
      </c>
    </row>
    <row r="9029" spans="1:6" x14ac:dyDescent="0.25">
      <c r="A9029">
        <v>9028</v>
      </c>
      <c r="B9029" t="s">
        <v>0</v>
      </c>
      <c r="C9029">
        <v>5</v>
      </c>
      <c r="D9029">
        <v>3492</v>
      </c>
      <c r="E9029">
        <v>80290390</v>
      </c>
    </row>
    <row r="9030" spans="1:6" x14ac:dyDescent="0.25">
      <c r="A9030">
        <v>9029</v>
      </c>
      <c r="B9030">
        <v>42</v>
      </c>
      <c r="C9030">
        <v>0</v>
      </c>
      <c r="D9030">
        <v>0</v>
      </c>
      <c r="E9030">
        <v>0</v>
      </c>
      <c r="F9030">
        <v>0.2</v>
      </c>
    </row>
    <row r="9031" spans="1:6" x14ac:dyDescent="0.25">
      <c r="A9031">
        <v>9030</v>
      </c>
      <c r="B9031" t="s">
        <v>0</v>
      </c>
      <c r="C9031">
        <v>6</v>
      </c>
      <c r="D9031">
        <v>3492</v>
      </c>
      <c r="E9031">
        <v>80290516</v>
      </c>
    </row>
    <row r="9032" spans="1:6" x14ac:dyDescent="0.25">
      <c r="A9032">
        <v>9031</v>
      </c>
      <c r="B9032">
        <v>44</v>
      </c>
      <c r="C9032">
        <v>0</v>
      </c>
      <c r="D9032">
        <v>0</v>
      </c>
      <c r="E9032">
        <v>0</v>
      </c>
      <c r="F9032">
        <v>-75.227699999999999</v>
      </c>
    </row>
    <row r="9033" spans="1:6" x14ac:dyDescent="0.25">
      <c r="A9033">
        <v>9032</v>
      </c>
      <c r="B9033" t="s">
        <v>0</v>
      </c>
      <c r="C9033">
        <v>7</v>
      </c>
      <c r="D9033">
        <v>3492</v>
      </c>
      <c r="E9033">
        <v>80290642</v>
      </c>
    </row>
    <row r="9034" spans="1:6" x14ac:dyDescent="0.25">
      <c r="A9034">
        <v>9033</v>
      </c>
      <c r="B9034">
        <v>45</v>
      </c>
      <c r="C9034">
        <v>0</v>
      </c>
      <c r="D9034">
        <v>0</v>
      </c>
      <c r="E9034">
        <v>0</v>
      </c>
      <c r="F9034">
        <v>523.62699999999995</v>
      </c>
    </row>
    <row r="9035" spans="1:6" x14ac:dyDescent="0.25">
      <c r="A9035">
        <v>9034</v>
      </c>
      <c r="B9035">
        <v>46</v>
      </c>
      <c r="C9035">
        <v>0</v>
      </c>
      <c r="D9035">
        <v>0</v>
      </c>
      <c r="E9035">
        <v>0</v>
      </c>
      <c r="F9035">
        <v>0</v>
      </c>
    </row>
    <row r="9036" spans="1:6" x14ac:dyDescent="0.25">
      <c r="A9036">
        <v>9035</v>
      </c>
      <c r="B9036" t="s">
        <v>0</v>
      </c>
      <c r="C9036">
        <v>8</v>
      </c>
      <c r="D9036">
        <v>3492</v>
      </c>
      <c r="E9036">
        <v>80290768</v>
      </c>
    </row>
    <row r="9037" spans="1:6" x14ac:dyDescent="0.25">
      <c r="A9037">
        <v>9036</v>
      </c>
      <c r="B9037">
        <v>2</v>
      </c>
      <c r="C9037">
        <v>0</v>
      </c>
      <c r="D9037">
        <v>0</v>
      </c>
      <c r="E9037">
        <v>0</v>
      </c>
      <c r="F9037">
        <v>263.46699999999998</v>
      </c>
    </row>
    <row r="9038" spans="1:6" x14ac:dyDescent="0.25">
      <c r="A9038">
        <v>9037</v>
      </c>
      <c r="B9038">
        <v>10</v>
      </c>
      <c r="C9038">
        <v>1</v>
      </c>
      <c r="D9038">
        <v>0</v>
      </c>
      <c r="E9038">
        <v>0</v>
      </c>
      <c r="F9038">
        <v>4262</v>
      </c>
    </row>
    <row r="9039" spans="1:6" x14ac:dyDescent="0.25">
      <c r="A9039">
        <v>9038</v>
      </c>
      <c r="B9039" t="s">
        <v>0</v>
      </c>
      <c r="C9039">
        <v>9</v>
      </c>
      <c r="D9039">
        <v>3492</v>
      </c>
      <c r="E9039">
        <v>80290894</v>
      </c>
    </row>
    <row r="9040" spans="1:6" x14ac:dyDescent="0.25">
      <c r="A9040">
        <v>9039</v>
      </c>
      <c r="B9040">
        <v>13</v>
      </c>
      <c r="C9040">
        <v>0</v>
      </c>
      <c r="D9040">
        <v>0</v>
      </c>
      <c r="E9040">
        <v>0</v>
      </c>
      <c r="F9040">
        <v>1607</v>
      </c>
    </row>
    <row r="9041" spans="1:6" x14ac:dyDescent="0.25">
      <c r="A9041">
        <v>9040</v>
      </c>
      <c r="B9041">
        <v>41</v>
      </c>
      <c r="C9041">
        <v>0</v>
      </c>
      <c r="D9041">
        <v>0</v>
      </c>
      <c r="E9041">
        <v>0</v>
      </c>
      <c r="F9041">
        <v>1</v>
      </c>
    </row>
    <row r="9042" spans="1:6" x14ac:dyDescent="0.25">
      <c r="A9042">
        <v>9041</v>
      </c>
      <c r="B9042">
        <v>42</v>
      </c>
      <c r="C9042">
        <v>0</v>
      </c>
      <c r="D9042">
        <v>0</v>
      </c>
      <c r="E9042">
        <v>0</v>
      </c>
      <c r="F9042">
        <v>0.2</v>
      </c>
    </row>
    <row r="9043" spans="1:6" x14ac:dyDescent="0.25">
      <c r="A9043">
        <v>9042</v>
      </c>
      <c r="B9043">
        <v>43</v>
      </c>
      <c r="C9043">
        <v>0</v>
      </c>
      <c r="D9043">
        <v>0</v>
      </c>
      <c r="E9043">
        <v>0</v>
      </c>
      <c r="F9043">
        <v>0</v>
      </c>
    </row>
    <row r="9044" spans="1:6" x14ac:dyDescent="0.25">
      <c r="A9044">
        <v>9043</v>
      </c>
      <c r="B9044">
        <v>44</v>
      </c>
      <c r="C9044">
        <v>0</v>
      </c>
      <c r="D9044">
        <v>0</v>
      </c>
      <c r="E9044">
        <v>0</v>
      </c>
      <c r="F9044">
        <v>-74.872</v>
      </c>
    </row>
    <row r="9045" spans="1:6" x14ac:dyDescent="0.25">
      <c r="A9045">
        <v>9044</v>
      </c>
      <c r="B9045">
        <v>45</v>
      </c>
      <c r="C9045">
        <v>0</v>
      </c>
      <c r="D9045">
        <v>0</v>
      </c>
      <c r="E9045">
        <v>0</v>
      </c>
      <c r="F9045">
        <v>523.58100000000002</v>
      </c>
    </row>
    <row r="9046" spans="1:6" x14ac:dyDescent="0.25">
      <c r="A9046">
        <v>9045</v>
      </c>
      <c r="B9046">
        <v>46</v>
      </c>
      <c r="C9046">
        <v>0</v>
      </c>
      <c r="D9046">
        <v>0</v>
      </c>
      <c r="E9046">
        <v>0</v>
      </c>
      <c r="F9046">
        <v>0</v>
      </c>
    </row>
    <row r="9047" spans="1:6" x14ac:dyDescent="0.25">
      <c r="A9047">
        <v>9046</v>
      </c>
      <c r="B9047">
        <v>2</v>
      </c>
      <c r="C9047">
        <v>0</v>
      </c>
      <c r="D9047">
        <v>0</v>
      </c>
      <c r="E9047">
        <v>0</v>
      </c>
      <c r="F9047">
        <v>263.28899999999999</v>
      </c>
    </row>
    <row r="9048" spans="1:6" x14ac:dyDescent="0.25">
      <c r="A9048">
        <v>9047</v>
      </c>
      <c r="B9048">
        <v>10</v>
      </c>
      <c r="C9048">
        <v>1</v>
      </c>
      <c r="D9048">
        <v>0</v>
      </c>
      <c r="E9048">
        <v>0</v>
      </c>
      <c r="F9048">
        <v>4267</v>
      </c>
    </row>
    <row r="9049" spans="1:6" x14ac:dyDescent="0.25">
      <c r="A9049">
        <v>9048</v>
      </c>
      <c r="B9049" t="s">
        <v>0</v>
      </c>
      <c r="C9049">
        <v>14</v>
      </c>
      <c r="D9049">
        <v>3492</v>
      </c>
      <c r="E9049">
        <v>80291526</v>
      </c>
    </row>
    <row r="9050" spans="1:6" x14ac:dyDescent="0.25">
      <c r="A9050">
        <v>9049</v>
      </c>
      <c r="B9050">
        <v>41</v>
      </c>
      <c r="C9050">
        <v>0</v>
      </c>
      <c r="D9050">
        <v>0</v>
      </c>
      <c r="E9050">
        <v>0</v>
      </c>
      <c r="F9050">
        <v>1</v>
      </c>
    </row>
    <row r="9051" spans="1:6" x14ac:dyDescent="0.25">
      <c r="A9051">
        <v>9050</v>
      </c>
      <c r="B9051" t="s">
        <v>0</v>
      </c>
      <c r="C9051">
        <v>15</v>
      </c>
      <c r="D9051">
        <v>3492</v>
      </c>
      <c r="E9051">
        <v>80291653</v>
      </c>
    </row>
    <row r="9052" spans="1:6" x14ac:dyDescent="0.25">
      <c r="A9052">
        <v>9051</v>
      </c>
      <c r="B9052">
        <v>43</v>
      </c>
      <c r="C9052">
        <v>0</v>
      </c>
      <c r="D9052">
        <v>0</v>
      </c>
      <c r="E9052">
        <v>0</v>
      </c>
      <c r="F9052">
        <v>0</v>
      </c>
    </row>
    <row r="9053" spans="1:6" x14ac:dyDescent="0.25">
      <c r="A9053">
        <v>9052</v>
      </c>
      <c r="B9053" t="s">
        <v>0</v>
      </c>
      <c r="C9053">
        <v>16</v>
      </c>
      <c r="D9053">
        <v>3492</v>
      </c>
      <c r="E9053">
        <v>80291780</v>
      </c>
    </row>
    <row r="9054" spans="1:6" x14ac:dyDescent="0.25">
      <c r="A9054">
        <v>9053</v>
      </c>
      <c r="B9054">
        <v>45</v>
      </c>
      <c r="C9054">
        <v>0</v>
      </c>
      <c r="D9054">
        <v>0</v>
      </c>
      <c r="E9054">
        <v>0</v>
      </c>
      <c r="F9054">
        <v>523.524</v>
      </c>
    </row>
    <row r="9055" spans="1:6" x14ac:dyDescent="0.25">
      <c r="A9055">
        <v>9054</v>
      </c>
      <c r="B9055" t="s">
        <v>0</v>
      </c>
      <c r="C9055">
        <v>17</v>
      </c>
      <c r="D9055">
        <v>3492</v>
      </c>
      <c r="E9055">
        <v>80291907</v>
      </c>
    </row>
    <row r="9056" spans="1:6" x14ac:dyDescent="0.25">
      <c r="A9056">
        <v>9055</v>
      </c>
      <c r="B9056">
        <v>46</v>
      </c>
      <c r="C9056">
        <v>0</v>
      </c>
      <c r="D9056">
        <v>0</v>
      </c>
      <c r="E9056">
        <v>0</v>
      </c>
      <c r="F9056">
        <v>0</v>
      </c>
    </row>
    <row r="9057" spans="1:6" x14ac:dyDescent="0.25">
      <c r="A9057">
        <v>9056</v>
      </c>
      <c r="B9057">
        <v>2</v>
      </c>
      <c r="C9057">
        <v>0</v>
      </c>
      <c r="D9057">
        <v>0</v>
      </c>
      <c r="E9057">
        <v>0</v>
      </c>
      <c r="F9057">
        <v>263.06900000000002</v>
      </c>
    </row>
    <row r="9058" spans="1:6" x14ac:dyDescent="0.25">
      <c r="A9058">
        <v>9057</v>
      </c>
      <c r="B9058" t="s">
        <v>0</v>
      </c>
      <c r="C9058">
        <v>18</v>
      </c>
      <c r="D9058">
        <v>3492</v>
      </c>
      <c r="E9058">
        <v>80292033</v>
      </c>
    </row>
    <row r="9059" spans="1:6" x14ac:dyDescent="0.25">
      <c r="A9059">
        <v>9058</v>
      </c>
      <c r="B9059">
        <v>10</v>
      </c>
      <c r="C9059">
        <v>1</v>
      </c>
      <c r="D9059">
        <v>0</v>
      </c>
      <c r="E9059">
        <v>0</v>
      </c>
      <c r="F9059">
        <v>4271</v>
      </c>
    </row>
    <row r="9060" spans="1:6" x14ac:dyDescent="0.25">
      <c r="A9060">
        <v>9059</v>
      </c>
      <c r="B9060">
        <v>13</v>
      </c>
      <c r="C9060">
        <v>0</v>
      </c>
      <c r="D9060">
        <v>0</v>
      </c>
      <c r="E9060">
        <v>0</v>
      </c>
      <c r="F9060">
        <v>1607</v>
      </c>
    </row>
    <row r="9061" spans="1:6" x14ac:dyDescent="0.25">
      <c r="A9061">
        <v>9060</v>
      </c>
      <c r="B9061" t="s">
        <v>0</v>
      </c>
      <c r="C9061">
        <v>19</v>
      </c>
      <c r="D9061">
        <v>3492</v>
      </c>
      <c r="E9061">
        <v>80292159</v>
      </c>
    </row>
    <row r="9062" spans="1:6" x14ac:dyDescent="0.25">
      <c r="A9062">
        <v>9061</v>
      </c>
      <c r="B9062">
        <v>41</v>
      </c>
      <c r="C9062">
        <v>0</v>
      </c>
      <c r="D9062">
        <v>0</v>
      </c>
      <c r="E9062">
        <v>0</v>
      </c>
      <c r="F9062">
        <v>1</v>
      </c>
    </row>
    <row r="9063" spans="1:6" x14ac:dyDescent="0.25">
      <c r="A9063">
        <v>9062</v>
      </c>
      <c r="B9063">
        <v>42</v>
      </c>
      <c r="C9063">
        <v>0</v>
      </c>
      <c r="D9063">
        <v>0</v>
      </c>
      <c r="E9063">
        <v>0</v>
      </c>
      <c r="F9063">
        <v>0.2</v>
      </c>
    </row>
    <row r="9064" spans="1:6" x14ac:dyDescent="0.25">
      <c r="A9064">
        <v>9063</v>
      </c>
      <c r="B9064" t="s">
        <v>0</v>
      </c>
      <c r="C9064">
        <v>20</v>
      </c>
      <c r="D9064">
        <v>3492</v>
      </c>
      <c r="E9064">
        <v>80292285</v>
      </c>
    </row>
    <row r="9065" spans="1:6" x14ac:dyDescent="0.25">
      <c r="A9065">
        <v>9064</v>
      </c>
      <c r="B9065">
        <v>43</v>
      </c>
      <c r="C9065">
        <v>0</v>
      </c>
      <c r="D9065">
        <v>0</v>
      </c>
      <c r="E9065">
        <v>0</v>
      </c>
      <c r="F9065">
        <v>0</v>
      </c>
    </row>
    <row r="9066" spans="1:6" x14ac:dyDescent="0.25">
      <c r="A9066">
        <v>9065</v>
      </c>
      <c r="B9066">
        <v>44</v>
      </c>
      <c r="C9066">
        <v>0</v>
      </c>
      <c r="D9066">
        <v>0</v>
      </c>
      <c r="E9066">
        <v>0</v>
      </c>
      <c r="F9066">
        <v>-74.217500000000001</v>
      </c>
    </row>
    <row r="9067" spans="1:6" x14ac:dyDescent="0.25">
      <c r="A9067">
        <v>9066</v>
      </c>
      <c r="B9067">
        <v>45</v>
      </c>
      <c r="C9067">
        <v>0</v>
      </c>
      <c r="D9067">
        <v>0</v>
      </c>
      <c r="E9067">
        <v>0</v>
      </c>
      <c r="F9067">
        <v>523.46699999999998</v>
      </c>
    </row>
    <row r="9068" spans="1:6" x14ac:dyDescent="0.25">
      <c r="A9068">
        <v>9067</v>
      </c>
      <c r="B9068">
        <v>46</v>
      </c>
      <c r="C9068">
        <v>0</v>
      </c>
      <c r="D9068">
        <v>0</v>
      </c>
      <c r="E9068">
        <v>0</v>
      </c>
      <c r="F9068">
        <v>0</v>
      </c>
    </row>
    <row r="9069" spans="1:6" x14ac:dyDescent="0.25">
      <c r="A9069">
        <v>9068</v>
      </c>
      <c r="B9069">
        <v>2</v>
      </c>
      <c r="C9069">
        <v>0</v>
      </c>
      <c r="D9069">
        <v>0</v>
      </c>
      <c r="E9069">
        <v>0</v>
      </c>
      <c r="F9069">
        <v>262.88799999999998</v>
      </c>
    </row>
    <row r="9070" spans="1:6" x14ac:dyDescent="0.25">
      <c r="A9070">
        <v>9069</v>
      </c>
      <c r="B9070">
        <v>10</v>
      </c>
      <c r="C9070">
        <v>1</v>
      </c>
      <c r="D9070">
        <v>0</v>
      </c>
      <c r="E9070">
        <v>0</v>
      </c>
      <c r="F9070">
        <v>4276</v>
      </c>
    </row>
    <row r="9071" spans="1:6" x14ac:dyDescent="0.25">
      <c r="A9071">
        <v>9070</v>
      </c>
      <c r="B9071">
        <v>13</v>
      </c>
      <c r="C9071">
        <v>0</v>
      </c>
      <c r="D9071">
        <v>0</v>
      </c>
      <c r="E9071">
        <v>0</v>
      </c>
      <c r="F9071">
        <v>1607</v>
      </c>
    </row>
    <row r="9072" spans="1:6" x14ac:dyDescent="0.25">
      <c r="A9072">
        <v>9071</v>
      </c>
      <c r="B9072" t="s">
        <v>0</v>
      </c>
      <c r="C9072">
        <v>24</v>
      </c>
      <c r="D9072">
        <v>3492</v>
      </c>
      <c r="E9072">
        <v>80292793</v>
      </c>
    </row>
    <row r="9073" spans="1:6" x14ac:dyDescent="0.25">
      <c r="A9073">
        <v>9072</v>
      </c>
      <c r="B9073">
        <v>42</v>
      </c>
      <c r="C9073">
        <v>0</v>
      </c>
      <c r="D9073">
        <v>0</v>
      </c>
      <c r="E9073">
        <v>0</v>
      </c>
      <c r="F9073">
        <v>0.2</v>
      </c>
    </row>
    <row r="9074" spans="1:6" x14ac:dyDescent="0.25">
      <c r="A9074">
        <v>9073</v>
      </c>
      <c r="B9074" t="s">
        <v>0</v>
      </c>
      <c r="C9074">
        <v>25</v>
      </c>
      <c r="D9074">
        <v>3492</v>
      </c>
      <c r="E9074">
        <v>80292920</v>
      </c>
    </row>
    <row r="9075" spans="1:6" x14ac:dyDescent="0.25">
      <c r="A9075">
        <v>9074</v>
      </c>
      <c r="B9075">
        <v>44</v>
      </c>
      <c r="C9075">
        <v>0</v>
      </c>
      <c r="D9075">
        <v>0</v>
      </c>
      <c r="E9075">
        <v>0</v>
      </c>
      <c r="F9075">
        <v>-73.828900000000004</v>
      </c>
    </row>
    <row r="9076" spans="1:6" x14ac:dyDescent="0.25">
      <c r="A9076">
        <v>9075</v>
      </c>
      <c r="B9076" t="s">
        <v>0</v>
      </c>
      <c r="C9076">
        <v>26</v>
      </c>
      <c r="D9076">
        <v>3492</v>
      </c>
      <c r="E9076">
        <v>80293047</v>
      </c>
    </row>
    <row r="9077" spans="1:6" x14ac:dyDescent="0.25">
      <c r="A9077">
        <v>9076</v>
      </c>
      <c r="B9077">
        <v>46</v>
      </c>
      <c r="C9077">
        <v>0</v>
      </c>
      <c r="D9077">
        <v>0</v>
      </c>
      <c r="E9077">
        <v>0</v>
      </c>
      <c r="F9077">
        <v>0</v>
      </c>
    </row>
    <row r="9078" spans="1:6" x14ac:dyDescent="0.25">
      <c r="A9078">
        <v>9077</v>
      </c>
      <c r="B9078" t="s">
        <v>0</v>
      </c>
      <c r="C9078">
        <v>27</v>
      </c>
      <c r="D9078">
        <v>3492</v>
      </c>
      <c r="E9078">
        <v>80293174</v>
      </c>
    </row>
    <row r="9079" spans="1:6" x14ac:dyDescent="0.25">
      <c r="A9079">
        <v>9078</v>
      </c>
      <c r="B9079">
        <v>10</v>
      </c>
      <c r="C9079">
        <v>1</v>
      </c>
      <c r="D9079">
        <v>0</v>
      </c>
      <c r="E9079">
        <v>0</v>
      </c>
      <c r="F9079">
        <v>4281</v>
      </c>
    </row>
    <row r="9080" spans="1:6" x14ac:dyDescent="0.25">
      <c r="A9080">
        <v>9079</v>
      </c>
      <c r="B9080" t="s">
        <v>0</v>
      </c>
      <c r="C9080">
        <v>28</v>
      </c>
      <c r="D9080">
        <v>3492</v>
      </c>
      <c r="E9080">
        <v>80293301</v>
      </c>
    </row>
    <row r="9081" spans="1:6" x14ac:dyDescent="0.25">
      <c r="A9081">
        <v>9080</v>
      </c>
      <c r="B9081">
        <v>13</v>
      </c>
      <c r="C9081">
        <v>0</v>
      </c>
      <c r="D9081">
        <v>0</v>
      </c>
      <c r="E9081">
        <v>0</v>
      </c>
      <c r="F9081">
        <v>1607</v>
      </c>
    </row>
    <row r="9082" spans="1:6" x14ac:dyDescent="0.25">
      <c r="A9082">
        <v>9081</v>
      </c>
      <c r="B9082">
        <v>41</v>
      </c>
      <c r="C9082">
        <v>0</v>
      </c>
      <c r="D9082">
        <v>0</v>
      </c>
      <c r="E9082">
        <v>0</v>
      </c>
      <c r="F9082">
        <v>1</v>
      </c>
    </row>
    <row r="9083" spans="1:6" x14ac:dyDescent="0.25">
      <c r="A9083">
        <v>9082</v>
      </c>
      <c r="B9083" t="s">
        <v>0</v>
      </c>
      <c r="C9083">
        <v>29</v>
      </c>
      <c r="D9083">
        <v>3492</v>
      </c>
      <c r="E9083">
        <v>80293427</v>
      </c>
    </row>
    <row r="9084" spans="1:6" x14ac:dyDescent="0.25">
      <c r="A9084">
        <v>9083</v>
      </c>
      <c r="B9084">
        <v>42</v>
      </c>
      <c r="C9084">
        <v>0</v>
      </c>
      <c r="D9084">
        <v>0</v>
      </c>
      <c r="E9084">
        <v>0</v>
      </c>
      <c r="F9084">
        <v>0.2</v>
      </c>
    </row>
    <row r="9085" spans="1:6" x14ac:dyDescent="0.25">
      <c r="A9085">
        <v>9084</v>
      </c>
      <c r="B9085">
        <v>43</v>
      </c>
      <c r="C9085">
        <v>0</v>
      </c>
      <c r="D9085">
        <v>0</v>
      </c>
      <c r="E9085">
        <v>0</v>
      </c>
      <c r="F9085">
        <v>0</v>
      </c>
    </row>
    <row r="9086" spans="1:6" x14ac:dyDescent="0.25">
      <c r="A9086">
        <v>9085</v>
      </c>
      <c r="B9086" t="s">
        <v>0</v>
      </c>
      <c r="C9086">
        <v>30</v>
      </c>
      <c r="D9086">
        <v>3492</v>
      </c>
      <c r="E9086">
        <v>80293554</v>
      </c>
    </row>
    <row r="9087" spans="1:6" x14ac:dyDescent="0.25">
      <c r="A9087">
        <v>9086</v>
      </c>
      <c r="B9087">
        <v>44</v>
      </c>
      <c r="C9087">
        <v>0</v>
      </c>
      <c r="D9087">
        <v>0</v>
      </c>
      <c r="E9087">
        <v>0</v>
      </c>
      <c r="F9087">
        <v>-73.485500000000002</v>
      </c>
    </row>
    <row r="9088" spans="1:6" x14ac:dyDescent="0.25">
      <c r="A9088">
        <v>9087</v>
      </c>
      <c r="B9088">
        <v>45</v>
      </c>
      <c r="C9088">
        <v>0</v>
      </c>
      <c r="D9088">
        <v>0</v>
      </c>
      <c r="E9088">
        <v>0</v>
      </c>
      <c r="F9088">
        <v>523.36599999999999</v>
      </c>
    </row>
    <row r="9089" spans="1:6" x14ac:dyDescent="0.25">
      <c r="A9089">
        <v>9088</v>
      </c>
      <c r="B9089">
        <v>46</v>
      </c>
      <c r="C9089">
        <v>0</v>
      </c>
      <c r="D9089">
        <v>0</v>
      </c>
      <c r="E9089">
        <v>0</v>
      </c>
      <c r="F9089">
        <v>0</v>
      </c>
    </row>
    <row r="9090" spans="1:6" x14ac:dyDescent="0.25">
      <c r="A9090">
        <v>9089</v>
      </c>
      <c r="B9090">
        <v>2</v>
      </c>
      <c r="C9090">
        <v>0</v>
      </c>
      <c r="D9090">
        <v>0</v>
      </c>
      <c r="E9090">
        <v>0</v>
      </c>
      <c r="F9090">
        <v>262.524</v>
      </c>
    </row>
    <row r="9091" spans="1:6" x14ac:dyDescent="0.25">
      <c r="A9091">
        <v>9090</v>
      </c>
      <c r="B9091">
        <v>10</v>
      </c>
      <c r="C9091">
        <v>1</v>
      </c>
      <c r="D9091">
        <v>0</v>
      </c>
      <c r="E9091">
        <v>0</v>
      </c>
      <c r="F9091">
        <v>4285</v>
      </c>
    </row>
    <row r="9092" spans="1:6" x14ac:dyDescent="0.25">
      <c r="A9092">
        <v>9091</v>
      </c>
      <c r="B9092">
        <v>13</v>
      </c>
      <c r="C9092">
        <v>0</v>
      </c>
      <c r="D9092">
        <v>0</v>
      </c>
      <c r="E9092">
        <v>0</v>
      </c>
      <c r="F9092">
        <v>1607</v>
      </c>
    </row>
    <row r="9093" spans="1:6" x14ac:dyDescent="0.25">
      <c r="A9093">
        <v>9092</v>
      </c>
      <c r="B9093">
        <v>41</v>
      </c>
      <c r="C9093">
        <v>0</v>
      </c>
      <c r="D9093">
        <v>0</v>
      </c>
      <c r="E9093">
        <v>0</v>
      </c>
      <c r="F9093">
        <v>1</v>
      </c>
    </row>
    <row r="9094" spans="1:6" x14ac:dyDescent="0.25">
      <c r="A9094">
        <v>9093</v>
      </c>
      <c r="B9094" t="s">
        <v>0</v>
      </c>
      <c r="C9094">
        <v>34</v>
      </c>
      <c r="D9094">
        <v>3492</v>
      </c>
      <c r="E9094">
        <v>80294062</v>
      </c>
    </row>
    <row r="9095" spans="1:6" x14ac:dyDescent="0.25">
      <c r="A9095">
        <v>9094</v>
      </c>
      <c r="B9095">
        <v>43</v>
      </c>
      <c r="C9095">
        <v>0</v>
      </c>
      <c r="D9095">
        <v>0</v>
      </c>
      <c r="E9095">
        <v>0</v>
      </c>
      <c r="F9095">
        <v>0</v>
      </c>
    </row>
    <row r="9096" spans="1:6" x14ac:dyDescent="0.25">
      <c r="A9096">
        <v>9095</v>
      </c>
      <c r="B9096" t="s">
        <v>0</v>
      </c>
      <c r="C9096">
        <v>35</v>
      </c>
      <c r="D9096">
        <v>3492</v>
      </c>
      <c r="E9096">
        <v>80294189</v>
      </c>
    </row>
    <row r="9097" spans="1:6" x14ac:dyDescent="0.25">
      <c r="A9097">
        <v>9096</v>
      </c>
      <c r="B9097">
        <v>45</v>
      </c>
      <c r="C9097">
        <v>0</v>
      </c>
      <c r="D9097">
        <v>0</v>
      </c>
      <c r="E9097">
        <v>0</v>
      </c>
      <c r="F9097">
        <v>523.30999999999995</v>
      </c>
    </row>
    <row r="9098" spans="1:6" x14ac:dyDescent="0.25">
      <c r="A9098">
        <v>9097</v>
      </c>
      <c r="B9098" t="s">
        <v>0</v>
      </c>
      <c r="C9098">
        <v>36</v>
      </c>
      <c r="D9098">
        <v>3492</v>
      </c>
      <c r="E9098">
        <v>80294316</v>
      </c>
    </row>
    <row r="9099" spans="1:6" x14ac:dyDescent="0.25">
      <c r="A9099">
        <v>9098</v>
      </c>
      <c r="B9099">
        <v>2</v>
      </c>
      <c r="C9099">
        <v>0</v>
      </c>
      <c r="D9099">
        <v>0</v>
      </c>
      <c r="E9099">
        <v>0</v>
      </c>
      <c r="F9099">
        <v>262.34300000000002</v>
      </c>
    </row>
    <row r="9100" spans="1:6" x14ac:dyDescent="0.25">
      <c r="A9100">
        <v>9099</v>
      </c>
      <c r="B9100" t="s">
        <v>0</v>
      </c>
      <c r="C9100">
        <v>37</v>
      </c>
      <c r="D9100">
        <v>3492</v>
      </c>
      <c r="E9100">
        <v>80294442</v>
      </c>
    </row>
    <row r="9101" spans="1:6" x14ac:dyDescent="0.25">
      <c r="A9101">
        <v>9100</v>
      </c>
      <c r="B9101">
        <v>13</v>
      </c>
      <c r="C9101">
        <v>0</v>
      </c>
      <c r="D9101">
        <v>0</v>
      </c>
      <c r="E9101">
        <v>0</v>
      </c>
      <c r="F9101">
        <v>1607</v>
      </c>
    </row>
    <row r="9102" spans="1:6" x14ac:dyDescent="0.25">
      <c r="A9102">
        <v>9101</v>
      </c>
      <c r="B9102" t="s">
        <v>0</v>
      </c>
      <c r="C9102">
        <v>38</v>
      </c>
      <c r="D9102">
        <v>3492</v>
      </c>
      <c r="E9102">
        <v>80294569</v>
      </c>
    </row>
    <row r="9103" spans="1:6" x14ac:dyDescent="0.25">
      <c r="A9103">
        <v>9102</v>
      </c>
      <c r="B9103">
        <v>41</v>
      </c>
      <c r="C9103">
        <v>0</v>
      </c>
      <c r="D9103">
        <v>0</v>
      </c>
      <c r="E9103">
        <v>0</v>
      </c>
      <c r="F9103">
        <v>1</v>
      </c>
    </row>
    <row r="9104" spans="1:6" x14ac:dyDescent="0.25">
      <c r="A9104">
        <v>9103</v>
      </c>
      <c r="B9104">
        <v>42</v>
      </c>
      <c r="C9104">
        <v>0</v>
      </c>
      <c r="D9104">
        <v>0</v>
      </c>
      <c r="E9104">
        <v>0</v>
      </c>
      <c r="F9104">
        <v>0.2</v>
      </c>
    </row>
    <row r="9105" spans="1:6" x14ac:dyDescent="0.25">
      <c r="A9105">
        <v>9104</v>
      </c>
      <c r="B9105" t="s">
        <v>0</v>
      </c>
      <c r="C9105">
        <v>39</v>
      </c>
      <c r="D9105">
        <v>3492</v>
      </c>
      <c r="E9105">
        <v>80294696</v>
      </c>
    </row>
    <row r="9106" spans="1:6" x14ac:dyDescent="0.25">
      <c r="A9106">
        <v>9105</v>
      </c>
      <c r="B9106">
        <v>43</v>
      </c>
      <c r="C9106">
        <v>0</v>
      </c>
      <c r="D9106">
        <v>0</v>
      </c>
      <c r="E9106">
        <v>0</v>
      </c>
      <c r="F9106">
        <v>0</v>
      </c>
    </row>
    <row r="9107" spans="1:6" x14ac:dyDescent="0.25">
      <c r="A9107">
        <v>9106</v>
      </c>
      <c r="B9107">
        <v>44</v>
      </c>
      <c r="C9107">
        <v>0</v>
      </c>
      <c r="D9107">
        <v>0</v>
      </c>
      <c r="E9107">
        <v>0</v>
      </c>
      <c r="F9107">
        <v>-72.877700000000004</v>
      </c>
    </row>
    <row r="9108" spans="1:6" x14ac:dyDescent="0.25">
      <c r="A9108">
        <v>9107</v>
      </c>
      <c r="B9108" t="s">
        <v>0</v>
      </c>
      <c r="C9108">
        <v>40</v>
      </c>
      <c r="D9108">
        <v>3492</v>
      </c>
      <c r="E9108">
        <v>80294823</v>
      </c>
    </row>
    <row r="9109" spans="1:6" x14ac:dyDescent="0.25">
      <c r="A9109">
        <v>9108</v>
      </c>
      <c r="B9109">
        <v>45</v>
      </c>
      <c r="C9109">
        <v>0</v>
      </c>
      <c r="D9109">
        <v>0</v>
      </c>
      <c r="E9109">
        <v>0</v>
      </c>
      <c r="F9109">
        <v>523.25400000000002</v>
      </c>
    </row>
    <row r="9110" spans="1:6" x14ac:dyDescent="0.25">
      <c r="A9110">
        <v>9109</v>
      </c>
      <c r="B9110">
        <v>46</v>
      </c>
      <c r="C9110">
        <v>0</v>
      </c>
      <c r="D9110">
        <v>0</v>
      </c>
      <c r="E9110">
        <v>0</v>
      </c>
      <c r="F9110">
        <v>0</v>
      </c>
    </row>
    <row r="9111" spans="1:6" x14ac:dyDescent="0.25">
      <c r="A9111">
        <v>9110</v>
      </c>
      <c r="B9111">
        <v>2</v>
      </c>
      <c r="C9111">
        <v>0</v>
      </c>
      <c r="D9111">
        <v>0</v>
      </c>
      <c r="E9111">
        <v>0</v>
      </c>
      <c r="F9111">
        <v>262.14999999999998</v>
      </c>
    </row>
    <row r="9112" spans="1:6" x14ac:dyDescent="0.25">
      <c r="A9112">
        <v>9111</v>
      </c>
      <c r="B9112">
        <v>10</v>
      </c>
      <c r="C9112">
        <v>1</v>
      </c>
      <c r="D9112">
        <v>0</v>
      </c>
      <c r="E9112">
        <v>0</v>
      </c>
      <c r="F9112">
        <v>4294</v>
      </c>
    </row>
    <row r="9113" spans="1:6" x14ac:dyDescent="0.25">
      <c r="A9113">
        <v>9112</v>
      </c>
      <c r="B9113">
        <v>13</v>
      </c>
      <c r="C9113">
        <v>0</v>
      </c>
      <c r="D9113">
        <v>0</v>
      </c>
      <c r="E9113">
        <v>0</v>
      </c>
      <c r="F9113">
        <v>1607</v>
      </c>
    </row>
    <row r="9114" spans="1:6" x14ac:dyDescent="0.25">
      <c r="A9114">
        <v>9113</v>
      </c>
      <c r="B9114">
        <v>41</v>
      </c>
      <c r="C9114">
        <v>0</v>
      </c>
      <c r="D9114">
        <v>0</v>
      </c>
      <c r="E9114">
        <v>0</v>
      </c>
      <c r="F9114">
        <v>1</v>
      </c>
    </row>
    <row r="9115" spans="1:6" x14ac:dyDescent="0.25">
      <c r="A9115">
        <v>9114</v>
      </c>
      <c r="B9115">
        <v>42</v>
      </c>
      <c r="C9115">
        <v>0</v>
      </c>
      <c r="D9115">
        <v>0</v>
      </c>
      <c r="E9115">
        <v>0</v>
      </c>
      <c r="F9115">
        <v>0.2</v>
      </c>
    </row>
    <row r="9116" spans="1:6" x14ac:dyDescent="0.25">
      <c r="A9116">
        <v>9115</v>
      </c>
      <c r="B9116">
        <v>43</v>
      </c>
      <c r="C9116">
        <v>0</v>
      </c>
      <c r="D9116">
        <v>0</v>
      </c>
      <c r="E9116">
        <v>0</v>
      </c>
      <c r="F9116">
        <v>0</v>
      </c>
    </row>
    <row r="9117" spans="1:6" x14ac:dyDescent="0.25">
      <c r="A9117">
        <v>9116</v>
      </c>
      <c r="B9117">
        <v>44</v>
      </c>
      <c r="C9117">
        <v>0</v>
      </c>
      <c r="D9117">
        <v>0</v>
      </c>
      <c r="E9117">
        <v>0</v>
      </c>
      <c r="F9117">
        <v>-72.537400000000005</v>
      </c>
    </row>
    <row r="9118" spans="1:6" x14ac:dyDescent="0.25">
      <c r="A9118">
        <v>9117</v>
      </c>
      <c r="B9118" t="s">
        <v>0</v>
      </c>
      <c r="C9118">
        <v>45</v>
      </c>
      <c r="D9118">
        <v>3492</v>
      </c>
      <c r="E9118">
        <v>80295459</v>
      </c>
    </row>
    <row r="9119" spans="1:6" x14ac:dyDescent="0.25">
      <c r="A9119">
        <v>9118</v>
      </c>
      <c r="B9119">
        <v>46</v>
      </c>
      <c r="C9119">
        <v>0</v>
      </c>
      <c r="D9119">
        <v>0</v>
      </c>
      <c r="E9119">
        <v>0</v>
      </c>
      <c r="F9119">
        <v>0</v>
      </c>
    </row>
    <row r="9120" spans="1:6" x14ac:dyDescent="0.25">
      <c r="A9120">
        <v>9119</v>
      </c>
      <c r="B9120" t="s">
        <v>0</v>
      </c>
      <c r="C9120">
        <v>46</v>
      </c>
      <c r="D9120">
        <v>3492</v>
      </c>
      <c r="E9120">
        <v>80295586</v>
      </c>
    </row>
    <row r="9121" spans="1:6" x14ac:dyDescent="0.25">
      <c r="A9121">
        <v>9120</v>
      </c>
      <c r="B9121">
        <v>10</v>
      </c>
      <c r="C9121">
        <v>1</v>
      </c>
      <c r="D9121">
        <v>0</v>
      </c>
      <c r="E9121">
        <v>0</v>
      </c>
      <c r="F9121">
        <v>4297</v>
      </c>
    </row>
    <row r="9122" spans="1:6" x14ac:dyDescent="0.25">
      <c r="A9122">
        <v>9121</v>
      </c>
      <c r="B9122" t="s">
        <v>0</v>
      </c>
      <c r="C9122">
        <v>47</v>
      </c>
      <c r="D9122">
        <v>3492</v>
      </c>
      <c r="E9122">
        <v>80295713</v>
      </c>
    </row>
    <row r="9123" spans="1:6" x14ac:dyDescent="0.25">
      <c r="A9123">
        <v>9122</v>
      </c>
      <c r="B9123">
        <v>41</v>
      </c>
      <c r="C9123">
        <v>0</v>
      </c>
      <c r="D9123">
        <v>0</v>
      </c>
      <c r="E9123">
        <v>0</v>
      </c>
      <c r="F9123">
        <v>1</v>
      </c>
    </row>
    <row r="9124" spans="1:6" x14ac:dyDescent="0.25">
      <c r="A9124">
        <v>9123</v>
      </c>
      <c r="B9124" t="s">
        <v>0</v>
      </c>
      <c r="C9124">
        <v>48</v>
      </c>
      <c r="D9124">
        <v>3492</v>
      </c>
      <c r="E9124">
        <v>80295840</v>
      </c>
    </row>
    <row r="9125" spans="1:6" x14ac:dyDescent="0.25">
      <c r="A9125">
        <v>9124</v>
      </c>
      <c r="B9125">
        <v>43</v>
      </c>
      <c r="C9125">
        <v>0</v>
      </c>
      <c r="D9125">
        <v>0</v>
      </c>
      <c r="E9125">
        <v>0</v>
      </c>
      <c r="F9125">
        <v>0</v>
      </c>
    </row>
    <row r="9126" spans="1:6" x14ac:dyDescent="0.25">
      <c r="A9126">
        <v>9125</v>
      </c>
      <c r="B9126" t="s">
        <v>0</v>
      </c>
      <c r="C9126">
        <v>49</v>
      </c>
      <c r="D9126">
        <v>3492</v>
      </c>
      <c r="E9126">
        <v>80295968</v>
      </c>
    </row>
    <row r="9127" spans="1:6" x14ac:dyDescent="0.25">
      <c r="A9127">
        <v>9126</v>
      </c>
      <c r="B9127">
        <v>44</v>
      </c>
      <c r="C9127">
        <v>0</v>
      </c>
      <c r="D9127">
        <v>0</v>
      </c>
      <c r="E9127">
        <v>0</v>
      </c>
      <c r="F9127">
        <v>-72.196399999999997</v>
      </c>
    </row>
    <row r="9128" spans="1:6" x14ac:dyDescent="0.25">
      <c r="A9128">
        <v>9127</v>
      </c>
      <c r="B9128">
        <v>45</v>
      </c>
      <c r="C9128">
        <v>0</v>
      </c>
      <c r="D9128">
        <v>0</v>
      </c>
      <c r="E9128">
        <v>0</v>
      </c>
      <c r="F9128">
        <v>523.154</v>
      </c>
    </row>
    <row r="9129" spans="1:6" x14ac:dyDescent="0.25">
      <c r="A9129">
        <v>9128</v>
      </c>
      <c r="B9129" t="s">
        <v>0</v>
      </c>
      <c r="C9129">
        <v>50</v>
      </c>
      <c r="D9129">
        <v>3492</v>
      </c>
      <c r="E9129">
        <v>80296095</v>
      </c>
    </row>
    <row r="9130" spans="1:6" x14ac:dyDescent="0.25">
      <c r="A9130">
        <v>9129</v>
      </c>
      <c r="B9130">
        <v>46</v>
      </c>
      <c r="C9130">
        <v>0</v>
      </c>
      <c r="D9130">
        <v>0</v>
      </c>
      <c r="E9130">
        <v>0</v>
      </c>
      <c r="F9130">
        <v>0</v>
      </c>
    </row>
    <row r="9131" spans="1:6" x14ac:dyDescent="0.25">
      <c r="A9131">
        <v>9130</v>
      </c>
      <c r="B9131">
        <v>2</v>
      </c>
      <c r="C9131">
        <v>0</v>
      </c>
      <c r="D9131">
        <v>0</v>
      </c>
      <c r="E9131">
        <v>0</v>
      </c>
      <c r="F9131">
        <v>261.83100000000002</v>
      </c>
    </row>
    <row r="9132" spans="1:6" x14ac:dyDescent="0.25">
      <c r="A9132">
        <v>9131</v>
      </c>
      <c r="B9132" t="s">
        <v>0</v>
      </c>
      <c r="C9132">
        <v>51</v>
      </c>
      <c r="D9132">
        <v>3492</v>
      </c>
      <c r="E9132">
        <v>80296222</v>
      </c>
    </row>
    <row r="9133" spans="1:6" x14ac:dyDescent="0.25">
      <c r="A9133">
        <v>9132</v>
      </c>
      <c r="B9133">
        <v>10</v>
      </c>
      <c r="C9133">
        <v>1</v>
      </c>
      <c r="D9133">
        <v>0</v>
      </c>
      <c r="E9133">
        <v>0</v>
      </c>
      <c r="F9133">
        <v>4302</v>
      </c>
    </row>
    <row r="9134" spans="1:6" x14ac:dyDescent="0.25">
      <c r="A9134">
        <v>9133</v>
      </c>
      <c r="B9134">
        <v>13</v>
      </c>
      <c r="C9134">
        <v>0</v>
      </c>
      <c r="D9134">
        <v>0</v>
      </c>
      <c r="E9134">
        <v>0</v>
      </c>
      <c r="F9134">
        <v>1607</v>
      </c>
    </row>
    <row r="9135" spans="1:6" x14ac:dyDescent="0.25">
      <c r="A9135">
        <v>9134</v>
      </c>
      <c r="B9135">
        <v>41</v>
      </c>
      <c r="C9135">
        <v>0</v>
      </c>
      <c r="D9135">
        <v>0</v>
      </c>
      <c r="E9135">
        <v>0</v>
      </c>
      <c r="F9135">
        <v>1</v>
      </c>
    </row>
    <row r="9136" spans="1:6" x14ac:dyDescent="0.25">
      <c r="A9136">
        <v>9135</v>
      </c>
      <c r="B9136">
        <v>42</v>
      </c>
      <c r="C9136">
        <v>0</v>
      </c>
      <c r="D9136">
        <v>0</v>
      </c>
      <c r="E9136">
        <v>0</v>
      </c>
      <c r="F9136">
        <v>0.2</v>
      </c>
    </row>
    <row r="9137" spans="1:6" x14ac:dyDescent="0.25">
      <c r="A9137">
        <v>9136</v>
      </c>
      <c r="B9137">
        <v>43</v>
      </c>
      <c r="C9137">
        <v>0</v>
      </c>
      <c r="D9137">
        <v>0</v>
      </c>
      <c r="E9137">
        <v>0</v>
      </c>
      <c r="F9137">
        <v>0</v>
      </c>
    </row>
    <row r="9138" spans="1:6" x14ac:dyDescent="0.25">
      <c r="A9138">
        <v>9137</v>
      </c>
      <c r="B9138">
        <v>44</v>
      </c>
      <c r="C9138">
        <v>0</v>
      </c>
      <c r="D9138">
        <v>0</v>
      </c>
      <c r="E9138">
        <v>0</v>
      </c>
      <c r="F9138">
        <v>-71.930599999999998</v>
      </c>
    </row>
    <row r="9139" spans="1:6" x14ac:dyDescent="0.25">
      <c r="A9139">
        <v>9138</v>
      </c>
      <c r="B9139">
        <v>45</v>
      </c>
      <c r="C9139">
        <v>0</v>
      </c>
      <c r="D9139">
        <v>0</v>
      </c>
      <c r="E9139">
        <v>0</v>
      </c>
      <c r="F9139">
        <v>523.09900000000005</v>
      </c>
    </row>
    <row r="9140" spans="1:6" x14ac:dyDescent="0.25">
      <c r="A9140">
        <v>9139</v>
      </c>
      <c r="B9140">
        <v>46</v>
      </c>
      <c r="C9140">
        <v>0</v>
      </c>
      <c r="D9140">
        <v>0</v>
      </c>
      <c r="E9140">
        <v>0</v>
      </c>
      <c r="F9140">
        <v>0</v>
      </c>
    </row>
    <row r="9141" spans="1:6" x14ac:dyDescent="0.25">
      <c r="A9141">
        <v>9140</v>
      </c>
      <c r="B9141">
        <v>2</v>
      </c>
      <c r="C9141">
        <v>0</v>
      </c>
      <c r="D9141">
        <v>0</v>
      </c>
      <c r="E9141">
        <v>0</v>
      </c>
      <c r="F9141">
        <v>261.661</v>
      </c>
    </row>
    <row r="9142" spans="1:6" x14ac:dyDescent="0.25">
      <c r="A9142">
        <v>9141</v>
      </c>
      <c r="B9142" t="s">
        <v>0</v>
      </c>
      <c r="C9142">
        <v>56</v>
      </c>
      <c r="D9142">
        <v>3492</v>
      </c>
      <c r="E9142">
        <v>80296858</v>
      </c>
    </row>
    <row r="9143" spans="1:6" x14ac:dyDescent="0.25">
      <c r="A9143">
        <v>9142</v>
      </c>
      <c r="B9143">
        <v>13</v>
      </c>
      <c r="C9143">
        <v>0</v>
      </c>
      <c r="D9143">
        <v>0</v>
      </c>
      <c r="E9143">
        <v>0</v>
      </c>
      <c r="F9143">
        <v>1607</v>
      </c>
    </row>
    <row r="9144" spans="1:6" x14ac:dyDescent="0.25">
      <c r="A9144">
        <v>9143</v>
      </c>
      <c r="B9144" t="s">
        <v>0</v>
      </c>
      <c r="C9144">
        <v>57</v>
      </c>
      <c r="D9144">
        <v>3492</v>
      </c>
      <c r="E9144">
        <v>80296985</v>
      </c>
    </row>
    <row r="9145" spans="1:6" x14ac:dyDescent="0.25">
      <c r="A9145">
        <v>9144</v>
      </c>
      <c r="B9145">
        <v>42</v>
      </c>
      <c r="C9145">
        <v>0</v>
      </c>
      <c r="D9145">
        <v>0</v>
      </c>
      <c r="E9145">
        <v>0</v>
      </c>
      <c r="F9145">
        <v>0.2</v>
      </c>
    </row>
    <row r="9146" spans="1:6" x14ac:dyDescent="0.25">
      <c r="A9146">
        <v>9145</v>
      </c>
      <c r="B9146" t="s">
        <v>0</v>
      </c>
      <c r="C9146">
        <v>58</v>
      </c>
      <c r="D9146">
        <v>3492</v>
      </c>
      <c r="E9146">
        <v>80297112</v>
      </c>
    </row>
    <row r="9147" spans="1:6" x14ac:dyDescent="0.25">
      <c r="A9147">
        <v>9146</v>
      </c>
      <c r="B9147">
        <v>44</v>
      </c>
      <c r="C9147">
        <v>0</v>
      </c>
      <c r="D9147">
        <v>0</v>
      </c>
      <c r="E9147">
        <v>0</v>
      </c>
      <c r="F9147">
        <v>-71.610299999999995</v>
      </c>
    </row>
    <row r="9148" spans="1:6" x14ac:dyDescent="0.25">
      <c r="A9148">
        <v>9147</v>
      </c>
      <c r="B9148" t="s">
        <v>0</v>
      </c>
      <c r="C9148">
        <v>59</v>
      </c>
      <c r="D9148">
        <v>3492</v>
      </c>
      <c r="E9148">
        <v>80297239</v>
      </c>
    </row>
    <row r="9149" spans="1:6" x14ac:dyDescent="0.25">
      <c r="A9149">
        <v>9148</v>
      </c>
      <c r="B9149">
        <v>46</v>
      </c>
      <c r="C9149">
        <v>0</v>
      </c>
      <c r="D9149">
        <v>0</v>
      </c>
      <c r="E9149">
        <v>0</v>
      </c>
      <c r="F9149">
        <v>0</v>
      </c>
    </row>
    <row r="9150" spans="1:6" x14ac:dyDescent="0.25">
      <c r="A9150">
        <v>9149</v>
      </c>
      <c r="B9150" t="s">
        <v>0</v>
      </c>
      <c r="C9150">
        <v>60</v>
      </c>
      <c r="D9150">
        <v>3492</v>
      </c>
      <c r="E9150">
        <v>80297366</v>
      </c>
    </row>
    <row r="9151" spans="1:6" x14ac:dyDescent="0.25">
      <c r="A9151">
        <v>9150</v>
      </c>
      <c r="B9151">
        <v>2</v>
      </c>
      <c r="C9151">
        <v>0</v>
      </c>
      <c r="D9151">
        <v>0</v>
      </c>
      <c r="E9151">
        <v>0</v>
      </c>
      <c r="F9151">
        <v>261.49</v>
      </c>
    </row>
    <row r="9152" spans="1:6" x14ac:dyDescent="0.25">
      <c r="A9152">
        <v>9151</v>
      </c>
      <c r="B9152">
        <v>10</v>
      </c>
      <c r="C9152">
        <v>1</v>
      </c>
      <c r="D9152">
        <v>0</v>
      </c>
      <c r="E9152">
        <v>0</v>
      </c>
      <c r="F9152">
        <v>4310</v>
      </c>
    </row>
    <row r="9153" spans="1:6" x14ac:dyDescent="0.25">
      <c r="A9153">
        <v>9152</v>
      </c>
      <c r="B9153" t="s">
        <v>0</v>
      </c>
      <c r="C9153">
        <v>61</v>
      </c>
      <c r="D9153">
        <v>3492</v>
      </c>
      <c r="E9153">
        <v>80297493</v>
      </c>
    </row>
    <row r="9154" spans="1:6" x14ac:dyDescent="0.25">
      <c r="A9154">
        <v>9153</v>
      </c>
      <c r="B9154">
        <v>13</v>
      </c>
      <c r="C9154">
        <v>0</v>
      </c>
      <c r="D9154">
        <v>0</v>
      </c>
      <c r="E9154">
        <v>0</v>
      </c>
      <c r="F9154">
        <v>1607</v>
      </c>
    </row>
    <row r="9155" spans="1:6" x14ac:dyDescent="0.25">
      <c r="A9155">
        <v>9154</v>
      </c>
      <c r="B9155">
        <v>41</v>
      </c>
      <c r="C9155">
        <v>0</v>
      </c>
      <c r="D9155">
        <v>0</v>
      </c>
      <c r="E9155">
        <v>0</v>
      </c>
      <c r="F9155">
        <v>1</v>
      </c>
    </row>
    <row r="9156" spans="1:6" x14ac:dyDescent="0.25">
      <c r="A9156">
        <v>9155</v>
      </c>
      <c r="B9156" t="s">
        <v>0</v>
      </c>
      <c r="C9156">
        <v>62</v>
      </c>
      <c r="D9156">
        <v>3492</v>
      </c>
      <c r="E9156">
        <v>80297621</v>
      </c>
    </row>
    <row r="9157" spans="1:6" x14ac:dyDescent="0.25">
      <c r="A9157">
        <v>9156</v>
      </c>
      <c r="B9157">
        <v>42</v>
      </c>
      <c r="C9157">
        <v>0</v>
      </c>
      <c r="D9157">
        <v>0</v>
      </c>
      <c r="E9157">
        <v>0</v>
      </c>
      <c r="F9157">
        <v>0.2</v>
      </c>
    </row>
    <row r="9158" spans="1:6" x14ac:dyDescent="0.25">
      <c r="A9158">
        <v>9157</v>
      </c>
      <c r="B9158">
        <v>43</v>
      </c>
      <c r="C9158">
        <v>0</v>
      </c>
      <c r="D9158">
        <v>0</v>
      </c>
      <c r="E9158">
        <v>0</v>
      </c>
      <c r="F9158">
        <v>0</v>
      </c>
    </row>
    <row r="9159" spans="1:6" x14ac:dyDescent="0.25">
      <c r="A9159">
        <v>9158</v>
      </c>
      <c r="B9159">
        <v>44</v>
      </c>
      <c r="C9159">
        <v>0</v>
      </c>
      <c r="D9159">
        <v>0</v>
      </c>
      <c r="E9159">
        <v>0</v>
      </c>
      <c r="F9159">
        <v>-71.255499999999998</v>
      </c>
    </row>
    <row r="9160" spans="1:6" x14ac:dyDescent="0.25">
      <c r="A9160">
        <v>9159</v>
      </c>
      <c r="B9160">
        <v>45</v>
      </c>
      <c r="C9160">
        <v>0</v>
      </c>
      <c r="D9160">
        <v>0</v>
      </c>
      <c r="E9160">
        <v>0</v>
      </c>
      <c r="F9160">
        <v>523</v>
      </c>
    </row>
    <row r="9161" spans="1:6" x14ac:dyDescent="0.25">
      <c r="A9161">
        <v>9160</v>
      </c>
      <c r="B9161">
        <v>46</v>
      </c>
      <c r="C9161">
        <v>0</v>
      </c>
      <c r="D9161">
        <v>0</v>
      </c>
      <c r="E9161">
        <v>0</v>
      </c>
      <c r="F9161">
        <v>0</v>
      </c>
    </row>
    <row r="9162" spans="1:6" x14ac:dyDescent="0.25">
      <c r="A9162">
        <v>9161</v>
      </c>
      <c r="B9162">
        <v>2</v>
      </c>
      <c r="C9162">
        <v>0</v>
      </c>
      <c r="D9162">
        <v>0</v>
      </c>
      <c r="E9162">
        <v>0</v>
      </c>
      <c r="F9162">
        <v>261.339</v>
      </c>
    </row>
    <row r="9163" spans="1:6" x14ac:dyDescent="0.25">
      <c r="A9163">
        <v>9162</v>
      </c>
      <c r="B9163">
        <v>10</v>
      </c>
      <c r="C9163">
        <v>1</v>
      </c>
      <c r="D9163">
        <v>0</v>
      </c>
      <c r="E9163">
        <v>0</v>
      </c>
      <c r="F9163">
        <v>4315</v>
      </c>
    </row>
    <row r="9164" spans="1:6" x14ac:dyDescent="0.25">
      <c r="A9164">
        <v>9163</v>
      </c>
      <c r="B9164">
        <v>13</v>
      </c>
      <c r="C9164">
        <v>0</v>
      </c>
      <c r="D9164">
        <v>0</v>
      </c>
      <c r="E9164">
        <v>0</v>
      </c>
      <c r="F9164">
        <v>1607</v>
      </c>
    </row>
    <row r="9165" spans="1:6" x14ac:dyDescent="0.25">
      <c r="A9165">
        <v>9164</v>
      </c>
      <c r="B9165">
        <v>41</v>
      </c>
      <c r="C9165">
        <v>0</v>
      </c>
      <c r="D9165">
        <v>0</v>
      </c>
      <c r="E9165">
        <v>0</v>
      </c>
      <c r="F9165">
        <v>1</v>
      </c>
    </row>
    <row r="9166" spans="1:6" x14ac:dyDescent="0.25">
      <c r="A9166">
        <v>9165</v>
      </c>
      <c r="B9166" t="s">
        <v>0</v>
      </c>
      <c r="C9166">
        <v>67</v>
      </c>
      <c r="D9166">
        <v>3492</v>
      </c>
      <c r="E9166">
        <v>80298260</v>
      </c>
    </row>
    <row r="9167" spans="1:6" x14ac:dyDescent="0.25">
      <c r="A9167">
        <v>9166</v>
      </c>
      <c r="B9167">
        <v>43</v>
      </c>
      <c r="C9167">
        <v>0</v>
      </c>
      <c r="D9167">
        <v>0</v>
      </c>
      <c r="E9167">
        <v>0</v>
      </c>
      <c r="F9167">
        <v>0</v>
      </c>
    </row>
    <row r="9168" spans="1:6" x14ac:dyDescent="0.25">
      <c r="A9168">
        <v>9167</v>
      </c>
      <c r="B9168" t="s">
        <v>0</v>
      </c>
      <c r="C9168">
        <v>68</v>
      </c>
      <c r="D9168">
        <v>3492</v>
      </c>
      <c r="E9168">
        <v>80298387</v>
      </c>
    </row>
    <row r="9169" spans="1:6" x14ac:dyDescent="0.25">
      <c r="A9169">
        <v>9168</v>
      </c>
      <c r="B9169">
        <v>45</v>
      </c>
      <c r="C9169">
        <v>0</v>
      </c>
      <c r="D9169">
        <v>0</v>
      </c>
      <c r="E9169">
        <v>0</v>
      </c>
      <c r="F9169">
        <v>522.94600000000003</v>
      </c>
    </row>
    <row r="9170" spans="1:6" x14ac:dyDescent="0.25">
      <c r="A9170">
        <v>9169</v>
      </c>
      <c r="B9170" t="s">
        <v>0</v>
      </c>
      <c r="C9170">
        <v>69</v>
      </c>
      <c r="D9170">
        <v>3492</v>
      </c>
      <c r="E9170">
        <v>80298514</v>
      </c>
    </row>
    <row r="9171" spans="1:6" x14ac:dyDescent="0.25">
      <c r="A9171">
        <v>9170</v>
      </c>
      <c r="B9171">
        <v>2</v>
      </c>
      <c r="C9171">
        <v>0</v>
      </c>
      <c r="D9171">
        <v>0</v>
      </c>
      <c r="E9171">
        <v>0</v>
      </c>
      <c r="F9171">
        <v>261.18900000000002</v>
      </c>
    </row>
    <row r="9172" spans="1:6" x14ac:dyDescent="0.25">
      <c r="A9172">
        <v>9171</v>
      </c>
      <c r="B9172" t="s">
        <v>0</v>
      </c>
      <c r="C9172">
        <v>70</v>
      </c>
      <c r="D9172">
        <v>3492</v>
      </c>
      <c r="E9172">
        <v>80298641</v>
      </c>
    </row>
    <row r="9173" spans="1:6" x14ac:dyDescent="0.25">
      <c r="A9173">
        <v>9172</v>
      </c>
      <c r="B9173">
        <v>13</v>
      </c>
      <c r="C9173">
        <v>0</v>
      </c>
      <c r="D9173">
        <v>0</v>
      </c>
      <c r="E9173">
        <v>0</v>
      </c>
      <c r="F9173">
        <v>1607</v>
      </c>
    </row>
    <row r="9174" spans="1:6" x14ac:dyDescent="0.25">
      <c r="A9174">
        <v>9173</v>
      </c>
      <c r="B9174" t="s">
        <v>0</v>
      </c>
      <c r="C9174">
        <v>71</v>
      </c>
      <c r="D9174">
        <v>3492</v>
      </c>
      <c r="E9174">
        <v>80298768</v>
      </c>
    </row>
    <row r="9175" spans="1:6" x14ac:dyDescent="0.25">
      <c r="A9175">
        <v>9174</v>
      </c>
      <c r="B9175">
        <v>41</v>
      </c>
      <c r="C9175">
        <v>0</v>
      </c>
      <c r="D9175">
        <v>0</v>
      </c>
      <c r="E9175">
        <v>0</v>
      </c>
      <c r="F9175">
        <v>1</v>
      </c>
    </row>
    <row r="9176" spans="1:6" x14ac:dyDescent="0.25">
      <c r="A9176">
        <v>9175</v>
      </c>
      <c r="B9176">
        <v>42</v>
      </c>
      <c r="C9176">
        <v>0</v>
      </c>
      <c r="D9176">
        <v>0</v>
      </c>
      <c r="E9176">
        <v>0</v>
      </c>
      <c r="F9176">
        <v>0.2</v>
      </c>
    </row>
    <row r="9177" spans="1:6" x14ac:dyDescent="0.25">
      <c r="A9177">
        <v>9176</v>
      </c>
      <c r="B9177" t="s">
        <v>0</v>
      </c>
      <c r="C9177">
        <v>72</v>
      </c>
      <c r="D9177">
        <v>3492</v>
      </c>
      <c r="E9177">
        <v>80298896</v>
      </c>
    </row>
    <row r="9178" spans="1:6" x14ac:dyDescent="0.25">
      <c r="A9178">
        <v>9177</v>
      </c>
      <c r="B9178">
        <v>43</v>
      </c>
      <c r="C9178">
        <v>0</v>
      </c>
      <c r="D9178">
        <v>0</v>
      </c>
      <c r="E9178">
        <v>0</v>
      </c>
      <c r="F9178">
        <v>0</v>
      </c>
    </row>
    <row r="9179" spans="1:6" x14ac:dyDescent="0.25">
      <c r="A9179">
        <v>9178</v>
      </c>
      <c r="B9179">
        <v>44</v>
      </c>
      <c r="C9179">
        <v>0</v>
      </c>
      <c r="D9179">
        <v>0</v>
      </c>
      <c r="E9179">
        <v>0</v>
      </c>
      <c r="F9179">
        <v>-70.682100000000005</v>
      </c>
    </row>
    <row r="9180" spans="1:6" x14ac:dyDescent="0.25">
      <c r="A9180">
        <v>9179</v>
      </c>
      <c r="B9180" t="s">
        <v>0</v>
      </c>
      <c r="C9180">
        <v>73</v>
      </c>
      <c r="D9180">
        <v>3492</v>
      </c>
      <c r="E9180">
        <v>80299024</v>
      </c>
    </row>
    <row r="9181" spans="1:6" x14ac:dyDescent="0.25">
      <c r="A9181">
        <v>9180</v>
      </c>
      <c r="B9181">
        <v>45</v>
      </c>
      <c r="C9181">
        <v>0</v>
      </c>
      <c r="D9181">
        <v>0</v>
      </c>
      <c r="E9181">
        <v>0</v>
      </c>
      <c r="F9181">
        <v>522.89200000000005</v>
      </c>
    </row>
    <row r="9182" spans="1:6" x14ac:dyDescent="0.25">
      <c r="A9182">
        <v>9181</v>
      </c>
      <c r="B9182">
        <v>46</v>
      </c>
      <c r="C9182">
        <v>0</v>
      </c>
      <c r="D9182">
        <v>0</v>
      </c>
      <c r="E9182">
        <v>0</v>
      </c>
      <c r="F9182">
        <v>0</v>
      </c>
    </row>
    <row r="9183" spans="1:6" x14ac:dyDescent="0.25">
      <c r="A9183">
        <v>9182</v>
      </c>
      <c r="B9183">
        <v>2</v>
      </c>
      <c r="C9183">
        <v>0</v>
      </c>
      <c r="D9183">
        <v>0</v>
      </c>
      <c r="E9183">
        <v>0</v>
      </c>
      <c r="F9183">
        <v>260.99599999999998</v>
      </c>
    </row>
    <row r="9184" spans="1:6" x14ac:dyDescent="0.25">
      <c r="A9184">
        <v>9183</v>
      </c>
      <c r="B9184">
        <v>10</v>
      </c>
      <c r="C9184">
        <v>1</v>
      </c>
      <c r="D9184">
        <v>0</v>
      </c>
      <c r="E9184">
        <v>0</v>
      </c>
      <c r="F9184">
        <v>4322</v>
      </c>
    </row>
    <row r="9185" spans="1:6" x14ac:dyDescent="0.25">
      <c r="A9185">
        <v>9184</v>
      </c>
      <c r="B9185">
        <v>13</v>
      </c>
      <c r="C9185">
        <v>0</v>
      </c>
      <c r="D9185">
        <v>0</v>
      </c>
      <c r="E9185">
        <v>0</v>
      </c>
      <c r="F9185">
        <v>1607</v>
      </c>
    </row>
    <row r="9186" spans="1:6" x14ac:dyDescent="0.25">
      <c r="A9186">
        <v>9185</v>
      </c>
      <c r="B9186">
        <v>41</v>
      </c>
      <c r="C9186">
        <v>0</v>
      </c>
      <c r="D9186">
        <v>0</v>
      </c>
      <c r="E9186">
        <v>0</v>
      </c>
      <c r="F9186">
        <v>1</v>
      </c>
    </row>
    <row r="9187" spans="1:6" x14ac:dyDescent="0.25">
      <c r="A9187">
        <v>9186</v>
      </c>
      <c r="B9187">
        <v>42</v>
      </c>
      <c r="C9187">
        <v>0</v>
      </c>
      <c r="D9187">
        <v>0</v>
      </c>
      <c r="E9187">
        <v>0</v>
      </c>
      <c r="F9187">
        <v>0.2</v>
      </c>
    </row>
    <row r="9188" spans="1:6" x14ac:dyDescent="0.25">
      <c r="A9188">
        <v>9187</v>
      </c>
      <c r="B9188">
        <v>43</v>
      </c>
      <c r="C9188">
        <v>0</v>
      </c>
      <c r="D9188">
        <v>0</v>
      </c>
      <c r="E9188">
        <v>0</v>
      </c>
      <c r="F9188">
        <v>0</v>
      </c>
    </row>
    <row r="9189" spans="1:6" x14ac:dyDescent="0.25">
      <c r="A9189">
        <v>9188</v>
      </c>
      <c r="B9189">
        <v>44</v>
      </c>
      <c r="C9189">
        <v>0</v>
      </c>
      <c r="D9189">
        <v>0</v>
      </c>
      <c r="E9189">
        <v>0</v>
      </c>
      <c r="F9189">
        <v>-70.324200000000005</v>
      </c>
    </row>
    <row r="9190" spans="1:6" x14ac:dyDescent="0.25">
      <c r="A9190">
        <v>9189</v>
      </c>
      <c r="B9190" t="s">
        <v>0</v>
      </c>
      <c r="C9190">
        <v>78</v>
      </c>
      <c r="D9190">
        <v>3492</v>
      </c>
      <c r="E9190">
        <v>80299661</v>
      </c>
    </row>
    <row r="9191" spans="1:6" x14ac:dyDescent="0.25">
      <c r="A9191">
        <v>9190</v>
      </c>
      <c r="B9191">
        <v>46</v>
      </c>
      <c r="C9191">
        <v>0</v>
      </c>
      <c r="D9191">
        <v>0</v>
      </c>
      <c r="E9191">
        <v>0</v>
      </c>
      <c r="F9191">
        <v>0</v>
      </c>
    </row>
    <row r="9192" spans="1:6" x14ac:dyDescent="0.25">
      <c r="A9192">
        <v>9191</v>
      </c>
      <c r="B9192" t="s">
        <v>0</v>
      </c>
      <c r="C9192">
        <v>79</v>
      </c>
      <c r="D9192">
        <v>3492</v>
      </c>
      <c r="E9192">
        <v>80299789</v>
      </c>
    </row>
    <row r="9193" spans="1:6" x14ac:dyDescent="0.25">
      <c r="A9193">
        <v>9192</v>
      </c>
      <c r="B9193">
        <v>10</v>
      </c>
      <c r="C9193">
        <v>1</v>
      </c>
      <c r="D9193">
        <v>0</v>
      </c>
      <c r="E9193">
        <v>0</v>
      </c>
      <c r="F9193">
        <v>4327</v>
      </c>
    </row>
    <row r="9194" spans="1:6" x14ac:dyDescent="0.25">
      <c r="A9194">
        <v>9193</v>
      </c>
      <c r="B9194" t="s">
        <v>0</v>
      </c>
      <c r="C9194">
        <v>80</v>
      </c>
      <c r="D9194">
        <v>3492</v>
      </c>
      <c r="E9194">
        <v>80299917</v>
      </c>
    </row>
    <row r="9195" spans="1:6" x14ac:dyDescent="0.25">
      <c r="A9195">
        <v>9194</v>
      </c>
      <c r="B9195">
        <v>41</v>
      </c>
      <c r="C9195">
        <v>0</v>
      </c>
      <c r="D9195">
        <v>0</v>
      </c>
      <c r="E9195">
        <v>0</v>
      </c>
      <c r="F9195">
        <v>1</v>
      </c>
    </row>
    <row r="9196" spans="1:6" x14ac:dyDescent="0.25">
      <c r="A9196">
        <v>9195</v>
      </c>
      <c r="B9196" t="s">
        <v>0</v>
      </c>
      <c r="C9196">
        <v>81</v>
      </c>
      <c r="D9196">
        <v>3492</v>
      </c>
      <c r="E9196">
        <v>80300045</v>
      </c>
    </row>
    <row r="9197" spans="1:6" x14ac:dyDescent="0.25">
      <c r="A9197">
        <v>9196</v>
      </c>
      <c r="B9197">
        <v>43</v>
      </c>
      <c r="C9197">
        <v>0</v>
      </c>
      <c r="D9197">
        <v>0</v>
      </c>
      <c r="E9197">
        <v>0</v>
      </c>
      <c r="F9197">
        <v>0</v>
      </c>
    </row>
    <row r="9198" spans="1:6" x14ac:dyDescent="0.25">
      <c r="A9198">
        <v>9197</v>
      </c>
      <c r="B9198" t="s">
        <v>0</v>
      </c>
      <c r="C9198">
        <v>82</v>
      </c>
      <c r="D9198">
        <v>3492</v>
      </c>
      <c r="E9198">
        <v>80300173</v>
      </c>
    </row>
    <row r="9199" spans="1:6" x14ac:dyDescent="0.25">
      <c r="A9199">
        <v>9198</v>
      </c>
      <c r="B9199">
        <v>44</v>
      </c>
      <c r="C9199">
        <v>0</v>
      </c>
      <c r="D9199">
        <v>0</v>
      </c>
      <c r="E9199">
        <v>0</v>
      </c>
      <c r="F9199">
        <v>-70.032499999999999</v>
      </c>
    </row>
    <row r="9200" spans="1:6" x14ac:dyDescent="0.25">
      <c r="A9200">
        <v>9199</v>
      </c>
      <c r="B9200">
        <v>45</v>
      </c>
      <c r="C9200">
        <v>0</v>
      </c>
      <c r="D9200">
        <v>0</v>
      </c>
      <c r="E9200">
        <v>0</v>
      </c>
      <c r="F9200">
        <v>522.79399999999998</v>
      </c>
    </row>
    <row r="9201" spans="1:6" x14ac:dyDescent="0.25">
      <c r="A9201">
        <v>9200</v>
      </c>
      <c r="B9201" t="s">
        <v>0</v>
      </c>
      <c r="C9201">
        <v>83</v>
      </c>
      <c r="D9201">
        <v>3492</v>
      </c>
      <c r="E9201">
        <v>80300301</v>
      </c>
    </row>
    <row r="9202" spans="1:6" x14ac:dyDescent="0.25">
      <c r="A9202">
        <v>9201</v>
      </c>
      <c r="B9202">
        <v>46</v>
      </c>
      <c r="C9202">
        <v>0</v>
      </c>
      <c r="D9202">
        <v>0</v>
      </c>
      <c r="E9202">
        <v>0</v>
      </c>
      <c r="F9202">
        <v>0</v>
      </c>
    </row>
    <row r="9203" spans="1:6" x14ac:dyDescent="0.25">
      <c r="A9203">
        <v>9202</v>
      </c>
      <c r="B9203">
        <v>2</v>
      </c>
      <c r="C9203">
        <v>0</v>
      </c>
      <c r="D9203">
        <v>0</v>
      </c>
      <c r="E9203">
        <v>0</v>
      </c>
      <c r="F9203">
        <v>260.71600000000001</v>
      </c>
    </row>
    <row r="9204" spans="1:6" x14ac:dyDescent="0.25">
      <c r="A9204">
        <v>9203</v>
      </c>
      <c r="B9204" t="s">
        <v>0</v>
      </c>
      <c r="C9204">
        <v>84</v>
      </c>
      <c r="D9204">
        <v>3492</v>
      </c>
      <c r="E9204">
        <v>80300429</v>
      </c>
    </row>
    <row r="9205" spans="1:6" x14ac:dyDescent="0.25">
      <c r="A9205">
        <v>9204</v>
      </c>
      <c r="B9205">
        <v>10</v>
      </c>
      <c r="C9205">
        <v>1</v>
      </c>
      <c r="D9205">
        <v>0</v>
      </c>
      <c r="E9205">
        <v>0</v>
      </c>
      <c r="F9205">
        <v>4330</v>
      </c>
    </row>
    <row r="9206" spans="1:6" x14ac:dyDescent="0.25">
      <c r="A9206">
        <v>9205</v>
      </c>
      <c r="B9206">
        <v>13</v>
      </c>
      <c r="C9206">
        <v>0</v>
      </c>
      <c r="D9206">
        <v>0</v>
      </c>
      <c r="E9206">
        <v>0</v>
      </c>
      <c r="F9206">
        <v>1607</v>
      </c>
    </row>
    <row r="9207" spans="1:6" x14ac:dyDescent="0.25">
      <c r="A9207">
        <v>9206</v>
      </c>
      <c r="B9207" t="s">
        <v>0</v>
      </c>
      <c r="C9207">
        <v>85</v>
      </c>
      <c r="D9207">
        <v>3492</v>
      </c>
      <c r="E9207">
        <v>80300557</v>
      </c>
    </row>
    <row r="9208" spans="1:6" x14ac:dyDescent="0.25">
      <c r="A9208">
        <v>9207</v>
      </c>
      <c r="B9208">
        <v>41</v>
      </c>
      <c r="C9208">
        <v>0</v>
      </c>
      <c r="D9208">
        <v>0</v>
      </c>
      <c r="E9208">
        <v>0</v>
      </c>
      <c r="F9208">
        <v>1</v>
      </c>
    </row>
    <row r="9209" spans="1:6" x14ac:dyDescent="0.25">
      <c r="A9209">
        <v>9208</v>
      </c>
      <c r="B9209">
        <v>42</v>
      </c>
      <c r="C9209">
        <v>0</v>
      </c>
      <c r="D9209">
        <v>0</v>
      </c>
      <c r="E9209">
        <v>0</v>
      </c>
      <c r="F9209">
        <v>0.2</v>
      </c>
    </row>
    <row r="9210" spans="1:6" x14ac:dyDescent="0.25">
      <c r="A9210">
        <v>9209</v>
      </c>
      <c r="B9210">
        <v>43</v>
      </c>
      <c r="C9210">
        <v>0</v>
      </c>
      <c r="D9210">
        <v>0</v>
      </c>
      <c r="E9210">
        <v>0</v>
      </c>
      <c r="F9210">
        <v>0</v>
      </c>
    </row>
    <row r="9211" spans="1:6" x14ac:dyDescent="0.25">
      <c r="A9211">
        <v>9210</v>
      </c>
      <c r="B9211">
        <v>44</v>
      </c>
      <c r="C9211">
        <v>0</v>
      </c>
      <c r="D9211">
        <v>0</v>
      </c>
      <c r="E9211">
        <v>0</v>
      </c>
      <c r="F9211">
        <v>-69.751099999999994</v>
      </c>
    </row>
    <row r="9212" spans="1:6" x14ac:dyDescent="0.25">
      <c r="A9212">
        <v>9211</v>
      </c>
      <c r="B9212">
        <v>45</v>
      </c>
      <c r="C9212">
        <v>0</v>
      </c>
      <c r="D9212">
        <v>0</v>
      </c>
      <c r="E9212">
        <v>0</v>
      </c>
      <c r="F9212">
        <v>522.74099999999999</v>
      </c>
    </row>
    <row r="9213" spans="1:6" x14ac:dyDescent="0.25">
      <c r="A9213">
        <v>9212</v>
      </c>
      <c r="B9213">
        <v>46</v>
      </c>
      <c r="C9213">
        <v>0</v>
      </c>
      <c r="D9213">
        <v>0</v>
      </c>
      <c r="E9213">
        <v>0</v>
      </c>
      <c r="F9213">
        <v>0</v>
      </c>
    </row>
    <row r="9214" spans="1:6" x14ac:dyDescent="0.25">
      <c r="A9214">
        <v>9213</v>
      </c>
      <c r="B9214">
        <v>2</v>
      </c>
      <c r="C9214">
        <v>0</v>
      </c>
      <c r="D9214">
        <v>0</v>
      </c>
      <c r="E9214">
        <v>0</v>
      </c>
      <c r="F9214">
        <v>260.52300000000002</v>
      </c>
    </row>
    <row r="9215" spans="1:6" x14ac:dyDescent="0.25">
      <c r="A9215">
        <v>9214</v>
      </c>
      <c r="B9215">
        <v>10</v>
      </c>
      <c r="C9215">
        <v>1</v>
      </c>
      <c r="D9215">
        <v>0</v>
      </c>
      <c r="E9215">
        <v>0</v>
      </c>
      <c r="F9215">
        <v>4334</v>
      </c>
    </row>
    <row r="9216" spans="1:6" x14ac:dyDescent="0.25">
      <c r="A9216">
        <v>9215</v>
      </c>
      <c r="B9216">
        <v>13</v>
      </c>
      <c r="C9216">
        <v>0</v>
      </c>
      <c r="D9216">
        <v>0</v>
      </c>
      <c r="E9216">
        <v>0</v>
      </c>
      <c r="F9216">
        <v>1607</v>
      </c>
    </row>
    <row r="9217" spans="1:6" x14ac:dyDescent="0.25">
      <c r="A9217">
        <v>9216</v>
      </c>
      <c r="B9217" t="s">
        <v>0</v>
      </c>
      <c r="C9217">
        <v>90</v>
      </c>
      <c r="D9217">
        <v>3492</v>
      </c>
      <c r="E9217">
        <v>80301197</v>
      </c>
    </row>
    <row r="9218" spans="1:6" x14ac:dyDescent="0.25">
      <c r="A9218">
        <v>9217</v>
      </c>
      <c r="B9218">
        <v>42</v>
      </c>
      <c r="C9218">
        <v>0</v>
      </c>
      <c r="D9218">
        <v>0</v>
      </c>
      <c r="E9218">
        <v>0</v>
      </c>
      <c r="F9218">
        <v>0.2</v>
      </c>
    </row>
    <row r="9219" spans="1:6" x14ac:dyDescent="0.25">
      <c r="A9219">
        <v>9218</v>
      </c>
      <c r="B9219" t="s">
        <v>0</v>
      </c>
      <c r="C9219">
        <v>91</v>
      </c>
      <c r="D9219">
        <v>3492</v>
      </c>
      <c r="E9219">
        <v>80301325</v>
      </c>
    </row>
    <row r="9220" spans="1:6" x14ac:dyDescent="0.25">
      <c r="A9220">
        <v>9219</v>
      </c>
      <c r="B9220">
        <v>44</v>
      </c>
      <c r="C9220">
        <v>0</v>
      </c>
      <c r="D9220">
        <v>0</v>
      </c>
      <c r="E9220">
        <v>0</v>
      </c>
      <c r="F9220">
        <v>-69.410399999999996</v>
      </c>
    </row>
    <row r="9221" spans="1:6" x14ac:dyDescent="0.25">
      <c r="A9221">
        <v>9220</v>
      </c>
      <c r="B9221" t="s">
        <v>0</v>
      </c>
      <c r="C9221">
        <v>92</v>
      </c>
      <c r="D9221">
        <v>3492</v>
      </c>
      <c r="E9221">
        <v>80301452</v>
      </c>
    </row>
    <row r="9222" spans="1:6" x14ac:dyDescent="0.25">
      <c r="A9222">
        <v>9221</v>
      </c>
      <c r="B9222">
        <v>46</v>
      </c>
      <c r="C9222">
        <v>0</v>
      </c>
      <c r="D9222">
        <v>0</v>
      </c>
      <c r="E9222">
        <v>0</v>
      </c>
      <c r="F9222">
        <v>0</v>
      </c>
    </row>
    <row r="9223" spans="1:6" x14ac:dyDescent="0.25">
      <c r="A9223">
        <v>9222</v>
      </c>
      <c r="B9223" t="s">
        <v>0</v>
      </c>
      <c r="C9223">
        <v>93</v>
      </c>
      <c r="D9223">
        <v>3492</v>
      </c>
      <c r="E9223">
        <v>80301580</v>
      </c>
    </row>
    <row r="9224" spans="1:6" x14ac:dyDescent="0.25">
      <c r="A9224">
        <v>9223</v>
      </c>
      <c r="B9224">
        <v>10</v>
      </c>
      <c r="C9224">
        <v>1</v>
      </c>
      <c r="D9224">
        <v>0</v>
      </c>
      <c r="E9224">
        <v>0</v>
      </c>
      <c r="F9224">
        <v>4338</v>
      </c>
    </row>
    <row r="9225" spans="1:6" x14ac:dyDescent="0.25">
      <c r="A9225">
        <v>9224</v>
      </c>
      <c r="B9225" t="s">
        <v>0</v>
      </c>
      <c r="C9225">
        <v>94</v>
      </c>
      <c r="D9225">
        <v>3492</v>
      </c>
      <c r="E9225">
        <v>80301708</v>
      </c>
    </row>
    <row r="9226" spans="1:6" x14ac:dyDescent="0.25">
      <c r="A9226">
        <v>9225</v>
      </c>
      <c r="B9226">
        <v>13</v>
      </c>
      <c r="C9226">
        <v>0</v>
      </c>
      <c r="D9226">
        <v>0</v>
      </c>
      <c r="E9226">
        <v>0</v>
      </c>
      <c r="F9226">
        <v>1607</v>
      </c>
    </row>
    <row r="9227" spans="1:6" x14ac:dyDescent="0.25">
      <c r="A9227">
        <v>9226</v>
      </c>
      <c r="B9227">
        <v>41</v>
      </c>
      <c r="C9227">
        <v>0</v>
      </c>
      <c r="D9227">
        <v>0</v>
      </c>
      <c r="E9227">
        <v>0</v>
      </c>
      <c r="F9227">
        <v>1</v>
      </c>
    </row>
    <row r="9228" spans="1:6" x14ac:dyDescent="0.25">
      <c r="A9228">
        <v>9227</v>
      </c>
      <c r="B9228" t="s">
        <v>0</v>
      </c>
      <c r="C9228">
        <v>95</v>
      </c>
      <c r="D9228">
        <v>3492</v>
      </c>
      <c r="E9228">
        <v>80301836</v>
      </c>
    </row>
    <row r="9229" spans="1:6" x14ac:dyDescent="0.25">
      <c r="A9229">
        <v>9228</v>
      </c>
      <c r="B9229">
        <v>42</v>
      </c>
      <c r="C9229">
        <v>0</v>
      </c>
      <c r="D9229">
        <v>0</v>
      </c>
      <c r="E9229">
        <v>0</v>
      </c>
      <c r="F9229">
        <v>0.2</v>
      </c>
    </row>
    <row r="9230" spans="1:6" x14ac:dyDescent="0.25">
      <c r="A9230">
        <v>9229</v>
      </c>
      <c r="B9230">
        <v>43</v>
      </c>
      <c r="C9230">
        <v>0</v>
      </c>
      <c r="D9230">
        <v>0</v>
      </c>
      <c r="E9230">
        <v>0</v>
      </c>
      <c r="F9230">
        <v>0</v>
      </c>
    </row>
    <row r="9231" spans="1:6" x14ac:dyDescent="0.25">
      <c r="A9231">
        <v>9230</v>
      </c>
      <c r="B9231" t="s">
        <v>0</v>
      </c>
      <c r="C9231">
        <v>96</v>
      </c>
      <c r="D9231">
        <v>3492</v>
      </c>
      <c r="E9231">
        <v>80301964</v>
      </c>
    </row>
    <row r="9232" spans="1:6" x14ac:dyDescent="0.25">
      <c r="A9232">
        <v>9231</v>
      </c>
      <c r="B9232">
        <v>44</v>
      </c>
      <c r="C9232">
        <v>0</v>
      </c>
      <c r="D9232">
        <v>0</v>
      </c>
      <c r="E9232">
        <v>0</v>
      </c>
      <c r="F9232">
        <v>-69.102099999999993</v>
      </c>
    </row>
    <row r="9233" spans="1:6" x14ac:dyDescent="0.25">
      <c r="A9233">
        <v>9232</v>
      </c>
      <c r="B9233">
        <v>45</v>
      </c>
      <c r="C9233">
        <v>0</v>
      </c>
      <c r="D9233">
        <v>0</v>
      </c>
      <c r="E9233">
        <v>0</v>
      </c>
      <c r="F9233">
        <v>522.64499999999998</v>
      </c>
    </row>
    <row r="9234" spans="1:6" x14ac:dyDescent="0.25">
      <c r="A9234">
        <v>9233</v>
      </c>
      <c r="B9234" t="s">
        <v>0</v>
      </c>
      <c r="C9234">
        <v>97</v>
      </c>
      <c r="D9234">
        <v>3492</v>
      </c>
      <c r="E9234">
        <v>80302092</v>
      </c>
    </row>
    <row r="9235" spans="1:6" x14ac:dyDescent="0.25">
      <c r="A9235">
        <v>9234</v>
      </c>
      <c r="B9235">
        <v>46</v>
      </c>
      <c r="C9235">
        <v>0</v>
      </c>
      <c r="D9235">
        <v>0</v>
      </c>
      <c r="E9235">
        <v>0</v>
      </c>
      <c r="F9235">
        <v>0</v>
      </c>
    </row>
    <row r="9236" spans="1:6" x14ac:dyDescent="0.25">
      <c r="A9236">
        <v>9235</v>
      </c>
      <c r="B9236">
        <v>2</v>
      </c>
      <c r="C9236">
        <v>0</v>
      </c>
      <c r="D9236">
        <v>0</v>
      </c>
      <c r="E9236">
        <v>0</v>
      </c>
      <c r="F9236">
        <v>260.22899999999998</v>
      </c>
    </row>
    <row r="9237" spans="1:6" x14ac:dyDescent="0.25">
      <c r="A9237">
        <v>9236</v>
      </c>
      <c r="B9237">
        <v>10</v>
      </c>
      <c r="C9237">
        <v>1</v>
      </c>
      <c r="D9237">
        <v>0</v>
      </c>
      <c r="E9237">
        <v>0</v>
      </c>
      <c r="F9237">
        <v>4342</v>
      </c>
    </row>
    <row r="9238" spans="1:6" x14ac:dyDescent="0.25">
      <c r="A9238">
        <v>9237</v>
      </c>
      <c r="B9238">
        <v>13</v>
      </c>
      <c r="C9238">
        <v>0</v>
      </c>
      <c r="D9238">
        <v>0</v>
      </c>
      <c r="E9238">
        <v>0</v>
      </c>
      <c r="F9238">
        <v>1607</v>
      </c>
    </row>
    <row r="9239" spans="1:6" x14ac:dyDescent="0.25">
      <c r="A9239">
        <v>9238</v>
      </c>
      <c r="B9239">
        <v>41</v>
      </c>
      <c r="C9239">
        <v>0</v>
      </c>
      <c r="D9239">
        <v>0</v>
      </c>
      <c r="E9239">
        <v>0</v>
      </c>
      <c r="F9239">
        <v>1</v>
      </c>
    </row>
    <row r="9240" spans="1:6" x14ac:dyDescent="0.25">
      <c r="A9240">
        <v>9239</v>
      </c>
      <c r="B9240">
        <v>42</v>
      </c>
      <c r="C9240">
        <v>0</v>
      </c>
      <c r="D9240">
        <v>0</v>
      </c>
      <c r="E9240">
        <v>0</v>
      </c>
      <c r="F9240">
        <v>0.2</v>
      </c>
    </row>
    <row r="9241" spans="1:6" x14ac:dyDescent="0.25">
      <c r="A9241">
        <v>9240</v>
      </c>
      <c r="B9241">
        <v>43</v>
      </c>
      <c r="C9241">
        <v>0</v>
      </c>
      <c r="D9241">
        <v>0</v>
      </c>
      <c r="E9241">
        <v>0</v>
      </c>
      <c r="F9241">
        <v>0</v>
      </c>
    </row>
    <row r="9242" spans="1:6" x14ac:dyDescent="0.25">
      <c r="A9242">
        <v>9241</v>
      </c>
      <c r="B9242">
        <v>44</v>
      </c>
      <c r="C9242">
        <v>0</v>
      </c>
      <c r="D9242">
        <v>0</v>
      </c>
      <c r="E9242">
        <v>0</v>
      </c>
      <c r="F9242">
        <v>-68.825500000000005</v>
      </c>
    </row>
    <row r="9243" spans="1:6" x14ac:dyDescent="0.25">
      <c r="A9243">
        <v>9242</v>
      </c>
      <c r="B9243">
        <v>45</v>
      </c>
      <c r="C9243">
        <v>0</v>
      </c>
      <c r="D9243">
        <v>0</v>
      </c>
      <c r="E9243">
        <v>0</v>
      </c>
      <c r="F9243">
        <v>522.59199999999998</v>
      </c>
    </row>
    <row r="9244" spans="1:6" x14ac:dyDescent="0.25">
      <c r="A9244">
        <v>9243</v>
      </c>
      <c r="B9244" t="s">
        <v>0</v>
      </c>
      <c r="C9244">
        <v>102</v>
      </c>
      <c r="D9244">
        <v>3492</v>
      </c>
      <c r="E9244">
        <v>80302732</v>
      </c>
    </row>
    <row r="9245" spans="1:6" x14ac:dyDescent="0.25">
      <c r="A9245">
        <v>9244</v>
      </c>
      <c r="B9245">
        <v>2</v>
      </c>
      <c r="C9245">
        <v>0</v>
      </c>
      <c r="D9245">
        <v>0</v>
      </c>
      <c r="E9245">
        <v>0</v>
      </c>
      <c r="F9245">
        <v>260.05399999999997</v>
      </c>
    </row>
    <row r="9246" spans="1:6" x14ac:dyDescent="0.25">
      <c r="A9246">
        <v>9245</v>
      </c>
      <c r="B9246" t="s">
        <v>0</v>
      </c>
      <c r="C9246">
        <v>103</v>
      </c>
      <c r="D9246">
        <v>3492</v>
      </c>
      <c r="E9246">
        <v>80302860</v>
      </c>
    </row>
    <row r="9247" spans="1:6" x14ac:dyDescent="0.25">
      <c r="A9247">
        <v>9246</v>
      </c>
      <c r="B9247">
        <v>13</v>
      </c>
      <c r="C9247">
        <v>0</v>
      </c>
      <c r="D9247">
        <v>0</v>
      </c>
      <c r="E9247">
        <v>0</v>
      </c>
      <c r="F9247">
        <v>1607</v>
      </c>
    </row>
    <row r="9248" spans="1:6" x14ac:dyDescent="0.25">
      <c r="A9248">
        <v>9247</v>
      </c>
      <c r="B9248" t="s">
        <v>0</v>
      </c>
      <c r="C9248">
        <v>104</v>
      </c>
      <c r="D9248">
        <v>3492</v>
      </c>
      <c r="E9248">
        <v>80302988</v>
      </c>
    </row>
    <row r="9249" spans="1:6" x14ac:dyDescent="0.25">
      <c r="A9249">
        <v>9248</v>
      </c>
      <c r="B9249">
        <v>42</v>
      </c>
      <c r="C9249">
        <v>0</v>
      </c>
      <c r="D9249">
        <v>0</v>
      </c>
      <c r="E9249">
        <v>0</v>
      </c>
      <c r="F9249">
        <v>0.2</v>
      </c>
    </row>
    <row r="9250" spans="1:6" x14ac:dyDescent="0.25">
      <c r="A9250">
        <v>9249</v>
      </c>
      <c r="B9250" t="s">
        <v>0</v>
      </c>
      <c r="C9250">
        <v>105</v>
      </c>
      <c r="D9250">
        <v>3492</v>
      </c>
      <c r="E9250">
        <v>80303116</v>
      </c>
    </row>
    <row r="9251" spans="1:6" x14ac:dyDescent="0.25">
      <c r="A9251">
        <v>9250</v>
      </c>
      <c r="B9251">
        <v>44</v>
      </c>
      <c r="C9251">
        <v>0</v>
      </c>
      <c r="D9251">
        <v>0</v>
      </c>
      <c r="E9251">
        <v>0</v>
      </c>
      <c r="F9251">
        <v>-68.501300000000001</v>
      </c>
    </row>
    <row r="9252" spans="1:6" x14ac:dyDescent="0.25">
      <c r="A9252">
        <v>9251</v>
      </c>
      <c r="B9252" t="s">
        <v>0</v>
      </c>
      <c r="C9252">
        <v>106</v>
      </c>
      <c r="D9252">
        <v>3492</v>
      </c>
      <c r="E9252">
        <v>80303244</v>
      </c>
    </row>
    <row r="9253" spans="1:6" x14ac:dyDescent="0.25">
      <c r="A9253">
        <v>9252</v>
      </c>
      <c r="B9253">
        <v>46</v>
      </c>
      <c r="C9253">
        <v>0</v>
      </c>
      <c r="D9253">
        <v>0</v>
      </c>
      <c r="E9253">
        <v>0</v>
      </c>
      <c r="F9253">
        <v>0</v>
      </c>
    </row>
    <row r="9254" spans="1:6" x14ac:dyDescent="0.25">
      <c r="A9254">
        <v>9253</v>
      </c>
      <c r="B9254" t="s">
        <v>0</v>
      </c>
      <c r="C9254">
        <v>107</v>
      </c>
      <c r="D9254">
        <v>3492</v>
      </c>
      <c r="E9254">
        <v>80303372</v>
      </c>
    </row>
    <row r="9255" spans="1:6" x14ac:dyDescent="0.25">
      <c r="A9255">
        <v>9254</v>
      </c>
      <c r="B9255">
        <v>2</v>
      </c>
      <c r="C9255">
        <v>0</v>
      </c>
      <c r="D9255">
        <v>0</v>
      </c>
      <c r="E9255">
        <v>0</v>
      </c>
      <c r="F9255">
        <v>259.91899999999998</v>
      </c>
    </row>
    <row r="9256" spans="1:6" x14ac:dyDescent="0.25">
      <c r="A9256">
        <v>9255</v>
      </c>
      <c r="B9256">
        <v>10</v>
      </c>
      <c r="C9256">
        <v>1</v>
      </c>
      <c r="D9256">
        <v>0</v>
      </c>
      <c r="E9256">
        <v>0</v>
      </c>
      <c r="F9256">
        <v>4350</v>
      </c>
    </row>
    <row r="9257" spans="1:6" x14ac:dyDescent="0.25">
      <c r="A9257">
        <v>9256</v>
      </c>
      <c r="B9257" t="s">
        <v>0</v>
      </c>
      <c r="C9257">
        <v>108</v>
      </c>
      <c r="D9257">
        <v>3492</v>
      </c>
      <c r="E9257">
        <v>80303500</v>
      </c>
    </row>
    <row r="9258" spans="1:6" x14ac:dyDescent="0.25">
      <c r="A9258">
        <v>9257</v>
      </c>
      <c r="B9258">
        <v>13</v>
      </c>
      <c r="C9258">
        <v>0</v>
      </c>
      <c r="D9258">
        <v>0</v>
      </c>
      <c r="E9258">
        <v>0</v>
      </c>
      <c r="F9258">
        <v>1607</v>
      </c>
    </row>
    <row r="9259" spans="1:6" x14ac:dyDescent="0.25">
      <c r="A9259">
        <v>9258</v>
      </c>
      <c r="B9259">
        <v>41</v>
      </c>
      <c r="C9259">
        <v>0</v>
      </c>
      <c r="D9259">
        <v>0</v>
      </c>
      <c r="E9259">
        <v>0</v>
      </c>
      <c r="F9259">
        <v>1</v>
      </c>
    </row>
    <row r="9260" spans="1:6" x14ac:dyDescent="0.25">
      <c r="A9260">
        <v>9259</v>
      </c>
      <c r="B9260" t="s">
        <v>0</v>
      </c>
      <c r="C9260">
        <v>109</v>
      </c>
      <c r="D9260">
        <v>3492</v>
      </c>
      <c r="E9260">
        <v>80303628</v>
      </c>
    </row>
    <row r="9261" spans="1:6" x14ac:dyDescent="0.25">
      <c r="A9261">
        <v>9260</v>
      </c>
      <c r="B9261">
        <v>42</v>
      </c>
      <c r="C9261">
        <v>0</v>
      </c>
      <c r="D9261">
        <v>0</v>
      </c>
      <c r="E9261">
        <v>0</v>
      </c>
      <c r="F9261">
        <v>0.2</v>
      </c>
    </row>
    <row r="9262" spans="1:6" x14ac:dyDescent="0.25">
      <c r="A9262">
        <v>9261</v>
      </c>
      <c r="B9262">
        <v>43</v>
      </c>
      <c r="C9262">
        <v>0</v>
      </c>
      <c r="D9262">
        <v>0</v>
      </c>
      <c r="E9262">
        <v>0</v>
      </c>
      <c r="F9262">
        <v>0</v>
      </c>
    </row>
    <row r="9263" spans="1:6" x14ac:dyDescent="0.25">
      <c r="A9263">
        <v>9262</v>
      </c>
      <c r="B9263" t="s">
        <v>0</v>
      </c>
      <c r="C9263">
        <v>110</v>
      </c>
      <c r="D9263">
        <v>3492</v>
      </c>
      <c r="E9263">
        <v>80303756</v>
      </c>
    </row>
    <row r="9264" spans="1:6" x14ac:dyDescent="0.25">
      <c r="A9264">
        <v>9263</v>
      </c>
      <c r="B9264">
        <v>44</v>
      </c>
      <c r="C9264">
        <v>0</v>
      </c>
      <c r="D9264">
        <v>0</v>
      </c>
      <c r="E9264">
        <v>0</v>
      </c>
      <c r="F9264">
        <v>-68.177599999999998</v>
      </c>
    </row>
    <row r="9265" spans="1:6" x14ac:dyDescent="0.25">
      <c r="A9265">
        <v>9264</v>
      </c>
      <c r="B9265">
        <v>45</v>
      </c>
      <c r="C9265">
        <v>0</v>
      </c>
      <c r="D9265">
        <v>0</v>
      </c>
      <c r="E9265">
        <v>0</v>
      </c>
      <c r="F9265">
        <v>522.49699999999996</v>
      </c>
    </row>
    <row r="9266" spans="1:6" x14ac:dyDescent="0.25">
      <c r="A9266">
        <v>9265</v>
      </c>
      <c r="B9266">
        <v>46</v>
      </c>
      <c r="C9266">
        <v>0</v>
      </c>
      <c r="D9266">
        <v>0</v>
      </c>
      <c r="E9266">
        <v>0</v>
      </c>
      <c r="F9266">
        <v>0</v>
      </c>
    </row>
    <row r="9267" spans="1:6" x14ac:dyDescent="0.25">
      <c r="A9267">
        <v>9266</v>
      </c>
      <c r="B9267">
        <v>2</v>
      </c>
      <c r="C9267">
        <v>0</v>
      </c>
      <c r="D9267">
        <v>0</v>
      </c>
      <c r="E9267">
        <v>0</v>
      </c>
      <c r="F9267">
        <v>259.75799999999998</v>
      </c>
    </row>
    <row r="9268" spans="1:6" x14ac:dyDescent="0.25">
      <c r="A9268">
        <v>9267</v>
      </c>
      <c r="B9268">
        <v>10</v>
      </c>
      <c r="C9268">
        <v>1</v>
      </c>
      <c r="D9268">
        <v>0</v>
      </c>
      <c r="E9268">
        <v>0</v>
      </c>
      <c r="F9268">
        <v>4354</v>
      </c>
    </row>
    <row r="9269" spans="1:6" x14ac:dyDescent="0.25">
      <c r="A9269">
        <v>9268</v>
      </c>
      <c r="B9269">
        <v>13</v>
      </c>
      <c r="C9269">
        <v>0</v>
      </c>
      <c r="D9269">
        <v>0</v>
      </c>
      <c r="E9269">
        <v>0</v>
      </c>
      <c r="F9269">
        <v>1607</v>
      </c>
    </row>
    <row r="9270" spans="1:6" x14ac:dyDescent="0.25">
      <c r="A9270">
        <v>9269</v>
      </c>
      <c r="B9270">
        <v>41</v>
      </c>
      <c r="C9270">
        <v>0</v>
      </c>
      <c r="D9270">
        <v>0</v>
      </c>
      <c r="E9270">
        <v>0</v>
      </c>
      <c r="F9270">
        <v>1</v>
      </c>
    </row>
    <row r="9271" spans="1:6" x14ac:dyDescent="0.25">
      <c r="A9271">
        <v>9270</v>
      </c>
      <c r="B9271">
        <v>42</v>
      </c>
      <c r="C9271">
        <v>0</v>
      </c>
      <c r="D9271">
        <v>0</v>
      </c>
      <c r="E9271">
        <v>0</v>
      </c>
      <c r="F9271">
        <v>0.2</v>
      </c>
    </row>
    <row r="9272" spans="1:6" x14ac:dyDescent="0.25">
      <c r="A9272">
        <v>9271</v>
      </c>
      <c r="B9272">
        <v>43</v>
      </c>
      <c r="C9272">
        <v>0</v>
      </c>
      <c r="D9272">
        <v>0</v>
      </c>
      <c r="E9272">
        <v>0</v>
      </c>
      <c r="F9272">
        <v>0</v>
      </c>
    </row>
    <row r="9273" spans="1:6" x14ac:dyDescent="0.25">
      <c r="A9273">
        <v>9272</v>
      </c>
      <c r="B9273" t="s">
        <v>0</v>
      </c>
      <c r="C9273">
        <v>115</v>
      </c>
      <c r="D9273">
        <v>3492</v>
      </c>
      <c r="E9273">
        <v>80304397</v>
      </c>
    </row>
    <row r="9274" spans="1:6" x14ac:dyDescent="0.25">
      <c r="A9274">
        <v>9273</v>
      </c>
      <c r="B9274">
        <v>45</v>
      </c>
      <c r="C9274">
        <v>0</v>
      </c>
      <c r="D9274">
        <v>0</v>
      </c>
      <c r="E9274">
        <v>0</v>
      </c>
      <c r="F9274">
        <v>522.44399999999996</v>
      </c>
    </row>
    <row r="9275" spans="1:6" x14ac:dyDescent="0.25">
      <c r="A9275">
        <v>9274</v>
      </c>
      <c r="B9275" t="s">
        <v>0</v>
      </c>
      <c r="C9275">
        <v>116</v>
      </c>
      <c r="D9275">
        <v>3492</v>
      </c>
      <c r="E9275">
        <v>80304525</v>
      </c>
    </row>
    <row r="9276" spans="1:6" x14ac:dyDescent="0.25">
      <c r="A9276">
        <v>9275</v>
      </c>
      <c r="B9276">
        <v>2</v>
      </c>
      <c r="C9276">
        <v>0</v>
      </c>
      <c r="D9276">
        <v>0</v>
      </c>
      <c r="E9276">
        <v>0</v>
      </c>
      <c r="F9276">
        <v>259.59899999999999</v>
      </c>
    </row>
    <row r="9277" spans="1:6" x14ac:dyDescent="0.25">
      <c r="A9277">
        <v>9276</v>
      </c>
      <c r="B9277" t="s">
        <v>0</v>
      </c>
      <c r="C9277">
        <v>117</v>
      </c>
      <c r="D9277">
        <v>3492</v>
      </c>
      <c r="E9277">
        <v>80304653</v>
      </c>
    </row>
    <row r="9278" spans="1:6" x14ac:dyDescent="0.25">
      <c r="A9278">
        <v>9277</v>
      </c>
      <c r="B9278">
        <v>13</v>
      </c>
      <c r="C9278">
        <v>0</v>
      </c>
      <c r="D9278">
        <v>0</v>
      </c>
      <c r="E9278">
        <v>0</v>
      </c>
      <c r="F9278">
        <v>1607</v>
      </c>
    </row>
    <row r="9279" spans="1:6" x14ac:dyDescent="0.25">
      <c r="A9279">
        <v>9278</v>
      </c>
      <c r="B9279" t="s">
        <v>0</v>
      </c>
      <c r="C9279">
        <v>118</v>
      </c>
      <c r="D9279">
        <v>3492</v>
      </c>
      <c r="E9279">
        <v>80304781</v>
      </c>
    </row>
    <row r="9280" spans="1:6" x14ac:dyDescent="0.25">
      <c r="A9280">
        <v>9279</v>
      </c>
      <c r="B9280">
        <v>42</v>
      </c>
      <c r="C9280">
        <v>0</v>
      </c>
      <c r="D9280">
        <v>0</v>
      </c>
      <c r="E9280">
        <v>0</v>
      </c>
      <c r="F9280">
        <v>0.2</v>
      </c>
    </row>
    <row r="9281" spans="1:6" x14ac:dyDescent="0.25">
      <c r="A9281">
        <v>9280</v>
      </c>
      <c r="B9281" t="s">
        <v>0</v>
      </c>
      <c r="C9281">
        <v>119</v>
      </c>
      <c r="D9281">
        <v>3492</v>
      </c>
      <c r="E9281">
        <v>80304910</v>
      </c>
    </row>
    <row r="9282" spans="1:6" x14ac:dyDescent="0.25">
      <c r="A9282">
        <v>9281</v>
      </c>
      <c r="B9282">
        <v>44</v>
      </c>
      <c r="C9282">
        <v>0</v>
      </c>
      <c r="D9282">
        <v>0</v>
      </c>
      <c r="E9282">
        <v>0</v>
      </c>
      <c r="F9282">
        <v>-67.602800000000002</v>
      </c>
    </row>
    <row r="9283" spans="1:6" x14ac:dyDescent="0.25">
      <c r="A9283">
        <v>9282</v>
      </c>
      <c r="B9283" t="s">
        <v>0</v>
      </c>
      <c r="C9283">
        <v>120</v>
      </c>
      <c r="D9283">
        <v>3492</v>
      </c>
      <c r="E9283">
        <v>80305038</v>
      </c>
    </row>
    <row r="9284" spans="1:6" x14ac:dyDescent="0.25">
      <c r="A9284">
        <v>9283</v>
      </c>
      <c r="B9284">
        <v>45</v>
      </c>
      <c r="C9284">
        <v>0</v>
      </c>
      <c r="D9284">
        <v>0</v>
      </c>
      <c r="E9284">
        <v>0</v>
      </c>
      <c r="F9284">
        <v>522.39200000000005</v>
      </c>
    </row>
    <row r="9285" spans="1:6" x14ac:dyDescent="0.25">
      <c r="A9285">
        <v>9284</v>
      </c>
      <c r="B9285">
        <v>46</v>
      </c>
      <c r="C9285">
        <v>0</v>
      </c>
      <c r="D9285">
        <v>0</v>
      </c>
      <c r="E9285">
        <v>0</v>
      </c>
      <c r="F9285">
        <v>0</v>
      </c>
    </row>
    <row r="9286" spans="1:6" x14ac:dyDescent="0.25">
      <c r="A9286">
        <v>9285</v>
      </c>
      <c r="B9286" t="s">
        <v>0</v>
      </c>
      <c r="C9286">
        <v>121</v>
      </c>
      <c r="D9286">
        <v>3492</v>
      </c>
      <c r="E9286">
        <v>80305166</v>
      </c>
    </row>
    <row r="9287" spans="1:6" x14ac:dyDescent="0.25">
      <c r="A9287">
        <v>9286</v>
      </c>
      <c r="B9287">
        <v>2</v>
      </c>
      <c r="C9287">
        <v>0</v>
      </c>
      <c r="D9287">
        <v>0</v>
      </c>
      <c r="E9287">
        <v>0</v>
      </c>
      <c r="F9287">
        <v>259.44499999999999</v>
      </c>
    </row>
    <row r="9288" spans="1:6" x14ac:dyDescent="0.25">
      <c r="A9288">
        <v>9287</v>
      </c>
      <c r="B9288">
        <v>10</v>
      </c>
      <c r="C9288">
        <v>1</v>
      </c>
      <c r="D9288">
        <v>0</v>
      </c>
      <c r="E9288">
        <v>0</v>
      </c>
      <c r="F9288">
        <v>4362</v>
      </c>
    </row>
    <row r="9289" spans="1:6" x14ac:dyDescent="0.25">
      <c r="A9289">
        <v>9288</v>
      </c>
      <c r="B9289" t="s">
        <v>0</v>
      </c>
      <c r="C9289">
        <v>122</v>
      </c>
      <c r="D9289">
        <v>3492</v>
      </c>
      <c r="E9289">
        <v>80305294</v>
      </c>
    </row>
    <row r="9290" spans="1:6" x14ac:dyDescent="0.25">
      <c r="A9290">
        <v>9289</v>
      </c>
      <c r="B9290">
        <v>13</v>
      </c>
      <c r="C9290">
        <v>0</v>
      </c>
      <c r="D9290">
        <v>0</v>
      </c>
      <c r="E9290">
        <v>0</v>
      </c>
      <c r="F9290">
        <v>1607</v>
      </c>
    </row>
    <row r="9291" spans="1:6" x14ac:dyDescent="0.25">
      <c r="A9291">
        <v>9290</v>
      </c>
      <c r="B9291">
        <v>41</v>
      </c>
      <c r="C9291">
        <v>0</v>
      </c>
      <c r="D9291">
        <v>0</v>
      </c>
      <c r="E9291">
        <v>0</v>
      </c>
      <c r="F9291">
        <v>1</v>
      </c>
    </row>
    <row r="9292" spans="1:6" x14ac:dyDescent="0.25">
      <c r="A9292">
        <v>9291</v>
      </c>
      <c r="B9292" t="s">
        <v>0</v>
      </c>
      <c r="C9292">
        <v>123</v>
      </c>
      <c r="D9292">
        <v>3492</v>
      </c>
      <c r="E9292">
        <v>80305422</v>
      </c>
    </row>
    <row r="9293" spans="1:6" x14ac:dyDescent="0.25">
      <c r="A9293">
        <v>9292</v>
      </c>
      <c r="B9293">
        <v>42</v>
      </c>
      <c r="C9293">
        <v>0</v>
      </c>
      <c r="D9293">
        <v>0</v>
      </c>
      <c r="E9293">
        <v>0</v>
      </c>
      <c r="F9293">
        <v>0.2</v>
      </c>
    </row>
    <row r="9294" spans="1:6" x14ac:dyDescent="0.25">
      <c r="A9294">
        <v>9293</v>
      </c>
      <c r="B9294">
        <v>43</v>
      </c>
      <c r="C9294">
        <v>0</v>
      </c>
      <c r="D9294">
        <v>0</v>
      </c>
      <c r="E9294">
        <v>0</v>
      </c>
      <c r="F9294">
        <v>0</v>
      </c>
    </row>
    <row r="9295" spans="1:6" x14ac:dyDescent="0.25">
      <c r="A9295">
        <v>9294</v>
      </c>
      <c r="B9295">
        <v>44</v>
      </c>
      <c r="C9295">
        <v>0</v>
      </c>
      <c r="D9295">
        <v>0</v>
      </c>
      <c r="E9295">
        <v>0</v>
      </c>
      <c r="F9295">
        <v>-67.264300000000006</v>
      </c>
    </row>
    <row r="9296" spans="1:6" x14ac:dyDescent="0.25">
      <c r="A9296">
        <v>9295</v>
      </c>
      <c r="B9296">
        <v>45</v>
      </c>
      <c r="C9296">
        <v>0</v>
      </c>
      <c r="D9296">
        <v>0</v>
      </c>
      <c r="E9296">
        <v>0</v>
      </c>
      <c r="F9296">
        <v>522.35</v>
      </c>
    </row>
    <row r="9297" spans="1:6" x14ac:dyDescent="0.25">
      <c r="A9297">
        <v>9296</v>
      </c>
      <c r="B9297">
        <v>46</v>
      </c>
      <c r="C9297">
        <v>0</v>
      </c>
      <c r="D9297">
        <v>0</v>
      </c>
      <c r="E9297">
        <v>0</v>
      </c>
      <c r="F9297">
        <v>0</v>
      </c>
    </row>
    <row r="9298" spans="1:6" x14ac:dyDescent="0.25">
      <c r="A9298">
        <v>9297</v>
      </c>
      <c r="B9298">
        <v>2</v>
      </c>
      <c r="C9298">
        <v>0</v>
      </c>
      <c r="D9298">
        <v>0</v>
      </c>
      <c r="E9298">
        <v>0</v>
      </c>
      <c r="F9298">
        <v>259.298</v>
      </c>
    </row>
    <row r="9299" spans="1:6" x14ac:dyDescent="0.25">
      <c r="A9299">
        <v>9298</v>
      </c>
      <c r="B9299">
        <v>10</v>
      </c>
      <c r="C9299">
        <v>1</v>
      </c>
      <c r="D9299">
        <v>0</v>
      </c>
      <c r="E9299">
        <v>0</v>
      </c>
      <c r="F9299">
        <v>4366</v>
      </c>
    </row>
    <row r="9300" spans="1:6" x14ac:dyDescent="0.25">
      <c r="A9300">
        <v>9299</v>
      </c>
      <c r="B9300">
        <v>13</v>
      </c>
      <c r="C9300">
        <v>0</v>
      </c>
      <c r="D9300">
        <v>0</v>
      </c>
      <c r="E9300">
        <v>0</v>
      </c>
      <c r="F9300">
        <v>1607</v>
      </c>
    </row>
    <row r="9301" spans="1:6" x14ac:dyDescent="0.25">
      <c r="A9301">
        <v>9300</v>
      </c>
      <c r="B9301">
        <v>41</v>
      </c>
      <c r="C9301">
        <v>0</v>
      </c>
      <c r="D9301">
        <v>0</v>
      </c>
      <c r="E9301">
        <v>0</v>
      </c>
      <c r="F9301">
        <v>1</v>
      </c>
    </row>
    <row r="9302" spans="1:6" x14ac:dyDescent="0.25">
      <c r="A9302">
        <v>9301</v>
      </c>
      <c r="B9302">
        <v>42</v>
      </c>
      <c r="C9302">
        <v>0</v>
      </c>
      <c r="D9302">
        <v>0</v>
      </c>
      <c r="E9302">
        <v>0</v>
      </c>
      <c r="F9302">
        <v>0.2</v>
      </c>
    </row>
    <row r="9303" spans="1:6" x14ac:dyDescent="0.25">
      <c r="A9303">
        <v>9302</v>
      </c>
      <c r="B9303">
        <v>43</v>
      </c>
      <c r="C9303">
        <v>0</v>
      </c>
      <c r="D9303">
        <v>0</v>
      </c>
      <c r="E9303">
        <v>0</v>
      </c>
      <c r="F9303">
        <v>0</v>
      </c>
    </row>
    <row r="9304" spans="1:6" x14ac:dyDescent="0.25">
      <c r="A9304">
        <v>9303</v>
      </c>
      <c r="B9304" t="s">
        <v>0</v>
      </c>
      <c r="C9304">
        <v>129</v>
      </c>
      <c r="D9304">
        <v>3492</v>
      </c>
      <c r="E9304">
        <v>80306192</v>
      </c>
    </row>
    <row r="9305" spans="1:6" x14ac:dyDescent="0.25">
      <c r="A9305">
        <v>9304</v>
      </c>
      <c r="B9305">
        <v>45</v>
      </c>
      <c r="C9305">
        <v>0</v>
      </c>
      <c r="D9305">
        <v>0</v>
      </c>
      <c r="E9305">
        <v>0</v>
      </c>
      <c r="F9305">
        <v>522.298</v>
      </c>
    </row>
    <row r="9306" spans="1:6" x14ac:dyDescent="0.25">
      <c r="A9306">
        <v>9305</v>
      </c>
      <c r="B9306" t="s">
        <v>0</v>
      </c>
      <c r="C9306">
        <v>130</v>
      </c>
      <c r="D9306">
        <v>3492</v>
      </c>
      <c r="E9306">
        <v>80306321</v>
      </c>
    </row>
    <row r="9307" spans="1:6" x14ac:dyDescent="0.25">
      <c r="A9307">
        <v>9306</v>
      </c>
      <c r="B9307">
        <v>2</v>
      </c>
      <c r="C9307">
        <v>0</v>
      </c>
      <c r="D9307">
        <v>0</v>
      </c>
      <c r="E9307">
        <v>0</v>
      </c>
      <c r="F9307">
        <v>259.15100000000001</v>
      </c>
    </row>
    <row r="9308" spans="1:6" x14ac:dyDescent="0.25">
      <c r="A9308">
        <v>9307</v>
      </c>
      <c r="B9308" t="s">
        <v>0</v>
      </c>
      <c r="C9308">
        <v>131</v>
      </c>
      <c r="D9308">
        <v>3492</v>
      </c>
      <c r="E9308">
        <v>80306450</v>
      </c>
    </row>
    <row r="9309" spans="1:6" x14ac:dyDescent="0.25">
      <c r="A9309">
        <v>9308</v>
      </c>
      <c r="B9309">
        <v>13</v>
      </c>
      <c r="C9309">
        <v>0</v>
      </c>
      <c r="D9309">
        <v>0</v>
      </c>
      <c r="E9309">
        <v>0</v>
      </c>
      <c r="F9309">
        <v>1607</v>
      </c>
    </row>
    <row r="9310" spans="1:6" x14ac:dyDescent="0.25">
      <c r="A9310">
        <v>9309</v>
      </c>
      <c r="B9310" t="s">
        <v>0</v>
      </c>
      <c r="C9310">
        <v>132</v>
      </c>
      <c r="D9310">
        <v>3492</v>
      </c>
      <c r="E9310">
        <v>80306579</v>
      </c>
    </row>
    <row r="9311" spans="1:6" x14ac:dyDescent="0.25">
      <c r="A9311">
        <v>9310</v>
      </c>
      <c r="B9311">
        <v>42</v>
      </c>
      <c r="C9311">
        <v>0</v>
      </c>
      <c r="D9311">
        <v>0</v>
      </c>
      <c r="E9311">
        <v>0</v>
      </c>
      <c r="F9311">
        <v>0.2</v>
      </c>
    </row>
    <row r="9312" spans="1:6" x14ac:dyDescent="0.25">
      <c r="A9312">
        <v>9311</v>
      </c>
      <c r="B9312" t="s">
        <v>0</v>
      </c>
      <c r="C9312">
        <v>133</v>
      </c>
      <c r="D9312">
        <v>3492</v>
      </c>
      <c r="E9312">
        <v>80306708</v>
      </c>
    </row>
    <row r="9313" spans="1:6" x14ac:dyDescent="0.25">
      <c r="A9313">
        <v>9312</v>
      </c>
      <c r="B9313">
        <v>43</v>
      </c>
      <c r="C9313">
        <v>0</v>
      </c>
      <c r="D9313">
        <v>0</v>
      </c>
      <c r="E9313">
        <v>0</v>
      </c>
      <c r="F9313">
        <v>0</v>
      </c>
    </row>
    <row r="9314" spans="1:6" x14ac:dyDescent="0.25">
      <c r="A9314">
        <v>9313</v>
      </c>
      <c r="B9314">
        <v>44</v>
      </c>
      <c r="C9314">
        <v>0</v>
      </c>
      <c r="D9314">
        <v>0</v>
      </c>
      <c r="E9314">
        <v>0</v>
      </c>
      <c r="F9314">
        <v>-66.692400000000006</v>
      </c>
    </row>
    <row r="9315" spans="1:6" x14ac:dyDescent="0.25">
      <c r="A9315">
        <v>9314</v>
      </c>
      <c r="B9315" t="s">
        <v>0</v>
      </c>
      <c r="C9315">
        <v>134</v>
      </c>
      <c r="D9315">
        <v>3492</v>
      </c>
      <c r="E9315">
        <v>80306837</v>
      </c>
    </row>
    <row r="9316" spans="1:6" x14ac:dyDescent="0.25">
      <c r="A9316">
        <v>9315</v>
      </c>
      <c r="B9316">
        <v>45</v>
      </c>
      <c r="C9316">
        <v>0</v>
      </c>
      <c r="D9316">
        <v>0</v>
      </c>
      <c r="E9316">
        <v>0</v>
      </c>
      <c r="F9316">
        <v>522.24699999999996</v>
      </c>
    </row>
    <row r="9317" spans="1:6" x14ac:dyDescent="0.25">
      <c r="A9317">
        <v>9316</v>
      </c>
      <c r="B9317">
        <v>46</v>
      </c>
      <c r="C9317">
        <v>0</v>
      </c>
      <c r="D9317">
        <v>0</v>
      </c>
      <c r="E9317">
        <v>0</v>
      </c>
      <c r="F9317">
        <v>0</v>
      </c>
    </row>
    <row r="9318" spans="1:6" x14ac:dyDescent="0.25">
      <c r="A9318">
        <v>9317</v>
      </c>
      <c r="B9318" t="s">
        <v>0</v>
      </c>
      <c r="C9318">
        <v>135</v>
      </c>
      <c r="D9318">
        <v>3492</v>
      </c>
      <c r="E9318">
        <v>80306966</v>
      </c>
    </row>
    <row r="9319" spans="1:6" x14ac:dyDescent="0.25">
      <c r="A9319">
        <v>9318</v>
      </c>
      <c r="B9319">
        <v>2</v>
      </c>
      <c r="C9319">
        <v>0</v>
      </c>
      <c r="D9319">
        <v>0</v>
      </c>
      <c r="E9319">
        <v>0</v>
      </c>
      <c r="F9319">
        <v>258.98099999999999</v>
      </c>
    </row>
    <row r="9320" spans="1:6" x14ac:dyDescent="0.25">
      <c r="A9320">
        <v>9319</v>
      </c>
      <c r="B9320">
        <v>10</v>
      </c>
      <c r="C9320">
        <v>1</v>
      </c>
      <c r="D9320">
        <v>0</v>
      </c>
      <c r="E9320">
        <v>0</v>
      </c>
      <c r="F9320">
        <v>4374</v>
      </c>
    </row>
    <row r="9321" spans="1:6" x14ac:dyDescent="0.25">
      <c r="A9321">
        <v>9320</v>
      </c>
      <c r="B9321" t="s">
        <v>0</v>
      </c>
      <c r="C9321">
        <v>136</v>
      </c>
      <c r="D9321">
        <v>3492</v>
      </c>
      <c r="E9321">
        <v>80307094</v>
      </c>
    </row>
    <row r="9322" spans="1:6" x14ac:dyDescent="0.25">
      <c r="A9322">
        <v>9321</v>
      </c>
      <c r="B9322">
        <v>13</v>
      </c>
      <c r="C9322">
        <v>0</v>
      </c>
      <c r="D9322">
        <v>0</v>
      </c>
      <c r="E9322">
        <v>0</v>
      </c>
      <c r="F9322">
        <v>1607</v>
      </c>
    </row>
    <row r="9323" spans="1:6" x14ac:dyDescent="0.25">
      <c r="A9323">
        <v>9322</v>
      </c>
      <c r="B9323">
        <v>41</v>
      </c>
      <c r="C9323">
        <v>0</v>
      </c>
      <c r="D9323">
        <v>0</v>
      </c>
      <c r="E9323">
        <v>0</v>
      </c>
      <c r="F9323">
        <v>1</v>
      </c>
    </row>
    <row r="9324" spans="1:6" x14ac:dyDescent="0.25">
      <c r="A9324">
        <v>9323</v>
      </c>
      <c r="B9324" t="s">
        <v>0</v>
      </c>
      <c r="C9324">
        <v>137</v>
      </c>
      <c r="D9324">
        <v>3492</v>
      </c>
      <c r="E9324">
        <v>80307222</v>
      </c>
    </row>
    <row r="9325" spans="1:6" x14ac:dyDescent="0.25">
      <c r="A9325">
        <v>9324</v>
      </c>
      <c r="B9325">
        <v>42</v>
      </c>
      <c r="C9325">
        <v>0</v>
      </c>
      <c r="D9325">
        <v>0</v>
      </c>
      <c r="E9325">
        <v>0</v>
      </c>
      <c r="F9325">
        <v>0.2</v>
      </c>
    </row>
    <row r="9326" spans="1:6" x14ac:dyDescent="0.25">
      <c r="A9326">
        <v>9325</v>
      </c>
      <c r="B9326">
        <v>43</v>
      </c>
      <c r="C9326">
        <v>0</v>
      </c>
      <c r="D9326">
        <v>0</v>
      </c>
      <c r="E9326">
        <v>0</v>
      </c>
      <c r="F9326">
        <v>0</v>
      </c>
    </row>
    <row r="9327" spans="1:6" x14ac:dyDescent="0.25">
      <c r="A9327">
        <v>9326</v>
      </c>
      <c r="B9327">
        <v>44</v>
      </c>
      <c r="C9327">
        <v>0</v>
      </c>
      <c r="D9327">
        <v>0</v>
      </c>
      <c r="E9327">
        <v>0</v>
      </c>
      <c r="F9327">
        <v>-66.358999999999995</v>
      </c>
    </row>
    <row r="9328" spans="1:6" x14ac:dyDescent="0.25">
      <c r="A9328">
        <v>9327</v>
      </c>
      <c r="B9328">
        <v>45</v>
      </c>
      <c r="C9328">
        <v>0</v>
      </c>
      <c r="D9328">
        <v>0</v>
      </c>
      <c r="E9328">
        <v>0</v>
      </c>
      <c r="F9328">
        <v>522.20500000000004</v>
      </c>
    </row>
    <row r="9329" spans="1:6" x14ac:dyDescent="0.25">
      <c r="A9329">
        <v>9328</v>
      </c>
      <c r="B9329">
        <v>46</v>
      </c>
      <c r="C9329">
        <v>0</v>
      </c>
      <c r="D9329">
        <v>0</v>
      </c>
      <c r="E9329">
        <v>0</v>
      </c>
      <c r="F9329">
        <v>0</v>
      </c>
    </row>
    <row r="9330" spans="1:6" x14ac:dyDescent="0.25">
      <c r="A9330">
        <v>9329</v>
      </c>
      <c r="B9330">
        <v>2</v>
      </c>
      <c r="C9330">
        <v>0</v>
      </c>
      <c r="D9330">
        <v>0</v>
      </c>
      <c r="E9330">
        <v>0</v>
      </c>
      <c r="F9330">
        <v>258.84399999999999</v>
      </c>
    </row>
    <row r="9331" spans="1:6" x14ac:dyDescent="0.25">
      <c r="A9331">
        <v>9330</v>
      </c>
      <c r="B9331">
        <v>10</v>
      </c>
      <c r="C9331">
        <v>1</v>
      </c>
      <c r="D9331">
        <v>0</v>
      </c>
      <c r="E9331">
        <v>0</v>
      </c>
      <c r="F9331">
        <v>4378</v>
      </c>
    </row>
    <row r="9332" spans="1:6" x14ac:dyDescent="0.25">
      <c r="A9332">
        <v>9331</v>
      </c>
      <c r="B9332">
        <v>13</v>
      </c>
      <c r="C9332">
        <v>0</v>
      </c>
      <c r="D9332">
        <v>0</v>
      </c>
      <c r="E9332">
        <v>0</v>
      </c>
      <c r="F9332">
        <v>1607</v>
      </c>
    </row>
    <row r="9333" spans="1:6" x14ac:dyDescent="0.25">
      <c r="A9333">
        <v>9332</v>
      </c>
      <c r="B9333">
        <v>41</v>
      </c>
      <c r="C9333">
        <v>0</v>
      </c>
      <c r="D9333">
        <v>0</v>
      </c>
      <c r="E9333">
        <v>0</v>
      </c>
      <c r="F9333">
        <v>1</v>
      </c>
    </row>
    <row r="9334" spans="1:6" x14ac:dyDescent="0.25">
      <c r="A9334">
        <v>9333</v>
      </c>
      <c r="B9334" t="s">
        <v>0</v>
      </c>
      <c r="C9334">
        <v>142</v>
      </c>
      <c r="D9334">
        <v>3492</v>
      </c>
      <c r="E9334">
        <v>80307866</v>
      </c>
    </row>
    <row r="9335" spans="1:6" x14ac:dyDescent="0.25">
      <c r="A9335">
        <v>9334</v>
      </c>
      <c r="B9335">
        <v>43</v>
      </c>
      <c r="C9335">
        <v>0</v>
      </c>
      <c r="D9335">
        <v>0</v>
      </c>
      <c r="E9335">
        <v>0</v>
      </c>
      <c r="F9335">
        <v>0</v>
      </c>
    </row>
    <row r="9336" spans="1:6" x14ac:dyDescent="0.25">
      <c r="A9336">
        <v>9335</v>
      </c>
      <c r="B9336" t="s">
        <v>0</v>
      </c>
      <c r="C9336">
        <v>143</v>
      </c>
      <c r="D9336">
        <v>3492</v>
      </c>
      <c r="E9336">
        <v>80307994</v>
      </c>
    </row>
    <row r="9337" spans="1:6" x14ac:dyDescent="0.25">
      <c r="A9337">
        <v>9336</v>
      </c>
      <c r="B9337">
        <v>45</v>
      </c>
      <c r="C9337">
        <v>0</v>
      </c>
      <c r="D9337">
        <v>0</v>
      </c>
      <c r="E9337">
        <v>0</v>
      </c>
      <c r="F9337">
        <v>522.154</v>
      </c>
    </row>
    <row r="9338" spans="1:6" x14ac:dyDescent="0.25">
      <c r="A9338">
        <v>9337</v>
      </c>
      <c r="B9338" t="s">
        <v>0</v>
      </c>
      <c r="C9338">
        <v>144</v>
      </c>
      <c r="D9338">
        <v>3492</v>
      </c>
      <c r="E9338">
        <v>80308122</v>
      </c>
    </row>
    <row r="9339" spans="1:6" x14ac:dyDescent="0.25">
      <c r="A9339">
        <v>9338</v>
      </c>
      <c r="B9339">
        <v>2</v>
      </c>
      <c r="C9339">
        <v>0</v>
      </c>
      <c r="D9339">
        <v>0</v>
      </c>
      <c r="E9339">
        <v>0</v>
      </c>
      <c r="F9339">
        <v>258.70999999999998</v>
      </c>
    </row>
    <row r="9340" spans="1:6" x14ac:dyDescent="0.25">
      <c r="A9340">
        <v>9339</v>
      </c>
      <c r="B9340" t="s">
        <v>0</v>
      </c>
      <c r="C9340">
        <v>145</v>
      </c>
      <c r="D9340">
        <v>3492</v>
      </c>
      <c r="E9340">
        <v>80308250</v>
      </c>
    </row>
    <row r="9341" spans="1:6" x14ac:dyDescent="0.25">
      <c r="A9341">
        <v>9340</v>
      </c>
      <c r="B9341">
        <v>13</v>
      </c>
      <c r="C9341">
        <v>0</v>
      </c>
      <c r="D9341">
        <v>0</v>
      </c>
      <c r="E9341">
        <v>0</v>
      </c>
      <c r="F9341">
        <v>1607</v>
      </c>
    </row>
    <row r="9342" spans="1:6" x14ac:dyDescent="0.25">
      <c r="A9342">
        <v>9341</v>
      </c>
      <c r="B9342" t="s">
        <v>0</v>
      </c>
      <c r="C9342">
        <v>146</v>
      </c>
      <c r="D9342">
        <v>3492</v>
      </c>
      <c r="E9342">
        <v>80308379</v>
      </c>
    </row>
    <row r="9343" spans="1:6" x14ac:dyDescent="0.25">
      <c r="A9343">
        <v>9342</v>
      </c>
      <c r="B9343">
        <v>42</v>
      </c>
      <c r="C9343">
        <v>0</v>
      </c>
      <c r="D9343">
        <v>0</v>
      </c>
      <c r="E9343">
        <v>0</v>
      </c>
      <c r="F9343">
        <v>0.2</v>
      </c>
    </row>
    <row r="9344" spans="1:6" x14ac:dyDescent="0.25">
      <c r="A9344">
        <v>9343</v>
      </c>
      <c r="B9344" t="s">
        <v>0</v>
      </c>
      <c r="C9344">
        <v>147</v>
      </c>
      <c r="D9344">
        <v>3492</v>
      </c>
      <c r="E9344">
        <v>80308508</v>
      </c>
    </row>
    <row r="9345" spans="1:6" x14ac:dyDescent="0.25">
      <c r="A9345">
        <v>9344</v>
      </c>
      <c r="B9345">
        <v>43</v>
      </c>
      <c r="C9345">
        <v>0</v>
      </c>
      <c r="D9345">
        <v>0</v>
      </c>
      <c r="E9345">
        <v>0</v>
      </c>
      <c r="F9345">
        <v>0</v>
      </c>
    </row>
    <row r="9346" spans="1:6" x14ac:dyDescent="0.25">
      <c r="A9346">
        <v>9345</v>
      </c>
      <c r="B9346">
        <v>44</v>
      </c>
      <c r="C9346">
        <v>0</v>
      </c>
      <c r="D9346">
        <v>0</v>
      </c>
      <c r="E9346">
        <v>0</v>
      </c>
      <c r="F9346">
        <v>-65.779300000000006</v>
      </c>
    </row>
    <row r="9347" spans="1:6" x14ac:dyDescent="0.25">
      <c r="A9347">
        <v>9346</v>
      </c>
      <c r="B9347" t="s">
        <v>0</v>
      </c>
      <c r="C9347">
        <v>148</v>
      </c>
      <c r="D9347">
        <v>3492</v>
      </c>
      <c r="E9347">
        <v>80308636</v>
      </c>
    </row>
    <row r="9348" spans="1:6" x14ac:dyDescent="0.25">
      <c r="A9348">
        <v>9347</v>
      </c>
      <c r="B9348">
        <v>45</v>
      </c>
      <c r="C9348">
        <v>0</v>
      </c>
      <c r="D9348">
        <v>0</v>
      </c>
      <c r="E9348">
        <v>0</v>
      </c>
      <c r="F9348">
        <v>522.10299999999995</v>
      </c>
    </row>
    <row r="9349" spans="1:6" x14ac:dyDescent="0.25">
      <c r="A9349">
        <v>9348</v>
      </c>
      <c r="B9349">
        <v>46</v>
      </c>
      <c r="C9349">
        <v>0</v>
      </c>
      <c r="D9349">
        <v>0</v>
      </c>
      <c r="E9349">
        <v>0</v>
      </c>
      <c r="F9349">
        <v>0</v>
      </c>
    </row>
    <row r="9350" spans="1:6" x14ac:dyDescent="0.25">
      <c r="A9350">
        <v>9349</v>
      </c>
      <c r="B9350" t="s">
        <v>0</v>
      </c>
      <c r="C9350">
        <v>149</v>
      </c>
      <c r="D9350">
        <v>3492</v>
      </c>
      <c r="E9350">
        <v>80308765</v>
      </c>
    </row>
    <row r="9351" spans="1:6" x14ac:dyDescent="0.25">
      <c r="A9351">
        <v>9350</v>
      </c>
      <c r="B9351">
        <v>2</v>
      </c>
      <c r="C9351">
        <v>0</v>
      </c>
      <c r="D9351">
        <v>0</v>
      </c>
      <c r="E9351">
        <v>0</v>
      </c>
      <c r="F9351">
        <v>258.524</v>
      </c>
    </row>
    <row r="9352" spans="1:6" x14ac:dyDescent="0.25">
      <c r="A9352">
        <v>9351</v>
      </c>
      <c r="B9352">
        <v>10</v>
      </c>
      <c r="C9352">
        <v>1</v>
      </c>
      <c r="D9352">
        <v>0</v>
      </c>
      <c r="E9352">
        <v>0</v>
      </c>
      <c r="F9352">
        <v>4386</v>
      </c>
    </row>
    <row r="9353" spans="1:6" x14ac:dyDescent="0.25">
      <c r="A9353">
        <v>9352</v>
      </c>
      <c r="B9353" t="s">
        <v>0</v>
      </c>
      <c r="C9353">
        <v>150</v>
      </c>
      <c r="D9353">
        <v>3492</v>
      </c>
      <c r="E9353">
        <v>80308894</v>
      </c>
    </row>
    <row r="9354" spans="1:6" x14ac:dyDescent="0.25">
      <c r="A9354">
        <v>9353</v>
      </c>
      <c r="B9354">
        <v>13</v>
      </c>
      <c r="C9354">
        <v>0</v>
      </c>
      <c r="D9354">
        <v>0</v>
      </c>
      <c r="E9354">
        <v>0</v>
      </c>
      <c r="F9354">
        <v>1607</v>
      </c>
    </row>
    <row r="9355" spans="1:6" x14ac:dyDescent="0.25">
      <c r="A9355">
        <v>9354</v>
      </c>
      <c r="B9355">
        <v>41</v>
      </c>
      <c r="C9355">
        <v>0</v>
      </c>
      <c r="D9355">
        <v>0</v>
      </c>
      <c r="E9355">
        <v>0</v>
      </c>
      <c r="F9355">
        <v>1</v>
      </c>
    </row>
    <row r="9356" spans="1:6" x14ac:dyDescent="0.25">
      <c r="A9356">
        <v>9355</v>
      </c>
      <c r="B9356" t="s">
        <v>0</v>
      </c>
      <c r="C9356">
        <v>151</v>
      </c>
      <c r="D9356">
        <v>3492</v>
      </c>
      <c r="E9356">
        <v>80309022</v>
      </c>
    </row>
    <row r="9357" spans="1:6" x14ac:dyDescent="0.25">
      <c r="A9357">
        <v>9356</v>
      </c>
      <c r="B9357">
        <v>42</v>
      </c>
      <c r="C9357">
        <v>0</v>
      </c>
      <c r="D9357">
        <v>0</v>
      </c>
      <c r="E9357">
        <v>0</v>
      </c>
      <c r="F9357">
        <v>0.2</v>
      </c>
    </row>
    <row r="9358" spans="1:6" x14ac:dyDescent="0.25">
      <c r="A9358">
        <v>9357</v>
      </c>
      <c r="B9358">
        <v>43</v>
      </c>
      <c r="C9358">
        <v>0</v>
      </c>
      <c r="D9358">
        <v>0</v>
      </c>
      <c r="E9358">
        <v>0</v>
      </c>
      <c r="F9358">
        <v>0</v>
      </c>
    </row>
    <row r="9359" spans="1:6" x14ac:dyDescent="0.25">
      <c r="A9359">
        <v>9358</v>
      </c>
      <c r="B9359">
        <v>44</v>
      </c>
      <c r="C9359">
        <v>0</v>
      </c>
      <c r="D9359">
        <v>0</v>
      </c>
      <c r="E9359">
        <v>0</v>
      </c>
      <c r="F9359">
        <v>-65.460700000000003</v>
      </c>
    </row>
    <row r="9360" spans="1:6" x14ac:dyDescent="0.25">
      <c r="A9360">
        <v>9359</v>
      </c>
      <c r="B9360">
        <v>45</v>
      </c>
      <c r="C9360">
        <v>0</v>
      </c>
      <c r="D9360">
        <v>0</v>
      </c>
      <c r="E9360">
        <v>0</v>
      </c>
      <c r="F9360">
        <v>522.06200000000001</v>
      </c>
    </row>
    <row r="9361" spans="1:6" x14ac:dyDescent="0.25">
      <c r="A9361">
        <v>9360</v>
      </c>
      <c r="B9361">
        <v>46</v>
      </c>
      <c r="C9361">
        <v>0</v>
      </c>
      <c r="D9361">
        <v>0</v>
      </c>
      <c r="E9361">
        <v>0</v>
      </c>
      <c r="F9361">
        <v>0</v>
      </c>
    </row>
    <row r="9362" spans="1:6" x14ac:dyDescent="0.25">
      <c r="A9362">
        <v>9361</v>
      </c>
      <c r="B9362">
        <v>2</v>
      </c>
      <c r="C9362">
        <v>0</v>
      </c>
      <c r="D9362">
        <v>0</v>
      </c>
      <c r="E9362">
        <v>0</v>
      </c>
      <c r="F9362">
        <v>258.399</v>
      </c>
    </row>
    <row r="9363" spans="1:6" x14ac:dyDescent="0.25">
      <c r="A9363">
        <v>9362</v>
      </c>
      <c r="B9363">
        <v>10</v>
      </c>
      <c r="C9363">
        <v>1</v>
      </c>
      <c r="D9363">
        <v>0</v>
      </c>
      <c r="E9363">
        <v>0</v>
      </c>
      <c r="F9363">
        <v>4390</v>
      </c>
    </row>
    <row r="9364" spans="1:6" x14ac:dyDescent="0.25">
      <c r="A9364">
        <v>9363</v>
      </c>
      <c r="B9364">
        <v>13</v>
      </c>
      <c r="C9364">
        <v>0</v>
      </c>
      <c r="D9364">
        <v>0</v>
      </c>
      <c r="E9364">
        <v>0</v>
      </c>
      <c r="F9364">
        <v>1607</v>
      </c>
    </row>
    <row r="9365" spans="1:6" x14ac:dyDescent="0.25">
      <c r="A9365">
        <v>9364</v>
      </c>
      <c r="B9365">
        <v>41</v>
      </c>
      <c r="C9365">
        <v>0</v>
      </c>
      <c r="D9365">
        <v>0</v>
      </c>
      <c r="E9365">
        <v>0</v>
      </c>
      <c r="F9365">
        <v>1</v>
      </c>
    </row>
    <row r="9366" spans="1:6" x14ac:dyDescent="0.25">
      <c r="A9366">
        <v>9365</v>
      </c>
      <c r="B9366">
        <v>42</v>
      </c>
      <c r="C9366">
        <v>0</v>
      </c>
      <c r="D9366">
        <v>0</v>
      </c>
      <c r="E9366">
        <v>0</v>
      </c>
      <c r="F9366">
        <v>0.2</v>
      </c>
    </row>
    <row r="9367" spans="1:6" x14ac:dyDescent="0.25">
      <c r="A9367">
        <v>9366</v>
      </c>
      <c r="B9367">
        <v>43</v>
      </c>
      <c r="C9367">
        <v>0</v>
      </c>
      <c r="D9367">
        <v>0</v>
      </c>
      <c r="E9367">
        <v>0</v>
      </c>
      <c r="F9367">
        <v>0</v>
      </c>
    </row>
    <row r="9368" spans="1:6" x14ac:dyDescent="0.25">
      <c r="A9368">
        <v>9367</v>
      </c>
      <c r="B9368" t="s">
        <v>0</v>
      </c>
      <c r="C9368">
        <v>157</v>
      </c>
      <c r="D9368">
        <v>3492</v>
      </c>
      <c r="E9368">
        <v>80309795</v>
      </c>
    </row>
    <row r="9369" spans="1:6" x14ac:dyDescent="0.25">
      <c r="A9369">
        <v>9368</v>
      </c>
      <c r="B9369">
        <v>45</v>
      </c>
      <c r="C9369">
        <v>0</v>
      </c>
      <c r="D9369">
        <v>0</v>
      </c>
      <c r="E9369">
        <v>0</v>
      </c>
      <c r="F9369">
        <v>522.01199999999994</v>
      </c>
    </row>
    <row r="9370" spans="1:6" x14ac:dyDescent="0.25">
      <c r="A9370">
        <v>9369</v>
      </c>
      <c r="B9370" t="s">
        <v>0</v>
      </c>
      <c r="C9370">
        <v>158</v>
      </c>
      <c r="D9370">
        <v>3492</v>
      </c>
      <c r="E9370">
        <v>80309924</v>
      </c>
    </row>
    <row r="9371" spans="1:6" x14ac:dyDescent="0.25">
      <c r="A9371">
        <v>9370</v>
      </c>
      <c r="B9371">
        <v>2</v>
      </c>
      <c r="C9371">
        <v>0</v>
      </c>
      <c r="D9371">
        <v>0</v>
      </c>
      <c r="E9371">
        <v>0</v>
      </c>
      <c r="F9371">
        <v>258.255</v>
      </c>
    </row>
    <row r="9372" spans="1:6" x14ac:dyDescent="0.25">
      <c r="A9372">
        <v>9371</v>
      </c>
      <c r="B9372" t="s">
        <v>0</v>
      </c>
      <c r="C9372">
        <v>159</v>
      </c>
      <c r="D9372">
        <v>3492</v>
      </c>
      <c r="E9372">
        <v>80310053</v>
      </c>
    </row>
    <row r="9373" spans="1:6" x14ac:dyDescent="0.25">
      <c r="A9373">
        <v>9372</v>
      </c>
      <c r="B9373">
        <v>13</v>
      </c>
      <c r="C9373">
        <v>0</v>
      </c>
      <c r="D9373">
        <v>0</v>
      </c>
      <c r="E9373">
        <v>0</v>
      </c>
      <c r="F9373">
        <v>1607</v>
      </c>
    </row>
    <row r="9374" spans="1:6" x14ac:dyDescent="0.25">
      <c r="A9374">
        <v>9373</v>
      </c>
      <c r="B9374" t="s">
        <v>0</v>
      </c>
      <c r="C9374">
        <v>160</v>
      </c>
      <c r="D9374">
        <v>3492</v>
      </c>
      <c r="E9374">
        <v>80310182</v>
      </c>
    </row>
    <row r="9375" spans="1:6" x14ac:dyDescent="0.25">
      <c r="A9375">
        <v>9374</v>
      </c>
      <c r="B9375">
        <v>42</v>
      </c>
      <c r="C9375">
        <v>0</v>
      </c>
      <c r="D9375">
        <v>0</v>
      </c>
      <c r="E9375">
        <v>0</v>
      </c>
      <c r="F9375">
        <v>0.2</v>
      </c>
    </row>
    <row r="9376" spans="1:6" x14ac:dyDescent="0.25">
      <c r="A9376">
        <v>9375</v>
      </c>
      <c r="B9376" t="s">
        <v>0</v>
      </c>
      <c r="C9376">
        <v>161</v>
      </c>
      <c r="D9376">
        <v>3492</v>
      </c>
      <c r="E9376">
        <v>80310311</v>
      </c>
    </row>
    <row r="9377" spans="1:6" x14ac:dyDescent="0.25">
      <c r="A9377">
        <v>9376</v>
      </c>
      <c r="B9377">
        <v>44</v>
      </c>
      <c r="C9377">
        <v>0</v>
      </c>
      <c r="D9377">
        <v>0</v>
      </c>
      <c r="E9377">
        <v>0</v>
      </c>
      <c r="F9377">
        <v>-64.8733</v>
      </c>
    </row>
    <row r="9378" spans="1:6" x14ac:dyDescent="0.25">
      <c r="A9378">
        <v>9377</v>
      </c>
      <c r="B9378" t="s">
        <v>0</v>
      </c>
      <c r="C9378">
        <v>162</v>
      </c>
      <c r="D9378">
        <v>3492</v>
      </c>
      <c r="E9378">
        <v>80310440</v>
      </c>
    </row>
    <row r="9379" spans="1:6" x14ac:dyDescent="0.25">
      <c r="A9379">
        <v>9378</v>
      </c>
      <c r="B9379">
        <v>45</v>
      </c>
      <c r="C9379">
        <v>0</v>
      </c>
      <c r="D9379">
        <v>0</v>
      </c>
      <c r="E9379">
        <v>0</v>
      </c>
      <c r="F9379">
        <v>521.96100000000001</v>
      </c>
    </row>
    <row r="9380" spans="1:6" x14ac:dyDescent="0.25">
      <c r="A9380">
        <v>9379</v>
      </c>
      <c r="B9380">
        <v>46</v>
      </c>
      <c r="C9380">
        <v>0</v>
      </c>
      <c r="D9380">
        <v>0</v>
      </c>
      <c r="E9380">
        <v>0</v>
      </c>
      <c r="F9380">
        <v>0</v>
      </c>
    </row>
    <row r="9381" spans="1:6" x14ac:dyDescent="0.25">
      <c r="A9381">
        <v>9380</v>
      </c>
      <c r="B9381" t="s">
        <v>0</v>
      </c>
      <c r="C9381">
        <v>163</v>
      </c>
      <c r="D9381">
        <v>3492</v>
      </c>
      <c r="E9381">
        <v>80310569</v>
      </c>
    </row>
    <row r="9382" spans="1:6" x14ac:dyDescent="0.25">
      <c r="A9382">
        <v>9381</v>
      </c>
      <c r="B9382">
        <v>2</v>
      </c>
      <c r="C9382">
        <v>0</v>
      </c>
      <c r="D9382">
        <v>0</v>
      </c>
      <c r="E9382">
        <v>0</v>
      </c>
      <c r="F9382">
        <v>258.07299999999998</v>
      </c>
    </row>
    <row r="9383" spans="1:6" x14ac:dyDescent="0.25">
      <c r="A9383">
        <v>9382</v>
      </c>
      <c r="B9383">
        <v>10</v>
      </c>
      <c r="C9383">
        <v>1</v>
      </c>
      <c r="D9383">
        <v>0</v>
      </c>
      <c r="E9383">
        <v>0</v>
      </c>
      <c r="F9383">
        <v>4397</v>
      </c>
    </row>
    <row r="9384" spans="1:6" x14ac:dyDescent="0.25">
      <c r="A9384">
        <v>9383</v>
      </c>
      <c r="B9384" t="s">
        <v>0</v>
      </c>
      <c r="C9384">
        <v>164</v>
      </c>
      <c r="D9384">
        <v>3492</v>
      </c>
      <c r="E9384">
        <v>80310698</v>
      </c>
    </row>
    <row r="9385" spans="1:6" x14ac:dyDescent="0.25">
      <c r="A9385">
        <v>9384</v>
      </c>
      <c r="B9385">
        <v>13</v>
      </c>
      <c r="C9385">
        <v>0</v>
      </c>
      <c r="D9385">
        <v>0</v>
      </c>
      <c r="E9385">
        <v>0</v>
      </c>
      <c r="F9385">
        <v>1607</v>
      </c>
    </row>
    <row r="9386" spans="1:6" x14ac:dyDescent="0.25">
      <c r="A9386">
        <v>9385</v>
      </c>
      <c r="B9386">
        <v>41</v>
      </c>
      <c r="C9386">
        <v>0</v>
      </c>
      <c r="D9386">
        <v>0</v>
      </c>
      <c r="E9386">
        <v>0</v>
      </c>
      <c r="F9386">
        <v>1</v>
      </c>
    </row>
    <row r="9387" spans="1:6" x14ac:dyDescent="0.25">
      <c r="A9387">
        <v>9386</v>
      </c>
      <c r="B9387" t="s">
        <v>0</v>
      </c>
      <c r="C9387">
        <v>165</v>
      </c>
      <c r="D9387">
        <v>3492</v>
      </c>
      <c r="E9387">
        <v>80310827</v>
      </c>
    </row>
    <row r="9388" spans="1:6" x14ac:dyDescent="0.25">
      <c r="A9388">
        <v>9387</v>
      </c>
      <c r="B9388">
        <v>42</v>
      </c>
      <c r="C9388">
        <v>0</v>
      </c>
      <c r="D9388">
        <v>0</v>
      </c>
      <c r="E9388">
        <v>0</v>
      </c>
      <c r="F9388">
        <v>0.2</v>
      </c>
    </row>
    <row r="9389" spans="1:6" x14ac:dyDescent="0.25">
      <c r="A9389">
        <v>9388</v>
      </c>
      <c r="B9389">
        <v>43</v>
      </c>
      <c r="C9389">
        <v>0</v>
      </c>
      <c r="D9389">
        <v>0</v>
      </c>
      <c r="E9389">
        <v>0</v>
      </c>
      <c r="F9389">
        <v>0</v>
      </c>
    </row>
    <row r="9390" spans="1:6" x14ac:dyDescent="0.25">
      <c r="A9390">
        <v>9389</v>
      </c>
      <c r="B9390" t="s">
        <v>0</v>
      </c>
      <c r="C9390">
        <v>166</v>
      </c>
      <c r="D9390">
        <v>3492</v>
      </c>
      <c r="E9390">
        <v>80310956</v>
      </c>
    </row>
    <row r="9391" spans="1:6" x14ac:dyDescent="0.25">
      <c r="A9391">
        <v>9390</v>
      </c>
      <c r="B9391">
        <v>44</v>
      </c>
      <c r="C9391">
        <v>0</v>
      </c>
      <c r="D9391">
        <v>0</v>
      </c>
      <c r="E9391">
        <v>0</v>
      </c>
      <c r="F9391">
        <v>-64.567400000000006</v>
      </c>
    </row>
    <row r="9392" spans="1:6" x14ac:dyDescent="0.25">
      <c r="A9392">
        <v>9391</v>
      </c>
      <c r="B9392">
        <v>45</v>
      </c>
      <c r="C9392">
        <v>0</v>
      </c>
      <c r="D9392">
        <v>0</v>
      </c>
      <c r="E9392">
        <v>0</v>
      </c>
      <c r="F9392">
        <v>521.92100000000005</v>
      </c>
    </row>
    <row r="9393" spans="1:6" x14ac:dyDescent="0.25">
      <c r="A9393">
        <v>9392</v>
      </c>
      <c r="B9393">
        <v>46</v>
      </c>
      <c r="C9393">
        <v>0</v>
      </c>
      <c r="D9393">
        <v>0</v>
      </c>
      <c r="E9393">
        <v>0</v>
      </c>
      <c r="F9393">
        <v>0</v>
      </c>
    </row>
    <row r="9394" spans="1:6" x14ac:dyDescent="0.25">
      <c r="A9394">
        <v>9393</v>
      </c>
      <c r="B9394">
        <v>2</v>
      </c>
      <c r="C9394">
        <v>0</v>
      </c>
      <c r="D9394">
        <v>0</v>
      </c>
      <c r="E9394">
        <v>0</v>
      </c>
      <c r="F9394">
        <v>257.95800000000003</v>
      </c>
    </row>
    <row r="9395" spans="1:6" x14ac:dyDescent="0.25">
      <c r="A9395">
        <v>9394</v>
      </c>
      <c r="B9395">
        <v>10</v>
      </c>
      <c r="C9395">
        <v>1</v>
      </c>
      <c r="D9395">
        <v>0</v>
      </c>
      <c r="E9395">
        <v>0</v>
      </c>
      <c r="F9395">
        <v>4400</v>
      </c>
    </row>
    <row r="9396" spans="1:6" x14ac:dyDescent="0.25">
      <c r="A9396">
        <v>9395</v>
      </c>
      <c r="B9396">
        <v>13</v>
      </c>
      <c r="C9396">
        <v>0</v>
      </c>
      <c r="D9396">
        <v>0</v>
      </c>
      <c r="E9396">
        <v>0</v>
      </c>
      <c r="F9396">
        <v>1607</v>
      </c>
    </row>
    <row r="9397" spans="1:6" x14ac:dyDescent="0.25">
      <c r="A9397">
        <v>9396</v>
      </c>
      <c r="B9397">
        <v>41</v>
      </c>
      <c r="C9397">
        <v>0</v>
      </c>
      <c r="D9397">
        <v>0</v>
      </c>
      <c r="E9397">
        <v>0</v>
      </c>
      <c r="F9397">
        <v>1</v>
      </c>
    </row>
    <row r="9398" spans="1:6" x14ac:dyDescent="0.25">
      <c r="A9398">
        <v>9397</v>
      </c>
      <c r="B9398">
        <v>42</v>
      </c>
      <c r="C9398">
        <v>0</v>
      </c>
      <c r="D9398">
        <v>0</v>
      </c>
      <c r="E9398">
        <v>0</v>
      </c>
      <c r="F9398">
        <v>0.2</v>
      </c>
    </row>
    <row r="9399" spans="1:6" x14ac:dyDescent="0.25">
      <c r="A9399">
        <v>9398</v>
      </c>
      <c r="B9399">
        <v>43</v>
      </c>
      <c r="C9399">
        <v>0</v>
      </c>
      <c r="D9399">
        <v>0</v>
      </c>
      <c r="E9399">
        <v>0</v>
      </c>
      <c r="F9399">
        <v>0</v>
      </c>
    </row>
    <row r="9400" spans="1:6" x14ac:dyDescent="0.25">
      <c r="A9400">
        <v>9399</v>
      </c>
      <c r="B9400">
        <v>44</v>
      </c>
      <c r="C9400">
        <v>0</v>
      </c>
      <c r="D9400">
        <v>0</v>
      </c>
      <c r="E9400">
        <v>0</v>
      </c>
      <c r="F9400">
        <v>-64.329499999999996</v>
      </c>
    </row>
    <row r="9401" spans="1:6" x14ac:dyDescent="0.25">
      <c r="A9401">
        <v>9400</v>
      </c>
      <c r="B9401">
        <v>45</v>
      </c>
      <c r="C9401">
        <v>0</v>
      </c>
      <c r="D9401">
        <v>0</v>
      </c>
      <c r="E9401">
        <v>0</v>
      </c>
      <c r="F9401">
        <v>521.87099999999998</v>
      </c>
    </row>
    <row r="9402" spans="1:6" x14ac:dyDescent="0.25">
      <c r="A9402">
        <v>9401</v>
      </c>
      <c r="B9402" t="s">
        <v>0</v>
      </c>
      <c r="C9402">
        <v>172</v>
      </c>
      <c r="D9402">
        <v>3492</v>
      </c>
      <c r="E9402">
        <v>80311732</v>
      </c>
    </row>
    <row r="9403" spans="1:6" x14ac:dyDescent="0.25">
      <c r="A9403">
        <v>9402</v>
      </c>
      <c r="B9403">
        <v>2</v>
      </c>
      <c r="C9403">
        <v>0</v>
      </c>
      <c r="D9403">
        <v>0</v>
      </c>
      <c r="E9403">
        <v>0</v>
      </c>
      <c r="F9403">
        <v>257.79599999999999</v>
      </c>
    </row>
    <row r="9404" spans="1:6" x14ac:dyDescent="0.25">
      <c r="A9404">
        <v>9403</v>
      </c>
      <c r="B9404" t="s">
        <v>0</v>
      </c>
      <c r="C9404">
        <v>173</v>
      </c>
      <c r="D9404">
        <v>3492</v>
      </c>
      <c r="E9404">
        <v>80311861</v>
      </c>
    </row>
    <row r="9405" spans="1:6" x14ac:dyDescent="0.25">
      <c r="A9405">
        <v>9404</v>
      </c>
      <c r="B9405">
        <v>13</v>
      </c>
      <c r="C9405">
        <v>0</v>
      </c>
      <c r="D9405">
        <v>0</v>
      </c>
      <c r="E9405">
        <v>0</v>
      </c>
      <c r="F9405">
        <v>1607</v>
      </c>
    </row>
    <row r="9406" spans="1:6" x14ac:dyDescent="0.25">
      <c r="A9406">
        <v>9405</v>
      </c>
      <c r="B9406" t="s">
        <v>0</v>
      </c>
      <c r="C9406">
        <v>174</v>
      </c>
      <c r="D9406">
        <v>3492</v>
      </c>
      <c r="E9406">
        <v>80311990</v>
      </c>
    </row>
    <row r="9407" spans="1:6" x14ac:dyDescent="0.25">
      <c r="A9407">
        <v>9406</v>
      </c>
      <c r="B9407">
        <v>42</v>
      </c>
      <c r="C9407">
        <v>0</v>
      </c>
      <c r="D9407">
        <v>0</v>
      </c>
      <c r="E9407">
        <v>0</v>
      </c>
      <c r="F9407">
        <v>0.2</v>
      </c>
    </row>
    <row r="9408" spans="1:6" x14ac:dyDescent="0.25">
      <c r="A9408">
        <v>9407</v>
      </c>
      <c r="B9408" t="s">
        <v>0</v>
      </c>
      <c r="C9408">
        <v>175</v>
      </c>
      <c r="D9408">
        <v>3492</v>
      </c>
      <c r="E9408">
        <v>80312119</v>
      </c>
    </row>
    <row r="9409" spans="1:6" x14ac:dyDescent="0.25">
      <c r="A9409">
        <v>9408</v>
      </c>
      <c r="B9409">
        <v>44</v>
      </c>
      <c r="C9409">
        <v>0</v>
      </c>
      <c r="D9409">
        <v>0</v>
      </c>
      <c r="E9409">
        <v>0</v>
      </c>
      <c r="F9409">
        <v>-63.973100000000002</v>
      </c>
    </row>
    <row r="9410" spans="1:6" x14ac:dyDescent="0.25">
      <c r="A9410">
        <v>9409</v>
      </c>
      <c r="B9410" t="s">
        <v>0</v>
      </c>
      <c r="C9410">
        <v>176</v>
      </c>
      <c r="D9410">
        <v>3492</v>
      </c>
      <c r="E9410">
        <v>80312248</v>
      </c>
    </row>
    <row r="9411" spans="1:6" x14ac:dyDescent="0.25">
      <c r="A9411">
        <v>9410</v>
      </c>
      <c r="B9411">
        <v>46</v>
      </c>
      <c r="C9411">
        <v>0</v>
      </c>
      <c r="D9411">
        <v>0</v>
      </c>
      <c r="E9411">
        <v>0</v>
      </c>
      <c r="F9411">
        <v>0</v>
      </c>
    </row>
    <row r="9412" spans="1:6" x14ac:dyDescent="0.25">
      <c r="A9412">
        <v>9411</v>
      </c>
      <c r="B9412" t="s">
        <v>0</v>
      </c>
      <c r="C9412">
        <v>177</v>
      </c>
      <c r="D9412">
        <v>3492</v>
      </c>
      <c r="E9412">
        <v>80312378</v>
      </c>
    </row>
    <row r="9413" spans="1:6" x14ac:dyDescent="0.25">
      <c r="A9413">
        <v>9412</v>
      </c>
      <c r="B9413">
        <v>10</v>
      </c>
      <c r="C9413">
        <v>1</v>
      </c>
      <c r="D9413">
        <v>0</v>
      </c>
      <c r="E9413">
        <v>0</v>
      </c>
      <c r="F9413">
        <v>4409</v>
      </c>
    </row>
    <row r="9414" spans="1:6" x14ac:dyDescent="0.25">
      <c r="A9414">
        <v>9413</v>
      </c>
      <c r="B9414" t="s">
        <v>0</v>
      </c>
      <c r="C9414">
        <v>178</v>
      </c>
      <c r="D9414">
        <v>3492</v>
      </c>
      <c r="E9414">
        <v>80312507</v>
      </c>
    </row>
    <row r="9415" spans="1:6" x14ac:dyDescent="0.25">
      <c r="A9415">
        <v>9414</v>
      </c>
      <c r="B9415">
        <v>13</v>
      </c>
      <c r="C9415">
        <v>0</v>
      </c>
      <c r="D9415">
        <v>0</v>
      </c>
      <c r="E9415">
        <v>0</v>
      </c>
      <c r="F9415">
        <v>1607</v>
      </c>
    </row>
    <row r="9416" spans="1:6" x14ac:dyDescent="0.25">
      <c r="A9416">
        <v>9415</v>
      </c>
      <c r="B9416">
        <v>41</v>
      </c>
      <c r="C9416">
        <v>0</v>
      </c>
      <c r="D9416">
        <v>0</v>
      </c>
      <c r="E9416">
        <v>0</v>
      </c>
      <c r="F9416">
        <v>1</v>
      </c>
    </row>
    <row r="9417" spans="1:6" x14ac:dyDescent="0.25">
      <c r="A9417">
        <v>9416</v>
      </c>
      <c r="B9417">
        <v>42</v>
      </c>
      <c r="C9417">
        <v>0</v>
      </c>
      <c r="D9417">
        <v>0</v>
      </c>
      <c r="E9417">
        <v>0</v>
      </c>
      <c r="F9417">
        <v>0.2</v>
      </c>
    </row>
    <row r="9418" spans="1:6" x14ac:dyDescent="0.25">
      <c r="A9418">
        <v>9417</v>
      </c>
      <c r="B9418">
        <v>43</v>
      </c>
      <c r="C9418">
        <v>0</v>
      </c>
      <c r="D9418">
        <v>0</v>
      </c>
      <c r="E9418">
        <v>0</v>
      </c>
      <c r="F9418">
        <v>0</v>
      </c>
    </row>
    <row r="9419" spans="1:6" x14ac:dyDescent="0.25">
      <c r="A9419">
        <v>9418</v>
      </c>
      <c r="B9419" t="s">
        <v>0</v>
      </c>
      <c r="C9419">
        <v>0</v>
      </c>
      <c r="D9419">
        <v>3493</v>
      </c>
      <c r="E9419">
        <v>80312766</v>
      </c>
    </row>
    <row r="9420" spans="1:6" x14ac:dyDescent="0.25">
      <c r="A9420">
        <v>9419</v>
      </c>
      <c r="B9420">
        <v>44</v>
      </c>
      <c r="C9420">
        <v>0</v>
      </c>
      <c r="D9420">
        <v>0</v>
      </c>
      <c r="E9420">
        <v>0</v>
      </c>
      <c r="F9420">
        <v>-63.782400000000003</v>
      </c>
    </row>
    <row r="9421" spans="1:6" x14ac:dyDescent="0.25">
      <c r="A9421">
        <v>9420</v>
      </c>
      <c r="B9421">
        <v>45</v>
      </c>
      <c r="C9421">
        <v>0</v>
      </c>
      <c r="D9421">
        <v>0</v>
      </c>
      <c r="E9421">
        <v>0</v>
      </c>
      <c r="F9421">
        <v>521.80100000000004</v>
      </c>
    </row>
    <row r="9422" spans="1:6" x14ac:dyDescent="0.25">
      <c r="A9422">
        <v>9421</v>
      </c>
      <c r="B9422" t="s">
        <v>0</v>
      </c>
      <c r="C9422">
        <v>1</v>
      </c>
      <c r="D9422">
        <v>3493</v>
      </c>
      <c r="E9422">
        <v>80312896</v>
      </c>
    </row>
    <row r="9423" spans="1:6" x14ac:dyDescent="0.25">
      <c r="A9423">
        <v>9422</v>
      </c>
      <c r="B9423">
        <v>46</v>
      </c>
      <c r="C9423">
        <v>0</v>
      </c>
      <c r="D9423">
        <v>0</v>
      </c>
      <c r="E9423">
        <v>0</v>
      </c>
      <c r="F9423">
        <v>0</v>
      </c>
    </row>
    <row r="9424" spans="1:6" x14ac:dyDescent="0.25">
      <c r="A9424">
        <v>9423</v>
      </c>
      <c r="B9424">
        <v>2</v>
      </c>
      <c r="C9424">
        <v>0</v>
      </c>
      <c r="D9424">
        <v>0</v>
      </c>
      <c r="E9424">
        <v>0</v>
      </c>
      <c r="F9424">
        <v>257.57299999999998</v>
      </c>
    </row>
    <row r="9425" spans="1:6" x14ac:dyDescent="0.25">
      <c r="A9425">
        <v>9424</v>
      </c>
      <c r="B9425" t="s">
        <v>0</v>
      </c>
      <c r="C9425">
        <v>2</v>
      </c>
      <c r="D9425">
        <v>3493</v>
      </c>
      <c r="E9425">
        <v>80313025</v>
      </c>
    </row>
    <row r="9426" spans="1:6" x14ac:dyDescent="0.25">
      <c r="A9426">
        <v>9425</v>
      </c>
      <c r="B9426">
        <v>10</v>
      </c>
      <c r="C9426">
        <v>1</v>
      </c>
      <c r="D9426">
        <v>0</v>
      </c>
      <c r="E9426">
        <v>0</v>
      </c>
      <c r="F9426">
        <v>4411</v>
      </c>
    </row>
    <row r="9427" spans="1:6" x14ac:dyDescent="0.25">
      <c r="A9427">
        <v>9426</v>
      </c>
      <c r="B9427">
        <v>13</v>
      </c>
      <c r="C9427">
        <v>0</v>
      </c>
      <c r="D9427">
        <v>0</v>
      </c>
      <c r="E9427">
        <v>0</v>
      </c>
      <c r="F9427">
        <v>1607</v>
      </c>
    </row>
    <row r="9428" spans="1:6" x14ac:dyDescent="0.25">
      <c r="A9428">
        <v>9427</v>
      </c>
      <c r="B9428" t="s">
        <v>0</v>
      </c>
      <c r="C9428">
        <v>3</v>
      </c>
      <c r="D9428">
        <v>3493</v>
      </c>
      <c r="E9428">
        <v>80313154</v>
      </c>
    </row>
    <row r="9429" spans="1:6" x14ac:dyDescent="0.25">
      <c r="A9429">
        <v>9428</v>
      </c>
      <c r="B9429">
        <v>41</v>
      </c>
      <c r="C9429">
        <v>0</v>
      </c>
      <c r="D9429">
        <v>0</v>
      </c>
      <c r="E9429">
        <v>0</v>
      </c>
      <c r="F9429">
        <v>1</v>
      </c>
    </row>
    <row r="9430" spans="1:6" x14ac:dyDescent="0.25">
      <c r="A9430">
        <v>9429</v>
      </c>
      <c r="B9430">
        <v>42</v>
      </c>
      <c r="C9430">
        <v>0</v>
      </c>
      <c r="D9430">
        <v>0</v>
      </c>
      <c r="E9430">
        <v>0</v>
      </c>
      <c r="F9430">
        <v>0.2</v>
      </c>
    </row>
    <row r="9431" spans="1:6" x14ac:dyDescent="0.25">
      <c r="A9431">
        <v>9430</v>
      </c>
      <c r="B9431">
        <v>43</v>
      </c>
      <c r="C9431">
        <v>0</v>
      </c>
      <c r="D9431">
        <v>0</v>
      </c>
      <c r="E9431">
        <v>0</v>
      </c>
      <c r="F9431">
        <v>0</v>
      </c>
    </row>
    <row r="9432" spans="1:6" x14ac:dyDescent="0.25">
      <c r="A9432">
        <v>9431</v>
      </c>
      <c r="B9432">
        <v>44</v>
      </c>
      <c r="C9432">
        <v>0</v>
      </c>
      <c r="D9432">
        <v>0</v>
      </c>
      <c r="E9432">
        <v>0</v>
      </c>
      <c r="F9432">
        <v>-63.467799999999997</v>
      </c>
    </row>
    <row r="9433" spans="1:6" x14ac:dyDescent="0.25">
      <c r="A9433">
        <v>9432</v>
      </c>
      <c r="B9433">
        <v>45</v>
      </c>
      <c r="C9433">
        <v>0</v>
      </c>
      <c r="D9433">
        <v>0</v>
      </c>
      <c r="E9433">
        <v>0</v>
      </c>
      <c r="F9433">
        <v>521.75199999999995</v>
      </c>
    </row>
    <row r="9434" spans="1:6" x14ac:dyDescent="0.25">
      <c r="A9434">
        <v>9433</v>
      </c>
      <c r="B9434">
        <v>46</v>
      </c>
      <c r="C9434">
        <v>0</v>
      </c>
      <c r="D9434">
        <v>0</v>
      </c>
      <c r="E9434">
        <v>0</v>
      </c>
      <c r="F9434">
        <v>0</v>
      </c>
    </row>
    <row r="9435" spans="1:6" x14ac:dyDescent="0.25">
      <c r="A9435">
        <v>9434</v>
      </c>
      <c r="B9435">
        <v>2</v>
      </c>
      <c r="C9435">
        <v>0</v>
      </c>
      <c r="D9435">
        <v>0</v>
      </c>
      <c r="E9435">
        <v>0</v>
      </c>
      <c r="F9435">
        <v>257.38200000000001</v>
      </c>
    </row>
    <row r="9436" spans="1:6" x14ac:dyDescent="0.25">
      <c r="A9436">
        <v>9435</v>
      </c>
      <c r="B9436">
        <v>10</v>
      </c>
      <c r="C9436">
        <v>1</v>
      </c>
      <c r="D9436">
        <v>0</v>
      </c>
      <c r="E9436">
        <v>0</v>
      </c>
      <c r="F9436">
        <v>4416</v>
      </c>
    </row>
    <row r="9437" spans="1:6" x14ac:dyDescent="0.25">
      <c r="A9437">
        <v>9436</v>
      </c>
      <c r="B9437">
        <v>13</v>
      </c>
      <c r="C9437">
        <v>0</v>
      </c>
      <c r="D9437">
        <v>0</v>
      </c>
      <c r="E9437">
        <v>0</v>
      </c>
      <c r="F9437">
        <v>1607</v>
      </c>
    </row>
    <row r="9438" spans="1:6" x14ac:dyDescent="0.25">
      <c r="A9438">
        <v>9437</v>
      </c>
      <c r="B9438">
        <v>41</v>
      </c>
      <c r="C9438">
        <v>0</v>
      </c>
      <c r="D9438">
        <v>0</v>
      </c>
      <c r="E9438">
        <v>0</v>
      </c>
      <c r="F9438">
        <v>1</v>
      </c>
    </row>
    <row r="9439" spans="1:6" x14ac:dyDescent="0.25">
      <c r="A9439">
        <v>9438</v>
      </c>
      <c r="B9439">
        <v>42</v>
      </c>
      <c r="C9439">
        <v>0</v>
      </c>
      <c r="D9439">
        <v>0</v>
      </c>
      <c r="E9439">
        <v>0</v>
      </c>
      <c r="F9439">
        <v>0.2</v>
      </c>
    </row>
    <row r="9440" spans="1:6" x14ac:dyDescent="0.25">
      <c r="A9440">
        <v>9439</v>
      </c>
      <c r="B9440" t="s">
        <v>0</v>
      </c>
      <c r="C9440">
        <v>9</v>
      </c>
      <c r="D9440">
        <v>3493</v>
      </c>
      <c r="E9440">
        <v>80313929</v>
      </c>
    </row>
    <row r="9441" spans="1:6" x14ac:dyDescent="0.25">
      <c r="A9441">
        <v>9440</v>
      </c>
      <c r="B9441">
        <v>44</v>
      </c>
      <c r="C9441">
        <v>0</v>
      </c>
      <c r="D9441">
        <v>0</v>
      </c>
      <c r="E9441">
        <v>0</v>
      </c>
      <c r="F9441">
        <v>-63.111699999999999</v>
      </c>
    </row>
    <row r="9442" spans="1:6" x14ac:dyDescent="0.25">
      <c r="A9442">
        <v>9441</v>
      </c>
      <c r="B9442" t="s">
        <v>0</v>
      </c>
      <c r="C9442">
        <v>10</v>
      </c>
      <c r="D9442">
        <v>3493</v>
      </c>
      <c r="E9442">
        <v>80314059</v>
      </c>
    </row>
    <row r="9443" spans="1:6" x14ac:dyDescent="0.25">
      <c r="A9443">
        <v>9442</v>
      </c>
      <c r="B9443">
        <v>46</v>
      </c>
      <c r="C9443">
        <v>0</v>
      </c>
      <c r="D9443">
        <v>0</v>
      </c>
      <c r="E9443">
        <v>0</v>
      </c>
      <c r="F9443">
        <v>0</v>
      </c>
    </row>
    <row r="9444" spans="1:6" x14ac:dyDescent="0.25">
      <c r="A9444">
        <v>9443</v>
      </c>
      <c r="B9444" t="s">
        <v>0</v>
      </c>
      <c r="C9444">
        <v>11</v>
      </c>
      <c r="D9444">
        <v>3493</v>
      </c>
      <c r="E9444">
        <v>80314189</v>
      </c>
    </row>
    <row r="9445" spans="1:6" x14ac:dyDescent="0.25">
      <c r="A9445">
        <v>9444</v>
      </c>
      <c r="B9445">
        <v>10</v>
      </c>
      <c r="C9445">
        <v>1</v>
      </c>
      <c r="D9445">
        <v>0</v>
      </c>
      <c r="E9445">
        <v>0</v>
      </c>
      <c r="F9445">
        <v>4420</v>
      </c>
    </row>
    <row r="9446" spans="1:6" x14ac:dyDescent="0.25">
      <c r="A9446">
        <v>9445</v>
      </c>
      <c r="B9446" t="s">
        <v>0</v>
      </c>
      <c r="C9446">
        <v>12</v>
      </c>
      <c r="D9446">
        <v>3493</v>
      </c>
      <c r="E9446">
        <v>80314319</v>
      </c>
    </row>
    <row r="9447" spans="1:6" x14ac:dyDescent="0.25">
      <c r="A9447">
        <v>9446</v>
      </c>
      <c r="B9447">
        <v>41</v>
      </c>
      <c r="C9447">
        <v>0</v>
      </c>
      <c r="D9447">
        <v>0</v>
      </c>
      <c r="E9447">
        <v>0</v>
      </c>
      <c r="F9447">
        <v>1</v>
      </c>
    </row>
    <row r="9448" spans="1:6" x14ac:dyDescent="0.25">
      <c r="A9448">
        <v>9447</v>
      </c>
      <c r="B9448" t="s">
        <v>0</v>
      </c>
      <c r="C9448">
        <v>13</v>
      </c>
      <c r="D9448">
        <v>3493</v>
      </c>
      <c r="E9448">
        <v>80314449</v>
      </c>
    </row>
    <row r="9449" spans="1:6" x14ac:dyDescent="0.25">
      <c r="A9449">
        <v>9448</v>
      </c>
      <c r="B9449">
        <v>43</v>
      </c>
      <c r="C9449">
        <v>0</v>
      </c>
      <c r="D9449">
        <v>0</v>
      </c>
      <c r="E9449">
        <v>0</v>
      </c>
      <c r="F9449">
        <v>0</v>
      </c>
    </row>
    <row r="9450" spans="1:6" x14ac:dyDescent="0.25">
      <c r="A9450">
        <v>9449</v>
      </c>
      <c r="B9450" t="s">
        <v>0</v>
      </c>
      <c r="C9450">
        <v>14</v>
      </c>
      <c r="D9450">
        <v>3493</v>
      </c>
      <c r="E9450">
        <v>80314579</v>
      </c>
    </row>
    <row r="9451" spans="1:6" x14ac:dyDescent="0.25">
      <c r="A9451">
        <v>9450</v>
      </c>
      <c r="B9451">
        <v>45</v>
      </c>
      <c r="C9451">
        <v>0</v>
      </c>
      <c r="D9451">
        <v>0</v>
      </c>
      <c r="E9451">
        <v>0</v>
      </c>
      <c r="F9451">
        <v>521.66300000000001</v>
      </c>
    </row>
    <row r="9452" spans="1:6" x14ac:dyDescent="0.25">
      <c r="A9452">
        <v>9451</v>
      </c>
      <c r="B9452" t="s">
        <v>0</v>
      </c>
      <c r="C9452">
        <v>15</v>
      </c>
      <c r="D9452">
        <v>3493</v>
      </c>
      <c r="E9452">
        <v>80314708</v>
      </c>
    </row>
    <row r="9453" spans="1:6" x14ac:dyDescent="0.25">
      <c r="A9453">
        <v>9452</v>
      </c>
      <c r="B9453">
        <v>2</v>
      </c>
      <c r="C9453">
        <v>0</v>
      </c>
      <c r="D9453">
        <v>0</v>
      </c>
      <c r="E9453">
        <v>0</v>
      </c>
      <c r="F9453">
        <v>257.11500000000001</v>
      </c>
    </row>
    <row r="9454" spans="1:6" x14ac:dyDescent="0.25">
      <c r="A9454">
        <v>9453</v>
      </c>
      <c r="B9454" t="s">
        <v>0</v>
      </c>
      <c r="C9454">
        <v>16</v>
      </c>
      <c r="D9454">
        <v>3493</v>
      </c>
      <c r="E9454">
        <v>80314838</v>
      </c>
    </row>
    <row r="9455" spans="1:6" x14ac:dyDescent="0.25">
      <c r="A9455">
        <v>9454</v>
      </c>
      <c r="B9455">
        <v>10</v>
      </c>
      <c r="C9455">
        <v>1</v>
      </c>
      <c r="D9455">
        <v>0</v>
      </c>
      <c r="E9455">
        <v>0</v>
      </c>
      <c r="F9455">
        <v>4423</v>
      </c>
    </row>
    <row r="9456" spans="1:6" x14ac:dyDescent="0.25">
      <c r="A9456">
        <v>9455</v>
      </c>
      <c r="B9456">
        <v>13</v>
      </c>
      <c r="C9456">
        <v>0</v>
      </c>
      <c r="D9456">
        <v>0</v>
      </c>
      <c r="E9456">
        <v>0</v>
      </c>
      <c r="F9456">
        <v>1607</v>
      </c>
    </row>
    <row r="9457" spans="1:6" x14ac:dyDescent="0.25">
      <c r="A9457">
        <v>9456</v>
      </c>
      <c r="B9457" t="s">
        <v>0</v>
      </c>
      <c r="C9457">
        <v>17</v>
      </c>
      <c r="D9457">
        <v>3493</v>
      </c>
      <c r="E9457">
        <v>80314968</v>
      </c>
    </row>
    <row r="9458" spans="1:6" x14ac:dyDescent="0.25">
      <c r="A9458">
        <v>9457</v>
      </c>
      <c r="B9458">
        <v>41</v>
      </c>
      <c r="C9458">
        <v>0</v>
      </c>
      <c r="D9458">
        <v>0</v>
      </c>
      <c r="E9458">
        <v>0</v>
      </c>
      <c r="F9458">
        <v>1</v>
      </c>
    </row>
    <row r="9459" spans="1:6" x14ac:dyDescent="0.25">
      <c r="A9459">
        <v>9458</v>
      </c>
      <c r="B9459">
        <v>42</v>
      </c>
      <c r="C9459">
        <v>0</v>
      </c>
      <c r="D9459">
        <v>0</v>
      </c>
      <c r="E9459">
        <v>0</v>
      </c>
      <c r="F9459">
        <v>0.2</v>
      </c>
    </row>
    <row r="9460" spans="1:6" x14ac:dyDescent="0.25">
      <c r="A9460">
        <v>9459</v>
      </c>
      <c r="B9460" t="s">
        <v>0</v>
      </c>
      <c r="C9460">
        <v>18</v>
      </c>
      <c r="D9460">
        <v>3493</v>
      </c>
      <c r="E9460">
        <v>80315098</v>
      </c>
    </row>
    <row r="9461" spans="1:6" x14ac:dyDescent="0.25">
      <c r="A9461">
        <v>9460</v>
      </c>
      <c r="B9461">
        <v>43</v>
      </c>
      <c r="C9461">
        <v>0</v>
      </c>
      <c r="D9461">
        <v>0</v>
      </c>
      <c r="E9461">
        <v>0</v>
      </c>
      <c r="F9461">
        <v>0</v>
      </c>
    </row>
    <row r="9462" spans="1:6" x14ac:dyDescent="0.25">
      <c r="A9462">
        <v>9461</v>
      </c>
      <c r="B9462">
        <v>44</v>
      </c>
      <c r="C9462">
        <v>0</v>
      </c>
      <c r="D9462">
        <v>0</v>
      </c>
      <c r="E9462">
        <v>0</v>
      </c>
      <c r="F9462">
        <v>-62.551200000000001</v>
      </c>
    </row>
    <row r="9463" spans="1:6" x14ac:dyDescent="0.25">
      <c r="A9463">
        <v>9462</v>
      </c>
      <c r="B9463" t="s">
        <v>0</v>
      </c>
      <c r="C9463">
        <v>19</v>
      </c>
      <c r="D9463">
        <v>3493</v>
      </c>
      <c r="E9463">
        <v>80315228</v>
      </c>
    </row>
    <row r="9464" spans="1:6" x14ac:dyDescent="0.25">
      <c r="A9464">
        <v>9463</v>
      </c>
      <c r="B9464">
        <v>45</v>
      </c>
      <c r="C9464">
        <v>0</v>
      </c>
      <c r="D9464">
        <v>0</v>
      </c>
      <c r="E9464">
        <v>0</v>
      </c>
      <c r="F9464">
        <v>521.61500000000001</v>
      </c>
    </row>
    <row r="9465" spans="1:6" x14ac:dyDescent="0.25">
      <c r="A9465">
        <v>9464</v>
      </c>
      <c r="B9465">
        <v>46</v>
      </c>
      <c r="C9465">
        <v>0</v>
      </c>
      <c r="D9465">
        <v>0</v>
      </c>
      <c r="E9465">
        <v>0</v>
      </c>
      <c r="F9465">
        <v>0</v>
      </c>
    </row>
    <row r="9466" spans="1:6" x14ac:dyDescent="0.25">
      <c r="A9466">
        <v>9465</v>
      </c>
      <c r="B9466" t="s">
        <v>0</v>
      </c>
      <c r="C9466">
        <v>20</v>
      </c>
      <c r="D9466">
        <v>3493</v>
      </c>
      <c r="E9466">
        <v>80315357</v>
      </c>
    </row>
    <row r="9467" spans="1:6" x14ac:dyDescent="0.25">
      <c r="A9467">
        <v>9466</v>
      </c>
      <c r="B9467">
        <v>2</v>
      </c>
      <c r="C9467">
        <v>0</v>
      </c>
      <c r="D9467">
        <v>0</v>
      </c>
      <c r="E9467">
        <v>0</v>
      </c>
      <c r="F9467">
        <v>256.92200000000003</v>
      </c>
    </row>
    <row r="9468" spans="1:6" x14ac:dyDescent="0.25">
      <c r="A9468">
        <v>9467</v>
      </c>
      <c r="B9468">
        <v>10</v>
      </c>
      <c r="C9468">
        <v>1</v>
      </c>
      <c r="D9468">
        <v>0</v>
      </c>
      <c r="E9468">
        <v>0</v>
      </c>
      <c r="F9468">
        <v>4428</v>
      </c>
    </row>
    <row r="9469" spans="1:6" x14ac:dyDescent="0.25">
      <c r="A9469">
        <v>9468</v>
      </c>
      <c r="B9469" t="s">
        <v>0</v>
      </c>
      <c r="C9469">
        <v>21</v>
      </c>
      <c r="D9469">
        <v>3493</v>
      </c>
      <c r="E9469">
        <v>80315486</v>
      </c>
    </row>
    <row r="9470" spans="1:6" x14ac:dyDescent="0.25">
      <c r="A9470">
        <v>9469</v>
      </c>
      <c r="B9470">
        <v>13</v>
      </c>
      <c r="C9470">
        <v>0</v>
      </c>
      <c r="D9470">
        <v>0</v>
      </c>
      <c r="E9470">
        <v>0</v>
      </c>
      <c r="F9470">
        <v>1607</v>
      </c>
    </row>
    <row r="9471" spans="1:6" x14ac:dyDescent="0.25">
      <c r="A9471">
        <v>9470</v>
      </c>
      <c r="B9471">
        <v>41</v>
      </c>
      <c r="C9471">
        <v>0</v>
      </c>
      <c r="D9471">
        <v>0</v>
      </c>
      <c r="E9471">
        <v>0</v>
      </c>
      <c r="F9471">
        <v>1</v>
      </c>
    </row>
    <row r="9472" spans="1:6" x14ac:dyDescent="0.25">
      <c r="A9472">
        <v>9471</v>
      </c>
      <c r="B9472">
        <v>42</v>
      </c>
      <c r="C9472">
        <v>0</v>
      </c>
      <c r="D9472">
        <v>0</v>
      </c>
      <c r="E9472">
        <v>0</v>
      </c>
      <c r="F9472">
        <v>0.2</v>
      </c>
    </row>
    <row r="9473" spans="1:6" x14ac:dyDescent="0.25">
      <c r="A9473">
        <v>9472</v>
      </c>
      <c r="B9473">
        <v>43</v>
      </c>
      <c r="C9473">
        <v>0</v>
      </c>
      <c r="D9473">
        <v>0</v>
      </c>
      <c r="E9473">
        <v>0</v>
      </c>
      <c r="F9473">
        <v>0</v>
      </c>
    </row>
    <row r="9474" spans="1:6" x14ac:dyDescent="0.25">
      <c r="A9474">
        <v>9473</v>
      </c>
      <c r="B9474">
        <v>44</v>
      </c>
      <c r="C9474">
        <v>0</v>
      </c>
      <c r="D9474">
        <v>0</v>
      </c>
      <c r="E9474">
        <v>0</v>
      </c>
      <c r="F9474">
        <v>-62.209899999999998</v>
      </c>
    </row>
    <row r="9475" spans="1:6" x14ac:dyDescent="0.25">
      <c r="A9475">
        <v>9474</v>
      </c>
      <c r="B9475">
        <v>45</v>
      </c>
      <c r="C9475">
        <v>0</v>
      </c>
      <c r="D9475">
        <v>0</v>
      </c>
      <c r="E9475">
        <v>0</v>
      </c>
      <c r="F9475">
        <v>521.57600000000002</v>
      </c>
    </row>
    <row r="9476" spans="1:6" x14ac:dyDescent="0.25">
      <c r="A9476">
        <v>9475</v>
      </c>
      <c r="B9476">
        <v>46</v>
      </c>
      <c r="C9476">
        <v>0</v>
      </c>
      <c r="D9476">
        <v>0</v>
      </c>
      <c r="E9476">
        <v>0</v>
      </c>
      <c r="F9476">
        <v>0</v>
      </c>
    </row>
    <row r="9477" spans="1:6" x14ac:dyDescent="0.25">
      <c r="A9477">
        <v>9476</v>
      </c>
      <c r="B9477">
        <v>2</v>
      </c>
      <c r="C9477">
        <v>0</v>
      </c>
      <c r="D9477">
        <v>0</v>
      </c>
      <c r="E9477">
        <v>0</v>
      </c>
      <c r="F9477">
        <v>256.8</v>
      </c>
    </row>
    <row r="9478" spans="1:6" x14ac:dyDescent="0.25">
      <c r="A9478">
        <v>9477</v>
      </c>
      <c r="B9478">
        <v>10</v>
      </c>
      <c r="C9478">
        <v>1</v>
      </c>
      <c r="D9478">
        <v>0</v>
      </c>
      <c r="E9478">
        <v>0</v>
      </c>
      <c r="F9478">
        <v>4432</v>
      </c>
    </row>
    <row r="9479" spans="1:6" x14ac:dyDescent="0.25">
      <c r="A9479">
        <v>9478</v>
      </c>
      <c r="B9479">
        <v>13</v>
      </c>
      <c r="C9479">
        <v>0</v>
      </c>
      <c r="D9479">
        <v>0</v>
      </c>
      <c r="E9479">
        <v>0</v>
      </c>
      <c r="F9479">
        <v>1607</v>
      </c>
    </row>
    <row r="9480" spans="1:6" x14ac:dyDescent="0.25">
      <c r="A9480">
        <v>9479</v>
      </c>
      <c r="B9480">
        <v>41</v>
      </c>
      <c r="C9480">
        <v>0</v>
      </c>
      <c r="D9480">
        <v>0</v>
      </c>
      <c r="E9480">
        <v>0</v>
      </c>
      <c r="F9480">
        <v>1</v>
      </c>
    </row>
    <row r="9481" spans="1:6" x14ac:dyDescent="0.25">
      <c r="A9481">
        <v>9480</v>
      </c>
      <c r="B9481">
        <v>42</v>
      </c>
      <c r="C9481">
        <v>0</v>
      </c>
      <c r="D9481">
        <v>0</v>
      </c>
      <c r="E9481">
        <v>0</v>
      </c>
      <c r="F9481">
        <v>0.2</v>
      </c>
    </row>
    <row r="9482" spans="1:6" x14ac:dyDescent="0.25">
      <c r="A9482">
        <v>9481</v>
      </c>
      <c r="B9482">
        <v>43</v>
      </c>
      <c r="C9482">
        <v>0</v>
      </c>
      <c r="D9482">
        <v>0</v>
      </c>
      <c r="E9482">
        <v>0</v>
      </c>
      <c r="F9482">
        <v>0</v>
      </c>
    </row>
    <row r="9483" spans="1:6" x14ac:dyDescent="0.25">
      <c r="A9483">
        <v>9482</v>
      </c>
      <c r="B9483" t="s">
        <v>0</v>
      </c>
      <c r="C9483">
        <v>28</v>
      </c>
      <c r="D9483">
        <v>3493</v>
      </c>
      <c r="E9483">
        <v>80316395</v>
      </c>
    </row>
    <row r="9484" spans="1:6" x14ac:dyDescent="0.25">
      <c r="A9484">
        <v>9483</v>
      </c>
      <c r="B9484">
        <v>45</v>
      </c>
      <c r="C9484">
        <v>0</v>
      </c>
      <c r="D9484">
        <v>0</v>
      </c>
      <c r="E9484">
        <v>0</v>
      </c>
      <c r="F9484">
        <v>521.52700000000004</v>
      </c>
    </row>
    <row r="9485" spans="1:6" x14ac:dyDescent="0.25">
      <c r="A9485">
        <v>9484</v>
      </c>
      <c r="B9485" t="s">
        <v>0</v>
      </c>
      <c r="C9485">
        <v>29</v>
      </c>
      <c r="D9485">
        <v>3493</v>
      </c>
      <c r="E9485">
        <v>80316525</v>
      </c>
    </row>
    <row r="9486" spans="1:6" x14ac:dyDescent="0.25">
      <c r="A9486">
        <v>9485</v>
      </c>
      <c r="B9486">
        <v>2</v>
      </c>
      <c r="C9486">
        <v>0</v>
      </c>
      <c r="D9486">
        <v>0</v>
      </c>
      <c r="E9486">
        <v>0</v>
      </c>
      <c r="F9486">
        <v>256.64999999999998</v>
      </c>
    </row>
    <row r="9487" spans="1:6" x14ac:dyDescent="0.25">
      <c r="A9487">
        <v>9486</v>
      </c>
      <c r="B9487" t="s">
        <v>0</v>
      </c>
      <c r="C9487">
        <v>30</v>
      </c>
      <c r="D9487">
        <v>3493</v>
      </c>
      <c r="E9487">
        <v>80316655</v>
      </c>
    </row>
    <row r="9488" spans="1:6" x14ac:dyDescent="0.25">
      <c r="A9488">
        <v>9487</v>
      </c>
      <c r="B9488">
        <v>13</v>
      </c>
      <c r="C9488">
        <v>0</v>
      </c>
      <c r="D9488">
        <v>0</v>
      </c>
      <c r="E9488">
        <v>0</v>
      </c>
      <c r="F9488">
        <v>1607</v>
      </c>
    </row>
    <row r="9489" spans="1:6" x14ac:dyDescent="0.25">
      <c r="A9489">
        <v>9488</v>
      </c>
      <c r="B9489" t="s">
        <v>0</v>
      </c>
      <c r="C9489">
        <v>31</v>
      </c>
      <c r="D9489">
        <v>3493</v>
      </c>
      <c r="E9489">
        <v>80316784</v>
      </c>
    </row>
    <row r="9490" spans="1:6" x14ac:dyDescent="0.25">
      <c r="A9490">
        <v>9489</v>
      </c>
      <c r="B9490">
        <v>42</v>
      </c>
      <c r="C9490">
        <v>0</v>
      </c>
      <c r="D9490">
        <v>0</v>
      </c>
      <c r="E9490">
        <v>0</v>
      </c>
      <c r="F9490">
        <v>0.2</v>
      </c>
    </row>
    <row r="9491" spans="1:6" x14ac:dyDescent="0.25">
      <c r="A9491">
        <v>9490</v>
      </c>
      <c r="B9491" t="s">
        <v>0</v>
      </c>
      <c r="C9491">
        <v>32</v>
      </c>
      <c r="D9491">
        <v>3493</v>
      </c>
      <c r="E9491">
        <v>80316914</v>
      </c>
    </row>
    <row r="9492" spans="1:6" x14ac:dyDescent="0.25">
      <c r="A9492">
        <v>9491</v>
      </c>
      <c r="B9492">
        <v>44</v>
      </c>
      <c r="C9492">
        <v>0</v>
      </c>
      <c r="D9492">
        <v>0</v>
      </c>
      <c r="E9492">
        <v>0</v>
      </c>
      <c r="F9492">
        <v>-61.621899999999997</v>
      </c>
    </row>
    <row r="9493" spans="1:6" x14ac:dyDescent="0.25">
      <c r="A9493">
        <v>9492</v>
      </c>
      <c r="B9493" t="s">
        <v>0</v>
      </c>
      <c r="C9493">
        <v>33</v>
      </c>
      <c r="D9493">
        <v>3493</v>
      </c>
      <c r="E9493">
        <v>80317044</v>
      </c>
    </row>
    <row r="9494" spans="1:6" x14ac:dyDescent="0.25">
      <c r="A9494">
        <v>9493</v>
      </c>
      <c r="B9494">
        <v>46</v>
      </c>
      <c r="C9494">
        <v>0</v>
      </c>
      <c r="D9494">
        <v>0</v>
      </c>
      <c r="E9494">
        <v>0</v>
      </c>
      <c r="F9494">
        <v>0</v>
      </c>
    </row>
    <row r="9495" spans="1:6" x14ac:dyDescent="0.25">
      <c r="A9495">
        <v>9494</v>
      </c>
      <c r="B9495" t="s">
        <v>0</v>
      </c>
      <c r="C9495">
        <v>34</v>
      </c>
      <c r="D9495">
        <v>3493</v>
      </c>
      <c r="E9495">
        <v>80317173</v>
      </c>
    </row>
    <row r="9496" spans="1:6" x14ac:dyDescent="0.25">
      <c r="A9496">
        <v>9495</v>
      </c>
      <c r="B9496">
        <v>2</v>
      </c>
      <c r="C9496">
        <v>0</v>
      </c>
      <c r="D9496">
        <v>0</v>
      </c>
      <c r="E9496">
        <v>0</v>
      </c>
      <c r="F9496">
        <v>256.47399999999999</v>
      </c>
    </row>
    <row r="9497" spans="1:6" x14ac:dyDescent="0.25">
      <c r="A9497">
        <v>9496</v>
      </c>
      <c r="B9497">
        <v>10</v>
      </c>
      <c r="C9497">
        <v>1</v>
      </c>
      <c r="D9497">
        <v>0</v>
      </c>
      <c r="E9497">
        <v>0</v>
      </c>
      <c r="F9497">
        <v>4440</v>
      </c>
    </row>
    <row r="9498" spans="1:6" x14ac:dyDescent="0.25">
      <c r="A9498">
        <v>9497</v>
      </c>
      <c r="B9498" t="s">
        <v>0</v>
      </c>
      <c r="C9498">
        <v>35</v>
      </c>
      <c r="D9498">
        <v>3493</v>
      </c>
      <c r="E9498">
        <v>80317303</v>
      </c>
    </row>
    <row r="9499" spans="1:6" x14ac:dyDescent="0.25">
      <c r="A9499">
        <v>9498</v>
      </c>
      <c r="B9499">
        <v>13</v>
      </c>
      <c r="C9499">
        <v>0</v>
      </c>
      <c r="D9499">
        <v>0</v>
      </c>
      <c r="E9499">
        <v>0</v>
      </c>
      <c r="F9499">
        <v>1607</v>
      </c>
    </row>
    <row r="9500" spans="1:6" x14ac:dyDescent="0.25">
      <c r="A9500">
        <v>9499</v>
      </c>
      <c r="B9500">
        <v>41</v>
      </c>
      <c r="C9500">
        <v>0</v>
      </c>
      <c r="D9500">
        <v>0</v>
      </c>
      <c r="E9500">
        <v>0</v>
      </c>
      <c r="F9500">
        <v>1</v>
      </c>
    </row>
    <row r="9501" spans="1:6" x14ac:dyDescent="0.25">
      <c r="A9501">
        <v>9500</v>
      </c>
      <c r="B9501" t="s">
        <v>0</v>
      </c>
      <c r="C9501">
        <v>36</v>
      </c>
      <c r="D9501">
        <v>3493</v>
      </c>
      <c r="E9501">
        <v>80317433</v>
      </c>
    </row>
    <row r="9502" spans="1:6" x14ac:dyDescent="0.25">
      <c r="A9502">
        <v>9501</v>
      </c>
      <c r="B9502">
        <v>42</v>
      </c>
      <c r="C9502">
        <v>0</v>
      </c>
      <c r="D9502">
        <v>0</v>
      </c>
      <c r="E9502">
        <v>0</v>
      </c>
      <c r="F9502">
        <v>0.2</v>
      </c>
    </row>
    <row r="9503" spans="1:6" x14ac:dyDescent="0.25">
      <c r="A9503">
        <v>9502</v>
      </c>
      <c r="B9503">
        <v>43</v>
      </c>
      <c r="C9503">
        <v>0</v>
      </c>
      <c r="D9503">
        <v>0</v>
      </c>
      <c r="E9503">
        <v>0</v>
      </c>
      <c r="F9503">
        <v>0</v>
      </c>
    </row>
    <row r="9504" spans="1:6" x14ac:dyDescent="0.25">
      <c r="A9504">
        <v>9503</v>
      </c>
      <c r="B9504" t="s">
        <v>0</v>
      </c>
      <c r="C9504">
        <v>37</v>
      </c>
      <c r="D9504">
        <v>3493</v>
      </c>
      <c r="E9504">
        <v>80317562</v>
      </c>
    </row>
    <row r="9505" spans="1:6" x14ac:dyDescent="0.25">
      <c r="A9505">
        <v>9504</v>
      </c>
      <c r="B9505">
        <v>44</v>
      </c>
      <c r="C9505">
        <v>0</v>
      </c>
      <c r="D9505">
        <v>0</v>
      </c>
      <c r="E9505">
        <v>0</v>
      </c>
      <c r="F9505">
        <v>-61.320700000000002</v>
      </c>
    </row>
    <row r="9506" spans="1:6" x14ac:dyDescent="0.25">
      <c r="A9506">
        <v>9505</v>
      </c>
      <c r="B9506">
        <v>45</v>
      </c>
      <c r="C9506">
        <v>0</v>
      </c>
      <c r="D9506">
        <v>0</v>
      </c>
      <c r="E9506">
        <v>0</v>
      </c>
      <c r="F9506">
        <v>521.44100000000003</v>
      </c>
    </row>
    <row r="9507" spans="1:6" x14ac:dyDescent="0.25">
      <c r="A9507">
        <v>9506</v>
      </c>
      <c r="B9507" t="s">
        <v>0</v>
      </c>
      <c r="C9507">
        <v>38</v>
      </c>
      <c r="D9507">
        <v>3493</v>
      </c>
      <c r="E9507">
        <v>80317692</v>
      </c>
    </row>
    <row r="9508" spans="1:6" x14ac:dyDescent="0.25">
      <c r="A9508">
        <v>9507</v>
      </c>
      <c r="B9508">
        <v>46</v>
      </c>
      <c r="C9508">
        <v>0</v>
      </c>
      <c r="D9508">
        <v>0</v>
      </c>
      <c r="E9508">
        <v>0</v>
      </c>
      <c r="F9508">
        <v>0</v>
      </c>
    </row>
    <row r="9509" spans="1:6" x14ac:dyDescent="0.25">
      <c r="A9509">
        <v>9508</v>
      </c>
      <c r="B9509">
        <v>2</v>
      </c>
      <c r="C9509">
        <v>0</v>
      </c>
      <c r="D9509">
        <v>0</v>
      </c>
      <c r="E9509">
        <v>0</v>
      </c>
      <c r="F9509">
        <v>256.36200000000002</v>
      </c>
    </row>
    <row r="9510" spans="1:6" x14ac:dyDescent="0.25">
      <c r="A9510">
        <v>9509</v>
      </c>
      <c r="B9510" t="s">
        <v>0</v>
      </c>
      <c r="C9510">
        <v>39</v>
      </c>
      <c r="D9510">
        <v>3493</v>
      </c>
      <c r="E9510">
        <v>80317822</v>
      </c>
    </row>
    <row r="9511" spans="1:6" x14ac:dyDescent="0.25">
      <c r="A9511">
        <v>9510</v>
      </c>
      <c r="B9511">
        <v>10</v>
      </c>
      <c r="C9511">
        <v>1</v>
      </c>
      <c r="D9511">
        <v>0</v>
      </c>
      <c r="E9511">
        <v>0</v>
      </c>
      <c r="F9511">
        <v>4443</v>
      </c>
    </row>
    <row r="9512" spans="1:6" x14ac:dyDescent="0.25">
      <c r="A9512">
        <v>9511</v>
      </c>
      <c r="B9512">
        <v>13</v>
      </c>
      <c r="C9512">
        <v>0</v>
      </c>
      <c r="D9512">
        <v>0</v>
      </c>
      <c r="E9512">
        <v>0</v>
      </c>
      <c r="F9512">
        <v>1607</v>
      </c>
    </row>
    <row r="9513" spans="1:6" x14ac:dyDescent="0.25">
      <c r="A9513">
        <v>9512</v>
      </c>
      <c r="B9513" t="s">
        <v>0</v>
      </c>
      <c r="C9513">
        <v>40</v>
      </c>
      <c r="D9513">
        <v>3493</v>
      </c>
      <c r="E9513">
        <v>80317951</v>
      </c>
    </row>
    <row r="9514" spans="1:6" x14ac:dyDescent="0.25">
      <c r="A9514">
        <v>9513</v>
      </c>
      <c r="B9514">
        <v>41</v>
      </c>
      <c r="C9514">
        <v>0</v>
      </c>
      <c r="D9514">
        <v>0</v>
      </c>
      <c r="E9514">
        <v>0</v>
      </c>
      <c r="F9514">
        <v>1</v>
      </c>
    </row>
    <row r="9515" spans="1:6" x14ac:dyDescent="0.25">
      <c r="A9515">
        <v>9514</v>
      </c>
      <c r="B9515">
        <v>42</v>
      </c>
      <c r="C9515">
        <v>0</v>
      </c>
      <c r="D9515">
        <v>0</v>
      </c>
      <c r="E9515">
        <v>0</v>
      </c>
      <c r="F9515">
        <v>0.2</v>
      </c>
    </row>
    <row r="9516" spans="1:6" x14ac:dyDescent="0.25">
      <c r="A9516">
        <v>9515</v>
      </c>
      <c r="B9516">
        <v>43</v>
      </c>
      <c r="C9516">
        <v>0</v>
      </c>
      <c r="D9516">
        <v>0</v>
      </c>
      <c r="E9516">
        <v>0</v>
      </c>
      <c r="F9516">
        <v>0</v>
      </c>
    </row>
    <row r="9517" spans="1:6" x14ac:dyDescent="0.25">
      <c r="A9517">
        <v>9516</v>
      </c>
      <c r="B9517">
        <v>44</v>
      </c>
      <c r="C9517">
        <v>0</v>
      </c>
      <c r="D9517">
        <v>0</v>
      </c>
      <c r="E9517">
        <v>0</v>
      </c>
      <c r="F9517">
        <v>-61.0901</v>
      </c>
    </row>
    <row r="9518" spans="1:6" x14ac:dyDescent="0.25">
      <c r="A9518">
        <v>9517</v>
      </c>
      <c r="B9518">
        <v>45</v>
      </c>
      <c r="C9518">
        <v>0</v>
      </c>
      <c r="D9518">
        <v>0</v>
      </c>
      <c r="E9518">
        <v>0</v>
      </c>
      <c r="F9518">
        <v>521.39300000000003</v>
      </c>
    </row>
    <row r="9519" spans="1:6" x14ac:dyDescent="0.25">
      <c r="A9519">
        <v>9518</v>
      </c>
      <c r="B9519">
        <v>46</v>
      </c>
      <c r="C9519">
        <v>0</v>
      </c>
      <c r="D9519">
        <v>0</v>
      </c>
      <c r="E9519">
        <v>0</v>
      </c>
      <c r="F9519">
        <v>0</v>
      </c>
    </row>
    <row r="9520" spans="1:6" x14ac:dyDescent="0.25">
      <c r="A9520">
        <v>9519</v>
      </c>
      <c r="B9520">
        <v>2</v>
      </c>
      <c r="C9520">
        <v>0</v>
      </c>
      <c r="D9520">
        <v>0</v>
      </c>
      <c r="E9520">
        <v>0</v>
      </c>
      <c r="F9520">
        <v>256.20400000000001</v>
      </c>
    </row>
    <row r="9521" spans="1:6" x14ac:dyDescent="0.25">
      <c r="A9521">
        <v>9520</v>
      </c>
      <c r="B9521">
        <v>10</v>
      </c>
      <c r="C9521">
        <v>1</v>
      </c>
      <c r="D9521">
        <v>0</v>
      </c>
      <c r="E9521">
        <v>0</v>
      </c>
      <c r="F9521">
        <v>4447</v>
      </c>
    </row>
    <row r="9522" spans="1:6" x14ac:dyDescent="0.25">
      <c r="A9522">
        <v>9521</v>
      </c>
      <c r="B9522">
        <v>13</v>
      </c>
      <c r="C9522">
        <v>0</v>
      </c>
      <c r="D9522">
        <v>0</v>
      </c>
      <c r="E9522">
        <v>0</v>
      </c>
      <c r="F9522">
        <v>1607</v>
      </c>
    </row>
    <row r="9523" spans="1:6" x14ac:dyDescent="0.25">
      <c r="A9523">
        <v>9522</v>
      </c>
      <c r="B9523">
        <v>41</v>
      </c>
      <c r="C9523">
        <v>0</v>
      </c>
      <c r="D9523">
        <v>0</v>
      </c>
      <c r="E9523">
        <v>0</v>
      </c>
      <c r="F9523">
        <v>1</v>
      </c>
    </row>
    <row r="9524" spans="1:6" x14ac:dyDescent="0.25">
      <c r="A9524">
        <v>9523</v>
      </c>
      <c r="B9524">
        <v>42</v>
      </c>
      <c r="C9524">
        <v>0</v>
      </c>
      <c r="D9524">
        <v>0</v>
      </c>
      <c r="E9524">
        <v>0</v>
      </c>
      <c r="F9524">
        <v>0.2</v>
      </c>
    </row>
    <row r="9525" spans="1:6" x14ac:dyDescent="0.25">
      <c r="A9525">
        <v>9524</v>
      </c>
      <c r="B9525">
        <v>43</v>
      </c>
      <c r="C9525">
        <v>0</v>
      </c>
      <c r="D9525">
        <v>0</v>
      </c>
      <c r="E9525">
        <v>0</v>
      </c>
      <c r="F9525">
        <v>0</v>
      </c>
    </row>
    <row r="9526" spans="1:6" x14ac:dyDescent="0.25">
      <c r="A9526">
        <v>9525</v>
      </c>
      <c r="B9526">
        <v>44</v>
      </c>
      <c r="C9526">
        <v>0</v>
      </c>
      <c r="D9526">
        <v>0</v>
      </c>
      <c r="E9526">
        <v>0</v>
      </c>
      <c r="F9526">
        <v>-60.733400000000003</v>
      </c>
    </row>
    <row r="9527" spans="1:6" x14ac:dyDescent="0.25">
      <c r="A9527">
        <v>9526</v>
      </c>
      <c r="B9527" t="s">
        <v>0</v>
      </c>
      <c r="C9527">
        <v>47</v>
      </c>
      <c r="D9527">
        <v>3493</v>
      </c>
      <c r="E9527">
        <v>80318861</v>
      </c>
    </row>
    <row r="9528" spans="1:6" x14ac:dyDescent="0.25">
      <c r="A9528">
        <v>9527</v>
      </c>
      <c r="B9528">
        <v>46</v>
      </c>
      <c r="C9528">
        <v>0</v>
      </c>
      <c r="D9528">
        <v>0</v>
      </c>
      <c r="E9528">
        <v>0</v>
      </c>
      <c r="F9528">
        <v>0</v>
      </c>
    </row>
    <row r="9529" spans="1:6" x14ac:dyDescent="0.25">
      <c r="A9529">
        <v>9528</v>
      </c>
      <c r="B9529" t="s">
        <v>0</v>
      </c>
      <c r="C9529">
        <v>48</v>
      </c>
      <c r="D9529">
        <v>3493</v>
      </c>
      <c r="E9529">
        <v>80318991</v>
      </c>
    </row>
    <row r="9530" spans="1:6" x14ac:dyDescent="0.25">
      <c r="A9530">
        <v>9529</v>
      </c>
      <c r="B9530">
        <v>10</v>
      </c>
      <c r="C9530">
        <v>1</v>
      </c>
      <c r="D9530">
        <v>0</v>
      </c>
      <c r="E9530">
        <v>0</v>
      </c>
      <c r="F9530">
        <v>4451</v>
      </c>
    </row>
    <row r="9531" spans="1:6" x14ac:dyDescent="0.25">
      <c r="A9531">
        <v>9530</v>
      </c>
      <c r="B9531" t="s">
        <v>0</v>
      </c>
      <c r="C9531">
        <v>49</v>
      </c>
      <c r="D9531">
        <v>3493</v>
      </c>
      <c r="E9531">
        <v>80319121</v>
      </c>
    </row>
    <row r="9532" spans="1:6" x14ac:dyDescent="0.25">
      <c r="A9532">
        <v>9531</v>
      </c>
      <c r="B9532">
        <v>41</v>
      </c>
      <c r="C9532">
        <v>0</v>
      </c>
      <c r="D9532">
        <v>0</v>
      </c>
      <c r="E9532">
        <v>0</v>
      </c>
      <c r="F9532">
        <v>1</v>
      </c>
    </row>
    <row r="9533" spans="1:6" x14ac:dyDescent="0.25">
      <c r="A9533">
        <v>9532</v>
      </c>
      <c r="B9533" t="s">
        <v>0</v>
      </c>
      <c r="C9533">
        <v>50</v>
      </c>
      <c r="D9533">
        <v>3493</v>
      </c>
      <c r="E9533">
        <v>80319251</v>
      </c>
    </row>
    <row r="9534" spans="1:6" x14ac:dyDescent="0.25">
      <c r="A9534">
        <v>9533</v>
      </c>
      <c r="B9534">
        <v>43</v>
      </c>
      <c r="C9534">
        <v>0</v>
      </c>
      <c r="D9534">
        <v>0</v>
      </c>
      <c r="E9534">
        <v>0</v>
      </c>
      <c r="F9534">
        <v>0</v>
      </c>
    </row>
    <row r="9535" spans="1:6" x14ac:dyDescent="0.25">
      <c r="A9535">
        <v>9534</v>
      </c>
      <c r="B9535" t="s">
        <v>0</v>
      </c>
      <c r="C9535">
        <v>51</v>
      </c>
      <c r="D9535">
        <v>3493</v>
      </c>
      <c r="E9535">
        <v>80319381</v>
      </c>
    </row>
    <row r="9536" spans="1:6" x14ac:dyDescent="0.25">
      <c r="A9536">
        <v>9535</v>
      </c>
      <c r="B9536">
        <v>45</v>
      </c>
      <c r="C9536">
        <v>0</v>
      </c>
      <c r="D9536">
        <v>0</v>
      </c>
      <c r="E9536">
        <v>0</v>
      </c>
      <c r="F9536">
        <v>521.30700000000002</v>
      </c>
    </row>
    <row r="9537" spans="1:6" x14ac:dyDescent="0.25">
      <c r="A9537">
        <v>9536</v>
      </c>
      <c r="B9537" t="s">
        <v>0</v>
      </c>
      <c r="C9537">
        <v>52</v>
      </c>
      <c r="D9537">
        <v>3493</v>
      </c>
      <c r="E9537">
        <v>80319511</v>
      </c>
    </row>
    <row r="9538" spans="1:6" x14ac:dyDescent="0.25">
      <c r="A9538">
        <v>9537</v>
      </c>
      <c r="B9538">
        <v>2</v>
      </c>
      <c r="C9538">
        <v>0</v>
      </c>
      <c r="D9538">
        <v>0</v>
      </c>
      <c r="E9538">
        <v>0</v>
      </c>
      <c r="F9538">
        <v>255.93600000000001</v>
      </c>
    </row>
    <row r="9539" spans="1:6" x14ac:dyDescent="0.25">
      <c r="A9539">
        <v>9538</v>
      </c>
      <c r="B9539" t="s">
        <v>0</v>
      </c>
      <c r="C9539">
        <v>53</v>
      </c>
      <c r="D9539">
        <v>3493</v>
      </c>
      <c r="E9539">
        <v>80319641</v>
      </c>
    </row>
    <row r="9540" spans="1:6" x14ac:dyDescent="0.25">
      <c r="A9540">
        <v>9539</v>
      </c>
      <c r="B9540">
        <v>13</v>
      </c>
      <c r="C9540">
        <v>0</v>
      </c>
      <c r="D9540">
        <v>0</v>
      </c>
      <c r="E9540">
        <v>0</v>
      </c>
      <c r="F9540">
        <v>1607</v>
      </c>
    </row>
    <row r="9541" spans="1:6" x14ac:dyDescent="0.25">
      <c r="A9541">
        <v>9540</v>
      </c>
      <c r="B9541" t="s">
        <v>0</v>
      </c>
      <c r="C9541">
        <v>54</v>
      </c>
      <c r="D9541">
        <v>3493</v>
      </c>
      <c r="E9541">
        <v>80319771</v>
      </c>
    </row>
    <row r="9542" spans="1:6" x14ac:dyDescent="0.25">
      <c r="A9542">
        <v>9541</v>
      </c>
      <c r="B9542">
        <v>41</v>
      </c>
      <c r="C9542">
        <v>0</v>
      </c>
      <c r="D9542">
        <v>0</v>
      </c>
      <c r="E9542">
        <v>0</v>
      </c>
      <c r="F9542">
        <v>1</v>
      </c>
    </row>
    <row r="9543" spans="1:6" x14ac:dyDescent="0.25">
      <c r="A9543">
        <v>9542</v>
      </c>
      <c r="B9543">
        <v>42</v>
      </c>
      <c r="C9543">
        <v>0</v>
      </c>
      <c r="D9543">
        <v>0</v>
      </c>
      <c r="E9543">
        <v>0</v>
      </c>
      <c r="F9543">
        <v>0.2</v>
      </c>
    </row>
    <row r="9544" spans="1:6" x14ac:dyDescent="0.25">
      <c r="A9544">
        <v>9543</v>
      </c>
      <c r="B9544" t="s">
        <v>0</v>
      </c>
      <c r="C9544">
        <v>55</v>
      </c>
      <c r="D9544">
        <v>3493</v>
      </c>
      <c r="E9544">
        <v>80319902</v>
      </c>
    </row>
    <row r="9545" spans="1:6" x14ac:dyDescent="0.25">
      <c r="A9545">
        <v>9544</v>
      </c>
      <c r="B9545">
        <v>43</v>
      </c>
      <c r="C9545">
        <v>0</v>
      </c>
      <c r="D9545">
        <v>0</v>
      </c>
      <c r="E9545">
        <v>0</v>
      </c>
      <c r="F9545">
        <v>0</v>
      </c>
    </row>
    <row r="9546" spans="1:6" x14ac:dyDescent="0.25">
      <c r="A9546">
        <v>9545</v>
      </c>
      <c r="B9546">
        <v>44</v>
      </c>
      <c r="C9546">
        <v>0</v>
      </c>
      <c r="D9546">
        <v>0</v>
      </c>
      <c r="E9546">
        <v>0</v>
      </c>
      <c r="F9546">
        <v>-60.165500000000002</v>
      </c>
    </row>
    <row r="9547" spans="1:6" x14ac:dyDescent="0.25">
      <c r="A9547">
        <v>9546</v>
      </c>
      <c r="B9547" t="s">
        <v>0</v>
      </c>
      <c r="C9547">
        <v>56</v>
      </c>
      <c r="D9547">
        <v>3493</v>
      </c>
      <c r="E9547">
        <v>80320032</v>
      </c>
    </row>
    <row r="9548" spans="1:6" x14ac:dyDescent="0.25">
      <c r="A9548">
        <v>9547</v>
      </c>
      <c r="B9548">
        <v>45</v>
      </c>
      <c r="C9548">
        <v>0</v>
      </c>
      <c r="D9548">
        <v>0</v>
      </c>
      <c r="E9548">
        <v>0</v>
      </c>
      <c r="F9548">
        <v>521.26</v>
      </c>
    </row>
    <row r="9549" spans="1:6" x14ac:dyDescent="0.25">
      <c r="A9549">
        <v>9548</v>
      </c>
      <c r="B9549">
        <v>46</v>
      </c>
      <c r="C9549">
        <v>0</v>
      </c>
      <c r="D9549">
        <v>0</v>
      </c>
      <c r="E9549">
        <v>0</v>
      </c>
      <c r="F9549">
        <v>0</v>
      </c>
    </row>
    <row r="9550" spans="1:6" x14ac:dyDescent="0.25">
      <c r="A9550">
        <v>9549</v>
      </c>
      <c r="B9550" t="s">
        <v>0</v>
      </c>
      <c r="C9550">
        <v>57</v>
      </c>
      <c r="D9550">
        <v>3493</v>
      </c>
      <c r="E9550">
        <v>80320162</v>
      </c>
    </row>
    <row r="9551" spans="1:6" x14ac:dyDescent="0.25">
      <c r="A9551">
        <v>9550</v>
      </c>
      <c r="B9551">
        <v>2</v>
      </c>
      <c r="C9551">
        <v>0</v>
      </c>
      <c r="D9551">
        <v>0</v>
      </c>
      <c r="E9551">
        <v>0</v>
      </c>
      <c r="F9551">
        <v>255.76</v>
      </c>
    </row>
    <row r="9552" spans="1:6" x14ac:dyDescent="0.25">
      <c r="A9552">
        <v>9551</v>
      </c>
      <c r="B9552">
        <v>10</v>
      </c>
      <c r="C9552">
        <v>1</v>
      </c>
      <c r="D9552">
        <v>0</v>
      </c>
      <c r="E9552">
        <v>0</v>
      </c>
      <c r="F9552">
        <v>4459</v>
      </c>
    </row>
    <row r="9553" spans="1:6" x14ac:dyDescent="0.25">
      <c r="A9553">
        <v>9552</v>
      </c>
      <c r="B9553" t="s">
        <v>0</v>
      </c>
      <c r="C9553">
        <v>58</v>
      </c>
      <c r="D9553">
        <v>3493</v>
      </c>
      <c r="E9553">
        <v>80320292</v>
      </c>
    </row>
    <row r="9554" spans="1:6" x14ac:dyDescent="0.25">
      <c r="A9554">
        <v>9553</v>
      </c>
      <c r="B9554">
        <v>13</v>
      </c>
      <c r="C9554">
        <v>0</v>
      </c>
      <c r="D9554">
        <v>0</v>
      </c>
      <c r="E9554">
        <v>0</v>
      </c>
      <c r="F9554">
        <v>1607</v>
      </c>
    </row>
    <row r="9555" spans="1:6" x14ac:dyDescent="0.25">
      <c r="A9555">
        <v>9554</v>
      </c>
      <c r="B9555">
        <v>41</v>
      </c>
      <c r="C9555">
        <v>0</v>
      </c>
      <c r="D9555">
        <v>0</v>
      </c>
      <c r="E9555">
        <v>0</v>
      </c>
      <c r="F9555">
        <v>1</v>
      </c>
    </row>
    <row r="9556" spans="1:6" x14ac:dyDescent="0.25">
      <c r="A9556">
        <v>9555</v>
      </c>
      <c r="B9556" t="s">
        <v>0</v>
      </c>
      <c r="C9556">
        <v>59</v>
      </c>
      <c r="D9556">
        <v>3493</v>
      </c>
      <c r="E9556">
        <v>80320423</v>
      </c>
    </row>
    <row r="9557" spans="1:6" x14ac:dyDescent="0.25">
      <c r="A9557">
        <v>9556</v>
      </c>
      <c r="B9557">
        <v>42</v>
      </c>
      <c r="C9557">
        <v>0</v>
      </c>
      <c r="D9557">
        <v>0</v>
      </c>
      <c r="E9557">
        <v>0</v>
      </c>
      <c r="F9557">
        <v>0.2</v>
      </c>
    </row>
    <row r="9558" spans="1:6" x14ac:dyDescent="0.25">
      <c r="A9558">
        <v>9557</v>
      </c>
      <c r="B9558">
        <v>43</v>
      </c>
      <c r="C9558">
        <v>0</v>
      </c>
      <c r="D9558">
        <v>0</v>
      </c>
      <c r="E9558">
        <v>0</v>
      </c>
      <c r="F9558">
        <v>0</v>
      </c>
    </row>
    <row r="9559" spans="1:6" x14ac:dyDescent="0.25">
      <c r="A9559">
        <v>9558</v>
      </c>
      <c r="B9559" t="s">
        <v>0</v>
      </c>
      <c r="C9559">
        <v>60</v>
      </c>
      <c r="D9559">
        <v>3493</v>
      </c>
      <c r="E9559">
        <v>80320553</v>
      </c>
    </row>
    <row r="9560" spans="1:6" x14ac:dyDescent="0.25">
      <c r="A9560">
        <v>9559</v>
      </c>
      <c r="B9560">
        <v>44</v>
      </c>
      <c r="C9560">
        <v>0</v>
      </c>
      <c r="D9560">
        <v>0</v>
      </c>
      <c r="E9560">
        <v>0</v>
      </c>
      <c r="F9560">
        <v>-59.847099999999998</v>
      </c>
    </row>
    <row r="9561" spans="1:6" x14ac:dyDescent="0.25">
      <c r="A9561">
        <v>9560</v>
      </c>
      <c r="B9561">
        <v>45</v>
      </c>
      <c r="C9561">
        <v>0</v>
      </c>
      <c r="D9561">
        <v>0</v>
      </c>
      <c r="E9561">
        <v>0</v>
      </c>
      <c r="F9561">
        <v>521.22199999999998</v>
      </c>
    </row>
    <row r="9562" spans="1:6" x14ac:dyDescent="0.25">
      <c r="A9562">
        <v>9561</v>
      </c>
      <c r="B9562">
        <v>46</v>
      </c>
      <c r="C9562">
        <v>0</v>
      </c>
      <c r="D9562">
        <v>0</v>
      </c>
      <c r="E9562">
        <v>0</v>
      </c>
      <c r="F9562">
        <v>0</v>
      </c>
    </row>
    <row r="9563" spans="1:6" x14ac:dyDescent="0.25">
      <c r="A9563">
        <v>9562</v>
      </c>
      <c r="B9563">
        <v>2</v>
      </c>
      <c r="C9563">
        <v>0</v>
      </c>
      <c r="D9563">
        <v>0</v>
      </c>
      <c r="E9563">
        <v>0</v>
      </c>
      <c r="F9563">
        <v>255.63499999999999</v>
      </c>
    </row>
    <row r="9564" spans="1:6" x14ac:dyDescent="0.25">
      <c r="A9564">
        <v>9563</v>
      </c>
      <c r="B9564">
        <v>10</v>
      </c>
      <c r="C9564">
        <v>1</v>
      </c>
      <c r="D9564">
        <v>0</v>
      </c>
      <c r="E9564">
        <v>0</v>
      </c>
      <c r="F9564">
        <v>4462</v>
      </c>
    </row>
    <row r="9565" spans="1:6" x14ac:dyDescent="0.25">
      <c r="A9565">
        <v>9564</v>
      </c>
      <c r="B9565">
        <v>13</v>
      </c>
      <c r="C9565">
        <v>0</v>
      </c>
      <c r="D9565">
        <v>0</v>
      </c>
      <c r="E9565">
        <v>0</v>
      </c>
      <c r="F9565">
        <v>1607</v>
      </c>
    </row>
    <row r="9566" spans="1:6" x14ac:dyDescent="0.25">
      <c r="A9566">
        <v>9565</v>
      </c>
      <c r="B9566">
        <v>41</v>
      </c>
      <c r="C9566">
        <v>0</v>
      </c>
      <c r="D9566">
        <v>0</v>
      </c>
      <c r="E9566">
        <v>0</v>
      </c>
      <c r="F9566">
        <v>1</v>
      </c>
    </row>
    <row r="9567" spans="1:6" x14ac:dyDescent="0.25">
      <c r="A9567">
        <v>9566</v>
      </c>
      <c r="B9567">
        <v>42</v>
      </c>
      <c r="C9567">
        <v>0</v>
      </c>
      <c r="D9567">
        <v>0</v>
      </c>
      <c r="E9567">
        <v>0</v>
      </c>
      <c r="F9567">
        <v>0.2</v>
      </c>
    </row>
    <row r="9568" spans="1:6" x14ac:dyDescent="0.25">
      <c r="A9568">
        <v>9567</v>
      </c>
      <c r="B9568">
        <v>43</v>
      </c>
      <c r="C9568">
        <v>0</v>
      </c>
      <c r="D9568">
        <v>0</v>
      </c>
      <c r="E9568">
        <v>0</v>
      </c>
      <c r="F9568">
        <v>0</v>
      </c>
    </row>
    <row r="9569" spans="1:6" x14ac:dyDescent="0.25">
      <c r="A9569">
        <v>9568</v>
      </c>
      <c r="B9569">
        <v>44</v>
      </c>
      <c r="C9569">
        <v>0</v>
      </c>
      <c r="D9569">
        <v>0</v>
      </c>
      <c r="E9569">
        <v>0</v>
      </c>
      <c r="F9569">
        <v>-59.606900000000003</v>
      </c>
    </row>
    <row r="9570" spans="1:6" x14ac:dyDescent="0.25">
      <c r="A9570">
        <v>9569</v>
      </c>
      <c r="B9570">
        <v>45</v>
      </c>
      <c r="C9570">
        <v>0</v>
      </c>
      <c r="D9570">
        <v>0</v>
      </c>
      <c r="E9570">
        <v>0</v>
      </c>
      <c r="F9570">
        <v>521.17600000000004</v>
      </c>
    </row>
    <row r="9571" spans="1:6" x14ac:dyDescent="0.25">
      <c r="A9571">
        <v>9570</v>
      </c>
      <c r="B9571">
        <v>46</v>
      </c>
      <c r="C9571">
        <v>0</v>
      </c>
      <c r="D9571">
        <v>0</v>
      </c>
      <c r="E9571">
        <v>0</v>
      </c>
      <c r="F9571">
        <v>0</v>
      </c>
    </row>
    <row r="9572" spans="1:6" x14ac:dyDescent="0.25">
      <c r="A9572">
        <v>9571</v>
      </c>
      <c r="B9572">
        <v>2</v>
      </c>
      <c r="C9572">
        <v>0</v>
      </c>
      <c r="D9572">
        <v>0</v>
      </c>
      <c r="E9572">
        <v>0</v>
      </c>
      <c r="F9572">
        <v>255.512</v>
      </c>
    </row>
    <row r="9573" spans="1:6" x14ac:dyDescent="0.25">
      <c r="A9573">
        <v>9572</v>
      </c>
      <c r="B9573">
        <v>10</v>
      </c>
      <c r="C9573">
        <v>1</v>
      </c>
      <c r="D9573">
        <v>0</v>
      </c>
      <c r="E9573">
        <v>0</v>
      </c>
      <c r="F9573">
        <v>4466</v>
      </c>
    </row>
    <row r="9574" spans="1:6" x14ac:dyDescent="0.25">
      <c r="A9574">
        <v>9573</v>
      </c>
      <c r="B9574">
        <v>13</v>
      </c>
      <c r="C9574">
        <v>0</v>
      </c>
      <c r="D9574">
        <v>0</v>
      </c>
      <c r="E9574">
        <v>0</v>
      </c>
      <c r="F9574">
        <v>1607</v>
      </c>
    </row>
    <row r="9575" spans="1:6" x14ac:dyDescent="0.25">
      <c r="A9575">
        <v>9574</v>
      </c>
      <c r="B9575" t="s">
        <v>0</v>
      </c>
      <c r="C9575">
        <v>68</v>
      </c>
      <c r="D9575">
        <v>3493</v>
      </c>
      <c r="E9575">
        <v>80321596</v>
      </c>
    </row>
    <row r="9576" spans="1:6" x14ac:dyDescent="0.25">
      <c r="A9576">
        <v>9575</v>
      </c>
      <c r="B9576">
        <v>42</v>
      </c>
      <c r="C9576">
        <v>0</v>
      </c>
      <c r="D9576">
        <v>0</v>
      </c>
      <c r="E9576">
        <v>0</v>
      </c>
      <c r="F9576">
        <v>0.2</v>
      </c>
    </row>
    <row r="9577" spans="1:6" x14ac:dyDescent="0.25">
      <c r="A9577">
        <v>9576</v>
      </c>
      <c r="B9577" t="s">
        <v>0</v>
      </c>
      <c r="C9577">
        <v>69</v>
      </c>
      <c r="D9577">
        <v>3493</v>
      </c>
      <c r="E9577">
        <v>80321726</v>
      </c>
    </row>
    <row r="9578" spans="1:6" x14ac:dyDescent="0.25">
      <c r="A9578">
        <v>9577</v>
      </c>
      <c r="B9578">
        <v>44</v>
      </c>
      <c r="C9578">
        <v>0</v>
      </c>
      <c r="D9578">
        <v>0</v>
      </c>
      <c r="E9578">
        <v>0</v>
      </c>
      <c r="F9578">
        <v>-59.2789</v>
      </c>
    </row>
    <row r="9579" spans="1:6" x14ac:dyDescent="0.25">
      <c r="A9579">
        <v>9578</v>
      </c>
      <c r="B9579" t="s">
        <v>0</v>
      </c>
      <c r="C9579">
        <v>70</v>
      </c>
      <c r="D9579">
        <v>3493</v>
      </c>
      <c r="E9579">
        <v>80321856</v>
      </c>
    </row>
    <row r="9580" spans="1:6" x14ac:dyDescent="0.25">
      <c r="A9580">
        <v>9579</v>
      </c>
      <c r="B9580">
        <v>46</v>
      </c>
      <c r="C9580">
        <v>0</v>
      </c>
      <c r="D9580">
        <v>0</v>
      </c>
      <c r="E9580">
        <v>0</v>
      </c>
      <c r="F9580">
        <v>0</v>
      </c>
    </row>
    <row r="9581" spans="1:6" x14ac:dyDescent="0.25">
      <c r="A9581">
        <v>9580</v>
      </c>
      <c r="B9581" t="s">
        <v>0</v>
      </c>
      <c r="C9581">
        <v>71</v>
      </c>
      <c r="D9581">
        <v>3493</v>
      </c>
      <c r="E9581">
        <v>80321986</v>
      </c>
    </row>
    <row r="9582" spans="1:6" x14ac:dyDescent="0.25">
      <c r="A9582">
        <v>9581</v>
      </c>
      <c r="B9582">
        <v>10</v>
      </c>
      <c r="C9582">
        <v>1</v>
      </c>
      <c r="D9582">
        <v>0</v>
      </c>
      <c r="E9582">
        <v>0</v>
      </c>
      <c r="F9582">
        <v>4471</v>
      </c>
    </row>
    <row r="9583" spans="1:6" x14ac:dyDescent="0.25">
      <c r="A9583">
        <v>9582</v>
      </c>
      <c r="B9583" t="s">
        <v>0</v>
      </c>
      <c r="C9583">
        <v>72</v>
      </c>
      <c r="D9583">
        <v>3493</v>
      </c>
      <c r="E9583">
        <v>80322116</v>
      </c>
    </row>
    <row r="9584" spans="1:6" x14ac:dyDescent="0.25">
      <c r="A9584">
        <v>9583</v>
      </c>
      <c r="B9584">
        <v>41</v>
      </c>
      <c r="C9584">
        <v>0</v>
      </c>
      <c r="D9584">
        <v>0</v>
      </c>
      <c r="E9584">
        <v>0</v>
      </c>
      <c r="F9584">
        <v>1</v>
      </c>
    </row>
    <row r="9585" spans="1:6" x14ac:dyDescent="0.25">
      <c r="A9585">
        <v>9584</v>
      </c>
      <c r="B9585" t="s">
        <v>0</v>
      </c>
      <c r="C9585">
        <v>73</v>
      </c>
      <c r="D9585">
        <v>3493</v>
      </c>
      <c r="E9585">
        <v>80322246</v>
      </c>
    </row>
    <row r="9586" spans="1:6" x14ac:dyDescent="0.25">
      <c r="A9586">
        <v>9585</v>
      </c>
      <c r="B9586">
        <v>43</v>
      </c>
      <c r="C9586">
        <v>0</v>
      </c>
      <c r="D9586">
        <v>0</v>
      </c>
      <c r="E9586">
        <v>0</v>
      </c>
      <c r="F9586">
        <v>0</v>
      </c>
    </row>
    <row r="9587" spans="1:6" x14ac:dyDescent="0.25">
      <c r="A9587">
        <v>9586</v>
      </c>
      <c r="B9587" t="s">
        <v>0</v>
      </c>
      <c r="C9587">
        <v>74</v>
      </c>
      <c r="D9587">
        <v>3493</v>
      </c>
      <c r="E9587">
        <v>80322376</v>
      </c>
    </row>
    <row r="9588" spans="1:6" x14ac:dyDescent="0.25">
      <c r="A9588">
        <v>9587</v>
      </c>
      <c r="B9588">
        <v>45</v>
      </c>
      <c r="C9588">
        <v>0</v>
      </c>
      <c r="D9588">
        <v>0</v>
      </c>
      <c r="E9588">
        <v>0</v>
      </c>
      <c r="F9588">
        <v>521.09199999999998</v>
      </c>
    </row>
    <row r="9589" spans="1:6" x14ac:dyDescent="0.25">
      <c r="A9589">
        <v>9588</v>
      </c>
      <c r="B9589" t="s">
        <v>0</v>
      </c>
      <c r="C9589">
        <v>75</v>
      </c>
      <c r="D9589">
        <v>3493</v>
      </c>
      <c r="E9589">
        <v>80322506</v>
      </c>
    </row>
    <row r="9590" spans="1:6" x14ac:dyDescent="0.25">
      <c r="A9590">
        <v>9589</v>
      </c>
      <c r="B9590">
        <v>2</v>
      </c>
      <c r="C9590">
        <v>0</v>
      </c>
      <c r="D9590">
        <v>0</v>
      </c>
      <c r="E9590">
        <v>0</v>
      </c>
      <c r="F9590">
        <v>255.21100000000001</v>
      </c>
    </row>
    <row r="9591" spans="1:6" x14ac:dyDescent="0.25">
      <c r="A9591">
        <v>9590</v>
      </c>
      <c r="B9591" t="s">
        <v>0</v>
      </c>
      <c r="C9591">
        <v>76</v>
      </c>
      <c r="D9591">
        <v>3493</v>
      </c>
      <c r="E9591">
        <v>80322636</v>
      </c>
    </row>
    <row r="9592" spans="1:6" x14ac:dyDescent="0.25">
      <c r="A9592">
        <v>9591</v>
      </c>
      <c r="B9592">
        <v>10</v>
      </c>
      <c r="C9592">
        <v>1</v>
      </c>
      <c r="D9592">
        <v>0</v>
      </c>
      <c r="E9592">
        <v>0</v>
      </c>
      <c r="F9592">
        <v>4474</v>
      </c>
    </row>
    <row r="9593" spans="1:6" x14ac:dyDescent="0.25">
      <c r="A9593">
        <v>9592</v>
      </c>
      <c r="B9593">
        <v>13</v>
      </c>
      <c r="C9593">
        <v>0</v>
      </c>
      <c r="D9593">
        <v>0</v>
      </c>
      <c r="E9593">
        <v>0</v>
      </c>
      <c r="F9593">
        <v>1607</v>
      </c>
    </row>
    <row r="9594" spans="1:6" x14ac:dyDescent="0.25">
      <c r="A9594">
        <v>9593</v>
      </c>
      <c r="B9594" t="s">
        <v>0</v>
      </c>
      <c r="C9594">
        <v>77</v>
      </c>
      <c r="D9594">
        <v>3493</v>
      </c>
      <c r="E9594">
        <v>80322766</v>
      </c>
    </row>
    <row r="9595" spans="1:6" x14ac:dyDescent="0.25">
      <c r="A9595">
        <v>9594</v>
      </c>
      <c r="B9595">
        <v>41</v>
      </c>
      <c r="C9595">
        <v>0</v>
      </c>
      <c r="D9595">
        <v>0</v>
      </c>
      <c r="E9595">
        <v>0</v>
      </c>
      <c r="F9595">
        <v>1</v>
      </c>
    </row>
    <row r="9596" spans="1:6" x14ac:dyDescent="0.25">
      <c r="A9596">
        <v>9595</v>
      </c>
      <c r="B9596">
        <v>42</v>
      </c>
      <c r="C9596">
        <v>0</v>
      </c>
      <c r="D9596">
        <v>0</v>
      </c>
      <c r="E9596">
        <v>0</v>
      </c>
      <c r="F9596">
        <v>0.2</v>
      </c>
    </row>
    <row r="9597" spans="1:6" x14ac:dyDescent="0.25">
      <c r="A9597">
        <v>9596</v>
      </c>
      <c r="B9597" t="s">
        <v>0</v>
      </c>
      <c r="C9597">
        <v>78</v>
      </c>
      <c r="D9597">
        <v>3493</v>
      </c>
      <c r="E9597">
        <v>80322897</v>
      </c>
    </row>
    <row r="9598" spans="1:6" x14ac:dyDescent="0.25">
      <c r="A9598">
        <v>9597</v>
      </c>
      <c r="B9598">
        <v>43</v>
      </c>
      <c r="C9598">
        <v>0</v>
      </c>
      <c r="D9598">
        <v>0</v>
      </c>
      <c r="E9598">
        <v>0</v>
      </c>
      <c r="F9598">
        <v>0</v>
      </c>
    </row>
    <row r="9599" spans="1:6" x14ac:dyDescent="0.25">
      <c r="A9599">
        <v>9598</v>
      </c>
      <c r="B9599">
        <v>44</v>
      </c>
      <c r="C9599">
        <v>0</v>
      </c>
      <c r="D9599">
        <v>0</v>
      </c>
      <c r="E9599">
        <v>0</v>
      </c>
      <c r="F9599">
        <v>-58.745800000000003</v>
      </c>
    </row>
    <row r="9600" spans="1:6" x14ac:dyDescent="0.25">
      <c r="A9600">
        <v>9599</v>
      </c>
      <c r="B9600" t="s">
        <v>0</v>
      </c>
      <c r="C9600">
        <v>79</v>
      </c>
      <c r="D9600">
        <v>3493</v>
      </c>
      <c r="E9600">
        <v>80323027</v>
      </c>
    </row>
    <row r="9601" spans="1:6" x14ac:dyDescent="0.25">
      <c r="A9601">
        <v>9600</v>
      </c>
      <c r="B9601">
        <v>45</v>
      </c>
      <c r="C9601">
        <v>0</v>
      </c>
      <c r="D9601">
        <v>0</v>
      </c>
      <c r="E9601">
        <v>0</v>
      </c>
      <c r="F9601">
        <v>521.04600000000005</v>
      </c>
    </row>
    <row r="9602" spans="1:6" x14ac:dyDescent="0.25">
      <c r="A9602">
        <v>9601</v>
      </c>
      <c r="B9602">
        <v>46</v>
      </c>
      <c r="C9602">
        <v>0</v>
      </c>
      <c r="D9602">
        <v>0</v>
      </c>
      <c r="E9602">
        <v>0</v>
      </c>
      <c r="F9602">
        <v>0</v>
      </c>
    </row>
    <row r="9603" spans="1:6" x14ac:dyDescent="0.25">
      <c r="A9603">
        <v>9602</v>
      </c>
      <c r="B9603" t="s">
        <v>0</v>
      </c>
      <c r="C9603">
        <v>80</v>
      </c>
      <c r="D9603">
        <v>3493</v>
      </c>
      <c r="E9603">
        <v>80323158</v>
      </c>
    </row>
    <row r="9604" spans="1:6" x14ac:dyDescent="0.25">
      <c r="A9604">
        <v>9603</v>
      </c>
      <c r="B9604">
        <v>2</v>
      </c>
      <c r="C9604">
        <v>0</v>
      </c>
      <c r="D9604">
        <v>0</v>
      </c>
      <c r="E9604">
        <v>0</v>
      </c>
      <c r="F9604">
        <v>255.07499999999999</v>
      </c>
    </row>
    <row r="9605" spans="1:6" x14ac:dyDescent="0.25">
      <c r="A9605">
        <v>9604</v>
      </c>
      <c r="B9605">
        <v>10</v>
      </c>
      <c r="C9605">
        <v>1</v>
      </c>
      <c r="D9605">
        <v>0</v>
      </c>
      <c r="E9605">
        <v>0</v>
      </c>
      <c r="F9605">
        <v>4478</v>
      </c>
    </row>
    <row r="9606" spans="1:6" x14ac:dyDescent="0.25">
      <c r="A9606">
        <v>9605</v>
      </c>
      <c r="B9606" t="s">
        <v>0</v>
      </c>
      <c r="C9606">
        <v>81</v>
      </c>
      <c r="D9606">
        <v>3493</v>
      </c>
      <c r="E9606">
        <v>80323288</v>
      </c>
    </row>
    <row r="9607" spans="1:6" x14ac:dyDescent="0.25">
      <c r="A9607">
        <v>9606</v>
      </c>
      <c r="B9607">
        <v>13</v>
      </c>
      <c r="C9607">
        <v>0</v>
      </c>
      <c r="D9607">
        <v>0</v>
      </c>
      <c r="E9607">
        <v>0</v>
      </c>
      <c r="F9607">
        <v>1607</v>
      </c>
    </row>
    <row r="9608" spans="1:6" x14ac:dyDescent="0.25">
      <c r="A9608">
        <v>9607</v>
      </c>
      <c r="B9608">
        <v>41</v>
      </c>
      <c r="C9608">
        <v>0</v>
      </c>
      <c r="D9608">
        <v>0</v>
      </c>
      <c r="E9608">
        <v>0</v>
      </c>
      <c r="F9608">
        <v>1</v>
      </c>
    </row>
    <row r="9609" spans="1:6" x14ac:dyDescent="0.25">
      <c r="A9609">
        <v>9608</v>
      </c>
      <c r="B9609" t="s">
        <v>0</v>
      </c>
      <c r="C9609">
        <v>82</v>
      </c>
      <c r="D9609">
        <v>3493</v>
      </c>
      <c r="E9609">
        <v>80323418</v>
      </c>
    </row>
    <row r="9610" spans="1:6" x14ac:dyDescent="0.25">
      <c r="A9610">
        <v>9609</v>
      </c>
      <c r="B9610">
        <v>42</v>
      </c>
      <c r="C9610">
        <v>0</v>
      </c>
      <c r="D9610">
        <v>0</v>
      </c>
      <c r="E9610">
        <v>0</v>
      </c>
      <c r="F9610">
        <v>0.2</v>
      </c>
    </row>
    <row r="9611" spans="1:6" x14ac:dyDescent="0.25">
      <c r="A9611">
        <v>9610</v>
      </c>
      <c r="B9611">
        <v>43</v>
      </c>
      <c r="C9611">
        <v>0</v>
      </c>
      <c r="D9611">
        <v>0</v>
      </c>
      <c r="E9611">
        <v>0</v>
      </c>
      <c r="F9611">
        <v>0</v>
      </c>
    </row>
    <row r="9612" spans="1:6" x14ac:dyDescent="0.25">
      <c r="A9612">
        <v>9611</v>
      </c>
      <c r="B9612" t="s">
        <v>0</v>
      </c>
      <c r="C9612">
        <v>83</v>
      </c>
      <c r="D9612">
        <v>3493</v>
      </c>
      <c r="E9612">
        <v>80323548</v>
      </c>
    </row>
    <row r="9613" spans="1:6" x14ac:dyDescent="0.25">
      <c r="A9613">
        <v>9612</v>
      </c>
      <c r="B9613">
        <v>44</v>
      </c>
      <c r="C9613">
        <v>0</v>
      </c>
      <c r="D9613">
        <v>0</v>
      </c>
      <c r="E9613">
        <v>0</v>
      </c>
      <c r="F9613">
        <v>-58.399299999999997</v>
      </c>
    </row>
    <row r="9614" spans="1:6" x14ac:dyDescent="0.25">
      <c r="A9614">
        <v>9613</v>
      </c>
      <c r="B9614">
        <v>45</v>
      </c>
      <c r="C9614">
        <v>0</v>
      </c>
      <c r="D9614">
        <v>0</v>
      </c>
      <c r="E9614">
        <v>0</v>
      </c>
      <c r="F9614">
        <v>521.00900000000001</v>
      </c>
    </row>
    <row r="9615" spans="1:6" x14ac:dyDescent="0.25">
      <c r="A9615">
        <v>9614</v>
      </c>
      <c r="B9615">
        <v>46</v>
      </c>
      <c r="C9615">
        <v>0</v>
      </c>
      <c r="D9615">
        <v>0</v>
      </c>
      <c r="E9615">
        <v>0</v>
      </c>
      <c r="F9615">
        <v>0</v>
      </c>
    </row>
    <row r="9616" spans="1:6" x14ac:dyDescent="0.25">
      <c r="A9616">
        <v>9615</v>
      </c>
      <c r="B9616">
        <v>2</v>
      </c>
      <c r="C9616">
        <v>0</v>
      </c>
      <c r="D9616">
        <v>0</v>
      </c>
      <c r="E9616">
        <v>0</v>
      </c>
      <c r="F9616">
        <v>254.928</v>
      </c>
    </row>
    <row r="9617" spans="1:6" x14ac:dyDescent="0.25">
      <c r="A9617">
        <v>9616</v>
      </c>
      <c r="B9617">
        <v>10</v>
      </c>
      <c r="C9617">
        <v>1</v>
      </c>
      <c r="D9617">
        <v>0</v>
      </c>
      <c r="E9617">
        <v>0</v>
      </c>
      <c r="F9617">
        <v>4482</v>
      </c>
    </row>
    <row r="9618" spans="1:6" x14ac:dyDescent="0.25">
      <c r="A9618">
        <v>9617</v>
      </c>
      <c r="B9618">
        <v>13</v>
      </c>
      <c r="C9618">
        <v>0</v>
      </c>
      <c r="D9618">
        <v>0</v>
      </c>
      <c r="E9618">
        <v>0</v>
      </c>
      <c r="F9618">
        <v>1607</v>
      </c>
    </row>
    <row r="9619" spans="1:6" x14ac:dyDescent="0.25">
      <c r="A9619">
        <v>9618</v>
      </c>
      <c r="B9619">
        <v>41</v>
      </c>
      <c r="C9619">
        <v>0</v>
      </c>
      <c r="D9619">
        <v>0</v>
      </c>
      <c r="E9619">
        <v>0</v>
      </c>
      <c r="F9619">
        <v>1</v>
      </c>
    </row>
    <row r="9620" spans="1:6" x14ac:dyDescent="0.25">
      <c r="A9620">
        <v>9619</v>
      </c>
      <c r="B9620">
        <v>42</v>
      </c>
      <c r="C9620">
        <v>0</v>
      </c>
      <c r="D9620">
        <v>0</v>
      </c>
      <c r="E9620">
        <v>0</v>
      </c>
      <c r="F9620">
        <v>0.2</v>
      </c>
    </row>
    <row r="9621" spans="1:6" x14ac:dyDescent="0.25">
      <c r="A9621">
        <v>9620</v>
      </c>
      <c r="B9621">
        <v>43</v>
      </c>
      <c r="C9621">
        <v>0</v>
      </c>
      <c r="D9621">
        <v>0</v>
      </c>
      <c r="E9621">
        <v>0</v>
      </c>
      <c r="F9621">
        <v>0</v>
      </c>
    </row>
    <row r="9622" spans="1:6" x14ac:dyDescent="0.25">
      <c r="A9622">
        <v>9621</v>
      </c>
      <c r="B9622">
        <v>44</v>
      </c>
      <c r="C9622">
        <v>0</v>
      </c>
      <c r="D9622">
        <v>0</v>
      </c>
      <c r="E9622">
        <v>0</v>
      </c>
      <c r="F9622">
        <v>-58.152500000000003</v>
      </c>
    </row>
    <row r="9623" spans="1:6" x14ac:dyDescent="0.25">
      <c r="A9623">
        <v>9622</v>
      </c>
      <c r="B9623">
        <v>45</v>
      </c>
      <c r="C9623">
        <v>0</v>
      </c>
      <c r="D9623">
        <v>0</v>
      </c>
      <c r="E9623">
        <v>0</v>
      </c>
      <c r="F9623">
        <v>520.96299999999997</v>
      </c>
    </row>
    <row r="9624" spans="1:6" x14ac:dyDescent="0.25">
      <c r="A9624">
        <v>9623</v>
      </c>
      <c r="B9624">
        <v>46</v>
      </c>
      <c r="C9624">
        <v>0</v>
      </c>
      <c r="D9624">
        <v>0</v>
      </c>
      <c r="E9624">
        <v>0</v>
      </c>
      <c r="F9624">
        <v>0</v>
      </c>
    </row>
    <row r="9625" spans="1:6" x14ac:dyDescent="0.25">
      <c r="A9625">
        <v>9624</v>
      </c>
      <c r="B9625">
        <v>2</v>
      </c>
      <c r="C9625">
        <v>0</v>
      </c>
      <c r="D9625">
        <v>0</v>
      </c>
      <c r="E9625">
        <v>0</v>
      </c>
      <c r="F9625">
        <v>254.792</v>
      </c>
    </row>
    <row r="9626" spans="1:6" x14ac:dyDescent="0.25">
      <c r="A9626">
        <v>9625</v>
      </c>
      <c r="B9626">
        <v>10</v>
      </c>
      <c r="C9626">
        <v>1</v>
      </c>
      <c r="D9626">
        <v>0</v>
      </c>
      <c r="E9626">
        <v>0</v>
      </c>
      <c r="F9626">
        <v>4485</v>
      </c>
    </row>
    <row r="9627" spans="1:6" x14ac:dyDescent="0.25">
      <c r="A9627">
        <v>9626</v>
      </c>
      <c r="B9627">
        <v>13</v>
      </c>
      <c r="C9627">
        <v>0</v>
      </c>
      <c r="D9627">
        <v>0</v>
      </c>
      <c r="E9627">
        <v>0</v>
      </c>
      <c r="F9627">
        <v>1607</v>
      </c>
    </row>
    <row r="9628" spans="1:6" x14ac:dyDescent="0.25">
      <c r="A9628">
        <v>9627</v>
      </c>
      <c r="B9628">
        <v>41</v>
      </c>
      <c r="C9628">
        <v>0</v>
      </c>
      <c r="D9628">
        <v>0</v>
      </c>
      <c r="E9628">
        <v>0</v>
      </c>
      <c r="F9628">
        <v>1</v>
      </c>
    </row>
    <row r="9629" spans="1:6" x14ac:dyDescent="0.25">
      <c r="A9629">
        <v>9628</v>
      </c>
      <c r="B9629">
        <v>42</v>
      </c>
      <c r="C9629">
        <v>0</v>
      </c>
      <c r="D9629">
        <v>0</v>
      </c>
      <c r="E9629">
        <v>0</v>
      </c>
      <c r="F9629">
        <v>0.2</v>
      </c>
    </row>
    <row r="9630" spans="1:6" x14ac:dyDescent="0.25">
      <c r="A9630">
        <v>9629</v>
      </c>
      <c r="B9630" t="s">
        <v>0</v>
      </c>
      <c r="C9630">
        <v>92</v>
      </c>
      <c r="D9630">
        <v>3493</v>
      </c>
      <c r="E9630">
        <v>80324724</v>
      </c>
    </row>
    <row r="9631" spans="1:6" x14ac:dyDescent="0.25">
      <c r="A9631">
        <v>9630</v>
      </c>
      <c r="B9631">
        <v>44</v>
      </c>
      <c r="C9631">
        <v>0</v>
      </c>
      <c r="D9631">
        <v>0</v>
      </c>
      <c r="E9631">
        <v>0</v>
      </c>
      <c r="F9631">
        <v>-57.8568</v>
      </c>
    </row>
    <row r="9632" spans="1:6" x14ac:dyDescent="0.25">
      <c r="A9632">
        <v>9631</v>
      </c>
      <c r="B9632" t="s">
        <v>0</v>
      </c>
      <c r="C9632">
        <v>93</v>
      </c>
      <c r="D9632">
        <v>3493</v>
      </c>
      <c r="E9632">
        <v>80324855</v>
      </c>
    </row>
    <row r="9633" spans="1:6" x14ac:dyDescent="0.25">
      <c r="A9633">
        <v>9632</v>
      </c>
      <c r="B9633">
        <v>46</v>
      </c>
      <c r="C9633">
        <v>0</v>
      </c>
      <c r="D9633">
        <v>0</v>
      </c>
      <c r="E9633">
        <v>0</v>
      </c>
      <c r="F9633">
        <v>0</v>
      </c>
    </row>
    <row r="9634" spans="1:6" x14ac:dyDescent="0.25">
      <c r="A9634">
        <v>9633</v>
      </c>
      <c r="B9634" t="s">
        <v>0</v>
      </c>
      <c r="C9634">
        <v>94</v>
      </c>
      <c r="D9634">
        <v>3493</v>
      </c>
      <c r="E9634">
        <v>80324986</v>
      </c>
    </row>
    <row r="9635" spans="1:6" x14ac:dyDescent="0.25">
      <c r="A9635">
        <v>9634</v>
      </c>
      <c r="B9635">
        <v>10</v>
      </c>
      <c r="C9635">
        <v>1</v>
      </c>
      <c r="D9635">
        <v>0</v>
      </c>
      <c r="E9635">
        <v>0</v>
      </c>
      <c r="F9635">
        <v>4489</v>
      </c>
    </row>
    <row r="9636" spans="1:6" x14ac:dyDescent="0.25">
      <c r="A9636">
        <v>9635</v>
      </c>
      <c r="B9636" t="s">
        <v>0</v>
      </c>
      <c r="C9636">
        <v>95</v>
      </c>
      <c r="D9636">
        <v>3493</v>
      </c>
      <c r="E9636">
        <v>80325117</v>
      </c>
    </row>
    <row r="9637" spans="1:6" x14ac:dyDescent="0.25">
      <c r="A9637">
        <v>9636</v>
      </c>
      <c r="B9637">
        <v>41</v>
      </c>
      <c r="C9637">
        <v>0</v>
      </c>
      <c r="D9637">
        <v>0</v>
      </c>
      <c r="E9637">
        <v>0</v>
      </c>
      <c r="F9637">
        <v>1</v>
      </c>
    </row>
    <row r="9638" spans="1:6" x14ac:dyDescent="0.25">
      <c r="A9638">
        <v>9637</v>
      </c>
      <c r="B9638" t="s">
        <v>0</v>
      </c>
      <c r="C9638">
        <v>96</v>
      </c>
      <c r="D9638">
        <v>3493</v>
      </c>
      <c r="E9638">
        <v>80325248</v>
      </c>
    </row>
    <row r="9639" spans="1:6" x14ac:dyDescent="0.25">
      <c r="A9639">
        <v>9638</v>
      </c>
      <c r="B9639">
        <v>43</v>
      </c>
      <c r="C9639">
        <v>0</v>
      </c>
      <c r="D9639">
        <v>0</v>
      </c>
      <c r="E9639">
        <v>0</v>
      </c>
      <c r="F9639">
        <v>0</v>
      </c>
    </row>
    <row r="9640" spans="1:6" x14ac:dyDescent="0.25">
      <c r="A9640">
        <v>9639</v>
      </c>
      <c r="B9640" t="s">
        <v>0</v>
      </c>
      <c r="C9640">
        <v>97</v>
      </c>
      <c r="D9640">
        <v>3493</v>
      </c>
      <c r="E9640">
        <v>80325379</v>
      </c>
    </row>
    <row r="9641" spans="1:6" x14ac:dyDescent="0.25">
      <c r="A9641">
        <v>9640</v>
      </c>
      <c r="B9641">
        <v>45</v>
      </c>
      <c r="C9641">
        <v>0</v>
      </c>
      <c r="D9641">
        <v>0</v>
      </c>
      <c r="E9641">
        <v>0</v>
      </c>
      <c r="F9641">
        <v>520.88099999999997</v>
      </c>
    </row>
    <row r="9642" spans="1:6" x14ac:dyDescent="0.25">
      <c r="A9642">
        <v>9641</v>
      </c>
      <c r="B9642" t="s">
        <v>0</v>
      </c>
      <c r="C9642">
        <v>98</v>
      </c>
      <c r="D9642">
        <v>3493</v>
      </c>
      <c r="E9642">
        <v>80325510</v>
      </c>
    </row>
    <row r="9643" spans="1:6" x14ac:dyDescent="0.25">
      <c r="A9643">
        <v>9642</v>
      </c>
      <c r="B9643">
        <v>2</v>
      </c>
      <c r="C9643">
        <v>0</v>
      </c>
      <c r="D9643">
        <v>0</v>
      </c>
      <c r="E9643">
        <v>0</v>
      </c>
      <c r="F9643">
        <v>254.511</v>
      </c>
    </row>
    <row r="9644" spans="1:6" x14ac:dyDescent="0.25">
      <c r="A9644">
        <v>9643</v>
      </c>
      <c r="B9644" t="s">
        <v>0</v>
      </c>
      <c r="C9644">
        <v>99</v>
      </c>
      <c r="D9644">
        <v>3493</v>
      </c>
      <c r="E9644">
        <v>80325641</v>
      </c>
    </row>
    <row r="9645" spans="1:6" x14ac:dyDescent="0.25">
      <c r="A9645">
        <v>9644</v>
      </c>
      <c r="B9645">
        <v>13</v>
      </c>
      <c r="C9645">
        <v>0</v>
      </c>
      <c r="D9645">
        <v>0</v>
      </c>
      <c r="E9645">
        <v>0</v>
      </c>
      <c r="F9645">
        <v>1607</v>
      </c>
    </row>
    <row r="9646" spans="1:6" x14ac:dyDescent="0.25">
      <c r="A9646">
        <v>9645</v>
      </c>
      <c r="B9646" t="s">
        <v>0</v>
      </c>
      <c r="C9646">
        <v>100</v>
      </c>
      <c r="D9646">
        <v>3493</v>
      </c>
      <c r="E9646">
        <v>80325772</v>
      </c>
    </row>
    <row r="9647" spans="1:6" x14ac:dyDescent="0.25">
      <c r="A9647">
        <v>9646</v>
      </c>
      <c r="B9647">
        <v>42</v>
      </c>
      <c r="C9647">
        <v>0</v>
      </c>
      <c r="D9647">
        <v>0</v>
      </c>
      <c r="E9647">
        <v>0</v>
      </c>
      <c r="F9647">
        <v>0.2</v>
      </c>
    </row>
    <row r="9648" spans="1:6" x14ac:dyDescent="0.25">
      <c r="A9648">
        <v>9647</v>
      </c>
      <c r="B9648" t="s">
        <v>0</v>
      </c>
      <c r="C9648">
        <v>101</v>
      </c>
      <c r="D9648">
        <v>3493</v>
      </c>
      <c r="E9648">
        <v>80325903</v>
      </c>
    </row>
    <row r="9649" spans="1:6" x14ac:dyDescent="0.25">
      <c r="A9649">
        <v>9648</v>
      </c>
      <c r="B9649">
        <v>43</v>
      </c>
      <c r="C9649">
        <v>0</v>
      </c>
      <c r="D9649">
        <v>0</v>
      </c>
      <c r="E9649">
        <v>0</v>
      </c>
      <c r="F9649">
        <v>0</v>
      </c>
    </row>
    <row r="9650" spans="1:6" x14ac:dyDescent="0.25">
      <c r="A9650">
        <v>9649</v>
      </c>
      <c r="B9650">
        <v>44</v>
      </c>
      <c r="C9650">
        <v>0</v>
      </c>
      <c r="D9650">
        <v>0</v>
      </c>
      <c r="E9650">
        <v>0</v>
      </c>
      <c r="F9650">
        <v>-57.2605</v>
      </c>
    </row>
    <row r="9651" spans="1:6" x14ac:dyDescent="0.25">
      <c r="A9651">
        <v>9650</v>
      </c>
      <c r="B9651" t="s">
        <v>0</v>
      </c>
      <c r="C9651">
        <v>102</v>
      </c>
      <c r="D9651">
        <v>3493</v>
      </c>
      <c r="E9651">
        <v>80326034</v>
      </c>
    </row>
    <row r="9652" spans="1:6" x14ac:dyDescent="0.25">
      <c r="A9652">
        <v>9651</v>
      </c>
      <c r="B9652">
        <v>45</v>
      </c>
      <c r="C9652">
        <v>0</v>
      </c>
      <c r="D9652">
        <v>0</v>
      </c>
      <c r="E9652">
        <v>0</v>
      </c>
      <c r="F9652">
        <v>520.83600000000001</v>
      </c>
    </row>
    <row r="9653" spans="1:6" x14ac:dyDescent="0.25">
      <c r="A9653">
        <v>9652</v>
      </c>
      <c r="B9653">
        <v>46</v>
      </c>
      <c r="C9653">
        <v>0</v>
      </c>
      <c r="D9653">
        <v>0</v>
      </c>
      <c r="E9653">
        <v>0</v>
      </c>
      <c r="F9653">
        <v>0</v>
      </c>
    </row>
    <row r="9654" spans="1:6" x14ac:dyDescent="0.25">
      <c r="A9654">
        <v>9653</v>
      </c>
      <c r="B9654" t="s">
        <v>0</v>
      </c>
      <c r="C9654">
        <v>103</v>
      </c>
      <c r="D9654">
        <v>3493</v>
      </c>
      <c r="E9654">
        <v>80326164</v>
      </c>
    </row>
    <row r="9655" spans="1:6" x14ac:dyDescent="0.25">
      <c r="A9655">
        <v>9654</v>
      </c>
      <c r="B9655">
        <v>2</v>
      </c>
      <c r="C9655">
        <v>0</v>
      </c>
      <c r="D9655">
        <v>0</v>
      </c>
      <c r="E9655">
        <v>0</v>
      </c>
      <c r="F9655">
        <v>254.37799999999999</v>
      </c>
    </row>
    <row r="9656" spans="1:6" x14ac:dyDescent="0.25">
      <c r="A9656">
        <v>9655</v>
      </c>
      <c r="B9656">
        <v>10</v>
      </c>
      <c r="C9656">
        <v>1</v>
      </c>
      <c r="D9656">
        <v>0</v>
      </c>
      <c r="E9656">
        <v>0</v>
      </c>
      <c r="F9656">
        <v>4497</v>
      </c>
    </row>
    <row r="9657" spans="1:6" x14ac:dyDescent="0.25">
      <c r="A9657">
        <v>9656</v>
      </c>
      <c r="B9657" t="s">
        <v>0</v>
      </c>
      <c r="C9657">
        <v>104</v>
      </c>
      <c r="D9657">
        <v>3493</v>
      </c>
      <c r="E9657">
        <v>80326295</v>
      </c>
    </row>
    <row r="9658" spans="1:6" x14ac:dyDescent="0.25">
      <c r="A9658">
        <v>9657</v>
      </c>
      <c r="B9658">
        <v>13</v>
      </c>
      <c r="C9658">
        <v>0</v>
      </c>
      <c r="D9658">
        <v>0</v>
      </c>
      <c r="E9658">
        <v>0</v>
      </c>
      <c r="F9658">
        <v>1607</v>
      </c>
    </row>
    <row r="9659" spans="1:6" x14ac:dyDescent="0.25">
      <c r="A9659">
        <v>9658</v>
      </c>
      <c r="B9659">
        <v>41</v>
      </c>
      <c r="C9659">
        <v>0</v>
      </c>
      <c r="D9659">
        <v>0</v>
      </c>
      <c r="E9659">
        <v>0</v>
      </c>
      <c r="F9659">
        <v>1</v>
      </c>
    </row>
    <row r="9660" spans="1:6" x14ac:dyDescent="0.25">
      <c r="A9660">
        <v>9659</v>
      </c>
      <c r="B9660" t="s">
        <v>0</v>
      </c>
      <c r="C9660">
        <v>105</v>
      </c>
      <c r="D9660">
        <v>3493</v>
      </c>
      <c r="E9660">
        <v>80326426</v>
      </c>
    </row>
    <row r="9661" spans="1:6" x14ac:dyDescent="0.25">
      <c r="A9661">
        <v>9660</v>
      </c>
      <c r="B9661">
        <v>42</v>
      </c>
      <c r="C9661">
        <v>0</v>
      </c>
      <c r="D9661">
        <v>0</v>
      </c>
      <c r="E9661">
        <v>0</v>
      </c>
      <c r="F9661">
        <v>0.2</v>
      </c>
    </row>
    <row r="9662" spans="1:6" x14ac:dyDescent="0.25">
      <c r="A9662">
        <v>9661</v>
      </c>
      <c r="B9662">
        <v>43</v>
      </c>
      <c r="C9662">
        <v>0</v>
      </c>
      <c r="D9662">
        <v>0</v>
      </c>
      <c r="E9662">
        <v>0</v>
      </c>
      <c r="F9662">
        <v>0</v>
      </c>
    </row>
    <row r="9663" spans="1:6" x14ac:dyDescent="0.25">
      <c r="A9663">
        <v>9662</v>
      </c>
      <c r="B9663" t="s">
        <v>0</v>
      </c>
      <c r="C9663">
        <v>106</v>
      </c>
      <c r="D9663">
        <v>3493</v>
      </c>
      <c r="E9663">
        <v>80326557</v>
      </c>
    </row>
    <row r="9664" spans="1:6" x14ac:dyDescent="0.25">
      <c r="A9664">
        <v>9663</v>
      </c>
      <c r="B9664">
        <v>44</v>
      </c>
      <c r="C9664">
        <v>0</v>
      </c>
      <c r="D9664">
        <v>0</v>
      </c>
      <c r="E9664">
        <v>0</v>
      </c>
      <c r="F9664">
        <v>-56.976900000000001</v>
      </c>
    </row>
    <row r="9665" spans="1:6" x14ac:dyDescent="0.25">
      <c r="A9665">
        <v>9664</v>
      </c>
      <c r="B9665">
        <v>45</v>
      </c>
      <c r="C9665">
        <v>0</v>
      </c>
      <c r="D9665">
        <v>0</v>
      </c>
      <c r="E9665">
        <v>0</v>
      </c>
      <c r="F9665">
        <v>520.79999999999995</v>
      </c>
    </row>
    <row r="9666" spans="1:6" x14ac:dyDescent="0.25">
      <c r="A9666">
        <v>9665</v>
      </c>
      <c r="B9666" t="s">
        <v>0</v>
      </c>
      <c r="C9666">
        <v>107</v>
      </c>
      <c r="D9666">
        <v>3493</v>
      </c>
      <c r="E9666">
        <v>80326688</v>
      </c>
    </row>
    <row r="9667" spans="1:6" x14ac:dyDescent="0.25">
      <c r="A9667">
        <v>9666</v>
      </c>
      <c r="B9667">
        <v>46</v>
      </c>
      <c r="C9667">
        <v>0</v>
      </c>
      <c r="D9667">
        <v>0</v>
      </c>
      <c r="E9667">
        <v>0</v>
      </c>
      <c r="F9667">
        <v>0</v>
      </c>
    </row>
    <row r="9668" spans="1:6" x14ac:dyDescent="0.25">
      <c r="A9668">
        <v>9667</v>
      </c>
      <c r="B9668">
        <v>2</v>
      </c>
      <c r="C9668">
        <v>0</v>
      </c>
      <c r="D9668">
        <v>0</v>
      </c>
      <c r="E9668">
        <v>0</v>
      </c>
      <c r="F9668">
        <v>254.255</v>
      </c>
    </row>
    <row r="9669" spans="1:6" x14ac:dyDescent="0.25">
      <c r="A9669">
        <v>9668</v>
      </c>
      <c r="B9669" t="s">
        <v>0</v>
      </c>
      <c r="C9669">
        <v>108</v>
      </c>
      <c r="D9669">
        <v>3493</v>
      </c>
      <c r="E9669">
        <v>80326819</v>
      </c>
    </row>
    <row r="9670" spans="1:6" x14ac:dyDescent="0.25">
      <c r="A9670">
        <v>9669</v>
      </c>
      <c r="B9670">
        <v>10</v>
      </c>
      <c r="C9670">
        <v>1</v>
      </c>
      <c r="D9670">
        <v>0</v>
      </c>
      <c r="E9670">
        <v>0</v>
      </c>
      <c r="F9670">
        <v>4500</v>
      </c>
    </row>
    <row r="9671" spans="1:6" x14ac:dyDescent="0.25">
      <c r="A9671">
        <v>9670</v>
      </c>
      <c r="B9671">
        <v>13</v>
      </c>
      <c r="C9671">
        <v>0</v>
      </c>
      <c r="D9671">
        <v>0</v>
      </c>
      <c r="E9671">
        <v>0</v>
      </c>
      <c r="F9671">
        <v>1607</v>
      </c>
    </row>
    <row r="9672" spans="1:6" x14ac:dyDescent="0.25">
      <c r="A9672">
        <v>9671</v>
      </c>
      <c r="B9672" t="s">
        <v>0</v>
      </c>
      <c r="C9672">
        <v>109</v>
      </c>
      <c r="D9672">
        <v>3493</v>
      </c>
      <c r="E9672">
        <v>80326950</v>
      </c>
    </row>
    <row r="9673" spans="1:6" x14ac:dyDescent="0.25">
      <c r="A9673">
        <v>9672</v>
      </c>
      <c r="B9673">
        <v>41</v>
      </c>
      <c r="C9673">
        <v>0</v>
      </c>
      <c r="D9673">
        <v>0</v>
      </c>
      <c r="E9673">
        <v>0</v>
      </c>
      <c r="F9673">
        <v>1</v>
      </c>
    </row>
    <row r="9674" spans="1:6" x14ac:dyDescent="0.25">
      <c r="A9674">
        <v>9673</v>
      </c>
      <c r="B9674">
        <v>42</v>
      </c>
      <c r="C9674">
        <v>0</v>
      </c>
      <c r="D9674">
        <v>0</v>
      </c>
      <c r="E9674">
        <v>0</v>
      </c>
      <c r="F9674">
        <v>0.2</v>
      </c>
    </row>
    <row r="9675" spans="1:6" x14ac:dyDescent="0.25">
      <c r="A9675">
        <v>9674</v>
      </c>
      <c r="B9675">
        <v>43</v>
      </c>
      <c r="C9675">
        <v>0</v>
      </c>
      <c r="D9675">
        <v>0</v>
      </c>
      <c r="E9675">
        <v>0</v>
      </c>
      <c r="F9675">
        <v>0</v>
      </c>
    </row>
    <row r="9676" spans="1:6" x14ac:dyDescent="0.25">
      <c r="A9676">
        <v>9675</v>
      </c>
      <c r="B9676">
        <v>44</v>
      </c>
      <c r="C9676">
        <v>0</v>
      </c>
      <c r="D9676">
        <v>0</v>
      </c>
      <c r="E9676">
        <v>0</v>
      </c>
      <c r="F9676">
        <v>-56.711500000000001</v>
      </c>
    </row>
    <row r="9677" spans="1:6" x14ac:dyDescent="0.25">
      <c r="A9677">
        <v>9676</v>
      </c>
      <c r="B9677">
        <v>45</v>
      </c>
      <c r="C9677">
        <v>0</v>
      </c>
      <c r="D9677">
        <v>0</v>
      </c>
      <c r="E9677">
        <v>0</v>
      </c>
      <c r="F9677">
        <v>520.755</v>
      </c>
    </row>
    <row r="9678" spans="1:6" x14ac:dyDescent="0.25">
      <c r="A9678">
        <v>9677</v>
      </c>
      <c r="B9678">
        <v>46</v>
      </c>
      <c r="C9678">
        <v>0</v>
      </c>
      <c r="D9678">
        <v>0</v>
      </c>
      <c r="E9678">
        <v>0</v>
      </c>
      <c r="F9678">
        <v>0</v>
      </c>
    </row>
    <row r="9679" spans="1:6" x14ac:dyDescent="0.25">
      <c r="A9679">
        <v>9678</v>
      </c>
      <c r="B9679">
        <v>2</v>
      </c>
      <c r="C9679">
        <v>0</v>
      </c>
      <c r="D9679">
        <v>0</v>
      </c>
      <c r="E9679">
        <v>0</v>
      </c>
      <c r="F9679">
        <v>254.09299999999999</v>
      </c>
    </row>
    <row r="9680" spans="1:6" x14ac:dyDescent="0.25">
      <c r="A9680">
        <v>9679</v>
      </c>
      <c r="B9680">
        <v>10</v>
      </c>
      <c r="C9680">
        <v>1</v>
      </c>
      <c r="D9680">
        <v>0</v>
      </c>
      <c r="E9680">
        <v>0</v>
      </c>
      <c r="F9680">
        <v>4504</v>
      </c>
    </row>
    <row r="9681" spans="1:6" x14ac:dyDescent="0.25">
      <c r="A9681">
        <v>9680</v>
      </c>
      <c r="B9681">
        <v>13</v>
      </c>
      <c r="C9681">
        <v>0</v>
      </c>
      <c r="D9681">
        <v>0</v>
      </c>
      <c r="E9681">
        <v>0</v>
      </c>
      <c r="F9681">
        <v>1607</v>
      </c>
    </row>
    <row r="9682" spans="1:6" x14ac:dyDescent="0.25">
      <c r="A9682">
        <v>9681</v>
      </c>
      <c r="B9682">
        <v>41</v>
      </c>
      <c r="C9682">
        <v>0</v>
      </c>
      <c r="D9682">
        <v>0</v>
      </c>
      <c r="E9682">
        <v>0</v>
      </c>
      <c r="F9682">
        <v>1</v>
      </c>
    </row>
    <row r="9683" spans="1:6" x14ac:dyDescent="0.25">
      <c r="A9683">
        <v>9682</v>
      </c>
      <c r="B9683">
        <v>42</v>
      </c>
      <c r="C9683">
        <v>0</v>
      </c>
      <c r="D9683">
        <v>0</v>
      </c>
      <c r="E9683">
        <v>0</v>
      </c>
      <c r="F9683">
        <v>0.2</v>
      </c>
    </row>
    <row r="9684" spans="1:6" x14ac:dyDescent="0.25">
      <c r="A9684">
        <v>9683</v>
      </c>
      <c r="B9684">
        <v>43</v>
      </c>
      <c r="C9684">
        <v>0</v>
      </c>
      <c r="D9684">
        <v>0</v>
      </c>
      <c r="E9684">
        <v>0</v>
      </c>
      <c r="F9684">
        <v>0</v>
      </c>
    </row>
    <row r="9685" spans="1:6" x14ac:dyDescent="0.25">
      <c r="A9685">
        <v>9684</v>
      </c>
      <c r="B9685">
        <v>44</v>
      </c>
      <c r="C9685">
        <v>0</v>
      </c>
      <c r="D9685">
        <v>0</v>
      </c>
      <c r="E9685">
        <v>0</v>
      </c>
      <c r="F9685">
        <v>-56.396799999999999</v>
      </c>
    </row>
    <row r="9686" spans="1:6" x14ac:dyDescent="0.25">
      <c r="A9686">
        <v>9685</v>
      </c>
      <c r="B9686">
        <v>45</v>
      </c>
      <c r="C9686">
        <v>0</v>
      </c>
      <c r="D9686">
        <v>0</v>
      </c>
      <c r="E9686">
        <v>0</v>
      </c>
      <c r="F9686">
        <v>520.72</v>
      </c>
    </row>
    <row r="9687" spans="1:6" x14ac:dyDescent="0.25">
      <c r="A9687">
        <v>9686</v>
      </c>
      <c r="B9687">
        <v>46</v>
      </c>
      <c r="C9687">
        <v>0</v>
      </c>
      <c r="D9687">
        <v>0</v>
      </c>
      <c r="E9687">
        <v>0</v>
      </c>
      <c r="F9687">
        <v>0</v>
      </c>
    </row>
    <row r="9688" spans="1:6" x14ac:dyDescent="0.25">
      <c r="A9688">
        <v>9687</v>
      </c>
      <c r="B9688">
        <v>2</v>
      </c>
      <c r="C9688">
        <v>0</v>
      </c>
      <c r="D9688">
        <v>0</v>
      </c>
      <c r="E9688">
        <v>0</v>
      </c>
      <c r="F9688">
        <v>253.989</v>
      </c>
    </row>
    <row r="9689" spans="1:6" x14ac:dyDescent="0.25">
      <c r="A9689">
        <v>9688</v>
      </c>
      <c r="B9689">
        <v>10</v>
      </c>
      <c r="C9689">
        <v>1</v>
      </c>
      <c r="D9689">
        <v>0</v>
      </c>
      <c r="E9689">
        <v>0</v>
      </c>
      <c r="F9689">
        <v>4508</v>
      </c>
    </row>
    <row r="9690" spans="1:6" x14ac:dyDescent="0.25">
      <c r="A9690">
        <v>9689</v>
      </c>
      <c r="B9690">
        <v>13</v>
      </c>
      <c r="C9690">
        <v>0</v>
      </c>
      <c r="D9690">
        <v>0</v>
      </c>
      <c r="E9690">
        <v>0</v>
      </c>
      <c r="F9690">
        <v>1607</v>
      </c>
    </row>
    <row r="9691" spans="1:6" x14ac:dyDescent="0.25">
      <c r="A9691">
        <v>9690</v>
      </c>
      <c r="B9691">
        <v>41</v>
      </c>
      <c r="C9691">
        <v>0</v>
      </c>
      <c r="D9691">
        <v>0</v>
      </c>
      <c r="E9691">
        <v>0</v>
      </c>
      <c r="F9691">
        <v>1</v>
      </c>
    </row>
    <row r="9692" spans="1:6" x14ac:dyDescent="0.25">
      <c r="A9692">
        <v>9691</v>
      </c>
      <c r="B9692">
        <v>42</v>
      </c>
      <c r="C9692">
        <v>0</v>
      </c>
      <c r="D9692">
        <v>0</v>
      </c>
      <c r="E9692">
        <v>0</v>
      </c>
      <c r="F9692">
        <v>0.2</v>
      </c>
    </row>
    <row r="9693" spans="1:6" x14ac:dyDescent="0.25">
      <c r="A9693">
        <v>9692</v>
      </c>
      <c r="B9693">
        <v>43</v>
      </c>
      <c r="C9693">
        <v>0</v>
      </c>
      <c r="D9693">
        <v>0</v>
      </c>
      <c r="E9693">
        <v>0</v>
      </c>
      <c r="F9693">
        <v>0</v>
      </c>
    </row>
    <row r="9694" spans="1:6" x14ac:dyDescent="0.25">
      <c r="A9694">
        <v>9693</v>
      </c>
      <c r="B9694" t="s">
        <v>0</v>
      </c>
      <c r="C9694">
        <v>120</v>
      </c>
      <c r="D9694">
        <v>3493</v>
      </c>
      <c r="E9694">
        <v>80328392</v>
      </c>
    </row>
    <row r="9695" spans="1:6" x14ac:dyDescent="0.25">
      <c r="A9695">
        <v>9694</v>
      </c>
      <c r="B9695">
        <v>45</v>
      </c>
      <c r="C9695">
        <v>0</v>
      </c>
      <c r="D9695">
        <v>0</v>
      </c>
      <c r="E9695">
        <v>0</v>
      </c>
      <c r="F9695">
        <v>520.67499999999995</v>
      </c>
    </row>
    <row r="9696" spans="1:6" x14ac:dyDescent="0.25">
      <c r="A9696">
        <v>9695</v>
      </c>
      <c r="B9696" t="s">
        <v>0</v>
      </c>
      <c r="C9696">
        <v>121</v>
      </c>
      <c r="D9696">
        <v>3493</v>
      </c>
      <c r="E9696">
        <v>80328523</v>
      </c>
    </row>
    <row r="9697" spans="1:6" x14ac:dyDescent="0.25">
      <c r="A9697">
        <v>9696</v>
      </c>
      <c r="B9697">
        <v>2</v>
      </c>
      <c r="C9697">
        <v>0</v>
      </c>
      <c r="D9697">
        <v>0</v>
      </c>
      <c r="E9697">
        <v>0</v>
      </c>
      <c r="F9697">
        <v>253.83199999999999</v>
      </c>
    </row>
    <row r="9698" spans="1:6" x14ac:dyDescent="0.25">
      <c r="A9698">
        <v>9697</v>
      </c>
      <c r="B9698" t="s">
        <v>0</v>
      </c>
      <c r="C9698">
        <v>122</v>
      </c>
      <c r="D9698">
        <v>3493</v>
      </c>
      <c r="E9698">
        <v>80328654</v>
      </c>
    </row>
    <row r="9699" spans="1:6" x14ac:dyDescent="0.25">
      <c r="A9699">
        <v>9698</v>
      </c>
      <c r="B9699">
        <v>13</v>
      </c>
      <c r="C9699">
        <v>0</v>
      </c>
      <c r="D9699">
        <v>0</v>
      </c>
      <c r="E9699">
        <v>0</v>
      </c>
      <c r="F9699">
        <v>1607</v>
      </c>
    </row>
    <row r="9700" spans="1:6" x14ac:dyDescent="0.25">
      <c r="A9700">
        <v>9699</v>
      </c>
      <c r="B9700" t="s">
        <v>0</v>
      </c>
      <c r="C9700">
        <v>123</v>
      </c>
      <c r="D9700">
        <v>3493</v>
      </c>
      <c r="E9700">
        <v>80328786</v>
      </c>
    </row>
    <row r="9701" spans="1:6" x14ac:dyDescent="0.25">
      <c r="A9701">
        <v>9700</v>
      </c>
      <c r="B9701">
        <v>42</v>
      </c>
      <c r="C9701">
        <v>0</v>
      </c>
      <c r="D9701">
        <v>0</v>
      </c>
      <c r="E9701">
        <v>0</v>
      </c>
      <c r="F9701">
        <v>0.2</v>
      </c>
    </row>
    <row r="9702" spans="1:6" x14ac:dyDescent="0.25">
      <c r="A9702">
        <v>9701</v>
      </c>
      <c r="B9702" t="s">
        <v>0</v>
      </c>
      <c r="C9702">
        <v>124</v>
      </c>
      <c r="D9702">
        <v>3493</v>
      </c>
      <c r="E9702">
        <v>80328917</v>
      </c>
    </row>
    <row r="9703" spans="1:6" x14ac:dyDescent="0.25">
      <c r="A9703">
        <v>9702</v>
      </c>
      <c r="B9703">
        <v>44</v>
      </c>
      <c r="C9703">
        <v>0</v>
      </c>
      <c r="D9703">
        <v>0</v>
      </c>
      <c r="E9703">
        <v>0</v>
      </c>
      <c r="F9703">
        <v>-55.8185</v>
      </c>
    </row>
    <row r="9704" spans="1:6" x14ac:dyDescent="0.25">
      <c r="A9704">
        <v>9703</v>
      </c>
      <c r="B9704" t="s">
        <v>0</v>
      </c>
      <c r="C9704">
        <v>125</v>
      </c>
      <c r="D9704">
        <v>3493</v>
      </c>
      <c r="E9704">
        <v>80329048</v>
      </c>
    </row>
    <row r="9705" spans="1:6" x14ac:dyDescent="0.25">
      <c r="A9705">
        <v>9704</v>
      </c>
      <c r="B9705">
        <v>46</v>
      </c>
      <c r="C9705">
        <v>0</v>
      </c>
      <c r="D9705">
        <v>0</v>
      </c>
      <c r="E9705">
        <v>0</v>
      </c>
      <c r="F9705">
        <v>0</v>
      </c>
    </row>
    <row r="9706" spans="1:6" x14ac:dyDescent="0.25">
      <c r="A9706">
        <v>9705</v>
      </c>
      <c r="B9706" t="s">
        <v>0</v>
      </c>
      <c r="C9706">
        <v>126</v>
      </c>
      <c r="D9706">
        <v>3493</v>
      </c>
      <c r="E9706">
        <v>80329179</v>
      </c>
    </row>
    <row r="9707" spans="1:6" x14ac:dyDescent="0.25">
      <c r="A9707">
        <v>9706</v>
      </c>
      <c r="B9707">
        <v>10</v>
      </c>
      <c r="C9707">
        <v>1</v>
      </c>
      <c r="D9707">
        <v>0</v>
      </c>
      <c r="E9707">
        <v>0</v>
      </c>
      <c r="F9707">
        <v>4516</v>
      </c>
    </row>
    <row r="9708" spans="1:6" x14ac:dyDescent="0.25">
      <c r="A9708">
        <v>9707</v>
      </c>
      <c r="B9708" t="s">
        <v>0</v>
      </c>
      <c r="C9708">
        <v>127</v>
      </c>
      <c r="D9708">
        <v>3493</v>
      </c>
      <c r="E9708">
        <v>80329310</v>
      </c>
    </row>
    <row r="9709" spans="1:6" x14ac:dyDescent="0.25">
      <c r="A9709">
        <v>9708</v>
      </c>
      <c r="B9709">
        <v>41</v>
      </c>
      <c r="C9709">
        <v>0</v>
      </c>
      <c r="D9709">
        <v>0</v>
      </c>
      <c r="E9709">
        <v>0</v>
      </c>
      <c r="F9709">
        <v>1</v>
      </c>
    </row>
    <row r="9710" spans="1:6" x14ac:dyDescent="0.25">
      <c r="A9710">
        <v>9709</v>
      </c>
      <c r="B9710" t="s">
        <v>0</v>
      </c>
      <c r="C9710">
        <v>128</v>
      </c>
      <c r="D9710">
        <v>3493</v>
      </c>
      <c r="E9710">
        <v>80329441</v>
      </c>
    </row>
    <row r="9711" spans="1:6" x14ac:dyDescent="0.25">
      <c r="A9711">
        <v>9710</v>
      </c>
      <c r="B9711" t="s">
        <v>2</v>
      </c>
      <c r="C9711">
        <v>128</v>
      </c>
      <c r="D9711">
        <v>3493</v>
      </c>
      <c r="E9711">
        <v>80329469</v>
      </c>
    </row>
    <row r="9712" spans="1:6" x14ac:dyDescent="0.25">
      <c r="A9712">
        <v>9711</v>
      </c>
      <c r="B9712">
        <v>43</v>
      </c>
      <c r="C9712">
        <v>0</v>
      </c>
      <c r="D9712">
        <v>0</v>
      </c>
      <c r="E9712">
        <v>0</v>
      </c>
      <c r="F9712">
        <v>0</v>
      </c>
    </row>
    <row r="9713" spans="1:6" x14ac:dyDescent="0.25">
      <c r="A9713">
        <v>9712</v>
      </c>
      <c r="B9713" t="s">
        <v>0</v>
      </c>
      <c r="C9713">
        <v>129</v>
      </c>
      <c r="D9713">
        <v>3493</v>
      </c>
      <c r="E9713">
        <v>80329572</v>
      </c>
    </row>
    <row r="9714" spans="1:6" x14ac:dyDescent="0.25">
      <c r="A9714">
        <v>9713</v>
      </c>
      <c r="B9714">
        <v>45</v>
      </c>
      <c r="C9714">
        <v>0</v>
      </c>
      <c r="D9714">
        <v>0</v>
      </c>
      <c r="E9714">
        <v>0</v>
      </c>
      <c r="F9714">
        <v>520.596</v>
      </c>
    </row>
    <row r="9715" spans="1:6" x14ac:dyDescent="0.25">
      <c r="A9715">
        <v>9714</v>
      </c>
      <c r="B9715" t="s">
        <v>0</v>
      </c>
      <c r="C9715">
        <v>130</v>
      </c>
      <c r="D9715">
        <v>3493</v>
      </c>
      <c r="E9715">
        <v>80329704</v>
      </c>
    </row>
    <row r="9716" spans="1:6" x14ac:dyDescent="0.25">
      <c r="A9716">
        <v>9715</v>
      </c>
      <c r="B9716">
        <v>46</v>
      </c>
      <c r="C9716">
        <v>0</v>
      </c>
      <c r="D9716">
        <v>0</v>
      </c>
      <c r="E9716">
        <v>0</v>
      </c>
      <c r="F9716">
        <v>0</v>
      </c>
    </row>
    <row r="9717" spans="1:6" x14ac:dyDescent="0.25">
      <c r="A9717">
        <v>9716</v>
      </c>
      <c r="B9717">
        <v>2</v>
      </c>
      <c r="C9717">
        <v>0</v>
      </c>
      <c r="D9717">
        <v>0</v>
      </c>
      <c r="E9717">
        <v>0</v>
      </c>
      <c r="F9717">
        <v>253.58</v>
      </c>
    </row>
    <row r="9718" spans="1:6" x14ac:dyDescent="0.25">
      <c r="A9718">
        <v>9717</v>
      </c>
      <c r="B9718" t="s">
        <v>0</v>
      </c>
      <c r="C9718">
        <v>131</v>
      </c>
      <c r="D9718">
        <v>3493</v>
      </c>
      <c r="E9718">
        <v>80329835</v>
      </c>
    </row>
    <row r="9719" spans="1:6" x14ac:dyDescent="0.25">
      <c r="A9719">
        <v>9718</v>
      </c>
      <c r="B9719">
        <v>10</v>
      </c>
      <c r="C9719">
        <v>1</v>
      </c>
      <c r="D9719">
        <v>0</v>
      </c>
      <c r="E9719">
        <v>0</v>
      </c>
      <c r="F9719">
        <v>4519</v>
      </c>
    </row>
    <row r="9720" spans="1:6" x14ac:dyDescent="0.25">
      <c r="A9720">
        <v>9719</v>
      </c>
      <c r="B9720">
        <v>13</v>
      </c>
      <c r="C9720">
        <v>0</v>
      </c>
      <c r="D9720">
        <v>0</v>
      </c>
      <c r="E9720">
        <v>0</v>
      </c>
      <c r="F9720">
        <v>1607</v>
      </c>
    </row>
    <row r="9721" spans="1:6" x14ac:dyDescent="0.25">
      <c r="A9721">
        <v>9720</v>
      </c>
      <c r="B9721" t="s">
        <v>0</v>
      </c>
      <c r="C9721">
        <v>132</v>
      </c>
      <c r="D9721">
        <v>3493</v>
      </c>
      <c r="E9721">
        <v>80329966</v>
      </c>
    </row>
    <row r="9722" spans="1:6" x14ac:dyDescent="0.25">
      <c r="A9722">
        <v>9721</v>
      </c>
      <c r="B9722">
        <v>41</v>
      </c>
      <c r="C9722">
        <v>0</v>
      </c>
      <c r="D9722">
        <v>0</v>
      </c>
      <c r="E9722">
        <v>0</v>
      </c>
      <c r="F9722">
        <v>1</v>
      </c>
    </row>
    <row r="9723" spans="1:6" x14ac:dyDescent="0.25">
      <c r="A9723">
        <v>9722</v>
      </c>
      <c r="B9723">
        <v>42</v>
      </c>
      <c r="C9723">
        <v>0</v>
      </c>
      <c r="D9723">
        <v>0</v>
      </c>
      <c r="E9723">
        <v>0</v>
      </c>
      <c r="F9723">
        <v>0.2</v>
      </c>
    </row>
    <row r="9724" spans="1:6" x14ac:dyDescent="0.25">
      <c r="A9724">
        <v>9723</v>
      </c>
      <c r="B9724" t="s">
        <v>0</v>
      </c>
      <c r="C9724">
        <v>133</v>
      </c>
      <c r="D9724">
        <v>3493</v>
      </c>
      <c r="E9724">
        <v>80330097</v>
      </c>
    </row>
    <row r="9725" spans="1:6" x14ac:dyDescent="0.25">
      <c r="A9725">
        <v>9724</v>
      </c>
      <c r="B9725">
        <v>43</v>
      </c>
      <c r="C9725">
        <v>0</v>
      </c>
      <c r="D9725">
        <v>0</v>
      </c>
      <c r="E9725">
        <v>0</v>
      </c>
      <c r="F9725">
        <v>0</v>
      </c>
    </row>
    <row r="9726" spans="1:6" x14ac:dyDescent="0.25">
      <c r="A9726">
        <v>9725</v>
      </c>
      <c r="B9726">
        <v>44</v>
      </c>
      <c r="C9726">
        <v>0</v>
      </c>
      <c r="D9726">
        <v>0</v>
      </c>
      <c r="E9726">
        <v>0</v>
      </c>
      <c r="F9726">
        <v>-55.297199999999997</v>
      </c>
    </row>
    <row r="9727" spans="1:6" x14ac:dyDescent="0.25">
      <c r="A9727">
        <v>9726</v>
      </c>
      <c r="B9727" t="s">
        <v>0</v>
      </c>
      <c r="C9727">
        <v>134</v>
      </c>
      <c r="D9727">
        <v>3493</v>
      </c>
      <c r="E9727">
        <v>80330228</v>
      </c>
    </row>
    <row r="9728" spans="1:6" x14ac:dyDescent="0.25">
      <c r="A9728">
        <v>9727</v>
      </c>
      <c r="B9728">
        <v>45</v>
      </c>
      <c r="C9728">
        <v>0</v>
      </c>
      <c r="D9728">
        <v>0</v>
      </c>
      <c r="E9728">
        <v>0</v>
      </c>
      <c r="F9728">
        <v>520.55200000000002</v>
      </c>
    </row>
    <row r="9729" spans="1:6" x14ac:dyDescent="0.25">
      <c r="A9729">
        <v>9728</v>
      </c>
      <c r="B9729">
        <v>46</v>
      </c>
      <c r="C9729">
        <v>0</v>
      </c>
      <c r="D9729">
        <v>0</v>
      </c>
      <c r="E9729">
        <v>0</v>
      </c>
      <c r="F9729">
        <v>0</v>
      </c>
    </row>
    <row r="9730" spans="1:6" x14ac:dyDescent="0.25">
      <c r="A9730">
        <v>9729</v>
      </c>
      <c r="B9730" t="s">
        <v>0</v>
      </c>
      <c r="C9730">
        <v>135</v>
      </c>
      <c r="D9730">
        <v>3493</v>
      </c>
      <c r="E9730">
        <v>80330359</v>
      </c>
    </row>
    <row r="9731" spans="1:6" x14ac:dyDescent="0.25">
      <c r="A9731">
        <v>9730</v>
      </c>
      <c r="B9731">
        <v>2</v>
      </c>
      <c r="C9731">
        <v>0</v>
      </c>
      <c r="D9731">
        <v>0</v>
      </c>
      <c r="E9731">
        <v>0</v>
      </c>
      <c r="F9731">
        <v>253.42</v>
      </c>
    </row>
    <row r="9732" spans="1:6" x14ac:dyDescent="0.25">
      <c r="A9732">
        <v>9731</v>
      </c>
      <c r="B9732">
        <v>10</v>
      </c>
      <c r="C9732">
        <v>1</v>
      </c>
      <c r="D9732">
        <v>0</v>
      </c>
      <c r="E9732">
        <v>0</v>
      </c>
      <c r="F9732">
        <v>4523</v>
      </c>
    </row>
    <row r="9733" spans="1:6" x14ac:dyDescent="0.25">
      <c r="A9733">
        <v>9732</v>
      </c>
      <c r="B9733" t="s">
        <v>0</v>
      </c>
      <c r="C9733">
        <v>136</v>
      </c>
      <c r="D9733">
        <v>3493</v>
      </c>
      <c r="E9733">
        <v>80330490</v>
      </c>
    </row>
    <row r="9734" spans="1:6" x14ac:dyDescent="0.25">
      <c r="A9734">
        <v>9733</v>
      </c>
      <c r="B9734">
        <v>13</v>
      </c>
      <c r="C9734">
        <v>0</v>
      </c>
      <c r="D9734">
        <v>0</v>
      </c>
      <c r="E9734">
        <v>0</v>
      </c>
      <c r="F9734">
        <v>1607</v>
      </c>
    </row>
    <row r="9735" spans="1:6" x14ac:dyDescent="0.25">
      <c r="A9735">
        <v>9734</v>
      </c>
      <c r="B9735">
        <v>41</v>
      </c>
      <c r="C9735">
        <v>0</v>
      </c>
      <c r="D9735">
        <v>0</v>
      </c>
      <c r="E9735">
        <v>0</v>
      </c>
      <c r="F9735">
        <v>1</v>
      </c>
    </row>
    <row r="9736" spans="1:6" x14ac:dyDescent="0.25">
      <c r="A9736">
        <v>9735</v>
      </c>
      <c r="B9736" t="s">
        <v>0</v>
      </c>
      <c r="C9736">
        <v>137</v>
      </c>
      <c r="D9736">
        <v>3493</v>
      </c>
      <c r="E9736">
        <v>80330622</v>
      </c>
    </row>
    <row r="9737" spans="1:6" x14ac:dyDescent="0.25">
      <c r="A9737">
        <v>9736</v>
      </c>
      <c r="B9737">
        <v>42</v>
      </c>
      <c r="C9737">
        <v>0</v>
      </c>
      <c r="D9737">
        <v>0</v>
      </c>
      <c r="E9737">
        <v>0</v>
      </c>
      <c r="F9737">
        <v>0.2</v>
      </c>
    </row>
    <row r="9738" spans="1:6" x14ac:dyDescent="0.25">
      <c r="A9738">
        <v>9737</v>
      </c>
      <c r="B9738">
        <v>43</v>
      </c>
      <c r="C9738">
        <v>0</v>
      </c>
      <c r="D9738">
        <v>0</v>
      </c>
      <c r="E9738">
        <v>0</v>
      </c>
      <c r="F9738">
        <v>0</v>
      </c>
    </row>
    <row r="9739" spans="1:6" x14ac:dyDescent="0.25">
      <c r="A9739">
        <v>9738</v>
      </c>
      <c r="B9739" t="s">
        <v>0</v>
      </c>
      <c r="C9739">
        <v>138</v>
      </c>
      <c r="D9739">
        <v>3493</v>
      </c>
      <c r="E9739">
        <v>80330753</v>
      </c>
    </row>
    <row r="9740" spans="1:6" x14ac:dyDescent="0.25">
      <c r="A9740">
        <v>9739</v>
      </c>
      <c r="B9740">
        <v>44</v>
      </c>
      <c r="C9740">
        <v>0</v>
      </c>
      <c r="D9740">
        <v>0</v>
      </c>
      <c r="E9740">
        <v>0</v>
      </c>
      <c r="F9740">
        <v>-54.960500000000003</v>
      </c>
    </row>
    <row r="9741" spans="1:6" x14ac:dyDescent="0.25">
      <c r="A9741">
        <v>9740</v>
      </c>
      <c r="B9741">
        <v>45</v>
      </c>
      <c r="C9741">
        <v>0</v>
      </c>
      <c r="D9741">
        <v>0</v>
      </c>
      <c r="E9741">
        <v>0</v>
      </c>
      <c r="F9741">
        <v>520.51800000000003</v>
      </c>
    </row>
    <row r="9742" spans="1:6" x14ac:dyDescent="0.25">
      <c r="A9742">
        <v>9741</v>
      </c>
      <c r="B9742" t="s">
        <v>0</v>
      </c>
      <c r="C9742">
        <v>139</v>
      </c>
      <c r="D9742">
        <v>3493</v>
      </c>
      <c r="E9742">
        <v>80330885</v>
      </c>
    </row>
    <row r="9743" spans="1:6" x14ac:dyDescent="0.25">
      <c r="A9743">
        <v>9742</v>
      </c>
      <c r="B9743">
        <v>46</v>
      </c>
      <c r="C9743">
        <v>0</v>
      </c>
      <c r="D9743">
        <v>0</v>
      </c>
      <c r="E9743">
        <v>0</v>
      </c>
      <c r="F9743">
        <v>0</v>
      </c>
    </row>
    <row r="9744" spans="1:6" x14ac:dyDescent="0.25">
      <c r="A9744">
        <v>9743</v>
      </c>
      <c r="B9744">
        <v>2</v>
      </c>
      <c r="C9744">
        <v>0</v>
      </c>
      <c r="D9744">
        <v>0</v>
      </c>
      <c r="E9744">
        <v>0</v>
      </c>
      <c r="F9744">
        <v>253.29900000000001</v>
      </c>
    </row>
    <row r="9745" spans="1:6" x14ac:dyDescent="0.25">
      <c r="A9745">
        <v>9744</v>
      </c>
      <c r="B9745" t="s">
        <v>0</v>
      </c>
      <c r="C9745">
        <v>140</v>
      </c>
      <c r="D9745">
        <v>3493</v>
      </c>
      <c r="E9745">
        <v>80331017</v>
      </c>
    </row>
    <row r="9746" spans="1:6" x14ac:dyDescent="0.25">
      <c r="A9746">
        <v>9745</v>
      </c>
      <c r="B9746">
        <v>10</v>
      </c>
      <c r="C9746">
        <v>1</v>
      </c>
      <c r="D9746">
        <v>0</v>
      </c>
      <c r="E9746">
        <v>0</v>
      </c>
      <c r="F9746">
        <v>4526</v>
      </c>
    </row>
    <row r="9747" spans="1:6" x14ac:dyDescent="0.25">
      <c r="A9747">
        <v>9746</v>
      </c>
      <c r="B9747">
        <v>13</v>
      </c>
      <c r="C9747">
        <v>0</v>
      </c>
      <c r="D9747">
        <v>0</v>
      </c>
      <c r="E9747">
        <v>0</v>
      </c>
      <c r="F9747">
        <v>1607</v>
      </c>
    </row>
    <row r="9748" spans="1:6" x14ac:dyDescent="0.25">
      <c r="A9748">
        <v>9747</v>
      </c>
      <c r="B9748" t="s">
        <v>0</v>
      </c>
      <c r="C9748">
        <v>141</v>
      </c>
      <c r="D9748">
        <v>3493</v>
      </c>
      <c r="E9748">
        <v>80331149</v>
      </c>
    </row>
    <row r="9749" spans="1:6" x14ac:dyDescent="0.25">
      <c r="A9749">
        <v>9748</v>
      </c>
      <c r="B9749">
        <v>41</v>
      </c>
      <c r="C9749">
        <v>0</v>
      </c>
      <c r="D9749">
        <v>0</v>
      </c>
      <c r="E9749">
        <v>0</v>
      </c>
      <c r="F9749">
        <v>1</v>
      </c>
    </row>
    <row r="9750" spans="1:6" x14ac:dyDescent="0.25">
      <c r="A9750">
        <v>9749</v>
      </c>
      <c r="B9750">
        <v>42</v>
      </c>
      <c r="C9750">
        <v>0</v>
      </c>
      <c r="D9750">
        <v>0</v>
      </c>
      <c r="E9750">
        <v>0</v>
      </c>
      <c r="F9750">
        <v>0.2</v>
      </c>
    </row>
    <row r="9751" spans="1:6" x14ac:dyDescent="0.25">
      <c r="A9751">
        <v>9750</v>
      </c>
      <c r="B9751">
        <v>43</v>
      </c>
      <c r="C9751">
        <v>0</v>
      </c>
      <c r="D9751">
        <v>0</v>
      </c>
      <c r="E9751">
        <v>0</v>
      </c>
      <c r="F9751">
        <v>0</v>
      </c>
    </row>
    <row r="9752" spans="1:6" x14ac:dyDescent="0.25">
      <c r="A9752">
        <v>9751</v>
      </c>
      <c r="B9752">
        <v>44</v>
      </c>
      <c r="C9752">
        <v>0</v>
      </c>
      <c r="D9752">
        <v>0</v>
      </c>
      <c r="E9752">
        <v>0</v>
      </c>
      <c r="F9752">
        <v>-54.729599999999998</v>
      </c>
    </row>
    <row r="9753" spans="1:6" x14ac:dyDescent="0.25">
      <c r="A9753">
        <v>9752</v>
      </c>
      <c r="B9753">
        <v>45</v>
      </c>
      <c r="C9753">
        <v>0</v>
      </c>
      <c r="D9753">
        <v>0</v>
      </c>
      <c r="E9753">
        <v>0</v>
      </c>
      <c r="F9753">
        <v>520.47400000000005</v>
      </c>
    </row>
    <row r="9754" spans="1:6" x14ac:dyDescent="0.25">
      <c r="A9754">
        <v>9753</v>
      </c>
      <c r="B9754">
        <v>46</v>
      </c>
      <c r="C9754">
        <v>0</v>
      </c>
      <c r="D9754">
        <v>0</v>
      </c>
      <c r="E9754">
        <v>0</v>
      </c>
      <c r="F9754">
        <v>0</v>
      </c>
    </row>
    <row r="9755" spans="1:6" x14ac:dyDescent="0.25">
      <c r="A9755">
        <v>9754</v>
      </c>
      <c r="B9755">
        <v>2</v>
      </c>
      <c r="C9755">
        <v>0</v>
      </c>
      <c r="D9755">
        <v>0</v>
      </c>
      <c r="E9755">
        <v>0</v>
      </c>
      <c r="F9755">
        <v>253.178</v>
      </c>
    </row>
    <row r="9756" spans="1:6" x14ac:dyDescent="0.25">
      <c r="A9756">
        <v>9755</v>
      </c>
      <c r="B9756">
        <v>10</v>
      </c>
      <c r="C9756">
        <v>1</v>
      </c>
      <c r="D9756">
        <v>0</v>
      </c>
      <c r="E9756">
        <v>0</v>
      </c>
      <c r="F9756">
        <v>4530</v>
      </c>
    </row>
    <row r="9757" spans="1:6" x14ac:dyDescent="0.25">
      <c r="A9757">
        <v>9756</v>
      </c>
      <c r="B9757">
        <v>13</v>
      </c>
      <c r="C9757">
        <v>0</v>
      </c>
      <c r="D9757">
        <v>0</v>
      </c>
      <c r="E9757">
        <v>0</v>
      </c>
      <c r="F9757">
        <v>1607</v>
      </c>
    </row>
    <row r="9758" spans="1:6" x14ac:dyDescent="0.25">
      <c r="A9758">
        <v>9757</v>
      </c>
      <c r="B9758">
        <v>41</v>
      </c>
      <c r="C9758">
        <v>0</v>
      </c>
      <c r="D9758">
        <v>0</v>
      </c>
      <c r="E9758">
        <v>0</v>
      </c>
      <c r="F9758">
        <v>1</v>
      </c>
    </row>
    <row r="9759" spans="1:6" x14ac:dyDescent="0.25">
      <c r="A9759">
        <v>9758</v>
      </c>
      <c r="B9759">
        <v>42</v>
      </c>
      <c r="C9759">
        <v>0</v>
      </c>
      <c r="D9759">
        <v>0</v>
      </c>
      <c r="E9759">
        <v>0</v>
      </c>
      <c r="F9759">
        <v>0.2</v>
      </c>
    </row>
    <row r="9760" spans="1:6" x14ac:dyDescent="0.25">
      <c r="A9760">
        <v>9759</v>
      </c>
      <c r="B9760">
        <v>43</v>
      </c>
      <c r="C9760">
        <v>0</v>
      </c>
      <c r="D9760">
        <v>0</v>
      </c>
      <c r="E9760">
        <v>0</v>
      </c>
      <c r="F9760">
        <v>0</v>
      </c>
    </row>
    <row r="9761" spans="1:6" x14ac:dyDescent="0.25">
      <c r="A9761">
        <v>9760</v>
      </c>
      <c r="B9761">
        <v>44</v>
      </c>
      <c r="C9761">
        <v>0</v>
      </c>
      <c r="D9761">
        <v>0</v>
      </c>
      <c r="E9761">
        <v>0</v>
      </c>
      <c r="F9761">
        <v>-54.404699999999998</v>
      </c>
    </row>
    <row r="9762" spans="1:6" x14ac:dyDescent="0.25">
      <c r="A9762">
        <v>9761</v>
      </c>
      <c r="B9762">
        <v>45</v>
      </c>
      <c r="C9762">
        <v>0</v>
      </c>
      <c r="D9762">
        <v>0</v>
      </c>
      <c r="E9762">
        <v>0</v>
      </c>
      <c r="F9762">
        <v>520.44000000000005</v>
      </c>
    </row>
    <row r="9763" spans="1:6" x14ac:dyDescent="0.25">
      <c r="A9763">
        <v>9762</v>
      </c>
      <c r="B9763">
        <v>46</v>
      </c>
      <c r="C9763">
        <v>0</v>
      </c>
      <c r="D9763">
        <v>0</v>
      </c>
      <c r="E9763">
        <v>0</v>
      </c>
      <c r="F9763">
        <v>0</v>
      </c>
    </row>
    <row r="9764" spans="1:6" x14ac:dyDescent="0.25">
      <c r="A9764">
        <v>9763</v>
      </c>
      <c r="B9764">
        <v>2</v>
      </c>
      <c r="C9764">
        <v>0</v>
      </c>
      <c r="D9764">
        <v>0</v>
      </c>
      <c r="E9764">
        <v>0</v>
      </c>
      <c r="F9764">
        <v>253.03899999999999</v>
      </c>
    </row>
    <row r="9765" spans="1:6" x14ac:dyDescent="0.25">
      <c r="A9765">
        <v>9764</v>
      </c>
      <c r="B9765">
        <v>10</v>
      </c>
      <c r="C9765">
        <v>1</v>
      </c>
      <c r="D9765">
        <v>0</v>
      </c>
      <c r="E9765">
        <v>0</v>
      </c>
      <c r="F9765">
        <v>4535</v>
      </c>
    </row>
    <row r="9766" spans="1:6" x14ac:dyDescent="0.25">
      <c r="A9766">
        <v>9765</v>
      </c>
      <c r="B9766">
        <v>13</v>
      </c>
      <c r="C9766">
        <v>0</v>
      </c>
      <c r="D9766">
        <v>0</v>
      </c>
      <c r="E9766">
        <v>0</v>
      </c>
      <c r="F9766">
        <v>1607</v>
      </c>
    </row>
    <row r="9767" spans="1:6" x14ac:dyDescent="0.25">
      <c r="A9767">
        <v>9766</v>
      </c>
      <c r="B9767">
        <v>41</v>
      </c>
      <c r="C9767">
        <v>0</v>
      </c>
      <c r="D9767">
        <v>0</v>
      </c>
      <c r="E9767">
        <v>0</v>
      </c>
      <c r="F9767">
        <v>1</v>
      </c>
    </row>
    <row r="9768" spans="1:6" x14ac:dyDescent="0.25">
      <c r="A9768">
        <v>9767</v>
      </c>
      <c r="B9768">
        <v>42</v>
      </c>
      <c r="C9768">
        <v>0</v>
      </c>
      <c r="D9768">
        <v>0</v>
      </c>
      <c r="E9768">
        <v>0</v>
      </c>
      <c r="F9768">
        <v>0.2</v>
      </c>
    </row>
    <row r="9769" spans="1:6" x14ac:dyDescent="0.25">
      <c r="A9769">
        <v>9768</v>
      </c>
      <c r="B9769">
        <v>43</v>
      </c>
      <c r="C9769">
        <v>0</v>
      </c>
      <c r="D9769">
        <v>0</v>
      </c>
      <c r="E9769">
        <v>0</v>
      </c>
      <c r="F9769">
        <v>0</v>
      </c>
    </row>
    <row r="9770" spans="1:6" x14ac:dyDescent="0.25">
      <c r="A9770">
        <v>9769</v>
      </c>
      <c r="B9770">
        <v>44</v>
      </c>
      <c r="C9770">
        <v>0</v>
      </c>
      <c r="D9770">
        <v>0</v>
      </c>
      <c r="E9770">
        <v>0</v>
      </c>
      <c r="F9770">
        <v>-54.154600000000002</v>
      </c>
    </row>
    <row r="9771" spans="1:6" x14ac:dyDescent="0.25">
      <c r="A9771">
        <v>9770</v>
      </c>
      <c r="B9771">
        <v>45</v>
      </c>
      <c r="C9771">
        <v>0</v>
      </c>
      <c r="D9771">
        <v>0</v>
      </c>
      <c r="E9771">
        <v>0</v>
      </c>
      <c r="F9771">
        <v>520.39700000000005</v>
      </c>
    </row>
    <row r="9772" spans="1:6" x14ac:dyDescent="0.25">
      <c r="A9772">
        <v>9771</v>
      </c>
      <c r="B9772" t="s">
        <v>0</v>
      </c>
      <c r="C9772">
        <v>153</v>
      </c>
      <c r="D9772">
        <v>3493</v>
      </c>
      <c r="E9772">
        <v>80332729</v>
      </c>
    </row>
    <row r="9773" spans="1:6" x14ac:dyDescent="0.25">
      <c r="A9773">
        <v>9772</v>
      </c>
      <c r="B9773">
        <v>2</v>
      </c>
      <c r="C9773">
        <v>0</v>
      </c>
      <c r="D9773">
        <v>0</v>
      </c>
      <c r="E9773">
        <v>0</v>
      </c>
      <c r="F9773">
        <v>252.886</v>
      </c>
    </row>
    <row r="9774" spans="1:6" x14ac:dyDescent="0.25">
      <c r="A9774">
        <v>9773</v>
      </c>
      <c r="B9774" t="s">
        <v>0</v>
      </c>
      <c r="C9774">
        <v>154</v>
      </c>
      <c r="D9774">
        <v>3493</v>
      </c>
      <c r="E9774">
        <v>80332861</v>
      </c>
    </row>
    <row r="9775" spans="1:6" x14ac:dyDescent="0.25">
      <c r="A9775">
        <v>9774</v>
      </c>
      <c r="B9775">
        <v>13</v>
      </c>
      <c r="C9775">
        <v>0</v>
      </c>
      <c r="D9775">
        <v>0</v>
      </c>
      <c r="E9775">
        <v>0</v>
      </c>
      <c r="F9775">
        <v>1607</v>
      </c>
    </row>
    <row r="9776" spans="1:6" x14ac:dyDescent="0.25">
      <c r="A9776">
        <v>9775</v>
      </c>
      <c r="B9776" t="s">
        <v>0</v>
      </c>
      <c r="C9776">
        <v>155</v>
      </c>
      <c r="D9776">
        <v>3493</v>
      </c>
      <c r="E9776">
        <v>80332993</v>
      </c>
    </row>
    <row r="9777" spans="1:6" x14ac:dyDescent="0.25">
      <c r="A9777">
        <v>9776</v>
      </c>
      <c r="B9777">
        <v>42</v>
      </c>
      <c r="C9777">
        <v>0</v>
      </c>
      <c r="D9777">
        <v>0</v>
      </c>
      <c r="E9777">
        <v>0</v>
      </c>
      <c r="F9777">
        <v>0.2</v>
      </c>
    </row>
    <row r="9778" spans="1:6" x14ac:dyDescent="0.25">
      <c r="A9778">
        <v>9777</v>
      </c>
      <c r="B9778" t="s">
        <v>0</v>
      </c>
      <c r="C9778">
        <v>156</v>
      </c>
      <c r="D9778">
        <v>3493</v>
      </c>
      <c r="E9778">
        <v>80333125</v>
      </c>
    </row>
    <row r="9779" spans="1:6" x14ac:dyDescent="0.25">
      <c r="A9779">
        <v>9778</v>
      </c>
      <c r="B9779">
        <v>44</v>
      </c>
      <c r="C9779">
        <v>0</v>
      </c>
      <c r="D9779">
        <v>0</v>
      </c>
      <c r="E9779">
        <v>0</v>
      </c>
      <c r="F9779">
        <v>-53.852699999999999</v>
      </c>
    </row>
    <row r="9780" spans="1:6" x14ac:dyDescent="0.25">
      <c r="A9780">
        <v>9779</v>
      </c>
      <c r="B9780" t="s">
        <v>0</v>
      </c>
      <c r="C9780">
        <v>157</v>
      </c>
      <c r="D9780">
        <v>3493</v>
      </c>
      <c r="E9780">
        <v>80333256</v>
      </c>
    </row>
    <row r="9781" spans="1:6" x14ac:dyDescent="0.25">
      <c r="A9781">
        <v>9780</v>
      </c>
      <c r="B9781">
        <v>46</v>
      </c>
      <c r="C9781">
        <v>0</v>
      </c>
      <c r="D9781">
        <v>0</v>
      </c>
      <c r="E9781">
        <v>0</v>
      </c>
      <c r="F9781">
        <v>0</v>
      </c>
    </row>
    <row r="9782" spans="1:6" x14ac:dyDescent="0.25">
      <c r="A9782">
        <v>9781</v>
      </c>
      <c r="B9782" t="s">
        <v>0</v>
      </c>
      <c r="C9782">
        <v>158</v>
      </c>
      <c r="D9782">
        <v>3493</v>
      </c>
      <c r="E9782">
        <v>80333387</v>
      </c>
    </row>
    <row r="9783" spans="1:6" x14ac:dyDescent="0.25">
      <c r="A9783">
        <v>9782</v>
      </c>
      <c r="B9783">
        <v>10</v>
      </c>
      <c r="C9783">
        <v>1</v>
      </c>
      <c r="D9783">
        <v>0</v>
      </c>
      <c r="E9783">
        <v>0</v>
      </c>
      <c r="F9783">
        <v>4541</v>
      </c>
    </row>
    <row r="9784" spans="1:6" x14ac:dyDescent="0.25">
      <c r="A9784">
        <v>9783</v>
      </c>
      <c r="B9784" t="s">
        <v>1</v>
      </c>
      <c r="C9784">
        <v>158</v>
      </c>
      <c r="D9784">
        <v>3493</v>
      </c>
      <c r="E9784">
        <v>80333512</v>
      </c>
    </row>
    <row r="9785" spans="1:6" x14ac:dyDescent="0.25">
      <c r="A9785">
        <v>9784</v>
      </c>
      <c r="B9785">
        <v>41</v>
      </c>
      <c r="C9785">
        <v>0</v>
      </c>
      <c r="D9785">
        <v>0</v>
      </c>
      <c r="E9785">
        <v>0</v>
      </c>
      <c r="F9785">
        <v>1</v>
      </c>
    </row>
    <row r="9786" spans="1:6" x14ac:dyDescent="0.25">
      <c r="A9786">
        <v>9785</v>
      </c>
      <c r="B9786" t="s">
        <v>0</v>
      </c>
      <c r="C9786">
        <v>160</v>
      </c>
      <c r="D9786">
        <v>3493</v>
      </c>
      <c r="E9786">
        <v>80333650</v>
      </c>
    </row>
    <row r="9787" spans="1:6" x14ac:dyDescent="0.25">
      <c r="A9787">
        <v>9786</v>
      </c>
      <c r="B9787">
        <v>43</v>
      </c>
      <c r="C9787">
        <v>0</v>
      </c>
      <c r="D9787">
        <v>0</v>
      </c>
      <c r="E9787">
        <v>0</v>
      </c>
      <c r="F9787">
        <v>0</v>
      </c>
    </row>
    <row r="9788" spans="1:6" x14ac:dyDescent="0.25">
      <c r="A9788">
        <v>9787</v>
      </c>
      <c r="B9788" t="s">
        <v>0</v>
      </c>
      <c r="C9788">
        <v>161</v>
      </c>
      <c r="D9788">
        <v>3493</v>
      </c>
      <c r="E9788">
        <v>80333781</v>
      </c>
    </row>
    <row r="9789" spans="1:6" x14ac:dyDescent="0.25">
      <c r="A9789">
        <v>9788</v>
      </c>
      <c r="B9789">
        <v>45</v>
      </c>
      <c r="C9789">
        <v>0</v>
      </c>
      <c r="D9789">
        <v>0</v>
      </c>
      <c r="E9789">
        <v>0</v>
      </c>
      <c r="F9789">
        <v>520.32000000000005</v>
      </c>
    </row>
    <row r="9790" spans="1:6" x14ac:dyDescent="0.25">
      <c r="A9790">
        <v>9789</v>
      </c>
      <c r="B9790" t="s">
        <v>0</v>
      </c>
      <c r="C9790">
        <v>162</v>
      </c>
      <c r="D9790">
        <v>3493</v>
      </c>
      <c r="E9790">
        <v>80333912</v>
      </c>
    </row>
    <row r="9791" spans="1:6" x14ac:dyDescent="0.25">
      <c r="A9791">
        <v>9790</v>
      </c>
      <c r="B9791">
        <v>2</v>
      </c>
      <c r="C9791">
        <v>0</v>
      </c>
      <c r="D9791">
        <v>0</v>
      </c>
      <c r="E9791">
        <v>0</v>
      </c>
      <c r="F9791">
        <v>252.63399999999999</v>
      </c>
    </row>
    <row r="9792" spans="1:6" x14ac:dyDescent="0.25">
      <c r="A9792">
        <v>9791</v>
      </c>
      <c r="B9792" t="s">
        <v>0</v>
      </c>
      <c r="C9792">
        <v>163</v>
      </c>
      <c r="D9792">
        <v>3493</v>
      </c>
      <c r="E9792">
        <v>80334044</v>
      </c>
    </row>
    <row r="9793" spans="1:6" x14ac:dyDescent="0.25">
      <c r="A9793">
        <v>9792</v>
      </c>
      <c r="B9793">
        <v>13</v>
      </c>
      <c r="C9793">
        <v>0</v>
      </c>
      <c r="D9793">
        <v>0</v>
      </c>
      <c r="E9793">
        <v>0</v>
      </c>
      <c r="F9793">
        <v>1608</v>
      </c>
    </row>
    <row r="9794" spans="1:6" x14ac:dyDescent="0.25">
      <c r="A9794">
        <v>9793</v>
      </c>
      <c r="B9794" t="s">
        <v>0</v>
      </c>
      <c r="C9794">
        <v>164</v>
      </c>
      <c r="D9794">
        <v>3493</v>
      </c>
      <c r="E9794">
        <v>80334176</v>
      </c>
    </row>
    <row r="9795" spans="1:6" x14ac:dyDescent="0.25">
      <c r="A9795">
        <v>9794</v>
      </c>
      <c r="B9795">
        <v>42</v>
      </c>
      <c r="C9795">
        <v>0</v>
      </c>
      <c r="D9795">
        <v>0</v>
      </c>
      <c r="E9795">
        <v>0</v>
      </c>
      <c r="F9795">
        <v>0.2</v>
      </c>
    </row>
    <row r="9796" spans="1:6" x14ac:dyDescent="0.25">
      <c r="A9796">
        <v>9795</v>
      </c>
      <c r="B9796" t="s">
        <v>0</v>
      </c>
      <c r="C9796">
        <v>165</v>
      </c>
      <c r="D9796">
        <v>3493</v>
      </c>
      <c r="E9796">
        <v>80334307</v>
      </c>
    </row>
    <row r="9797" spans="1:6" x14ac:dyDescent="0.25">
      <c r="A9797">
        <v>9796</v>
      </c>
      <c r="B9797">
        <v>44</v>
      </c>
      <c r="C9797">
        <v>0</v>
      </c>
      <c r="D9797">
        <v>0</v>
      </c>
      <c r="E9797">
        <v>0</v>
      </c>
      <c r="F9797">
        <v>-53.277999999999999</v>
      </c>
    </row>
    <row r="9798" spans="1:6" x14ac:dyDescent="0.25">
      <c r="A9798">
        <v>9797</v>
      </c>
      <c r="B9798" t="s">
        <v>0</v>
      </c>
      <c r="C9798">
        <v>166</v>
      </c>
      <c r="D9798">
        <v>3493</v>
      </c>
      <c r="E9798">
        <v>80334439</v>
      </c>
    </row>
    <row r="9799" spans="1:6" x14ac:dyDescent="0.25">
      <c r="A9799">
        <v>9798</v>
      </c>
      <c r="B9799">
        <v>46</v>
      </c>
      <c r="C9799">
        <v>0</v>
      </c>
      <c r="D9799">
        <v>0</v>
      </c>
      <c r="E9799">
        <v>0</v>
      </c>
      <c r="F9799">
        <v>0</v>
      </c>
    </row>
    <row r="9800" spans="1:6" x14ac:dyDescent="0.25">
      <c r="A9800">
        <v>9799</v>
      </c>
      <c r="B9800" t="s">
        <v>0</v>
      </c>
      <c r="C9800">
        <v>167</v>
      </c>
      <c r="D9800">
        <v>3493</v>
      </c>
      <c r="E9800">
        <v>80334571</v>
      </c>
    </row>
    <row r="9801" spans="1:6" x14ac:dyDescent="0.25">
      <c r="A9801">
        <v>9800</v>
      </c>
      <c r="B9801">
        <v>10</v>
      </c>
      <c r="C9801">
        <v>1</v>
      </c>
      <c r="D9801">
        <v>0</v>
      </c>
      <c r="E9801">
        <v>0</v>
      </c>
      <c r="F9801">
        <v>4549</v>
      </c>
    </row>
    <row r="9802" spans="1:6" x14ac:dyDescent="0.25">
      <c r="A9802">
        <v>9801</v>
      </c>
      <c r="B9802" t="s">
        <v>0</v>
      </c>
      <c r="C9802">
        <v>168</v>
      </c>
      <c r="D9802">
        <v>3493</v>
      </c>
      <c r="E9802">
        <v>80334702</v>
      </c>
    </row>
    <row r="9803" spans="1:6" x14ac:dyDescent="0.25">
      <c r="A9803">
        <v>9802</v>
      </c>
      <c r="B9803">
        <v>41</v>
      </c>
      <c r="C9803">
        <v>0</v>
      </c>
      <c r="D9803">
        <v>0</v>
      </c>
      <c r="E9803">
        <v>0</v>
      </c>
      <c r="F9803">
        <v>1</v>
      </c>
    </row>
    <row r="9804" spans="1:6" x14ac:dyDescent="0.25">
      <c r="A9804">
        <v>9803</v>
      </c>
      <c r="B9804" t="s">
        <v>0</v>
      </c>
      <c r="C9804">
        <v>169</v>
      </c>
      <c r="D9804">
        <v>3493</v>
      </c>
      <c r="E9804">
        <v>80334834</v>
      </c>
    </row>
    <row r="9805" spans="1:6" x14ac:dyDescent="0.25">
      <c r="A9805">
        <v>9804</v>
      </c>
      <c r="B9805">
        <v>43</v>
      </c>
      <c r="C9805">
        <v>0</v>
      </c>
      <c r="D9805">
        <v>0</v>
      </c>
      <c r="E9805">
        <v>0</v>
      </c>
      <c r="F9805">
        <v>0</v>
      </c>
    </row>
    <row r="9806" spans="1:6" x14ac:dyDescent="0.25">
      <c r="A9806">
        <v>9805</v>
      </c>
      <c r="B9806" t="s">
        <v>0</v>
      </c>
      <c r="C9806">
        <v>170</v>
      </c>
      <c r="D9806">
        <v>3493</v>
      </c>
      <c r="E9806">
        <v>80334966</v>
      </c>
    </row>
    <row r="9807" spans="1:6" x14ac:dyDescent="0.25">
      <c r="A9807">
        <v>9806</v>
      </c>
      <c r="B9807">
        <v>45</v>
      </c>
      <c r="C9807">
        <v>0</v>
      </c>
      <c r="D9807">
        <v>0</v>
      </c>
      <c r="E9807">
        <v>0</v>
      </c>
      <c r="F9807">
        <v>520.24400000000003</v>
      </c>
    </row>
    <row r="9808" spans="1:6" x14ac:dyDescent="0.25">
      <c r="A9808">
        <v>9807</v>
      </c>
      <c r="B9808" t="s">
        <v>0</v>
      </c>
      <c r="C9808">
        <v>171</v>
      </c>
      <c r="D9808">
        <v>3493</v>
      </c>
      <c r="E9808">
        <v>80335097</v>
      </c>
    </row>
    <row r="9809" spans="1:6" x14ac:dyDescent="0.25">
      <c r="A9809">
        <v>9808</v>
      </c>
      <c r="B9809">
        <v>2</v>
      </c>
      <c r="C9809">
        <v>0</v>
      </c>
      <c r="D9809">
        <v>0</v>
      </c>
      <c r="E9809">
        <v>0</v>
      </c>
      <c r="F9809">
        <v>252.4</v>
      </c>
    </row>
    <row r="9810" spans="1:6" x14ac:dyDescent="0.25">
      <c r="A9810">
        <v>9809</v>
      </c>
      <c r="B9810" t="s">
        <v>0</v>
      </c>
      <c r="C9810">
        <v>172</v>
      </c>
      <c r="D9810">
        <v>3493</v>
      </c>
      <c r="E9810">
        <v>80335229</v>
      </c>
    </row>
    <row r="9811" spans="1:6" x14ac:dyDescent="0.25">
      <c r="A9811">
        <v>9810</v>
      </c>
      <c r="B9811">
        <v>13</v>
      </c>
      <c r="C9811">
        <v>0</v>
      </c>
      <c r="D9811">
        <v>0</v>
      </c>
      <c r="E9811">
        <v>0</v>
      </c>
      <c r="F9811">
        <v>1608</v>
      </c>
    </row>
    <row r="9812" spans="1:6" x14ac:dyDescent="0.25">
      <c r="A9812">
        <v>9811</v>
      </c>
      <c r="B9812" t="s">
        <v>0</v>
      </c>
      <c r="C9812">
        <v>173</v>
      </c>
      <c r="D9812">
        <v>3493</v>
      </c>
      <c r="E9812">
        <v>80335361</v>
      </c>
    </row>
    <row r="9813" spans="1:6" x14ac:dyDescent="0.25">
      <c r="A9813">
        <v>9812</v>
      </c>
      <c r="B9813">
        <v>42</v>
      </c>
      <c r="C9813">
        <v>0</v>
      </c>
      <c r="D9813">
        <v>0</v>
      </c>
      <c r="E9813">
        <v>0</v>
      </c>
      <c r="F9813">
        <v>0.2</v>
      </c>
    </row>
    <row r="9814" spans="1:6" x14ac:dyDescent="0.25">
      <c r="A9814">
        <v>9813</v>
      </c>
      <c r="B9814" t="s">
        <v>0</v>
      </c>
      <c r="C9814">
        <v>174</v>
      </c>
      <c r="D9814">
        <v>3493</v>
      </c>
      <c r="E9814">
        <v>80335493</v>
      </c>
    </row>
    <row r="9815" spans="1:6" x14ac:dyDescent="0.25">
      <c r="A9815">
        <v>9814</v>
      </c>
      <c r="B9815">
        <v>44</v>
      </c>
      <c r="C9815">
        <v>0</v>
      </c>
      <c r="D9815">
        <v>0</v>
      </c>
      <c r="E9815">
        <v>0</v>
      </c>
      <c r="F9815">
        <v>-52.748399999999997</v>
      </c>
    </row>
    <row r="9816" spans="1:6" x14ac:dyDescent="0.25">
      <c r="A9816">
        <v>9815</v>
      </c>
      <c r="B9816" t="s">
        <v>0</v>
      </c>
      <c r="C9816">
        <v>175</v>
      </c>
      <c r="D9816">
        <v>3493</v>
      </c>
      <c r="E9816">
        <v>80335625</v>
      </c>
    </row>
    <row r="9817" spans="1:6" x14ac:dyDescent="0.25">
      <c r="A9817">
        <v>9816</v>
      </c>
      <c r="B9817">
        <v>45</v>
      </c>
      <c r="C9817">
        <v>0</v>
      </c>
      <c r="D9817">
        <v>0</v>
      </c>
      <c r="E9817">
        <v>0</v>
      </c>
      <c r="F9817">
        <v>520.202</v>
      </c>
    </row>
    <row r="9818" spans="1:6" x14ac:dyDescent="0.25">
      <c r="A9818">
        <v>9817</v>
      </c>
      <c r="B9818">
        <v>46</v>
      </c>
      <c r="C9818">
        <v>0</v>
      </c>
      <c r="D9818">
        <v>0</v>
      </c>
      <c r="E9818">
        <v>0</v>
      </c>
      <c r="F9818">
        <v>0</v>
      </c>
    </row>
    <row r="9819" spans="1:6" x14ac:dyDescent="0.25">
      <c r="A9819">
        <v>9818</v>
      </c>
      <c r="B9819" t="s">
        <v>0</v>
      </c>
      <c r="C9819">
        <v>176</v>
      </c>
      <c r="D9819">
        <v>3493</v>
      </c>
      <c r="E9819">
        <v>80335757</v>
      </c>
    </row>
    <row r="9820" spans="1:6" x14ac:dyDescent="0.25">
      <c r="A9820">
        <v>9819</v>
      </c>
      <c r="B9820">
        <v>2</v>
      </c>
      <c r="C9820">
        <v>0</v>
      </c>
      <c r="D9820">
        <v>0</v>
      </c>
      <c r="E9820">
        <v>0</v>
      </c>
      <c r="F9820">
        <v>252.22399999999999</v>
      </c>
    </row>
    <row r="9821" spans="1:6" x14ac:dyDescent="0.25">
      <c r="A9821">
        <v>9820</v>
      </c>
      <c r="B9821">
        <v>10</v>
      </c>
      <c r="C9821">
        <v>1</v>
      </c>
      <c r="D9821">
        <v>0</v>
      </c>
      <c r="E9821">
        <v>0</v>
      </c>
      <c r="F9821">
        <v>4557</v>
      </c>
    </row>
    <row r="9822" spans="1:6" x14ac:dyDescent="0.25">
      <c r="A9822">
        <v>9821</v>
      </c>
      <c r="B9822" t="s">
        <v>0</v>
      </c>
      <c r="C9822">
        <v>177</v>
      </c>
      <c r="D9822">
        <v>3493</v>
      </c>
      <c r="E9822">
        <v>80335889</v>
      </c>
    </row>
    <row r="9823" spans="1:6" x14ac:dyDescent="0.25">
      <c r="A9823">
        <v>9822</v>
      </c>
      <c r="B9823">
        <v>13</v>
      </c>
      <c r="C9823">
        <v>0</v>
      </c>
      <c r="D9823">
        <v>0</v>
      </c>
      <c r="E9823">
        <v>0</v>
      </c>
      <c r="F9823">
        <v>1608</v>
      </c>
    </row>
    <row r="9824" spans="1:6" x14ac:dyDescent="0.25">
      <c r="A9824">
        <v>9823</v>
      </c>
      <c r="B9824">
        <v>41</v>
      </c>
      <c r="C9824">
        <v>0</v>
      </c>
      <c r="D9824">
        <v>0</v>
      </c>
      <c r="E9824">
        <v>0</v>
      </c>
      <c r="F9824">
        <v>1</v>
      </c>
    </row>
    <row r="9825" spans="1:6" x14ac:dyDescent="0.25">
      <c r="A9825">
        <v>9824</v>
      </c>
      <c r="B9825" t="s">
        <v>0</v>
      </c>
      <c r="C9825">
        <v>178</v>
      </c>
      <c r="D9825">
        <v>3493</v>
      </c>
      <c r="E9825">
        <v>80336021</v>
      </c>
    </row>
    <row r="9826" spans="1:6" x14ac:dyDescent="0.25">
      <c r="A9826">
        <v>9825</v>
      </c>
      <c r="B9826">
        <v>42</v>
      </c>
      <c r="C9826">
        <v>0</v>
      </c>
      <c r="D9826">
        <v>0</v>
      </c>
      <c r="E9826">
        <v>0</v>
      </c>
      <c r="F9826">
        <v>0.2</v>
      </c>
    </row>
    <row r="9827" spans="1:6" x14ac:dyDescent="0.25">
      <c r="A9827">
        <v>9826</v>
      </c>
      <c r="B9827">
        <v>43</v>
      </c>
      <c r="C9827">
        <v>0</v>
      </c>
      <c r="D9827">
        <v>0</v>
      </c>
      <c r="E9827">
        <v>0</v>
      </c>
      <c r="F9827">
        <v>0</v>
      </c>
    </row>
    <row r="9828" spans="1:6" x14ac:dyDescent="0.25">
      <c r="A9828">
        <v>9827</v>
      </c>
      <c r="B9828">
        <v>44</v>
      </c>
      <c r="C9828">
        <v>0</v>
      </c>
      <c r="D9828">
        <v>0</v>
      </c>
      <c r="E9828">
        <v>0</v>
      </c>
      <c r="F9828">
        <v>-52.474600000000002</v>
      </c>
    </row>
    <row r="9829" spans="1:6" x14ac:dyDescent="0.25">
      <c r="A9829">
        <v>9828</v>
      </c>
      <c r="B9829">
        <v>45</v>
      </c>
      <c r="C9829">
        <v>0</v>
      </c>
      <c r="D9829">
        <v>0</v>
      </c>
      <c r="E9829">
        <v>0</v>
      </c>
      <c r="F9829">
        <v>520.17700000000002</v>
      </c>
    </row>
    <row r="9830" spans="1:6" x14ac:dyDescent="0.25">
      <c r="A9830">
        <v>9829</v>
      </c>
      <c r="B9830" t="s">
        <v>0</v>
      </c>
      <c r="C9830">
        <v>0</v>
      </c>
      <c r="D9830">
        <v>3494</v>
      </c>
      <c r="E9830">
        <v>80336285</v>
      </c>
    </row>
    <row r="9831" spans="1:6" x14ac:dyDescent="0.25">
      <c r="A9831">
        <v>9830</v>
      </c>
      <c r="B9831">
        <v>46</v>
      </c>
      <c r="C9831">
        <v>0</v>
      </c>
      <c r="D9831">
        <v>0</v>
      </c>
      <c r="E9831">
        <v>0</v>
      </c>
      <c r="F9831">
        <v>0</v>
      </c>
    </row>
    <row r="9832" spans="1:6" x14ac:dyDescent="0.25">
      <c r="A9832">
        <v>9831</v>
      </c>
      <c r="B9832">
        <v>2</v>
      </c>
      <c r="C9832">
        <v>0</v>
      </c>
      <c r="D9832">
        <v>0</v>
      </c>
      <c r="E9832">
        <v>0</v>
      </c>
      <c r="F9832">
        <v>252.16499999999999</v>
      </c>
    </row>
    <row r="9833" spans="1:6" x14ac:dyDescent="0.25">
      <c r="A9833">
        <v>9832</v>
      </c>
      <c r="B9833" t="s">
        <v>0</v>
      </c>
      <c r="C9833">
        <v>1</v>
      </c>
      <c r="D9833">
        <v>3494</v>
      </c>
      <c r="E9833">
        <v>80336418</v>
      </c>
    </row>
    <row r="9834" spans="1:6" x14ac:dyDescent="0.25">
      <c r="A9834">
        <v>9833</v>
      </c>
      <c r="B9834">
        <v>10</v>
      </c>
      <c r="C9834">
        <v>1</v>
      </c>
      <c r="D9834">
        <v>0</v>
      </c>
      <c r="E9834">
        <v>0</v>
      </c>
      <c r="F9834">
        <v>4558</v>
      </c>
    </row>
    <row r="9835" spans="1:6" x14ac:dyDescent="0.25">
      <c r="A9835">
        <v>9834</v>
      </c>
      <c r="B9835">
        <v>13</v>
      </c>
      <c r="C9835">
        <v>0</v>
      </c>
      <c r="D9835">
        <v>0</v>
      </c>
      <c r="E9835">
        <v>0</v>
      </c>
      <c r="F9835">
        <v>1608</v>
      </c>
    </row>
    <row r="9836" spans="1:6" x14ac:dyDescent="0.25">
      <c r="A9836">
        <v>9835</v>
      </c>
      <c r="B9836" t="s">
        <v>0</v>
      </c>
      <c r="C9836">
        <v>2</v>
      </c>
      <c r="D9836">
        <v>3494</v>
      </c>
      <c r="E9836">
        <v>80336550</v>
      </c>
    </row>
    <row r="9837" spans="1:6" x14ac:dyDescent="0.25">
      <c r="A9837">
        <v>9836</v>
      </c>
      <c r="B9837">
        <v>41</v>
      </c>
      <c r="C9837">
        <v>0</v>
      </c>
      <c r="D9837">
        <v>0</v>
      </c>
      <c r="E9837">
        <v>0</v>
      </c>
      <c r="F9837">
        <v>1</v>
      </c>
    </row>
    <row r="9838" spans="1:6" x14ac:dyDescent="0.25">
      <c r="A9838">
        <v>9837</v>
      </c>
      <c r="B9838">
        <v>42</v>
      </c>
      <c r="C9838">
        <v>0</v>
      </c>
      <c r="D9838">
        <v>0</v>
      </c>
      <c r="E9838">
        <v>0</v>
      </c>
      <c r="F9838">
        <v>0.2</v>
      </c>
    </row>
    <row r="9839" spans="1:6" x14ac:dyDescent="0.25">
      <c r="A9839">
        <v>9838</v>
      </c>
      <c r="B9839" t="s">
        <v>0</v>
      </c>
      <c r="C9839">
        <v>3</v>
      </c>
      <c r="D9839">
        <v>3494</v>
      </c>
      <c r="E9839">
        <v>80336682</v>
      </c>
    </row>
    <row r="9840" spans="1:6" x14ac:dyDescent="0.25">
      <c r="A9840">
        <v>9839</v>
      </c>
      <c r="B9840">
        <v>43</v>
      </c>
      <c r="C9840">
        <v>0</v>
      </c>
      <c r="D9840">
        <v>0</v>
      </c>
      <c r="E9840">
        <v>0</v>
      </c>
      <c r="F9840">
        <v>0</v>
      </c>
    </row>
    <row r="9841" spans="1:6" x14ac:dyDescent="0.25">
      <c r="A9841">
        <v>9840</v>
      </c>
      <c r="B9841">
        <v>44</v>
      </c>
      <c r="C9841">
        <v>0</v>
      </c>
      <c r="D9841">
        <v>0</v>
      </c>
      <c r="E9841">
        <v>0</v>
      </c>
      <c r="F9841">
        <v>-52.247</v>
      </c>
    </row>
    <row r="9842" spans="1:6" x14ac:dyDescent="0.25">
      <c r="A9842">
        <v>9841</v>
      </c>
      <c r="B9842" t="s">
        <v>0</v>
      </c>
      <c r="C9842">
        <v>4</v>
      </c>
      <c r="D9842">
        <v>3494</v>
      </c>
      <c r="E9842">
        <v>80336814</v>
      </c>
    </row>
    <row r="9843" spans="1:6" x14ac:dyDescent="0.25">
      <c r="A9843">
        <v>9842</v>
      </c>
      <c r="B9843">
        <v>45</v>
      </c>
      <c r="C9843">
        <v>0</v>
      </c>
      <c r="D9843">
        <v>0</v>
      </c>
      <c r="E9843">
        <v>0</v>
      </c>
      <c r="F9843">
        <v>520.14400000000001</v>
      </c>
    </row>
    <row r="9844" spans="1:6" x14ac:dyDescent="0.25">
      <c r="A9844">
        <v>9843</v>
      </c>
      <c r="B9844">
        <v>46</v>
      </c>
      <c r="C9844">
        <v>0</v>
      </c>
      <c r="D9844">
        <v>0</v>
      </c>
      <c r="E9844">
        <v>0</v>
      </c>
      <c r="F9844">
        <v>0</v>
      </c>
    </row>
    <row r="9845" spans="1:6" x14ac:dyDescent="0.25">
      <c r="A9845">
        <v>9844</v>
      </c>
      <c r="B9845" t="s">
        <v>0</v>
      </c>
      <c r="C9845">
        <v>5</v>
      </c>
      <c r="D9845">
        <v>3494</v>
      </c>
      <c r="E9845">
        <v>80336946</v>
      </c>
    </row>
    <row r="9846" spans="1:6" x14ac:dyDescent="0.25">
      <c r="A9846">
        <v>9845</v>
      </c>
      <c r="B9846">
        <v>2</v>
      </c>
      <c r="C9846">
        <v>0</v>
      </c>
      <c r="D9846">
        <v>0</v>
      </c>
      <c r="E9846">
        <v>0</v>
      </c>
      <c r="F9846">
        <v>252.042</v>
      </c>
    </row>
    <row r="9847" spans="1:6" x14ac:dyDescent="0.25">
      <c r="A9847">
        <v>9846</v>
      </c>
      <c r="B9847">
        <v>10</v>
      </c>
      <c r="C9847">
        <v>1</v>
      </c>
      <c r="D9847">
        <v>0</v>
      </c>
      <c r="E9847">
        <v>0</v>
      </c>
      <c r="F9847">
        <v>4562</v>
      </c>
    </row>
    <row r="9848" spans="1:6" x14ac:dyDescent="0.25">
      <c r="A9848">
        <v>9847</v>
      </c>
      <c r="B9848" t="s">
        <v>0</v>
      </c>
      <c r="C9848">
        <v>6</v>
      </c>
      <c r="D9848">
        <v>3494</v>
      </c>
      <c r="E9848">
        <v>80337078</v>
      </c>
    </row>
    <row r="9849" spans="1:6" x14ac:dyDescent="0.25">
      <c r="A9849">
        <v>9848</v>
      </c>
      <c r="B9849">
        <v>13</v>
      </c>
      <c r="C9849">
        <v>0</v>
      </c>
      <c r="D9849">
        <v>0</v>
      </c>
      <c r="E9849">
        <v>0</v>
      </c>
      <c r="F9849">
        <v>1608</v>
      </c>
    </row>
    <row r="9850" spans="1:6" x14ac:dyDescent="0.25">
      <c r="A9850">
        <v>9849</v>
      </c>
      <c r="B9850">
        <v>41</v>
      </c>
      <c r="C9850">
        <v>0</v>
      </c>
      <c r="D9850">
        <v>0</v>
      </c>
      <c r="E9850">
        <v>0</v>
      </c>
      <c r="F9850">
        <v>1</v>
      </c>
    </row>
    <row r="9851" spans="1:6" x14ac:dyDescent="0.25">
      <c r="A9851">
        <v>9850</v>
      </c>
      <c r="B9851" t="s">
        <v>0</v>
      </c>
      <c r="C9851">
        <v>7</v>
      </c>
      <c r="D9851">
        <v>3494</v>
      </c>
      <c r="E9851">
        <v>80337210</v>
      </c>
    </row>
    <row r="9852" spans="1:6" x14ac:dyDescent="0.25">
      <c r="A9852">
        <v>9851</v>
      </c>
      <c r="B9852">
        <v>42</v>
      </c>
      <c r="C9852">
        <v>0</v>
      </c>
      <c r="D9852">
        <v>0</v>
      </c>
      <c r="E9852">
        <v>0</v>
      </c>
      <c r="F9852">
        <v>0.2</v>
      </c>
    </row>
    <row r="9853" spans="1:6" x14ac:dyDescent="0.25">
      <c r="A9853">
        <v>9852</v>
      </c>
      <c r="B9853">
        <v>43</v>
      </c>
      <c r="C9853">
        <v>0</v>
      </c>
      <c r="D9853">
        <v>0</v>
      </c>
      <c r="E9853">
        <v>0</v>
      </c>
      <c r="F9853">
        <v>0</v>
      </c>
    </row>
    <row r="9854" spans="1:6" x14ac:dyDescent="0.25">
      <c r="A9854">
        <v>9853</v>
      </c>
      <c r="B9854" t="s">
        <v>0</v>
      </c>
      <c r="C9854">
        <v>8</v>
      </c>
      <c r="D9854">
        <v>3494</v>
      </c>
      <c r="E9854">
        <v>80337342</v>
      </c>
    </row>
    <row r="9855" spans="1:6" x14ac:dyDescent="0.25">
      <c r="A9855">
        <v>9854</v>
      </c>
      <c r="B9855">
        <v>44</v>
      </c>
      <c r="C9855">
        <v>0</v>
      </c>
      <c r="D9855">
        <v>0</v>
      </c>
      <c r="E9855">
        <v>0</v>
      </c>
      <c r="F9855">
        <v>-51.966099999999997</v>
      </c>
    </row>
    <row r="9856" spans="1:6" x14ac:dyDescent="0.25">
      <c r="A9856">
        <v>9855</v>
      </c>
      <c r="B9856">
        <v>45</v>
      </c>
      <c r="C9856">
        <v>0</v>
      </c>
      <c r="D9856">
        <v>0</v>
      </c>
      <c r="E9856">
        <v>0</v>
      </c>
      <c r="F9856">
        <v>520.11099999999999</v>
      </c>
    </row>
    <row r="9857" spans="1:6" x14ac:dyDescent="0.25">
      <c r="A9857">
        <v>9856</v>
      </c>
      <c r="B9857" t="s">
        <v>0</v>
      </c>
      <c r="C9857">
        <v>9</v>
      </c>
      <c r="D9857">
        <v>3494</v>
      </c>
      <c r="E9857">
        <v>80337474</v>
      </c>
    </row>
    <row r="9858" spans="1:6" x14ac:dyDescent="0.25">
      <c r="A9858">
        <v>9857</v>
      </c>
      <c r="B9858">
        <v>46</v>
      </c>
      <c r="C9858">
        <v>0</v>
      </c>
      <c r="D9858">
        <v>0</v>
      </c>
      <c r="E9858">
        <v>0</v>
      </c>
      <c r="F9858">
        <v>0</v>
      </c>
    </row>
    <row r="9859" spans="1:6" x14ac:dyDescent="0.25">
      <c r="A9859">
        <v>9858</v>
      </c>
      <c r="B9859">
        <v>2</v>
      </c>
      <c r="C9859">
        <v>0</v>
      </c>
      <c r="D9859">
        <v>0</v>
      </c>
      <c r="E9859">
        <v>0</v>
      </c>
      <c r="F9859">
        <v>251.964</v>
      </c>
    </row>
    <row r="9860" spans="1:6" x14ac:dyDescent="0.25">
      <c r="A9860">
        <v>9859</v>
      </c>
      <c r="B9860" t="s">
        <v>0</v>
      </c>
      <c r="C9860">
        <v>10</v>
      </c>
      <c r="D9860">
        <v>3494</v>
      </c>
      <c r="E9860">
        <v>80337606</v>
      </c>
    </row>
    <row r="9861" spans="1:6" x14ac:dyDescent="0.25">
      <c r="A9861">
        <v>9860</v>
      </c>
      <c r="B9861">
        <v>10</v>
      </c>
      <c r="C9861">
        <v>1</v>
      </c>
      <c r="D9861">
        <v>0</v>
      </c>
      <c r="E9861">
        <v>0</v>
      </c>
      <c r="F9861">
        <v>4565</v>
      </c>
    </row>
    <row r="9862" spans="1:6" x14ac:dyDescent="0.25">
      <c r="A9862">
        <v>9861</v>
      </c>
      <c r="B9862">
        <v>13</v>
      </c>
      <c r="C9862">
        <v>0</v>
      </c>
      <c r="D9862">
        <v>0</v>
      </c>
      <c r="E9862">
        <v>0</v>
      </c>
      <c r="F9862">
        <v>1608</v>
      </c>
    </row>
    <row r="9863" spans="1:6" x14ac:dyDescent="0.25">
      <c r="A9863">
        <v>9862</v>
      </c>
      <c r="B9863" t="s">
        <v>0</v>
      </c>
      <c r="C9863">
        <v>11</v>
      </c>
      <c r="D9863">
        <v>3494</v>
      </c>
      <c r="E9863">
        <v>80337738</v>
      </c>
    </row>
    <row r="9864" spans="1:6" x14ac:dyDescent="0.25">
      <c r="A9864">
        <v>9863</v>
      </c>
      <c r="B9864">
        <v>41</v>
      </c>
      <c r="C9864">
        <v>0</v>
      </c>
      <c r="D9864">
        <v>0</v>
      </c>
      <c r="E9864">
        <v>0</v>
      </c>
      <c r="F9864">
        <v>1</v>
      </c>
    </row>
    <row r="9865" spans="1:6" x14ac:dyDescent="0.25">
      <c r="A9865">
        <v>9864</v>
      </c>
      <c r="B9865">
        <v>42</v>
      </c>
      <c r="C9865">
        <v>0</v>
      </c>
      <c r="D9865">
        <v>0</v>
      </c>
      <c r="E9865">
        <v>0</v>
      </c>
      <c r="F9865">
        <v>0.2</v>
      </c>
    </row>
    <row r="9866" spans="1:6" x14ac:dyDescent="0.25">
      <c r="A9866">
        <v>9865</v>
      </c>
      <c r="B9866" t="s">
        <v>0</v>
      </c>
      <c r="C9866">
        <v>12</v>
      </c>
      <c r="D9866">
        <v>3494</v>
      </c>
      <c r="E9866">
        <v>80337870</v>
      </c>
    </row>
    <row r="9867" spans="1:6" x14ac:dyDescent="0.25">
      <c r="A9867">
        <v>9866</v>
      </c>
      <c r="B9867">
        <v>43</v>
      </c>
      <c r="C9867">
        <v>0</v>
      </c>
      <c r="D9867">
        <v>0</v>
      </c>
      <c r="E9867">
        <v>0</v>
      </c>
      <c r="F9867">
        <v>0</v>
      </c>
    </row>
    <row r="9868" spans="1:6" x14ac:dyDescent="0.25">
      <c r="A9868">
        <v>9867</v>
      </c>
      <c r="B9868">
        <v>44</v>
      </c>
      <c r="C9868">
        <v>0</v>
      </c>
      <c r="D9868">
        <v>0</v>
      </c>
      <c r="E9868">
        <v>0</v>
      </c>
      <c r="F9868">
        <v>-51.729199999999999</v>
      </c>
    </row>
    <row r="9869" spans="1:6" x14ac:dyDescent="0.25">
      <c r="A9869">
        <v>9868</v>
      </c>
      <c r="B9869" t="s">
        <v>0</v>
      </c>
      <c r="C9869">
        <v>13</v>
      </c>
      <c r="D9869">
        <v>3494</v>
      </c>
      <c r="E9869">
        <v>80338002</v>
      </c>
    </row>
    <row r="9870" spans="1:6" x14ac:dyDescent="0.25">
      <c r="A9870">
        <v>9869</v>
      </c>
      <c r="B9870">
        <v>45</v>
      </c>
      <c r="C9870">
        <v>0</v>
      </c>
      <c r="D9870">
        <v>0</v>
      </c>
      <c r="E9870">
        <v>0</v>
      </c>
      <c r="F9870">
        <v>520.06899999999996</v>
      </c>
    </row>
    <row r="9871" spans="1:6" x14ac:dyDescent="0.25">
      <c r="A9871">
        <v>9870</v>
      </c>
      <c r="B9871">
        <v>46</v>
      </c>
      <c r="C9871">
        <v>0</v>
      </c>
      <c r="D9871">
        <v>0</v>
      </c>
      <c r="E9871">
        <v>0</v>
      </c>
      <c r="F9871">
        <v>0</v>
      </c>
    </row>
    <row r="9872" spans="1:6" x14ac:dyDescent="0.25">
      <c r="A9872">
        <v>9871</v>
      </c>
      <c r="B9872" t="s">
        <v>0</v>
      </c>
      <c r="C9872">
        <v>14</v>
      </c>
      <c r="D9872">
        <v>3494</v>
      </c>
      <c r="E9872">
        <v>80338135</v>
      </c>
    </row>
    <row r="9873" spans="1:6" x14ac:dyDescent="0.25">
      <c r="A9873">
        <v>9872</v>
      </c>
      <c r="B9873">
        <v>2</v>
      </c>
      <c r="C9873">
        <v>0</v>
      </c>
      <c r="D9873">
        <v>0</v>
      </c>
      <c r="E9873">
        <v>0</v>
      </c>
      <c r="F9873">
        <v>251.809</v>
      </c>
    </row>
    <row r="9874" spans="1:6" x14ac:dyDescent="0.25">
      <c r="A9874">
        <v>9873</v>
      </c>
      <c r="B9874">
        <v>10</v>
      </c>
      <c r="C9874">
        <v>1</v>
      </c>
      <c r="D9874">
        <v>0</v>
      </c>
      <c r="E9874">
        <v>0</v>
      </c>
      <c r="F9874">
        <v>4569</v>
      </c>
    </row>
    <row r="9875" spans="1:6" x14ac:dyDescent="0.25">
      <c r="A9875">
        <v>9874</v>
      </c>
      <c r="B9875" t="s">
        <v>0</v>
      </c>
      <c r="C9875">
        <v>15</v>
      </c>
      <c r="D9875">
        <v>3494</v>
      </c>
      <c r="E9875">
        <v>80338267</v>
      </c>
    </row>
    <row r="9876" spans="1:6" x14ac:dyDescent="0.25">
      <c r="A9876">
        <v>9875</v>
      </c>
      <c r="B9876">
        <v>13</v>
      </c>
      <c r="C9876">
        <v>0</v>
      </c>
      <c r="D9876">
        <v>0</v>
      </c>
      <c r="E9876">
        <v>0</v>
      </c>
      <c r="F9876">
        <v>1608</v>
      </c>
    </row>
    <row r="9877" spans="1:6" x14ac:dyDescent="0.25">
      <c r="A9877">
        <v>9876</v>
      </c>
      <c r="B9877">
        <v>41</v>
      </c>
      <c r="C9877">
        <v>0</v>
      </c>
      <c r="D9877">
        <v>0</v>
      </c>
      <c r="E9877">
        <v>0</v>
      </c>
      <c r="F9877">
        <v>1</v>
      </c>
    </row>
    <row r="9878" spans="1:6" x14ac:dyDescent="0.25">
      <c r="A9878">
        <v>9877</v>
      </c>
      <c r="B9878" t="s">
        <v>0</v>
      </c>
      <c r="C9878">
        <v>16</v>
      </c>
      <c r="D9878">
        <v>3494</v>
      </c>
      <c r="E9878">
        <v>80338399</v>
      </c>
    </row>
    <row r="9879" spans="1:6" x14ac:dyDescent="0.25">
      <c r="A9879">
        <v>9878</v>
      </c>
      <c r="B9879">
        <v>42</v>
      </c>
      <c r="C9879">
        <v>0</v>
      </c>
      <c r="D9879">
        <v>0</v>
      </c>
      <c r="E9879">
        <v>0</v>
      </c>
      <c r="F9879">
        <v>0.2</v>
      </c>
    </row>
    <row r="9880" spans="1:6" x14ac:dyDescent="0.25">
      <c r="A9880">
        <v>9879</v>
      </c>
      <c r="B9880">
        <v>43</v>
      </c>
      <c r="C9880">
        <v>0</v>
      </c>
      <c r="D9880">
        <v>0</v>
      </c>
      <c r="E9880">
        <v>0</v>
      </c>
      <c r="F9880">
        <v>0</v>
      </c>
    </row>
    <row r="9881" spans="1:6" x14ac:dyDescent="0.25">
      <c r="A9881">
        <v>9880</v>
      </c>
      <c r="B9881" t="s">
        <v>0</v>
      </c>
      <c r="C9881">
        <v>17</v>
      </c>
      <c r="D9881">
        <v>3494</v>
      </c>
      <c r="E9881">
        <v>80338531</v>
      </c>
    </row>
    <row r="9882" spans="1:6" x14ac:dyDescent="0.25">
      <c r="A9882">
        <v>9881</v>
      </c>
      <c r="B9882">
        <v>44</v>
      </c>
      <c r="C9882">
        <v>0</v>
      </c>
      <c r="D9882">
        <v>0</v>
      </c>
      <c r="E9882">
        <v>0</v>
      </c>
      <c r="F9882">
        <v>-51.412199999999999</v>
      </c>
    </row>
    <row r="9883" spans="1:6" x14ac:dyDescent="0.25">
      <c r="A9883">
        <v>9882</v>
      </c>
      <c r="B9883">
        <v>45</v>
      </c>
      <c r="C9883">
        <v>0</v>
      </c>
      <c r="D9883">
        <v>0</v>
      </c>
      <c r="E9883">
        <v>0</v>
      </c>
      <c r="F9883">
        <v>520.03700000000003</v>
      </c>
    </row>
    <row r="9884" spans="1:6" x14ac:dyDescent="0.25">
      <c r="A9884">
        <v>9883</v>
      </c>
      <c r="B9884" t="s">
        <v>0</v>
      </c>
      <c r="C9884">
        <v>18</v>
      </c>
      <c r="D9884">
        <v>3494</v>
      </c>
      <c r="E9884">
        <v>80338664</v>
      </c>
    </row>
    <row r="9885" spans="1:6" x14ac:dyDescent="0.25">
      <c r="A9885">
        <v>9884</v>
      </c>
      <c r="B9885">
        <v>46</v>
      </c>
      <c r="C9885">
        <v>0</v>
      </c>
      <c r="D9885">
        <v>0</v>
      </c>
      <c r="E9885">
        <v>0</v>
      </c>
      <c r="F9885">
        <v>0</v>
      </c>
    </row>
    <row r="9886" spans="1:6" x14ac:dyDescent="0.25">
      <c r="A9886">
        <v>9885</v>
      </c>
      <c r="B9886">
        <v>2</v>
      </c>
      <c r="C9886">
        <v>0</v>
      </c>
      <c r="D9886">
        <v>0</v>
      </c>
      <c r="E9886">
        <v>0</v>
      </c>
      <c r="F9886">
        <v>251.70400000000001</v>
      </c>
    </row>
    <row r="9887" spans="1:6" x14ac:dyDescent="0.25">
      <c r="A9887">
        <v>9886</v>
      </c>
      <c r="B9887" t="s">
        <v>0</v>
      </c>
      <c r="C9887">
        <v>19</v>
      </c>
      <c r="D9887">
        <v>3494</v>
      </c>
      <c r="E9887">
        <v>80338796</v>
      </c>
    </row>
    <row r="9888" spans="1:6" x14ac:dyDescent="0.25">
      <c r="A9888">
        <v>9887</v>
      </c>
      <c r="B9888">
        <v>10</v>
      </c>
      <c r="C9888">
        <v>1</v>
      </c>
      <c r="D9888">
        <v>0</v>
      </c>
      <c r="E9888">
        <v>0</v>
      </c>
      <c r="F9888">
        <v>4572</v>
      </c>
    </row>
    <row r="9889" spans="1:6" x14ac:dyDescent="0.25">
      <c r="A9889">
        <v>9888</v>
      </c>
      <c r="B9889">
        <v>13</v>
      </c>
      <c r="C9889">
        <v>0</v>
      </c>
      <c r="D9889">
        <v>0</v>
      </c>
      <c r="E9889">
        <v>0</v>
      </c>
      <c r="F9889">
        <v>1608</v>
      </c>
    </row>
    <row r="9890" spans="1:6" x14ac:dyDescent="0.25">
      <c r="A9890">
        <v>9889</v>
      </c>
      <c r="B9890" t="s">
        <v>0</v>
      </c>
      <c r="C9890">
        <v>20</v>
      </c>
      <c r="D9890">
        <v>3494</v>
      </c>
      <c r="E9890">
        <v>80338928</v>
      </c>
    </row>
    <row r="9891" spans="1:6" x14ac:dyDescent="0.25">
      <c r="A9891">
        <v>9890</v>
      </c>
      <c r="B9891">
        <v>41</v>
      </c>
      <c r="C9891">
        <v>0</v>
      </c>
      <c r="D9891">
        <v>0</v>
      </c>
      <c r="E9891">
        <v>0</v>
      </c>
      <c r="F9891">
        <v>1</v>
      </c>
    </row>
    <row r="9892" spans="1:6" x14ac:dyDescent="0.25">
      <c r="A9892">
        <v>9891</v>
      </c>
      <c r="B9892">
        <v>42</v>
      </c>
      <c r="C9892">
        <v>0</v>
      </c>
      <c r="D9892">
        <v>0</v>
      </c>
      <c r="E9892">
        <v>0</v>
      </c>
      <c r="F9892">
        <v>0.2</v>
      </c>
    </row>
    <row r="9893" spans="1:6" x14ac:dyDescent="0.25">
      <c r="A9893">
        <v>9892</v>
      </c>
      <c r="B9893" t="s">
        <v>0</v>
      </c>
      <c r="C9893">
        <v>21</v>
      </c>
      <c r="D9893">
        <v>3494</v>
      </c>
      <c r="E9893">
        <v>80339060</v>
      </c>
    </row>
    <row r="9894" spans="1:6" x14ac:dyDescent="0.25">
      <c r="A9894">
        <v>9893</v>
      </c>
      <c r="B9894">
        <v>43</v>
      </c>
      <c r="C9894">
        <v>0</v>
      </c>
      <c r="D9894">
        <v>0</v>
      </c>
      <c r="E9894">
        <v>0</v>
      </c>
      <c r="F9894">
        <v>0</v>
      </c>
    </row>
    <row r="9895" spans="1:6" x14ac:dyDescent="0.25">
      <c r="A9895">
        <v>9894</v>
      </c>
      <c r="B9895">
        <v>44</v>
      </c>
      <c r="C9895">
        <v>0</v>
      </c>
      <c r="D9895">
        <v>0</v>
      </c>
      <c r="E9895">
        <v>0</v>
      </c>
      <c r="F9895">
        <v>-51.197099999999999</v>
      </c>
    </row>
    <row r="9896" spans="1:6" x14ac:dyDescent="0.25">
      <c r="A9896">
        <v>9895</v>
      </c>
      <c r="B9896" t="s">
        <v>0</v>
      </c>
      <c r="C9896">
        <v>22</v>
      </c>
      <c r="D9896">
        <v>3494</v>
      </c>
      <c r="E9896">
        <v>80339193</v>
      </c>
    </row>
    <row r="9897" spans="1:6" x14ac:dyDescent="0.25">
      <c r="A9897">
        <v>9896</v>
      </c>
      <c r="B9897">
        <v>45</v>
      </c>
      <c r="C9897">
        <v>0</v>
      </c>
      <c r="D9897">
        <v>0</v>
      </c>
      <c r="E9897">
        <v>0</v>
      </c>
      <c r="F9897">
        <v>519.99599999999998</v>
      </c>
    </row>
    <row r="9898" spans="1:6" x14ac:dyDescent="0.25">
      <c r="A9898">
        <v>9897</v>
      </c>
      <c r="B9898">
        <v>46</v>
      </c>
      <c r="C9898">
        <v>0</v>
      </c>
      <c r="D9898">
        <v>0</v>
      </c>
      <c r="E9898">
        <v>0</v>
      </c>
      <c r="F9898">
        <v>0</v>
      </c>
    </row>
    <row r="9899" spans="1:6" x14ac:dyDescent="0.25">
      <c r="A9899">
        <v>9898</v>
      </c>
      <c r="B9899" t="s">
        <v>0</v>
      </c>
      <c r="C9899">
        <v>23</v>
      </c>
      <c r="D9899">
        <v>3494</v>
      </c>
      <c r="E9899">
        <v>80339325</v>
      </c>
    </row>
    <row r="9900" spans="1:6" x14ac:dyDescent="0.25">
      <c r="A9900">
        <v>9899</v>
      </c>
      <c r="B9900">
        <v>2</v>
      </c>
      <c r="C9900">
        <v>0</v>
      </c>
      <c r="D9900">
        <v>0</v>
      </c>
      <c r="E9900">
        <v>0</v>
      </c>
      <c r="F9900">
        <v>251.59899999999999</v>
      </c>
    </row>
    <row r="9901" spans="1:6" x14ac:dyDescent="0.25">
      <c r="A9901">
        <v>9900</v>
      </c>
      <c r="B9901">
        <v>10</v>
      </c>
      <c r="C9901">
        <v>1</v>
      </c>
      <c r="D9901">
        <v>0</v>
      </c>
      <c r="E9901">
        <v>0</v>
      </c>
      <c r="F9901">
        <v>4575</v>
      </c>
    </row>
    <row r="9902" spans="1:6" x14ac:dyDescent="0.25">
      <c r="A9902">
        <v>9901</v>
      </c>
      <c r="B9902" t="s">
        <v>0</v>
      </c>
      <c r="C9902">
        <v>24</v>
      </c>
      <c r="D9902">
        <v>3494</v>
      </c>
      <c r="E9902">
        <v>80339457</v>
      </c>
    </row>
    <row r="9903" spans="1:6" x14ac:dyDescent="0.25">
      <c r="A9903">
        <v>9902</v>
      </c>
      <c r="B9903">
        <v>13</v>
      </c>
      <c r="C9903">
        <v>0</v>
      </c>
      <c r="D9903">
        <v>0</v>
      </c>
      <c r="E9903">
        <v>0</v>
      </c>
      <c r="F9903">
        <v>1608</v>
      </c>
    </row>
    <row r="9904" spans="1:6" x14ac:dyDescent="0.25">
      <c r="A9904">
        <v>9903</v>
      </c>
      <c r="B9904">
        <v>41</v>
      </c>
      <c r="C9904">
        <v>0</v>
      </c>
      <c r="D9904">
        <v>0</v>
      </c>
      <c r="E9904">
        <v>0</v>
      </c>
      <c r="F9904">
        <v>1</v>
      </c>
    </row>
    <row r="9905" spans="1:6" x14ac:dyDescent="0.25">
      <c r="A9905">
        <v>9904</v>
      </c>
      <c r="B9905" t="s">
        <v>0</v>
      </c>
      <c r="C9905">
        <v>25</v>
      </c>
      <c r="D9905">
        <v>3494</v>
      </c>
      <c r="E9905">
        <v>80339589</v>
      </c>
    </row>
    <row r="9906" spans="1:6" x14ac:dyDescent="0.25">
      <c r="A9906">
        <v>9905</v>
      </c>
      <c r="B9906">
        <v>42</v>
      </c>
      <c r="C9906">
        <v>0</v>
      </c>
      <c r="D9906">
        <v>0</v>
      </c>
      <c r="E9906">
        <v>0</v>
      </c>
      <c r="F9906">
        <v>0.2</v>
      </c>
    </row>
    <row r="9907" spans="1:6" x14ac:dyDescent="0.25">
      <c r="A9907">
        <v>9906</v>
      </c>
      <c r="B9907">
        <v>43</v>
      </c>
      <c r="C9907">
        <v>0</v>
      </c>
      <c r="D9907">
        <v>0</v>
      </c>
      <c r="E9907">
        <v>0</v>
      </c>
      <c r="F9907">
        <v>0</v>
      </c>
    </row>
    <row r="9908" spans="1:6" x14ac:dyDescent="0.25">
      <c r="A9908">
        <v>9907</v>
      </c>
      <c r="B9908" t="s">
        <v>0</v>
      </c>
      <c r="C9908">
        <v>26</v>
      </c>
      <c r="D9908">
        <v>3494</v>
      </c>
      <c r="E9908">
        <v>80339721</v>
      </c>
    </row>
    <row r="9909" spans="1:6" x14ac:dyDescent="0.25">
      <c r="A9909">
        <v>9908</v>
      </c>
      <c r="B9909">
        <v>44</v>
      </c>
      <c r="C9909">
        <v>0</v>
      </c>
      <c r="D9909">
        <v>0</v>
      </c>
      <c r="E9909">
        <v>0</v>
      </c>
      <c r="F9909">
        <v>-50.932899999999997</v>
      </c>
    </row>
    <row r="9910" spans="1:6" x14ac:dyDescent="0.25">
      <c r="A9910">
        <v>9909</v>
      </c>
      <c r="B9910">
        <v>45</v>
      </c>
      <c r="C9910">
        <v>0</v>
      </c>
      <c r="D9910">
        <v>0</v>
      </c>
      <c r="E9910">
        <v>0</v>
      </c>
      <c r="F9910">
        <v>519.96299999999997</v>
      </c>
    </row>
    <row r="9911" spans="1:6" x14ac:dyDescent="0.25">
      <c r="A9911">
        <v>9910</v>
      </c>
      <c r="B9911" t="s">
        <v>0</v>
      </c>
      <c r="C9911">
        <v>27</v>
      </c>
      <c r="D9911">
        <v>3494</v>
      </c>
      <c r="E9911">
        <v>80339853</v>
      </c>
    </row>
    <row r="9912" spans="1:6" x14ac:dyDescent="0.25">
      <c r="A9912">
        <v>9911</v>
      </c>
      <c r="B9912">
        <v>46</v>
      </c>
      <c r="C9912">
        <v>0</v>
      </c>
      <c r="D9912">
        <v>0</v>
      </c>
      <c r="E9912">
        <v>0</v>
      </c>
      <c r="F9912">
        <v>0</v>
      </c>
    </row>
    <row r="9913" spans="1:6" x14ac:dyDescent="0.25">
      <c r="A9913">
        <v>9912</v>
      </c>
      <c r="B9913">
        <v>2</v>
      </c>
      <c r="C9913">
        <v>0</v>
      </c>
      <c r="D9913">
        <v>0</v>
      </c>
      <c r="E9913">
        <v>0</v>
      </c>
      <c r="F9913">
        <v>251.53299999999999</v>
      </c>
    </row>
    <row r="9914" spans="1:6" x14ac:dyDescent="0.25">
      <c r="A9914">
        <v>9913</v>
      </c>
      <c r="B9914" t="s">
        <v>0</v>
      </c>
      <c r="C9914">
        <v>28</v>
      </c>
      <c r="D9914">
        <v>3494</v>
      </c>
      <c r="E9914">
        <v>80339985</v>
      </c>
    </row>
    <row r="9915" spans="1:6" x14ac:dyDescent="0.25">
      <c r="A9915">
        <v>9914</v>
      </c>
      <c r="B9915">
        <v>10</v>
      </c>
      <c r="C9915">
        <v>1</v>
      </c>
      <c r="D9915">
        <v>0</v>
      </c>
      <c r="E9915">
        <v>0</v>
      </c>
      <c r="F9915">
        <v>4577</v>
      </c>
    </row>
    <row r="9916" spans="1:6" x14ac:dyDescent="0.25">
      <c r="A9916">
        <v>9915</v>
      </c>
      <c r="B9916">
        <v>13</v>
      </c>
      <c r="C9916">
        <v>0</v>
      </c>
      <c r="D9916">
        <v>0</v>
      </c>
      <c r="E9916">
        <v>0</v>
      </c>
      <c r="F9916">
        <v>1608</v>
      </c>
    </row>
    <row r="9917" spans="1:6" x14ac:dyDescent="0.25">
      <c r="A9917">
        <v>9916</v>
      </c>
      <c r="B9917" t="s">
        <v>0</v>
      </c>
      <c r="C9917">
        <v>29</v>
      </c>
      <c r="D9917">
        <v>3494</v>
      </c>
      <c r="E9917">
        <v>80340118</v>
      </c>
    </row>
    <row r="9918" spans="1:6" x14ac:dyDescent="0.25">
      <c r="A9918">
        <v>9917</v>
      </c>
      <c r="B9918">
        <v>41</v>
      </c>
      <c r="C9918">
        <v>0</v>
      </c>
      <c r="D9918">
        <v>0</v>
      </c>
      <c r="E9918">
        <v>0</v>
      </c>
      <c r="F9918">
        <v>1</v>
      </c>
    </row>
    <row r="9919" spans="1:6" x14ac:dyDescent="0.25">
      <c r="A9919">
        <v>9918</v>
      </c>
      <c r="B9919">
        <v>42</v>
      </c>
      <c r="C9919">
        <v>0</v>
      </c>
      <c r="D9919">
        <v>0</v>
      </c>
      <c r="E9919">
        <v>0</v>
      </c>
      <c r="F9919">
        <v>0.2</v>
      </c>
    </row>
    <row r="9920" spans="1:6" x14ac:dyDescent="0.25">
      <c r="A9920">
        <v>9919</v>
      </c>
      <c r="B9920" t="s">
        <v>0</v>
      </c>
      <c r="C9920">
        <v>30</v>
      </c>
      <c r="D9920">
        <v>3494</v>
      </c>
      <c r="E9920">
        <v>80340251</v>
      </c>
    </row>
    <row r="9921" spans="1:6" x14ac:dyDescent="0.25">
      <c r="A9921">
        <v>9920</v>
      </c>
      <c r="B9921">
        <v>43</v>
      </c>
      <c r="C9921">
        <v>0</v>
      </c>
      <c r="D9921">
        <v>0</v>
      </c>
      <c r="E9921">
        <v>0</v>
      </c>
      <c r="F9921">
        <v>0</v>
      </c>
    </row>
    <row r="9922" spans="1:6" x14ac:dyDescent="0.25">
      <c r="A9922">
        <v>9921</v>
      </c>
      <c r="B9922">
        <v>44</v>
      </c>
      <c r="C9922">
        <v>0</v>
      </c>
      <c r="D9922">
        <v>0</v>
      </c>
      <c r="E9922">
        <v>0</v>
      </c>
      <c r="F9922">
        <v>-50.723199999999999</v>
      </c>
    </row>
    <row r="9923" spans="1:6" x14ac:dyDescent="0.25">
      <c r="A9923">
        <v>9922</v>
      </c>
      <c r="B9923" t="s">
        <v>0</v>
      </c>
      <c r="C9923">
        <v>31</v>
      </c>
      <c r="D9923">
        <v>3494</v>
      </c>
      <c r="E9923">
        <v>80340384</v>
      </c>
    </row>
    <row r="9924" spans="1:6" x14ac:dyDescent="0.25">
      <c r="A9924">
        <v>9923</v>
      </c>
      <c r="B9924">
        <v>45</v>
      </c>
      <c r="C9924">
        <v>0</v>
      </c>
      <c r="D9924">
        <v>0</v>
      </c>
      <c r="E9924">
        <v>0</v>
      </c>
      <c r="F9924">
        <v>519.923</v>
      </c>
    </row>
    <row r="9925" spans="1:6" x14ac:dyDescent="0.25">
      <c r="A9925">
        <v>9924</v>
      </c>
      <c r="B9925">
        <v>46</v>
      </c>
      <c r="C9925">
        <v>0</v>
      </c>
      <c r="D9925">
        <v>0</v>
      </c>
      <c r="E9925">
        <v>0</v>
      </c>
      <c r="F9925">
        <v>0</v>
      </c>
    </row>
    <row r="9926" spans="1:6" x14ac:dyDescent="0.25">
      <c r="A9926">
        <v>9925</v>
      </c>
      <c r="B9926" t="s">
        <v>0</v>
      </c>
      <c r="C9926">
        <v>32</v>
      </c>
      <c r="D9926">
        <v>3494</v>
      </c>
      <c r="E9926">
        <v>80340517</v>
      </c>
    </row>
    <row r="9927" spans="1:6" x14ac:dyDescent="0.25">
      <c r="A9927">
        <v>9926</v>
      </c>
      <c r="B9927">
        <v>2</v>
      </c>
      <c r="C9927">
        <v>0</v>
      </c>
      <c r="D9927">
        <v>0</v>
      </c>
      <c r="E9927">
        <v>0</v>
      </c>
      <c r="F9927">
        <v>251.40299999999999</v>
      </c>
    </row>
    <row r="9928" spans="1:6" x14ac:dyDescent="0.25">
      <c r="A9928">
        <v>9927</v>
      </c>
      <c r="B9928">
        <v>10</v>
      </c>
      <c r="C9928">
        <v>1</v>
      </c>
      <c r="D9928">
        <v>0</v>
      </c>
      <c r="E9928">
        <v>0</v>
      </c>
      <c r="F9928">
        <v>4581</v>
      </c>
    </row>
    <row r="9929" spans="1:6" x14ac:dyDescent="0.25">
      <c r="A9929">
        <v>9928</v>
      </c>
      <c r="B9929" t="s">
        <v>0</v>
      </c>
      <c r="C9929">
        <v>33</v>
      </c>
      <c r="D9929">
        <v>3494</v>
      </c>
      <c r="E9929">
        <v>80340649</v>
      </c>
    </row>
    <row r="9930" spans="1:6" x14ac:dyDescent="0.25">
      <c r="A9930">
        <v>9929</v>
      </c>
      <c r="B9930">
        <v>13</v>
      </c>
      <c r="C9930">
        <v>0</v>
      </c>
      <c r="D9930">
        <v>0</v>
      </c>
      <c r="E9930">
        <v>0</v>
      </c>
      <c r="F9930">
        <v>1608</v>
      </c>
    </row>
    <row r="9931" spans="1:6" x14ac:dyDescent="0.25">
      <c r="A9931">
        <v>9930</v>
      </c>
      <c r="B9931">
        <v>41</v>
      </c>
      <c r="C9931">
        <v>0</v>
      </c>
      <c r="D9931">
        <v>0</v>
      </c>
      <c r="E9931">
        <v>0</v>
      </c>
      <c r="F9931">
        <v>1</v>
      </c>
    </row>
    <row r="9932" spans="1:6" x14ac:dyDescent="0.25">
      <c r="A9932">
        <v>9931</v>
      </c>
      <c r="B9932" t="s">
        <v>0</v>
      </c>
      <c r="C9932">
        <v>34</v>
      </c>
      <c r="D9932">
        <v>3494</v>
      </c>
      <c r="E9932">
        <v>80340781</v>
      </c>
    </row>
    <row r="9933" spans="1:6" x14ac:dyDescent="0.25">
      <c r="A9933">
        <v>9932</v>
      </c>
      <c r="B9933">
        <v>42</v>
      </c>
      <c r="C9933">
        <v>0</v>
      </c>
      <c r="D9933">
        <v>0</v>
      </c>
      <c r="E9933">
        <v>0</v>
      </c>
      <c r="F9933">
        <v>0.2</v>
      </c>
    </row>
    <row r="9934" spans="1:6" x14ac:dyDescent="0.25">
      <c r="A9934">
        <v>9933</v>
      </c>
      <c r="B9934">
        <v>43</v>
      </c>
      <c r="C9934">
        <v>0</v>
      </c>
      <c r="D9934">
        <v>0</v>
      </c>
      <c r="E9934">
        <v>0</v>
      </c>
      <c r="F9934">
        <v>0</v>
      </c>
    </row>
    <row r="9935" spans="1:6" x14ac:dyDescent="0.25">
      <c r="A9935">
        <v>9934</v>
      </c>
      <c r="B9935" t="s">
        <v>0</v>
      </c>
      <c r="C9935">
        <v>35</v>
      </c>
      <c r="D9935">
        <v>3494</v>
      </c>
      <c r="E9935">
        <v>80340913</v>
      </c>
    </row>
    <row r="9936" spans="1:6" x14ac:dyDescent="0.25">
      <c r="A9936">
        <v>9935</v>
      </c>
      <c r="B9936">
        <v>44</v>
      </c>
      <c r="C9936">
        <v>0</v>
      </c>
      <c r="D9936">
        <v>0</v>
      </c>
      <c r="E9936">
        <v>0</v>
      </c>
      <c r="F9936">
        <v>-50.412700000000001</v>
      </c>
    </row>
    <row r="9937" spans="1:6" x14ac:dyDescent="0.25">
      <c r="A9937">
        <v>9936</v>
      </c>
      <c r="B9937">
        <v>45</v>
      </c>
      <c r="C9937">
        <v>0</v>
      </c>
      <c r="D9937">
        <v>0</v>
      </c>
      <c r="E9937">
        <v>0</v>
      </c>
      <c r="F9937">
        <v>519.89099999999996</v>
      </c>
    </row>
    <row r="9938" spans="1:6" x14ac:dyDescent="0.25">
      <c r="A9938">
        <v>9937</v>
      </c>
      <c r="B9938" t="s">
        <v>0</v>
      </c>
      <c r="C9938">
        <v>36</v>
      </c>
      <c r="D9938">
        <v>3494</v>
      </c>
      <c r="E9938">
        <v>80341045</v>
      </c>
    </row>
    <row r="9939" spans="1:6" x14ac:dyDescent="0.25">
      <c r="A9939">
        <v>9938</v>
      </c>
      <c r="B9939">
        <v>46</v>
      </c>
      <c r="C9939">
        <v>0</v>
      </c>
      <c r="D9939">
        <v>0</v>
      </c>
      <c r="E9939">
        <v>0</v>
      </c>
      <c r="F9939">
        <v>0</v>
      </c>
    </row>
    <row r="9940" spans="1:6" x14ac:dyDescent="0.25">
      <c r="A9940">
        <v>9939</v>
      </c>
      <c r="B9940">
        <v>2</v>
      </c>
      <c r="C9940">
        <v>0</v>
      </c>
      <c r="D9940">
        <v>0</v>
      </c>
      <c r="E9940">
        <v>0</v>
      </c>
      <c r="F9940">
        <v>251.30500000000001</v>
      </c>
    </row>
    <row r="9941" spans="1:6" x14ac:dyDescent="0.25">
      <c r="A9941">
        <v>9940</v>
      </c>
      <c r="B9941" t="s">
        <v>0</v>
      </c>
      <c r="C9941">
        <v>37</v>
      </c>
      <c r="D9941">
        <v>3494</v>
      </c>
      <c r="E9941">
        <v>80341177</v>
      </c>
    </row>
    <row r="9942" spans="1:6" x14ac:dyDescent="0.25">
      <c r="A9942">
        <v>9941</v>
      </c>
      <c r="B9942">
        <v>10</v>
      </c>
      <c r="C9942">
        <v>1</v>
      </c>
      <c r="D9942">
        <v>0</v>
      </c>
      <c r="E9942">
        <v>0</v>
      </c>
      <c r="F9942">
        <v>4584</v>
      </c>
    </row>
    <row r="9943" spans="1:6" x14ac:dyDescent="0.25">
      <c r="A9943">
        <v>9942</v>
      </c>
      <c r="B9943">
        <v>13</v>
      </c>
      <c r="C9943">
        <v>0</v>
      </c>
      <c r="D9943">
        <v>0</v>
      </c>
      <c r="E9943">
        <v>0</v>
      </c>
      <c r="F9943">
        <v>1608</v>
      </c>
    </row>
    <row r="9944" spans="1:6" x14ac:dyDescent="0.25">
      <c r="A9944">
        <v>9943</v>
      </c>
      <c r="B9944" t="s">
        <v>0</v>
      </c>
      <c r="C9944">
        <v>38</v>
      </c>
      <c r="D9944">
        <v>3494</v>
      </c>
      <c r="E9944">
        <v>80341309</v>
      </c>
    </row>
    <row r="9945" spans="1:6" x14ac:dyDescent="0.25">
      <c r="A9945">
        <v>9944</v>
      </c>
      <c r="B9945">
        <v>41</v>
      </c>
      <c r="C9945">
        <v>0</v>
      </c>
      <c r="D9945">
        <v>0</v>
      </c>
      <c r="E9945">
        <v>0</v>
      </c>
      <c r="F9945">
        <v>1</v>
      </c>
    </row>
    <row r="9946" spans="1:6" x14ac:dyDescent="0.25">
      <c r="A9946">
        <v>9945</v>
      </c>
      <c r="B9946">
        <v>42</v>
      </c>
      <c r="C9946">
        <v>0</v>
      </c>
      <c r="D9946">
        <v>0</v>
      </c>
      <c r="E9946">
        <v>0</v>
      </c>
      <c r="F9946">
        <v>0.2</v>
      </c>
    </row>
    <row r="9947" spans="1:6" x14ac:dyDescent="0.25">
      <c r="A9947">
        <v>9946</v>
      </c>
      <c r="B9947" t="s">
        <v>0</v>
      </c>
      <c r="C9947">
        <v>39</v>
      </c>
      <c r="D9947">
        <v>3494</v>
      </c>
      <c r="E9947">
        <v>80341441</v>
      </c>
    </row>
    <row r="9948" spans="1:6" x14ac:dyDescent="0.25">
      <c r="A9948">
        <v>9947</v>
      </c>
      <c r="B9948">
        <v>43</v>
      </c>
      <c r="C9948">
        <v>0</v>
      </c>
      <c r="D9948">
        <v>0</v>
      </c>
      <c r="E9948">
        <v>0</v>
      </c>
      <c r="F9948">
        <v>0</v>
      </c>
    </row>
    <row r="9949" spans="1:6" x14ac:dyDescent="0.25">
      <c r="A9949">
        <v>9948</v>
      </c>
      <c r="B9949">
        <v>44</v>
      </c>
      <c r="C9949">
        <v>0</v>
      </c>
      <c r="D9949">
        <v>0</v>
      </c>
      <c r="E9949">
        <v>0</v>
      </c>
      <c r="F9949">
        <v>-50.201700000000002</v>
      </c>
    </row>
    <row r="9950" spans="1:6" x14ac:dyDescent="0.25">
      <c r="A9950">
        <v>9949</v>
      </c>
      <c r="B9950" t="s">
        <v>0</v>
      </c>
      <c r="C9950">
        <v>40</v>
      </c>
      <c r="D9950">
        <v>3494</v>
      </c>
      <c r="E9950">
        <v>80341573</v>
      </c>
    </row>
    <row r="9951" spans="1:6" x14ac:dyDescent="0.25">
      <c r="A9951">
        <v>9950</v>
      </c>
      <c r="B9951">
        <v>45</v>
      </c>
      <c r="C9951">
        <v>0</v>
      </c>
      <c r="D9951">
        <v>0</v>
      </c>
      <c r="E9951">
        <v>0</v>
      </c>
      <c r="F9951">
        <v>519.851</v>
      </c>
    </row>
    <row r="9952" spans="1:6" x14ac:dyDescent="0.25">
      <c r="A9952">
        <v>9951</v>
      </c>
      <c r="B9952">
        <v>46</v>
      </c>
      <c r="C9952">
        <v>0</v>
      </c>
      <c r="D9952">
        <v>0</v>
      </c>
      <c r="E9952">
        <v>0</v>
      </c>
      <c r="F9952">
        <v>0</v>
      </c>
    </row>
    <row r="9953" spans="1:6" x14ac:dyDescent="0.25">
      <c r="A9953">
        <v>9952</v>
      </c>
      <c r="B9953" t="s">
        <v>0</v>
      </c>
      <c r="C9953">
        <v>41</v>
      </c>
      <c r="D9953">
        <v>3494</v>
      </c>
      <c r="E9953">
        <v>80341705</v>
      </c>
    </row>
    <row r="9954" spans="1:6" x14ac:dyDescent="0.25">
      <c r="A9954">
        <v>9953</v>
      </c>
      <c r="B9954">
        <v>2</v>
      </c>
      <c r="C9954">
        <v>0</v>
      </c>
      <c r="D9954">
        <v>0</v>
      </c>
      <c r="E9954">
        <v>0</v>
      </c>
      <c r="F9954">
        <v>251.20500000000001</v>
      </c>
    </row>
    <row r="9955" spans="1:6" x14ac:dyDescent="0.25">
      <c r="A9955">
        <v>9954</v>
      </c>
      <c r="B9955">
        <v>10</v>
      </c>
      <c r="C9955">
        <v>1</v>
      </c>
      <c r="D9955">
        <v>0</v>
      </c>
      <c r="E9955">
        <v>0</v>
      </c>
      <c r="F9955">
        <v>4587</v>
      </c>
    </row>
    <row r="9956" spans="1:6" x14ac:dyDescent="0.25">
      <c r="A9956">
        <v>9955</v>
      </c>
      <c r="B9956" t="s">
        <v>0</v>
      </c>
      <c r="C9956">
        <v>42</v>
      </c>
      <c r="D9956">
        <v>3494</v>
      </c>
      <c r="E9956">
        <v>80341838</v>
      </c>
    </row>
    <row r="9957" spans="1:6" x14ac:dyDescent="0.25">
      <c r="A9957">
        <v>9956</v>
      </c>
      <c r="B9957">
        <v>13</v>
      </c>
      <c r="C9957">
        <v>0</v>
      </c>
      <c r="D9957">
        <v>0</v>
      </c>
      <c r="E9957">
        <v>0</v>
      </c>
      <c r="F9957">
        <v>1608</v>
      </c>
    </row>
    <row r="9958" spans="1:6" x14ac:dyDescent="0.25">
      <c r="A9958">
        <v>9957</v>
      </c>
      <c r="B9958">
        <v>41</v>
      </c>
      <c r="C9958">
        <v>0</v>
      </c>
      <c r="D9958">
        <v>0</v>
      </c>
      <c r="E9958">
        <v>0</v>
      </c>
      <c r="F9958">
        <v>1</v>
      </c>
    </row>
    <row r="9959" spans="1:6" x14ac:dyDescent="0.25">
      <c r="A9959">
        <v>9958</v>
      </c>
      <c r="B9959" t="s">
        <v>0</v>
      </c>
      <c r="C9959">
        <v>43</v>
      </c>
      <c r="D9959">
        <v>3494</v>
      </c>
      <c r="E9959">
        <v>80341971</v>
      </c>
    </row>
    <row r="9960" spans="1:6" x14ac:dyDescent="0.25">
      <c r="A9960">
        <v>9959</v>
      </c>
      <c r="B9960">
        <v>42</v>
      </c>
      <c r="C9960">
        <v>0</v>
      </c>
      <c r="D9960">
        <v>0</v>
      </c>
      <c r="E9960">
        <v>0</v>
      </c>
      <c r="F9960">
        <v>0.2</v>
      </c>
    </row>
    <row r="9961" spans="1:6" x14ac:dyDescent="0.25">
      <c r="A9961">
        <v>9960</v>
      </c>
      <c r="B9961">
        <v>43</v>
      </c>
      <c r="C9961">
        <v>0</v>
      </c>
      <c r="D9961">
        <v>0</v>
      </c>
      <c r="E9961">
        <v>0</v>
      </c>
      <c r="F9961">
        <v>0</v>
      </c>
    </row>
    <row r="9962" spans="1:6" x14ac:dyDescent="0.25">
      <c r="A9962">
        <v>9961</v>
      </c>
      <c r="B9962" t="s">
        <v>0</v>
      </c>
      <c r="C9962">
        <v>44</v>
      </c>
      <c r="D9962">
        <v>3494</v>
      </c>
      <c r="E9962">
        <v>80342103</v>
      </c>
    </row>
    <row r="9963" spans="1:6" x14ac:dyDescent="0.25">
      <c r="A9963">
        <v>9962</v>
      </c>
      <c r="B9963">
        <v>44</v>
      </c>
      <c r="C9963">
        <v>0</v>
      </c>
      <c r="D9963">
        <v>0</v>
      </c>
      <c r="E9963">
        <v>0</v>
      </c>
      <c r="F9963">
        <v>-49.941200000000002</v>
      </c>
    </row>
    <row r="9964" spans="1:6" x14ac:dyDescent="0.25">
      <c r="A9964">
        <v>9963</v>
      </c>
      <c r="B9964">
        <v>45</v>
      </c>
      <c r="C9964">
        <v>0</v>
      </c>
      <c r="D9964">
        <v>0</v>
      </c>
      <c r="E9964">
        <v>0</v>
      </c>
      <c r="F9964">
        <v>519.81899999999996</v>
      </c>
    </row>
    <row r="9965" spans="1:6" x14ac:dyDescent="0.25">
      <c r="A9965">
        <v>9964</v>
      </c>
      <c r="B9965" t="s">
        <v>0</v>
      </c>
      <c r="C9965">
        <v>45</v>
      </c>
      <c r="D9965">
        <v>3494</v>
      </c>
      <c r="E9965">
        <v>80342236</v>
      </c>
    </row>
    <row r="9966" spans="1:6" x14ac:dyDescent="0.25">
      <c r="A9966">
        <v>9965</v>
      </c>
      <c r="B9966">
        <v>46</v>
      </c>
      <c r="C9966">
        <v>0</v>
      </c>
      <c r="D9966">
        <v>0</v>
      </c>
      <c r="E9966">
        <v>0</v>
      </c>
      <c r="F9966">
        <v>0</v>
      </c>
    </row>
    <row r="9967" spans="1:6" x14ac:dyDescent="0.25">
      <c r="A9967">
        <v>9966</v>
      </c>
      <c r="B9967">
        <v>2</v>
      </c>
      <c r="C9967">
        <v>0</v>
      </c>
      <c r="D9967">
        <v>0</v>
      </c>
      <c r="E9967">
        <v>0</v>
      </c>
      <c r="F9967">
        <v>251.142</v>
      </c>
    </row>
    <row r="9968" spans="1:6" x14ac:dyDescent="0.25">
      <c r="A9968">
        <v>9967</v>
      </c>
      <c r="B9968" t="s">
        <v>0</v>
      </c>
      <c r="C9968">
        <v>46</v>
      </c>
      <c r="D9968">
        <v>3494</v>
      </c>
      <c r="E9968">
        <v>80342369</v>
      </c>
    </row>
    <row r="9969" spans="1:6" x14ac:dyDescent="0.25">
      <c r="A9969">
        <v>9968</v>
      </c>
      <c r="B9969">
        <v>10</v>
      </c>
      <c r="C9969">
        <v>1</v>
      </c>
      <c r="D9969">
        <v>0</v>
      </c>
      <c r="E9969">
        <v>0</v>
      </c>
      <c r="F9969">
        <v>4589</v>
      </c>
    </row>
    <row r="9970" spans="1:6" x14ac:dyDescent="0.25">
      <c r="A9970">
        <v>9969</v>
      </c>
      <c r="B9970">
        <v>13</v>
      </c>
      <c r="C9970">
        <v>0</v>
      </c>
      <c r="D9970">
        <v>0</v>
      </c>
      <c r="E9970">
        <v>0</v>
      </c>
      <c r="F9970">
        <v>1608</v>
      </c>
    </row>
    <row r="9971" spans="1:6" x14ac:dyDescent="0.25">
      <c r="A9971">
        <v>9970</v>
      </c>
      <c r="B9971" t="s">
        <v>0</v>
      </c>
      <c r="C9971">
        <v>47</v>
      </c>
      <c r="D9971">
        <v>3494</v>
      </c>
      <c r="E9971">
        <v>80342502</v>
      </c>
    </row>
    <row r="9972" spans="1:6" x14ac:dyDescent="0.25">
      <c r="A9972">
        <v>9971</v>
      </c>
      <c r="B9972">
        <v>41</v>
      </c>
      <c r="C9972">
        <v>0</v>
      </c>
      <c r="D9972">
        <v>0</v>
      </c>
      <c r="E9972">
        <v>0</v>
      </c>
      <c r="F9972">
        <v>1</v>
      </c>
    </row>
    <row r="9973" spans="1:6" x14ac:dyDescent="0.25">
      <c r="A9973">
        <v>9972</v>
      </c>
      <c r="B9973">
        <v>42</v>
      </c>
      <c r="C9973">
        <v>0</v>
      </c>
      <c r="D9973">
        <v>0</v>
      </c>
      <c r="E9973">
        <v>0</v>
      </c>
      <c r="F9973">
        <v>0.2</v>
      </c>
    </row>
    <row r="9974" spans="1:6" x14ac:dyDescent="0.25">
      <c r="A9974">
        <v>9973</v>
      </c>
      <c r="B9974" t="s">
        <v>0</v>
      </c>
      <c r="C9974">
        <v>48</v>
      </c>
      <c r="D9974">
        <v>3494</v>
      </c>
      <c r="E9974">
        <v>80342634</v>
      </c>
    </row>
    <row r="9975" spans="1:6" x14ac:dyDescent="0.25">
      <c r="A9975">
        <v>9974</v>
      </c>
      <c r="B9975">
        <v>43</v>
      </c>
      <c r="C9975">
        <v>0</v>
      </c>
      <c r="D9975">
        <v>0</v>
      </c>
      <c r="E9975">
        <v>0</v>
      </c>
      <c r="F9975">
        <v>0</v>
      </c>
    </row>
    <row r="9976" spans="1:6" x14ac:dyDescent="0.25">
      <c r="A9976">
        <v>9975</v>
      </c>
      <c r="B9976">
        <v>44</v>
      </c>
      <c r="C9976">
        <v>0</v>
      </c>
      <c r="D9976">
        <v>0</v>
      </c>
      <c r="E9976">
        <v>0</v>
      </c>
      <c r="F9976">
        <v>-49.761899999999997</v>
      </c>
    </row>
    <row r="9977" spans="1:6" x14ac:dyDescent="0.25">
      <c r="A9977">
        <v>9976</v>
      </c>
      <c r="B9977" t="s">
        <v>0</v>
      </c>
      <c r="C9977">
        <v>49</v>
      </c>
      <c r="D9977">
        <v>3494</v>
      </c>
      <c r="E9977">
        <v>80342766</v>
      </c>
    </row>
    <row r="9978" spans="1:6" x14ac:dyDescent="0.25">
      <c r="A9978">
        <v>9977</v>
      </c>
      <c r="B9978">
        <v>45</v>
      </c>
      <c r="C9978">
        <v>0</v>
      </c>
      <c r="D9978">
        <v>0</v>
      </c>
      <c r="E9978">
        <v>0</v>
      </c>
      <c r="F9978">
        <v>519.779</v>
      </c>
    </row>
    <row r="9979" spans="1:6" x14ac:dyDescent="0.25">
      <c r="A9979">
        <v>9978</v>
      </c>
      <c r="B9979">
        <v>46</v>
      </c>
      <c r="C9979">
        <v>0</v>
      </c>
      <c r="D9979">
        <v>0</v>
      </c>
      <c r="E9979">
        <v>0</v>
      </c>
      <c r="F9979">
        <v>0</v>
      </c>
    </row>
    <row r="9980" spans="1:6" x14ac:dyDescent="0.25">
      <c r="A9980">
        <v>9979</v>
      </c>
      <c r="B9980" t="s">
        <v>0</v>
      </c>
      <c r="C9980">
        <v>50</v>
      </c>
      <c r="D9980">
        <v>3494</v>
      </c>
      <c r="E9980">
        <v>80342899</v>
      </c>
    </row>
    <row r="9981" spans="1:6" x14ac:dyDescent="0.25">
      <c r="A9981">
        <v>9980</v>
      </c>
      <c r="B9981">
        <v>2</v>
      </c>
      <c r="C9981">
        <v>0</v>
      </c>
      <c r="D9981">
        <v>0</v>
      </c>
      <c r="E9981">
        <v>0</v>
      </c>
      <c r="F9981">
        <v>251.05099999999999</v>
      </c>
    </row>
    <row r="9982" spans="1:6" x14ac:dyDescent="0.25">
      <c r="A9982">
        <v>9981</v>
      </c>
      <c r="B9982">
        <v>10</v>
      </c>
      <c r="C9982">
        <v>1</v>
      </c>
      <c r="D9982">
        <v>0</v>
      </c>
      <c r="E9982">
        <v>0</v>
      </c>
      <c r="F9982">
        <v>4592</v>
      </c>
    </row>
    <row r="9983" spans="1:6" x14ac:dyDescent="0.25">
      <c r="A9983">
        <v>9982</v>
      </c>
      <c r="B9983" t="s">
        <v>0</v>
      </c>
      <c r="C9983">
        <v>51</v>
      </c>
      <c r="D9983">
        <v>3494</v>
      </c>
      <c r="E9983">
        <v>80343032</v>
      </c>
    </row>
    <row r="9984" spans="1:6" x14ac:dyDescent="0.25">
      <c r="A9984">
        <v>9983</v>
      </c>
      <c r="B9984">
        <v>13</v>
      </c>
      <c r="C9984">
        <v>0</v>
      </c>
      <c r="D9984">
        <v>0</v>
      </c>
      <c r="E9984">
        <v>0</v>
      </c>
      <c r="F9984">
        <v>1608</v>
      </c>
    </row>
    <row r="9985" spans="1:6" x14ac:dyDescent="0.25">
      <c r="A9985">
        <v>9984</v>
      </c>
      <c r="B9985">
        <v>41</v>
      </c>
      <c r="C9985">
        <v>0</v>
      </c>
      <c r="D9985">
        <v>0</v>
      </c>
      <c r="E9985">
        <v>0</v>
      </c>
      <c r="F9985">
        <v>1</v>
      </c>
    </row>
    <row r="9986" spans="1:6" x14ac:dyDescent="0.25">
      <c r="A9986">
        <v>9985</v>
      </c>
      <c r="B9986" t="s">
        <v>0</v>
      </c>
      <c r="C9986">
        <v>52</v>
      </c>
      <c r="D9986">
        <v>3494</v>
      </c>
      <c r="E9986">
        <v>80343165</v>
      </c>
    </row>
    <row r="9987" spans="1:6" x14ac:dyDescent="0.25">
      <c r="A9987">
        <v>9986</v>
      </c>
      <c r="B9987">
        <v>42</v>
      </c>
      <c r="C9987">
        <v>0</v>
      </c>
      <c r="D9987">
        <v>0</v>
      </c>
      <c r="E9987">
        <v>0</v>
      </c>
      <c r="F9987">
        <v>0.2</v>
      </c>
    </row>
    <row r="9988" spans="1:6" x14ac:dyDescent="0.25">
      <c r="A9988">
        <v>9987</v>
      </c>
      <c r="B9988">
        <v>43</v>
      </c>
      <c r="C9988">
        <v>0</v>
      </c>
      <c r="D9988">
        <v>0</v>
      </c>
      <c r="E9988">
        <v>0</v>
      </c>
      <c r="F9988">
        <v>0</v>
      </c>
    </row>
    <row r="9989" spans="1:6" x14ac:dyDescent="0.25">
      <c r="A9989">
        <v>9988</v>
      </c>
      <c r="B9989" t="s">
        <v>0</v>
      </c>
      <c r="C9989">
        <v>53</v>
      </c>
      <c r="D9989">
        <v>3494</v>
      </c>
      <c r="E9989">
        <v>80343298</v>
      </c>
    </row>
    <row r="9990" spans="1:6" x14ac:dyDescent="0.25">
      <c r="A9990">
        <v>9989</v>
      </c>
      <c r="B9990">
        <v>44</v>
      </c>
      <c r="C9990">
        <v>0</v>
      </c>
      <c r="D9990">
        <v>0</v>
      </c>
      <c r="E9990">
        <v>0</v>
      </c>
      <c r="F9990">
        <v>-49.480499999999999</v>
      </c>
    </row>
    <row r="9991" spans="1:6" x14ac:dyDescent="0.25">
      <c r="A9991">
        <v>9990</v>
      </c>
      <c r="B9991">
        <v>45</v>
      </c>
      <c r="C9991">
        <v>0</v>
      </c>
      <c r="D9991">
        <v>0</v>
      </c>
      <c r="E9991">
        <v>0</v>
      </c>
      <c r="F9991">
        <v>519.74699999999996</v>
      </c>
    </row>
    <row r="9992" spans="1:6" x14ac:dyDescent="0.25">
      <c r="A9992">
        <v>9991</v>
      </c>
      <c r="B9992" t="s">
        <v>0</v>
      </c>
      <c r="C9992">
        <v>54</v>
      </c>
      <c r="D9992">
        <v>3494</v>
      </c>
      <c r="E9992">
        <v>80343430</v>
      </c>
    </row>
    <row r="9993" spans="1:6" x14ac:dyDescent="0.25">
      <c r="A9993">
        <v>9992</v>
      </c>
      <c r="B9993">
        <v>46</v>
      </c>
      <c r="C9993">
        <v>0</v>
      </c>
      <c r="D9993">
        <v>0</v>
      </c>
      <c r="E9993">
        <v>0</v>
      </c>
      <c r="F9993">
        <v>0</v>
      </c>
    </row>
    <row r="9994" spans="1:6" x14ac:dyDescent="0.25">
      <c r="A9994">
        <v>9993</v>
      </c>
      <c r="B9994">
        <v>2</v>
      </c>
      <c r="C9994">
        <v>0</v>
      </c>
      <c r="D9994">
        <v>0</v>
      </c>
      <c r="E9994">
        <v>0</v>
      </c>
      <c r="F9994">
        <v>250.947</v>
      </c>
    </row>
    <row r="9995" spans="1:6" x14ac:dyDescent="0.25">
      <c r="A9995">
        <v>9994</v>
      </c>
      <c r="B9995" t="s">
        <v>0</v>
      </c>
      <c r="C9995">
        <v>55</v>
      </c>
      <c r="D9995">
        <v>3494</v>
      </c>
      <c r="E9995">
        <v>80343562</v>
      </c>
    </row>
    <row r="9996" spans="1:6" x14ac:dyDescent="0.25">
      <c r="A9996">
        <v>9995</v>
      </c>
      <c r="B9996">
        <v>10</v>
      </c>
      <c r="C9996">
        <v>1</v>
      </c>
      <c r="D9996">
        <v>0</v>
      </c>
      <c r="E9996">
        <v>0</v>
      </c>
      <c r="F9996">
        <v>4595</v>
      </c>
    </row>
    <row r="9997" spans="1:6" x14ac:dyDescent="0.25">
      <c r="A9997">
        <v>9996</v>
      </c>
      <c r="B9997">
        <v>13</v>
      </c>
      <c r="C9997">
        <v>0</v>
      </c>
      <c r="D9997">
        <v>0</v>
      </c>
      <c r="E9997">
        <v>0</v>
      </c>
      <c r="F9997">
        <v>1608</v>
      </c>
    </row>
    <row r="9998" spans="1:6" x14ac:dyDescent="0.25">
      <c r="A9998">
        <v>9997</v>
      </c>
      <c r="B9998" t="s">
        <v>0</v>
      </c>
      <c r="C9998">
        <v>56</v>
      </c>
      <c r="D9998">
        <v>3494</v>
      </c>
      <c r="E9998">
        <v>80343694</v>
      </c>
    </row>
    <row r="9999" spans="1:6" x14ac:dyDescent="0.25">
      <c r="A9999">
        <v>9998</v>
      </c>
      <c r="B9999">
        <v>41</v>
      </c>
      <c r="C9999">
        <v>0</v>
      </c>
      <c r="D9999">
        <v>0</v>
      </c>
      <c r="E9999">
        <v>0</v>
      </c>
      <c r="F9999">
        <v>1</v>
      </c>
    </row>
    <row r="10000" spans="1:6" x14ac:dyDescent="0.25">
      <c r="A10000">
        <v>9999</v>
      </c>
      <c r="B10000">
        <v>42</v>
      </c>
      <c r="C10000">
        <v>0</v>
      </c>
      <c r="D10000">
        <v>0</v>
      </c>
      <c r="E10000">
        <v>0</v>
      </c>
      <c r="F10000">
        <v>0.2</v>
      </c>
    </row>
    <row r="10001" spans="1:6" x14ac:dyDescent="0.25">
      <c r="A10001">
        <v>10000</v>
      </c>
      <c r="B10001" t="s">
        <v>0</v>
      </c>
      <c r="C10001">
        <v>57</v>
      </c>
      <c r="D10001">
        <v>3494</v>
      </c>
      <c r="E10001">
        <v>80343827</v>
      </c>
    </row>
    <row r="10002" spans="1:6" x14ac:dyDescent="0.25">
      <c r="A10002">
        <v>10001</v>
      </c>
      <c r="B10002">
        <v>43</v>
      </c>
      <c r="C10002">
        <v>0</v>
      </c>
      <c r="D10002">
        <v>0</v>
      </c>
      <c r="E10002">
        <v>0</v>
      </c>
      <c r="F10002">
        <v>0</v>
      </c>
    </row>
    <row r="10003" spans="1:6" x14ac:dyDescent="0.25">
      <c r="A10003">
        <v>10002</v>
      </c>
      <c r="B10003">
        <v>44</v>
      </c>
      <c r="C10003">
        <v>0</v>
      </c>
      <c r="D10003">
        <v>0</v>
      </c>
      <c r="E10003">
        <v>0</v>
      </c>
      <c r="F10003">
        <v>-49.240400000000001</v>
      </c>
    </row>
    <row r="10004" spans="1:6" x14ac:dyDescent="0.25">
      <c r="A10004">
        <v>10003</v>
      </c>
      <c r="B10004" t="s">
        <v>0</v>
      </c>
      <c r="C10004">
        <v>58</v>
      </c>
      <c r="D10004">
        <v>3494</v>
      </c>
      <c r="E10004">
        <v>80343960</v>
      </c>
    </row>
    <row r="10005" spans="1:6" x14ac:dyDescent="0.25">
      <c r="A10005">
        <v>10004</v>
      </c>
      <c r="B10005">
        <v>45</v>
      </c>
      <c r="C10005">
        <v>0</v>
      </c>
      <c r="D10005">
        <v>0</v>
      </c>
      <c r="E10005">
        <v>0</v>
      </c>
      <c r="F10005">
        <v>519.70799999999997</v>
      </c>
    </row>
    <row r="10006" spans="1:6" x14ac:dyDescent="0.25">
      <c r="A10006">
        <v>10005</v>
      </c>
      <c r="B10006">
        <v>46</v>
      </c>
      <c r="C10006">
        <v>0</v>
      </c>
      <c r="D10006">
        <v>0</v>
      </c>
      <c r="E10006">
        <v>0</v>
      </c>
      <c r="F10006">
        <v>0</v>
      </c>
    </row>
    <row r="10007" spans="1:6" x14ac:dyDescent="0.25">
      <c r="A10007">
        <v>10006</v>
      </c>
      <c r="B10007" t="s">
        <v>0</v>
      </c>
      <c r="C10007">
        <v>59</v>
      </c>
      <c r="D10007">
        <v>3494</v>
      </c>
      <c r="E10007">
        <v>80344093</v>
      </c>
    </row>
    <row r="10008" spans="1:6" x14ac:dyDescent="0.25">
      <c r="A10008">
        <v>10007</v>
      </c>
      <c r="B10008">
        <v>2</v>
      </c>
      <c r="C10008">
        <v>0</v>
      </c>
      <c r="D10008">
        <v>0</v>
      </c>
      <c r="E10008">
        <v>0</v>
      </c>
      <c r="F10008">
        <v>250.84299999999999</v>
      </c>
    </row>
    <row r="10009" spans="1:6" x14ac:dyDescent="0.25">
      <c r="A10009">
        <v>10008</v>
      </c>
      <c r="B10009">
        <v>10</v>
      </c>
      <c r="C10009">
        <v>1</v>
      </c>
      <c r="D10009">
        <v>0</v>
      </c>
      <c r="E10009">
        <v>0</v>
      </c>
      <c r="F10009">
        <v>4598</v>
      </c>
    </row>
    <row r="10010" spans="1:6" x14ac:dyDescent="0.25">
      <c r="A10010">
        <v>10009</v>
      </c>
      <c r="B10010" t="s">
        <v>0</v>
      </c>
      <c r="C10010">
        <v>60</v>
      </c>
      <c r="D10010">
        <v>3494</v>
      </c>
      <c r="E10010">
        <v>80344225</v>
      </c>
    </row>
    <row r="10011" spans="1:6" x14ac:dyDescent="0.25">
      <c r="A10011">
        <v>10010</v>
      </c>
      <c r="B10011">
        <v>13</v>
      </c>
      <c r="C10011">
        <v>0</v>
      </c>
      <c r="D10011">
        <v>0</v>
      </c>
      <c r="E10011">
        <v>0</v>
      </c>
      <c r="F10011">
        <v>1608</v>
      </c>
    </row>
    <row r="10012" spans="1:6" x14ac:dyDescent="0.25">
      <c r="A10012">
        <v>10011</v>
      </c>
      <c r="B10012">
        <v>41</v>
      </c>
      <c r="C10012">
        <v>0</v>
      </c>
      <c r="D10012">
        <v>0</v>
      </c>
      <c r="E10012">
        <v>0</v>
      </c>
      <c r="F10012">
        <v>1</v>
      </c>
    </row>
    <row r="10013" spans="1:6" x14ac:dyDescent="0.25">
      <c r="A10013">
        <v>10012</v>
      </c>
      <c r="B10013" t="s">
        <v>0</v>
      </c>
      <c r="C10013">
        <v>61</v>
      </c>
      <c r="D10013">
        <v>3494</v>
      </c>
      <c r="E10013">
        <v>80344358</v>
      </c>
    </row>
    <row r="10014" spans="1:6" x14ac:dyDescent="0.25">
      <c r="A10014">
        <v>10013</v>
      </c>
      <c r="B10014">
        <v>42</v>
      </c>
      <c r="C10014">
        <v>0</v>
      </c>
      <c r="D10014">
        <v>0</v>
      </c>
      <c r="E10014">
        <v>0</v>
      </c>
      <c r="F10014">
        <v>0.2</v>
      </c>
    </row>
    <row r="10015" spans="1:6" x14ac:dyDescent="0.25">
      <c r="A10015">
        <v>10014</v>
      </c>
      <c r="B10015">
        <v>43</v>
      </c>
      <c r="C10015">
        <v>0</v>
      </c>
      <c r="D10015">
        <v>0</v>
      </c>
      <c r="E10015">
        <v>0</v>
      </c>
      <c r="F10015">
        <v>0</v>
      </c>
    </row>
    <row r="10016" spans="1:6" x14ac:dyDescent="0.25">
      <c r="A10016">
        <v>10015</v>
      </c>
      <c r="B10016" t="s">
        <v>0</v>
      </c>
      <c r="C10016">
        <v>62</v>
      </c>
      <c r="D10016">
        <v>3494</v>
      </c>
      <c r="E10016">
        <v>80344490</v>
      </c>
    </row>
    <row r="10017" spans="1:6" x14ac:dyDescent="0.25">
      <c r="A10017">
        <v>10016</v>
      </c>
      <c r="B10017">
        <v>44</v>
      </c>
      <c r="C10017">
        <v>0</v>
      </c>
      <c r="D10017">
        <v>0</v>
      </c>
      <c r="E10017">
        <v>0</v>
      </c>
      <c r="F10017">
        <v>-49.0017</v>
      </c>
    </row>
    <row r="10018" spans="1:6" x14ac:dyDescent="0.25">
      <c r="A10018">
        <v>10017</v>
      </c>
      <c r="B10018">
        <v>45</v>
      </c>
      <c r="C10018">
        <v>0</v>
      </c>
      <c r="D10018">
        <v>0</v>
      </c>
      <c r="E10018">
        <v>0</v>
      </c>
      <c r="F10018">
        <v>519.67700000000002</v>
      </c>
    </row>
    <row r="10019" spans="1:6" x14ac:dyDescent="0.25">
      <c r="A10019">
        <v>10018</v>
      </c>
      <c r="B10019" t="s">
        <v>0</v>
      </c>
      <c r="C10019">
        <v>63</v>
      </c>
      <c r="D10019">
        <v>3494</v>
      </c>
      <c r="E10019">
        <v>80344622</v>
      </c>
    </row>
    <row r="10020" spans="1:6" x14ac:dyDescent="0.25">
      <c r="A10020">
        <v>10019</v>
      </c>
      <c r="B10020">
        <v>46</v>
      </c>
      <c r="C10020">
        <v>0</v>
      </c>
      <c r="D10020">
        <v>0</v>
      </c>
      <c r="E10020">
        <v>0</v>
      </c>
      <c r="F10020">
        <v>0</v>
      </c>
    </row>
    <row r="10021" spans="1:6" x14ac:dyDescent="0.25">
      <c r="A10021">
        <v>10020</v>
      </c>
      <c r="B10021">
        <v>2</v>
      </c>
      <c r="C10021">
        <v>0</v>
      </c>
      <c r="D10021">
        <v>0</v>
      </c>
      <c r="E10021">
        <v>0</v>
      </c>
      <c r="F10021">
        <v>250.77699999999999</v>
      </c>
    </row>
    <row r="10022" spans="1:6" x14ac:dyDescent="0.25">
      <c r="A10022">
        <v>10021</v>
      </c>
      <c r="B10022" t="s">
        <v>0</v>
      </c>
      <c r="C10022">
        <v>64</v>
      </c>
      <c r="D10022">
        <v>3494</v>
      </c>
      <c r="E10022">
        <v>80344754</v>
      </c>
    </row>
    <row r="10023" spans="1:6" x14ac:dyDescent="0.25">
      <c r="A10023">
        <v>10022</v>
      </c>
      <c r="B10023">
        <v>10</v>
      </c>
      <c r="C10023">
        <v>1</v>
      </c>
      <c r="D10023">
        <v>0</v>
      </c>
      <c r="E10023">
        <v>0</v>
      </c>
      <c r="F10023">
        <v>4600</v>
      </c>
    </row>
    <row r="10024" spans="1:6" x14ac:dyDescent="0.25">
      <c r="A10024">
        <v>10023</v>
      </c>
      <c r="B10024">
        <v>13</v>
      </c>
      <c r="C10024">
        <v>0</v>
      </c>
      <c r="D10024">
        <v>0</v>
      </c>
      <c r="E10024">
        <v>0</v>
      </c>
      <c r="F10024">
        <v>1608</v>
      </c>
    </row>
    <row r="10025" spans="1:6" x14ac:dyDescent="0.25">
      <c r="A10025">
        <v>10024</v>
      </c>
      <c r="B10025" t="s">
        <v>0</v>
      </c>
      <c r="C10025">
        <v>65</v>
      </c>
      <c r="D10025">
        <v>3494</v>
      </c>
      <c r="E10025">
        <v>80344887</v>
      </c>
    </row>
    <row r="10026" spans="1:6" x14ac:dyDescent="0.25">
      <c r="A10026">
        <v>10025</v>
      </c>
      <c r="B10026">
        <v>41</v>
      </c>
      <c r="C10026">
        <v>0</v>
      </c>
      <c r="D10026">
        <v>0</v>
      </c>
      <c r="E10026">
        <v>0</v>
      </c>
      <c r="F10026">
        <v>1</v>
      </c>
    </row>
    <row r="10027" spans="1:6" x14ac:dyDescent="0.25">
      <c r="A10027">
        <v>10026</v>
      </c>
      <c r="B10027">
        <v>42</v>
      </c>
      <c r="C10027">
        <v>0</v>
      </c>
      <c r="D10027">
        <v>0</v>
      </c>
      <c r="E10027">
        <v>0</v>
      </c>
      <c r="F10027">
        <v>0.2</v>
      </c>
    </row>
    <row r="10028" spans="1:6" x14ac:dyDescent="0.25">
      <c r="A10028">
        <v>10027</v>
      </c>
      <c r="B10028" t="s">
        <v>0</v>
      </c>
      <c r="C10028">
        <v>66</v>
      </c>
      <c r="D10028">
        <v>3494</v>
      </c>
      <c r="E10028">
        <v>80345020</v>
      </c>
    </row>
    <row r="10029" spans="1:6" x14ac:dyDescent="0.25">
      <c r="A10029">
        <v>10028</v>
      </c>
      <c r="B10029">
        <v>43</v>
      </c>
      <c r="C10029">
        <v>0</v>
      </c>
      <c r="D10029">
        <v>0</v>
      </c>
      <c r="E10029">
        <v>0</v>
      </c>
      <c r="F10029">
        <v>0</v>
      </c>
    </row>
    <row r="10030" spans="1:6" x14ac:dyDescent="0.25">
      <c r="A10030">
        <v>10029</v>
      </c>
      <c r="B10030">
        <v>44</v>
      </c>
      <c r="C10030">
        <v>0</v>
      </c>
      <c r="D10030">
        <v>0</v>
      </c>
      <c r="E10030">
        <v>0</v>
      </c>
      <c r="F10030">
        <v>-48.795299999999997</v>
      </c>
    </row>
    <row r="10031" spans="1:6" x14ac:dyDescent="0.25">
      <c r="A10031">
        <v>10030</v>
      </c>
      <c r="B10031" t="s">
        <v>0</v>
      </c>
      <c r="C10031">
        <v>67</v>
      </c>
      <c r="D10031">
        <v>3494</v>
      </c>
      <c r="E10031">
        <v>80345153</v>
      </c>
    </row>
    <row r="10032" spans="1:6" x14ac:dyDescent="0.25">
      <c r="A10032">
        <v>10031</v>
      </c>
      <c r="B10032">
        <v>45</v>
      </c>
      <c r="C10032">
        <v>0</v>
      </c>
      <c r="D10032">
        <v>0</v>
      </c>
      <c r="E10032">
        <v>0</v>
      </c>
      <c r="F10032">
        <v>519.63800000000003</v>
      </c>
    </row>
    <row r="10033" spans="1:6" x14ac:dyDescent="0.25">
      <c r="A10033">
        <v>10032</v>
      </c>
      <c r="B10033">
        <v>46</v>
      </c>
      <c r="C10033">
        <v>0</v>
      </c>
      <c r="D10033">
        <v>0</v>
      </c>
      <c r="E10033">
        <v>0</v>
      </c>
      <c r="F10033">
        <v>0</v>
      </c>
    </row>
    <row r="10034" spans="1:6" x14ac:dyDescent="0.25">
      <c r="A10034">
        <v>10033</v>
      </c>
      <c r="B10034" t="s">
        <v>0</v>
      </c>
      <c r="C10034">
        <v>68</v>
      </c>
      <c r="D10034">
        <v>3494</v>
      </c>
      <c r="E10034">
        <v>80345286</v>
      </c>
    </row>
    <row r="10035" spans="1:6" x14ac:dyDescent="0.25">
      <c r="A10035">
        <v>10034</v>
      </c>
      <c r="B10035">
        <v>2</v>
      </c>
      <c r="C10035">
        <v>0</v>
      </c>
      <c r="D10035">
        <v>0</v>
      </c>
      <c r="E10035">
        <v>0</v>
      </c>
      <c r="F10035">
        <v>250.71100000000001</v>
      </c>
    </row>
    <row r="10036" spans="1:6" x14ac:dyDescent="0.25">
      <c r="A10036">
        <v>10035</v>
      </c>
      <c r="B10036">
        <v>10</v>
      </c>
      <c r="C10036">
        <v>1</v>
      </c>
      <c r="D10036">
        <v>0</v>
      </c>
      <c r="E10036">
        <v>0</v>
      </c>
      <c r="F10036">
        <v>4603</v>
      </c>
    </row>
    <row r="10037" spans="1:6" x14ac:dyDescent="0.25">
      <c r="A10037">
        <v>10036</v>
      </c>
      <c r="B10037" t="s">
        <v>0</v>
      </c>
      <c r="C10037">
        <v>69</v>
      </c>
      <c r="D10037">
        <v>3494</v>
      </c>
      <c r="E10037">
        <v>80345418</v>
      </c>
    </row>
    <row r="10038" spans="1:6" x14ac:dyDescent="0.25">
      <c r="A10038">
        <v>10037</v>
      </c>
      <c r="B10038">
        <v>13</v>
      </c>
      <c r="C10038">
        <v>0</v>
      </c>
      <c r="D10038">
        <v>0</v>
      </c>
      <c r="E10038">
        <v>0</v>
      </c>
      <c r="F10038">
        <v>1608</v>
      </c>
    </row>
    <row r="10039" spans="1:6" x14ac:dyDescent="0.25">
      <c r="A10039">
        <v>10038</v>
      </c>
      <c r="B10039">
        <v>41</v>
      </c>
      <c r="C10039">
        <v>0</v>
      </c>
      <c r="D10039">
        <v>0</v>
      </c>
      <c r="E10039">
        <v>0</v>
      </c>
      <c r="F10039">
        <v>1</v>
      </c>
    </row>
    <row r="10040" spans="1:6" x14ac:dyDescent="0.25">
      <c r="A10040">
        <v>10039</v>
      </c>
      <c r="B10040" t="s">
        <v>0</v>
      </c>
      <c r="C10040">
        <v>70</v>
      </c>
      <c r="D10040">
        <v>3494</v>
      </c>
      <c r="E10040">
        <v>80345551</v>
      </c>
    </row>
    <row r="10041" spans="1:6" x14ac:dyDescent="0.25">
      <c r="A10041">
        <v>10040</v>
      </c>
      <c r="B10041">
        <v>42</v>
      </c>
      <c r="C10041">
        <v>0</v>
      </c>
      <c r="D10041">
        <v>0</v>
      </c>
      <c r="E10041">
        <v>0</v>
      </c>
      <c r="F10041">
        <v>0.2</v>
      </c>
    </row>
    <row r="10042" spans="1:6" x14ac:dyDescent="0.25">
      <c r="A10042">
        <v>10041</v>
      </c>
      <c r="B10042">
        <v>43</v>
      </c>
      <c r="C10042">
        <v>0</v>
      </c>
      <c r="D10042">
        <v>0</v>
      </c>
      <c r="E10042">
        <v>0</v>
      </c>
      <c r="F10042">
        <v>0</v>
      </c>
    </row>
    <row r="10043" spans="1:6" x14ac:dyDescent="0.25">
      <c r="A10043">
        <v>10042</v>
      </c>
      <c r="B10043" t="s">
        <v>0</v>
      </c>
      <c r="C10043">
        <v>71</v>
      </c>
      <c r="D10043">
        <v>3494</v>
      </c>
      <c r="E10043">
        <v>80345684</v>
      </c>
    </row>
    <row r="10044" spans="1:6" x14ac:dyDescent="0.25">
      <c r="A10044">
        <v>10043</v>
      </c>
      <c r="B10044">
        <v>44</v>
      </c>
      <c r="C10044">
        <v>0</v>
      </c>
      <c r="D10044">
        <v>0</v>
      </c>
      <c r="E10044">
        <v>0</v>
      </c>
      <c r="F10044">
        <v>-48.535499999999999</v>
      </c>
    </row>
    <row r="10045" spans="1:6" x14ac:dyDescent="0.25">
      <c r="A10045">
        <v>10044</v>
      </c>
      <c r="B10045">
        <v>45</v>
      </c>
      <c r="C10045">
        <v>0</v>
      </c>
      <c r="D10045">
        <v>0</v>
      </c>
      <c r="E10045">
        <v>0</v>
      </c>
      <c r="F10045">
        <v>519.60699999999997</v>
      </c>
    </row>
    <row r="10046" spans="1:6" x14ac:dyDescent="0.25">
      <c r="A10046">
        <v>10045</v>
      </c>
      <c r="B10046" t="s">
        <v>0</v>
      </c>
      <c r="C10046">
        <v>72</v>
      </c>
      <c r="D10046">
        <v>3494</v>
      </c>
      <c r="E10046">
        <v>80345816</v>
      </c>
    </row>
    <row r="10047" spans="1:6" x14ac:dyDescent="0.25">
      <c r="A10047">
        <v>10046</v>
      </c>
      <c r="B10047">
        <v>46</v>
      </c>
      <c r="C10047">
        <v>0</v>
      </c>
      <c r="D10047">
        <v>0</v>
      </c>
      <c r="E10047">
        <v>0</v>
      </c>
      <c r="F10047">
        <v>0</v>
      </c>
    </row>
    <row r="10048" spans="1:6" x14ac:dyDescent="0.25">
      <c r="A10048">
        <v>10047</v>
      </c>
      <c r="B10048">
        <v>2</v>
      </c>
      <c r="C10048">
        <v>0</v>
      </c>
      <c r="D10048">
        <v>0</v>
      </c>
      <c r="E10048">
        <v>0</v>
      </c>
      <c r="F10048">
        <v>250.6</v>
      </c>
    </row>
    <row r="10049" spans="1:6" x14ac:dyDescent="0.25">
      <c r="A10049">
        <v>10048</v>
      </c>
      <c r="B10049" t="s">
        <v>0</v>
      </c>
      <c r="C10049">
        <v>73</v>
      </c>
      <c r="D10049">
        <v>3494</v>
      </c>
      <c r="E10049">
        <v>80345949</v>
      </c>
    </row>
    <row r="10050" spans="1:6" x14ac:dyDescent="0.25">
      <c r="A10050">
        <v>10049</v>
      </c>
      <c r="B10050">
        <v>10</v>
      </c>
      <c r="C10050">
        <v>1</v>
      </c>
      <c r="D10050">
        <v>0</v>
      </c>
      <c r="E10050">
        <v>0</v>
      </c>
      <c r="F10050">
        <v>4606</v>
      </c>
    </row>
    <row r="10051" spans="1:6" x14ac:dyDescent="0.25">
      <c r="A10051">
        <v>10050</v>
      </c>
      <c r="B10051">
        <v>13</v>
      </c>
      <c r="C10051">
        <v>0</v>
      </c>
      <c r="D10051">
        <v>0</v>
      </c>
      <c r="E10051">
        <v>0</v>
      </c>
      <c r="F10051">
        <v>1608</v>
      </c>
    </row>
    <row r="10052" spans="1:6" x14ac:dyDescent="0.25">
      <c r="A10052">
        <v>10051</v>
      </c>
      <c r="B10052" t="s">
        <v>0</v>
      </c>
      <c r="C10052">
        <v>74</v>
      </c>
      <c r="D10052">
        <v>3494</v>
      </c>
      <c r="E10052">
        <v>80346082</v>
      </c>
    </row>
    <row r="10053" spans="1:6" x14ac:dyDescent="0.25">
      <c r="A10053">
        <v>10052</v>
      </c>
      <c r="B10053">
        <v>41</v>
      </c>
      <c r="C10053">
        <v>0</v>
      </c>
      <c r="D10053">
        <v>0</v>
      </c>
      <c r="E10053">
        <v>0</v>
      </c>
      <c r="F10053">
        <v>1</v>
      </c>
    </row>
    <row r="10054" spans="1:6" x14ac:dyDescent="0.25">
      <c r="A10054">
        <v>10053</v>
      </c>
      <c r="B10054">
        <v>42</v>
      </c>
      <c r="C10054">
        <v>0</v>
      </c>
      <c r="D10054">
        <v>0</v>
      </c>
      <c r="E10054">
        <v>0</v>
      </c>
      <c r="F10054">
        <v>0.2</v>
      </c>
    </row>
    <row r="10055" spans="1:6" x14ac:dyDescent="0.25">
      <c r="A10055">
        <v>10054</v>
      </c>
      <c r="B10055" t="s">
        <v>0</v>
      </c>
      <c r="C10055">
        <v>75</v>
      </c>
      <c r="D10055">
        <v>3494</v>
      </c>
      <c r="E10055">
        <v>80346214</v>
      </c>
    </row>
    <row r="10056" spans="1:6" x14ac:dyDescent="0.25">
      <c r="A10056">
        <v>10055</v>
      </c>
      <c r="B10056">
        <v>43</v>
      </c>
      <c r="C10056">
        <v>0</v>
      </c>
      <c r="D10056">
        <v>0</v>
      </c>
      <c r="E10056">
        <v>0</v>
      </c>
      <c r="F10056">
        <v>0</v>
      </c>
    </row>
    <row r="10057" spans="1:6" x14ac:dyDescent="0.25">
      <c r="A10057">
        <v>10056</v>
      </c>
      <c r="B10057">
        <v>44</v>
      </c>
      <c r="C10057">
        <v>0</v>
      </c>
      <c r="D10057">
        <v>0</v>
      </c>
      <c r="E10057">
        <v>0</v>
      </c>
      <c r="F10057">
        <v>-48.290100000000002</v>
      </c>
    </row>
    <row r="10058" spans="1:6" x14ac:dyDescent="0.25">
      <c r="A10058">
        <v>10057</v>
      </c>
      <c r="B10058" t="s">
        <v>0</v>
      </c>
      <c r="C10058">
        <v>76</v>
      </c>
      <c r="D10058">
        <v>3494</v>
      </c>
      <c r="E10058">
        <v>80346347</v>
      </c>
    </row>
    <row r="10059" spans="1:6" x14ac:dyDescent="0.25">
      <c r="A10059">
        <v>10058</v>
      </c>
      <c r="B10059">
        <v>45</v>
      </c>
      <c r="C10059">
        <v>0</v>
      </c>
      <c r="D10059">
        <v>0</v>
      </c>
      <c r="E10059">
        <v>0</v>
      </c>
      <c r="F10059">
        <v>519.56799999999998</v>
      </c>
    </row>
    <row r="10060" spans="1:6" x14ac:dyDescent="0.25">
      <c r="A10060">
        <v>10059</v>
      </c>
      <c r="B10060">
        <v>46</v>
      </c>
      <c r="C10060">
        <v>0</v>
      </c>
      <c r="D10060">
        <v>0</v>
      </c>
      <c r="E10060">
        <v>0</v>
      </c>
      <c r="F10060">
        <v>0</v>
      </c>
    </row>
    <row r="10061" spans="1:6" x14ac:dyDescent="0.25">
      <c r="A10061">
        <v>10060</v>
      </c>
      <c r="B10061" t="s">
        <v>0</v>
      </c>
      <c r="C10061">
        <v>77</v>
      </c>
      <c r="D10061">
        <v>3494</v>
      </c>
      <c r="E10061">
        <v>80346480</v>
      </c>
    </row>
    <row r="10062" spans="1:6" x14ac:dyDescent="0.25">
      <c r="A10062">
        <v>10061</v>
      </c>
      <c r="B10062">
        <v>2</v>
      </c>
      <c r="C10062">
        <v>0</v>
      </c>
      <c r="D10062">
        <v>0</v>
      </c>
      <c r="E10062">
        <v>0</v>
      </c>
      <c r="F10062">
        <v>250.489</v>
      </c>
    </row>
    <row r="10063" spans="1:6" x14ac:dyDescent="0.25">
      <c r="A10063">
        <v>10062</v>
      </c>
      <c r="B10063">
        <v>10</v>
      </c>
      <c r="C10063">
        <v>1</v>
      </c>
      <c r="D10063">
        <v>0</v>
      </c>
      <c r="E10063">
        <v>0</v>
      </c>
      <c r="F10063">
        <v>4609</v>
      </c>
    </row>
    <row r="10064" spans="1:6" x14ac:dyDescent="0.25">
      <c r="A10064">
        <v>10063</v>
      </c>
      <c r="B10064" t="s">
        <v>0</v>
      </c>
      <c r="C10064">
        <v>78</v>
      </c>
      <c r="D10064">
        <v>3494</v>
      </c>
      <c r="E10064">
        <v>80346612</v>
      </c>
    </row>
    <row r="10065" spans="1:6" x14ac:dyDescent="0.25">
      <c r="A10065">
        <v>10064</v>
      </c>
      <c r="B10065">
        <v>13</v>
      </c>
      <c r="C10065">
        <v>0</v>
      </c>
      <c r="D10065">
        <v>0</v>
      </c>
      <c r="E10065">
        <v>0</v>
      </c>
      <c r="F10065">
        <v>1608</v>
      </c>
    </row>
    <row r="10066" spans="1:6" x14ac:dyDescent="0.25">
      <c r="A10066">
        <v>10065</v>
      </c>
      <c r="B10066">
        <v>41</v>
      </c>
      <c r="C10066">
        <v>0</v>
      </c>
      <c r="D10066">
        <v>0</v>
      </c>
      <c r="E10066">
        <v>0</v>
      </c>
      <c r="F10066">
        <v>1</v>
      </c>
    </row>
    <row r="10067" spans="1:6" x14ac:dyDescent="0.25">
      <c r="A10067">
        <v>10066</v>
      </c>
      <c r="B10067" t="s">
        <v>0</v>
      </c>
      <c r="C10067">
        <v>79</v>
      </c>
      <c r="D10067">
        <v>3494</v>
      </c>
      <c r="E10067">
        <v>80346745</v>
      </c>
    </row>
    <row r="10068" spans="1:6" x14ac:dyDescent="0.25">
      <c r="A10068">
        <v>10067</v>
      </c>
      <c r="B10068">
        <v>42</v>
      </c>
      <c r="C10068">
        <v>0</v>
      </c>
      <c r="D10068">
        <v>0</v>
      </c>
      <c r="E10068">
        <v>0</v>
      </c>
      <c r="F10068">
        <v>0.2</v>
      </c>
    </row>
    <row r="10069" spans="1:6" x14ac:dyDescent="0.25">
      <c r="A10069">
        <v>10068</v>
      </c>
      <c r="B10069">
        <v>43</v>
      </c>
      <c r="C10069">
        <v>0</v>
      </c>
      <c r="D10069">
        <v>0</v>
      </c>
      <c r="E10069">
        <v>0</v>
      </c>
      <c r="F10069">
        <v>0</v>
      </c>
    </row>
    <row r="10070" spans="1:6" x14ac:dyDescent="0.25">
      <c r="A10070">
        <v>10069</v>
      </c>
      <c r="B10070" t="s">
        <v>0</v>
      </c>
      <c r="C10070">
        <v>80</v>
      </c>
      <c r="D10070">
        <v>3494</v>
      </c>
      <c r="E10070">
        <v>80346878</v>
      </c>
    </row>
    <row r="10071" spans="1:6" x14ac:dyDescent="0.25">
      <c r="A10071">
        <v>10070</v>
      </c>
      <c r="B10071">
        <v>44</v>
      </c>
      <c r="C10071">
        <v>0</v>
      </c>
      <c r="D10071">
        <v>0</v>
      </c>
      <c r="E10071">
        <v>0</v>
      </c>
      <c r="F10071">
        <v>-48.045299999999997</v>
      </c>
    </row>
    <row r="10072" spans="1:6" x14ac:dyDescent="0.25">
      <c r="A10072">
        <v>10071</v>
      </c>
      <c r="B10072">
        <v>45</v>
      </c>
      <c r="C10072">
        <v>0</v>
      </c>
      <c r="D10072">
        <v>0</v>
      </c>
      <c r="E10072">
        <v>0</v>
      </c>
      <c r="F10072">
        <v>519.53700000000003</v>
      </c>
    </row>
    <row r="10073" spans="1:6" x14ac:dyDescent="0.25">
      <c r="A10073">
        <v>10072</v>
      </c>
      <c r="B10073" t="s">
        <v>0</v>
      </c>
      <c r="C10073">
        <v>81</v>
      </c>
      <c r="D10073">
        <v>3494</v>
      </c>
      <c r="E10073">
        <v>80347010</v>
      </c>
    </row>
    <row r="10074" spans="1:6" x14ac:dyDescent="0.25">
      <c r="A10074">
        <v>10073</v>
      </c>
      <c r="B10074">
        <v>46</v>
      </c>
      <c r="C10074">
        <v>0</v>
      </c>
      <c r="D10074">
        <v>0</v>
      </c>
      <c r="E10074">
        <v>0</v>
      </c>
      <c r="F10074">
        <v>0</v>
      </c>
    </row>
    <row r="10075" spans="1:6" x14ac:dyDescent="0.25">
      <c r="A10075">
        <v>10074</v>
      </c>
      <c r="B10075">
        <v>2</v>
      </c>
      <c r="C10075">
        <v>0</v>
      </c>
      <c r="D10075">
        <v>0</v>
      </c>
      <c r="E10075">
        <v>0</v>
      </c>
      <c r="F10075">
        <v>250.41900000000001</v>
      </c>
    </row>
    <row r="10076" spans="1:6" x14ac:dyDescent="0.25">
      <c r="A10076">
        <v>10075</v>
      </c>
      <c r="B10076" t="s">
        <v>0</v>
      </c>
      <c r="C10076">
        <v>82</v>
      </c>
      <c r="D10076">
        <v>3494</v>
      </c>
      <c r="E10076">
        <v>80347143</v>
      </c>
    </row>
    <row r="10077" spans="1:6" x14ac:dyDescent="0.25">
      <c r="A10077">
        <v>10076</v>
      </c>
      <c r="B10077">
        <v>10</v>
      </c>
      <c r="C10077">
        <v>1</v>
      </c>
      <c r="D10077">
        <v>0</v>
      </c>
      <c r="E10077">
        <v>0</v>
      </c>
      <c r="F10077">
        <v>4611</v>
      </c>
    </row>
    <row r="10078" spans="1:6" x14ac:dyDescent="0.25">
      <c r="A10078">
        <v>10077</v>
      </c>
      <c r="B10078">
        <v>13</v>
      </c>
      <c r="C10078">
        <v>0</v>
      </c>
      <c r="D10078">
        <v>0</v>
      </c>
      <c r="E10078">
        <v>0</v>
      </c>
      <c r="F10078">
        <v>1608</v>
      </c>
    </row>
    <row r="10079" spans="1:6" x14ac:dyDescent="0.25">
      <c r="A10079">
        <v>10078</v>
      </c>
      <c r="B10079" t="s">
        <v>0</v>
      </c>
      <c r="C10079">
        <v>83</v>
      </c>
      <c r="D10079">
        <v>3494</v>
      </c>
      <c r="E10079">
        <v>80347276</v>
      </c>
    </row>
    <row r="10080" spans="1:6" x14ac:dyDescent="0.25">
      <c r="A10080">
        <v>10079</v>
      </c>
      <c r="B10080">
        <v>41</v>
      </c>
      <c r="C10080">
        <v>0</v>
      </c>
      <c r="D10080">
        <v>0</v>
      </c>
      <c r="E10080">
        <v>0</v>
      </c>
      <c r="F10080">
        <v>1</v>
      </c>
    </row>
    <row r="10081" spans="1:6" x14ac:dyDescent="0.25">
      <c r="A10081">
        <v>10080</v>
      </c>
      <c r="B10081">
        <v>42</v>
      </c>
      <c r="C10081">
        <v>0</v>
      </c>
      <c r="D10081">
        <v>0</v>
      </c>
      <c r="E10081">
        <v>0</v>
      </c>
      <c r="F10081">
        <v>0.2</v>
      </c>
    </row>
    <row r="10082" spans="1:6" x14ac:dyDescent="0.25">
      <c r="A10082">
        <v>10081</v>
      </c>
      <c r="B10082" t="s">
        <v>0</v>
      </c>
      <c r="C10082">
        <v>84</v>
      </c>
      <c r="D10082">
        <v>3494</v>
      </c>
      <c r="E10082">
        <v>80347408</v>
      </c>
    </row>
    <row r="10083" spans="1:6" x14ac:dyDescent="0.25">
      <c r="A10083">
        <v>10082</v>
      </c>
      <c r="B10083">
        <v>43</v>
      </c>
      <c r="C10083">
        <v>0</v>
      </c>
      <c r="D10083">
        <v>0</v>
      </c>
      <c r="E10083">
        <v>0</v>
      </c>
      <c r="F10083">
        <v>0</v>
      </c>
    </row>
    <row r="10084" spans="1:6" x14ac:dyDescent="0.25">
      <c r="A10084">
        <v>10083</v>
      </c>
      <c r="B10084">
        <v>44</v>
      </c>
      <c r="C10084">
        <v>0</v>
      </c>
      <c r="D10084">
        <v>0</v>
      </c>
      <c r="E10084">
        <v>0</v>
      </c>
      <c r="F10084">
        <v>-47.8352</v>
      </c>
    </row>
    <row r="10085" spans="1:6" x14ac:dyDescent="0.25">
      <c r="A10085">
        <v>10084</v>
      </c>
      <c r="B10085" t="s">
        <v>0</v>
      </c>
      <c r="C10085">
        <v>85</v>
      </c>
      <c r="D10085">
        <v>3494</v>
      </c>
      <c r="E10085">
        <v>80347541</v>
      </c>
    </row>
    <row r="10086" spans="1:6" x14ac:dyDescent="0.25">
      <c r="A10086">
        <v>10085</v>
      </c>
      <c r="B10086">
        <v>45</v>
      </c>
      <c r="C10086">
        <v>0</v>
      </c>
      <c r="D10086">
        <v>0</v>
      </c>
      <c r="E10086">
        <v>0</v>
      </c>
      <c r="F10086">
        <v>519.49900000000002</v>
      </c>
    </row>
    <row r="10087" spans="1:6" x14ac:dyDescent="0.25">
      <c r="A10087">
        <v>10086</v>
      </c>
      <c r="B10087">
        <v>46</v>
      </c>
      <c r="C10087">
        <v>0</v>
      </c>
      <c r="D10087">
        <v>0</v>
      </c>
      <c r="E10087">
        <v>0</v>
      </c>
      <c r="F10087">
        <v>0</v>
      </c>
    </row>
    <row r="10088" spans="1:6" x14ac:dyDescent="0.25">
      <c r="A10088">
        <v>10087</v>
      </c>
      <c r="B10088" t="s">
        <v>0</v>
      </c>
      <c r="C10088">
        <v>86</v>
      </c>
      <c r="D10088">
        <v>3494</v>
      </c>
      <c r="E10088">
        <v>80347674</v>
      </c>
    </row>
    <row r="10089" spans="1:6" x14ac:dyDescent="0.25">
      <c r="A10089">
        <v>10088</v>
      </c>
      <c r="B10089">
        <v>2</v>
      </c>
      <c r="C10089">
        <v>0</v>
      </c>
      <c r="D10089">
        <v>0</v>
      </c>
      <c r="E10089">
        <v>0</v>
      </c>
      <c r="F10089">
        <v>250.35</v>
      </c>
    </row>
    <row r="10090" spans="1:6" x14ac:dyDescent="0.25">
      <c r="A10090">
        <v>10089</v>
      </c>
      <c r="B10090">
        <v>10</v>
      </c>
      <c r="C10090">
        <v>1</v>
      </c>
      <c r="D10090">
        <v>0</v>
      </c>
      <c r="E10090">
        <v>0</v>
      </c>
      <c r="F10090">
        <v>4614</v>
      </c>
    </row>
    <row r="10091" spans="1:6" x14ac:dyDescent="0.25">
      <c r="A10091">
        <v>10090</v>
      </c>
      <c r="B10091" t="s">
        <v>0</v>
      </c>
      <c r="C10091">
        <v>87</v>
      </c>
      <c r="D10091">
        <v>3494</v>
      </c>
      <c r="E10091">
        <v>80347806</v>
      </c>
    </row>
    <row r="10092" spans="1:6" x14ac:dyDescent="0.25">
      <c r="A10092">
        <v>10091</v>
      </c>
      <c r="B10092">
        <v>13</v>
      </c>
      <c r="C10092">
        <v>0</v>
      </c>
      <c r="D10092">
        <v>0</v>
      </c>
      <c r="E10092">
        <v>0</v>
      </c>
      <c r="F10092">
        <v>1608</v>
      </c>
    </row>
    <row r="10093" spans="1:6" x14ac:dyDescent="0.25">
      <c r="A10093">
        <v>10092</v>
      </c>
      <c r="B10093">
        <v>41</v>
      </c>
      <c r="C10093">
        <v>0</v>
      </c>
      <c r="D10093">
        <v>0</v>
      </c>
      <c r="E10093">
        <v>0</v>
      </c>
      <c r="F10093">
        <v>1</v>
      </c>
    </row>
    <row r="10094" spans="1:6" x14ac:dyDescent="0.25">
      <c r="A10094">
        <v>10093</v>
      </c>
      <c r="B10094" t="s">
        <v>0</v>
      </c>
      <c r="C10094">
        <v>88</v>
      </c>
      <c r="D10094">
        <v>3494</v>
      </c>
      <c r="E10094">
        <v>80347939</v>
      </c>
    </row>
    <row r="10095" spans="1:6" x14ac:dyDescent="0.25">
      <c r="A10095">
        <v>10094</v>
      </c>
      <c r="B10095">
        <v>42</v>
      </c>
      <c r="C10095">
        <v>0</v>
      </c>
      <c r="D10095">
        <v>0</v>
      </c>
      <c r="E10095">
        <v>0</v>
      </c>
      <c r="F10095">
        <v>0.2</v>
      </c>
    </row>
    <row r="10096" spans="1:6" x14ac:dyDescent="0.25">
      <c r="A10096">
        <v>10095</v>
      </c>
      <c r="B10096">
        <v>43</v>
      </c>
      <c r="C10096">
        <v>0</v>
      </c>
      <c r="D10096">
        <v>0</v>
      </c>
      <c r="E10096">
        <v>0</v>
      </c>
      <c r="F10096">
        <v>0</v>
      </c>
    </row>
    <row r="10097" spans="1:6" x14ac:dyDescent="0.25">
      <c r="A10097">
        <v>10096</v>
      </c>
      <c r="B10097" t="s">
        <v>0</v>
      </c>
      <c r="C10097">
        <v>89</v>
      </c>
      <c r="D10097">
        <v>3494</v>
      </c>
      <c r="E10097">
        <v>80348072</v>
      </c>
    </row>
    <row r="10098" spans="1:6" x14ac:dyDescent="0.25">
      <c r="A10098">
        <v>10097</v>
      </c>
      <c r="B10098">
        <v>44</v>
      </c>
      <c r="C10098">
        <v>0</v>
      </c>
      <c r="D10098">
        <v>0</v>
      </c>
      <c r="E10098">
        <v>0</v>
      </c>
      <c r="F10098">
        <v>-47.606699999999996</v>
      </c>
    </row>
    <row r="10099" spans="1:6" x14ac:dyDescent="0.25">
      <c r="A10099">
        <v>10098</v>
      </c>
      <c r="B10099">
        <v>45</v>
      </c>
      <c r="C10099">
        <v>0</v>
      </c>
      <c r="D10099">
        <v>0</v>
      </c>
      <c r="E10099">
        <v>0</v>
      </c>
      <c r="F10099">
        <v>519.46799999999996</v>
      </c>
    </row>
    <row r="10100" spans="1:6" x14ac:dyDescent="0.25">
      <c r="A10100">
        <v>10099</v>
      </c>
      <c r="B10100" t="s">
        <v>0</v>
      </c>
      <c r="C10100">
        <v>90</v>
      </c>
      <c r="D10100">
        <v>3494</v>
      </c>
      <c r="E10100">
        <v>80348205</v>
      </c>
    </row>
    <row r="10101" spans="1:6" x14ac:dyDescent="0.25">
      <c r="A10101">
        <v>10100</v>
      </c>
      <c r="B10101">
        <v>46</v>
      </c>
      <c r="C10101">
        <v>0</v>
      </c>
      <c r="D10101">
        <v>0</v>
      </c>
      <c r="E10101">
        <v>0</v>
      </c>
      <c r="F10101">
        <v>0</v>
      </c>
    </row>
    <row r="10102" spans="1:6" x14ac:dyDescent="0.25">
      <c r="A10102">
        <v>10101</v>
      </c>
      <c r="B10102">
        <v>2</v>
      </c>
      <c r="C10102">
        <v>0</v>
      </c>
      <c r="D10102">
        <v>0</v>
      </c>
      <c r="E10102">
        <v>0</v>
      </c>
      <c r="F10102">
        <v>250.26900000000001</v>
      </c>
    </row>
    <row r="10103" spans="1:6" x14ac:dyDescent="0.25">
      <c r="A10103">
        <v>10102</v>
      </c>
      <c r="B10103" t="s">
        <v>0</v>
      </c>
      <c r="C10103">
        <v>91</v>
      </c>
      <c r="D10103">
        <v>3494</v>
      </c>
      <c r="E10103">
        <v>80348338</v>
      </c>
    </row>
    <row r="10104" spans="1:6" x14ac:dyDescent="0.25">
      <c r="A10104">
        <v>10103</v>
      </c>
      <c r="B10104">
        <v>10</v>
      </c>
      <c r="C10104">
        <v>1</v>
      </c>
      <c r="D10104">
        <v>0</v>
      </c>
      <c r="E10104">
        <v>0</v>
      </c>
      <c r="F10104">
        <v>4616</v>
      </c>
    </row>
    <row r="10105" spans="1:6" x14ac:dyDescent="0.25">
      <c r="A10105">
        <v>10104</v>
      </c>
      <c r="B10105">
        <v>13</v>
      </c>
      <c r="C10105">
        <v>0</v>
      </c>
      <c r="D10105">
        <v>0</v>
      </c>
      <c r="E10105">
        <v>0</v>
      </c>
      <c r="F10105">
        <v>1608</v>
      </c>
    </row>
    <row r="10106" spans="1:6" x14ac:dyDescent="0.25">
      <c r="A10106">
        <v>10105</v>
      </c>
      <c r="B10106" t="s">
        <v>0</v>
      </c>
      <c r="C10106">
        <v>92</v>
      </c>
      <c r="D10106">
        <v>3494</v>
      </c>
      <c r="E10106">
        <v>80348471</v>
      </c>
    </row>
    <row r="10107" spans="1:6" x14ac:dyDescent="0.25">
      <c r="A10107">
        <v>10106</v>
      </c>
      <c r="B10107">
        <v>41</v>
      </c>
      <c r="C10107">
        <v>0</v>
      </c>
      <c r="D10107">
        <v>0</v>
      </c>
      <c r="E10107">
        <v>0</v>
      </c>
      <c r="F10107">
        <v>1</v>
      </c>
    </row>
    <row r="10108" spans="1:6" x14ac:dyDescent="0.25">
      <c r="A10108">
        <v>10107</v>
      </c>
      <c r="B10108">
        <v>42</v>
      </c>
      <c r="C10108">
        <v>0</v>
      </c>
      <c r="D10108">
        <v>0</v>
      </c>
      <c r="E10108">
        <v>0</v>
      </c>
      <c r="F10108">
        <v>0.2</v>
      </c>
    </row>
    <row r="10109" spans="1:6" x14ac:dyDescent="0.25">
      <c r="A10109">
        <v>10108</v>
      </c>
      <c r="B10109" t="s">
        <v>0</v>
      </c>
      <c r="C10109">
        <v>93</v>
      </c>
      <c r="D10109">
        <v>3494</v>
      </c>
      <c r="E10109">
        <v>80348604</v>
      </c>
    </row>
    <row r="10110" spans="1:6" x14ac:dyDescent="0.25">
      <c r="A10110">
        <v>10109</v>
      </c>
      <c r="B10110">
        <v>43</v>
      </c>
      <c r="C10110">
        <v>0</v>
      </c>
      <c r="D10110">
        <v>0</v>
      </c>
      <c r="E10110">
        <v>0</v>
      </c>
      <c r="F10110">
        <v>0</v>
      </c>
    </row>
    <row r="10111" spans="1:6" x14ac:dyDescent="0.25">
      <c r="A10111">
        <v>10110</v>
      </c>
      <c r="B10111">
        <v>44</v>
      </c>
      <c r="C10111">
        <v>0</v>
      </c>
      <c r="D10111">
        <v>0</v>
      </c>
      <c r="E10111">
        <v>0</v>
      </c>
      <c r="F10111">
        <v>-47.352800000000002</v>
      </c>
    </row>
    <row r="10112" spans="1:6" x14ac:dyDescent="0.25">
      <c r="A10112">
        <v>10111</v>
      </c>
      <c r="B10112" t="s">
        <v>0</v>
      </c>
      <c r="C10112">
        <v>94</v>
      </c>
      <c r="D10112">
        <v>3494</v>
      </c>
      <c r="E10112">
        <v>80348737</v>
      </c>
    </row>
    <row r="10113" spans="1:6" x14ac:dyDescent="0.25">
      <c r="A10113">
        <v>10112</v>
      </c>
      <c r="B10113">
        <v>45</v>
      </c>
      <c r="C10113">
        <v>0</v>
      </c>
      <c r="D10113">
        <v>0</v>
      </c>
      <c r="E10113">
        <v>0</v>
      </c>
      <c r="F10113">
        <v>519.42999999999995</v>
      </c>
    </row>
    <row r="10114" spans="1:6" x14ac:dyDescent="0.25">
      <c r="A10114">
        <v>10113</v>
      </c>
      <c r="B10114">
        <v>46</v>
      </c>
      <c r="C10114">
        <v>0</v>
      </c>
      <c r="D10114">
        <v>0</v>
      </c>
      <c r="E10114">
        <v>0</v>
      </c>
      <c r="F10114">
        <v>0</v>
      </c>
    </row>
    <row r="10115" spans="1:6" x14ac:dyDescent="0.25">
      <c r="A10115">
        <v>10114</v>
      </c>
      <c r="B10115" t="s">
        <v>0</v>
      </c>
      <c r="C10115">
        <v>95</v>
      </c>
      <c r="D10115">
        <v>3494</v>
      </c>
      <c r="E10115">
        <v>80348870</v>
      </c>
    </row>
    <row r="10116" spans="1:6" x14ac:dyDescent="0.25">
      <c r="A10116">
        <v>10115</v>
      </c>
      <c r="B10116">
        <v>2</v>
      </c>
      <c r="C10116">
        <v>0</v>
      </c>
      <c r="D10116">
        <v>0</v>
      </c>
      <c r="E10116">
        <v>0</v>
      </c>
      <c r="F10116">
        <v>250.148</v>
      </c>
    </row>
    <row r="10117" spans="1:6" x14ac:dyDescent="0.25">
      <c r="A10117">
        <v>10116</v>
      </c>
      <c r="B10117">
        <v>10</v>
      </c>
      <c r="C10117">
        <v>1</v>
      </c>
      <c r="D10117">
        <v>0</v>
      </c>
      <c r="E10117">
        <v>0</v>
      </c>
      <c r="F10117">
        <v>4620</v>
      </c>
    </row>
    <row r="10118" spans="1:6" x14ac:dyDescent="0.25">
      <c r="A10118">
        <v>10117</v>
      </c>
      <c r="B10118" t="s">
        <v>0</v>
      </c>
      <c r="C10118">
        <v>96</v>
      </c>
      <c r="D10118">
        <v>3494</v>
      </c>
      <c r="E10118">
        <v>80349003</v>
      </c>
    </row>
    <row r="10119" spans="1:6" x14ac:dyDescent="0.25">
      <c r="A10119">
        <v>10118</v>
      </c>
      <c r="B10119">
        <v>13</v>
      </c>
      <c r="C10119">
        <v>0</v>
      </c>
      <c r="D10119">
        <v>0</v>
      </c>
      <c r="E10119">
        <v>0</v>
      </c>
      <c r="F10119">
        <v>1608</v>
      </c>
    </row>
    <row r="10120" spans="1:6" x14ac:dyDescent="0.25">
      <c r="A10120">
        <v>10119</v>
      </c>
      <c r="B10120">
        <v>41</v>
      </c>
      <c r="C10120">
        <v>0</v>
      </c>
      <c r="D10120">
        <v>0</v>
      </c>
      <c r="E10120">
        <v>0</v>
      </c>
      <c r="F10120">
        <v>1</v>
      </c>
    </row>
    <row r="10121" spans="1:6" x14ac:dyDescent="0.25">
      <c r="A10121">
        <v>10120</v>
      </c>
      <c r="B10121" t="s">
        <v>0</v>
      </c>
      <c r="C10121">
        <v>97</v>
      </c>
      <c r="D10121">
        <v>3494</v>
      </c>
      <c r="E10121">
        <v>80349136</v>
      </c>
    </row>
    <row r="10122" spans="1:6" x14ac:dyDescent="0.25">
      <c r="A10122">
        <v>10121</v>
      </c>
      <c r="B10122">
        <v>42</v>
      </c>
      <c r="C10122">
        <v>0</v>
      </c>
      <c r="D10122">
        <v>0</v>
      </c>
      <c r="E10122">
        <v>0</v>
      </c>
      <c r="F10122">
        <v>0.2</v>
      </c>
    </row>
    <row r="10123" spans="1:6" x14ac:dyDescent="0.25">
      <c r="A10123">
        <v>10122</v>
      </c>
      <c r="B10123">
        <v>43</v>
      </c>
      <c r="C10123">
        <v>0</v>
      </c>
      <c r="D10123">
        <v>0</v>
      </c>
      <c r="E10123">
        <v>0</v>
      </c>
      <c r="F10123">
        <v>0</v>
      </c>
    </row>
    <row r="10124" spans="1:6" x14ac:dyDescent="0.25">
      <c r="A10124">
        <v>10123</v>
      </c>
      <c r="B10124" t="s">
        <v>0</v>
      </c>
      <c r="C10124">
        <v>98</v>
      </c>
      <c r="D10124">
        <v>3494</v>
      </c>
      <c r="E10124">
        <v>80349269</v>
      </c>
    </row>
    <row r="10125" spans="1:6" x14ac:dyDescent="0.25">
      <c r="A10125">
        <v>10124</v>
      </c>
      <c r="B10125">
        <v>44</v>
      </c>
      <c r="C10125">
        <v>0</v>
      </c>
      <c r="D10125">
        <v>0</v>
      </c>
      <c r="E10125">
        <v>0</v>
      </c>
      <c r="F10125">
        <v>-47.099600000000002</v>
      </c>
    </row>
    <row r="10126" spans="1:6" x14ac:dyDescent="0.25">
      <c r="A10126">
        <v>10125</v>
      </c>
      <c r="B10126">
        <v>45</v>
      </c>
      <c r="C10126">
        <v>0</v>
      </c>
      <c r="D10126">
        <v>0</v>
      </c>
      <c r="E10126">
        <v>0</v>
      </c>
      <c r="F10126">
        <v>519.4</v>
      </c>
    </row>
    <row r="10127" spans="1:6" x14ac:dyDescent="0.25">
      <c r="A10127">
        <v>10126</v>
      </c>
      <c r="B10127" t="s">
        <v>0</v>
      </c>
      <c r="C10127">
        <v>99</v>
      </c>
      <c r="D10127">
        <v>3494</v>
      </c>
      <c r="E10127">
        <v>80349402</v>
      </c>
    </row>
    <row r="10128" spans="1:6" x14ac:dyDescent="0.25">
      <c r="A10128">
        <v>10127</v>
      </c>
      <c r="B10128">
        <v>46</v>
      </c>
      <c r="C10128">
        <v>0</v>
      </c>
      <c r="D10128">
        <v>0</v>
      </c>
      <c r="E10128">
        <v>0</v>
      </c>
      <c r="F10128">
        <v>0</v>
      </c>
    </row>
    <row r="10129" spans="1:6" x14ac:dyDescent="0.25">
      <c r="A10129">
        <v>10128</v>
      </c>
      <c r="B10129">
        <v>2</v>
      </c>
      <c r="C10129">
        <v>0</v>
      </c>
      <c r="D10129">
        <v>0</v>
      </c>
      <c r="E10129">
        <v>0</v>
      </c>
      <c r="F10129">
        <v>250.06800000000001</v>
      </c>
    </row>
    <row r="10130" spans="1:6" x14ac:dyDescent="0.25">
      <c r="A10130">
        <v>10129</v>
      </c>
      <c r="B10130" t="s">
        <v>0</v>
      </c>
      <c r="C10130">
        <v>100</v>
      </c>
      <c r="D10130">
        <v>3494</v>
      </c>
      <c r="E10130">
        <v>80349535</v>
      </c>
    </row>
    <row r="10131" spans="1:6" x14ac:dyDescent="0.25">
      <c r="A10131">
        <v>10130</v>
      </c>
      <c r="B10131">
        <v>10</v>
      </c>
      <c r="C10131">
        <v>1</v>
      </c>
      <c r="D10131">
        <v>0</v>
      </c>
      <c r="E10131">
        <v>0</v>
      </c>
      <c r="F10131">
        <v>4622</v>
      </c>
    </row>
    <row r="10132" spans="1:6" x14ac:dyDescent="0.25">
      <c r="A10132">
        <v>10131</v>
      </c>
      <c r="B10132">
        <v>13</v>
      </c>
      <c r="C10132">
        <v>0</v>
      </c>
      <c r="D10132">
        <v>0</v>
      </c>
      <c r="E10132">
        <v>0</v>
      </c>
      <c r="F10132">
        <v>1608</v>
      </c>
    </row>
    <row r="10133" spans="1:6" x14ac:dyDescent="0.25">
      <c r="A10133">
        <v>10132</v>
      </c>
      <c r="B10133" t="s">
        <v>0</v>
      </c>
      <c r="C10133">
        <v>101</v>
      </c>
      <c r="D10133">
        <v>3494</v>
      </c>
      <c r="E10133">
        <v>80349668</v>
      </c>
    </row>
    <row r="10134" spans="1:6" x14ac:dyDescent="0.25">
      <c r="A10134">
        <v>10133</v>
      </c>
      <c r="B10134">
        <v>41</v>
      </c>
      <c r="C10134">
        <v>0</v>
      </c>
      <c r="D10134">
        <v>0</v>
      </c>
      <c r="E10134">
        <v>0</v>
      </c>
      <c r="F10134">
        <v>1</v>
      </c>
    </row>
    <row r="10135" spans="1:6" x14ac:dyDescent="0.25">
      <c r="A10135">
        <v>10134</v>
      </c>
      <c r="B10135">
        <v>42</v>
      </c>
      <c r="C10135">
        <v>0</v>
      </c>
      <c r="D10135">
        <v>0</v>
      </c>
      <c r="E10135">
        <v>0</v>
      </c>
      <c r="F10135">
        <v>0.2</v>
      </c>
    </row>
    <row r="10136" spans="1:6" x14ac:dyDescent="0.25">
      <c r="A10136">
        <v>10135</v>
      </c>
      <c r="B10136" t="s">
        <v>0</v>
      </c>
      <c r="C10136">
        <v>102</v>
      </c>
      <c r="D10136">
        <v>3494</v>
      </c>
      <c r="E10136">
        <v>80349801</v>
      </c>
    </row>
    <row r="10137" spans="1:6" x14ac:dyDescent="0.25">
      <c r="A10137">
        <v>10136</v>
      </c>
      <c r="B10137">
        <v>43</v>
      </c>
      <c r="C10137">
        <v>0</v>
      </c>
      <c r="D10137">
        <v>0</v>
      </c>
      <c r="E10137">
        <v>0</v>
      </c>
      <c r="F10137">
        <v>0</v>
      </c>
    </row>
    <row r="10138" spans="1:6" x14ac:dyDescent="0.25">
      <c r="A10138">
        <v>10137</v>
      </c>
      <c r="B10138">
        <v>44</v>
      </c>
      <c r="C10138">
        <v>0</v>
      </c>
      <c r="D10138">
        <v>0</v>
      </c>
      <c r="E10138">
        <v>0</v>
      </c>
      <c r="F10138">
        <v>-46.884300000000003</v>
      </c>
    </row>
    <row r="10139" spans="1:6" x14ac:dyDescent="0.25">
      <c r="A10139">
        <v>10138</v>
      </c>
      <c r="B10139" t="s">
        <v>0</v>
      </c>
      <c r="C10139">
        <v>103</v>
      </c>
      <c r="D10139">
        <v>3494</v>
      </c>
      <c r="E10139">
        <v>80349934</v>
      </c>
    </row>
    <row r="10140" spans="1:6" x14ac:dyDescent="0.25">
      <c r="A10140">
        <v>10139</v>
      </c>
      <c r="B10140">
        <v>45</v>
      </c>
      <c r="C10140">
        <v>0</v>
      </c>
      <c r="D10140">
        <v>0</v>
      </c>
      <c r="E10140">
        <v>0</v>
      </c>
      <c r="F10140">
        <v>519.36300000000006</v>
      </c>
    </row>
    <row r="10141" spans="1:6" x14ac:dyDescent="0.25">
      <c r="A10141">
        <v>10140</v>
      </c>
      <c r="B10141">
        <v>46</v>
      </c>
      <c r="C10141">
        <v>0</v>
      </c>
      <c r="D10141">
        <v>0</v>
      </c>
      <c r="E10141">
        <v>0</v>
      </c>
      <c r="F10141">
        <v>0</v>
      </c>
    </row>
    <row r="10142" spans="1:6" x14ac:dyDescent="0.25">
      <c r="A10142">
        <v>10141</v>
      </c>
      <c r="B10142" t="s">
        <v>0</v>
      </c>
      <c r="C10142">
        <v>104</v>
      </c>
      <c r="D10142">
        <v>3494</v>
      </c>
      <c r="E10142">
        <v>80350067</v>
      </c>
    </row>
    <row r="10143" spans="1:6" x14ac:dyDescent="0.25">
      <c r="A10143">
        <v>10142</v>
      </c>
      <c r="B10143">
        <v>2</v>
      </c>
      <c r="C10143">
        <v>0</v>
      </c>
      <c r="D10143">
        <v>0</v>
      </c>
      <c r="E10143">
        <v>0</v>
      </c>
      <c r="F10143">
        <v>249.99600000000001</v>
      </c>
    </row>
    <row r="10144" spans="1:6" x14ac:dyDescent="0.25">
      <c r="A10144">
        <v>10143</v>
      </c>
      <c r="B10144">
        <v>10</v>
      </c>
      <c r="C10144">
        <v>1</v>
      </c>
      <c r="D10144">
        <v>0</v>
      </c>
      <c r="E10144">
        <v>0</v>
      </c>
      <c r="F10144">
        <v>4625</v>
      </c>
    </row>
    <row r="10145" spans="1:6" x14ac:dyDescent="0.25">
      <c r="A10145">
        <v>10144</v>
      </c>
      <c r="B10145" t="s">
        <v>0</v>
      </c>
      <c r="C10145">
        <v>105</v>
      </c>
      <c r="D10145">
        <v>3494</v>
      </c>
      <c r="E10145">
        <v>80350200</v>
      </c>
    </row>
    <row r="10146" spans="1:6" x14ac:dyDescent="0.25">
      <c r="A10146">
        <v>10145</v>
      </c>
      <c r="B10146">
        <v>13</v>
      </c>
      <c r="C10146">
        <v>0</v>
      </c>
      <c r="D10146">
        <v>0</v>
      </c>
      <c r="E10146">
        <v>0</v>
      </c>
      <c r="F10146">
        <v>1608</v>
      </c>
    </row>
    <row r="10147" spans="1:6" x14ac:dyDescent="0.25">
      <c r="A10147">
        <v>10146</v>
      </c>
      <c r="B10147">
        <v>41</v>
      </c>
      <c r="C10147">
        <v>0</v>
      </c>
      <c r="D10147">
        <v>0</v>
      </c>
      <c r="E10147">
        <v>0</v>
      </c>
      <c r="F10147">
        <v>1</v>
      </c>
    </row>
    <row r="10148" spans="1:6" x14ac:dyDescent="0.25">
      <c r="A10148">
        <v>10147</v>
      </c>
      <c r="B10148" t="s">
        <v>0</v>
      </c>
      <c r="C10148">
        <v>106</v>
      </c>
      <c r="D10148">
        <v>3494</v>
      </c>
      <c r="E10148">
        <v>80350333</v>
      </c>
    </row>
    <row r="10149" spans="1:6" x14ac:dyDescent="0.25">
      <c r="A10149">
        <v>10148</v>
      </c>
      <c r="B10149">
        <v>42</v>
      </c>
      <c r="C10149">
        <v>0</v>
      </c>
      <c r="D10149">
        <v>0</v>
      </c>
      <c r="E10149">
        <v>0</v>
      </c>
      <c r="F10149">
        <v>0.2</v>
      </c>
    </row>
    <row r="10150" spans="1:6" x14ac:dyDescent="0.25">
      <c r="A10150">
        <v>10149</v>
      </c>
      <c r="B10150">
        <v>43</v>
      </c>
      <c r="C10150">
        <v>0</v>
      </c>
      <c r="D10150">
        <v>0</v>
      </c>
      <c r="E10150">
        <v>0</v>
      </c>
      <c r="F10150">
        <v>0</v>
      </c>
    </row>
    <row r="10151" spans="1:6" x14ac:dyDescent="0.25">
      <c r="A10151">
        <v>10150</v>
      </c>
      <c r="B10151" t="s">
        <v>0</v>
      </c>
      <c r="C10151">
        <v>107</v>
      </c>
      <c r="D10151">
        <v>3494</v>
      </c>
      <c r="E10151">
        <v>80350466</v>
      </c>
    </row>
    <row r="10152" spans="1:6" x14ac:dyDescent="0.25">
      <c r="A10152">
        <v>10151</v>
      </c>
      <c r="B10152">
        <v>44</v>
      </c>
      <c r="C10152">
        <v>0</v>
      </c>
      <c r="D10152">
        <v>0</v>
      </c>
      <c r="E10152">
        <v>0</v>
      </c>
      <c r="F10152">
        <v>-46.669199999999996</v>
      </c>
    </row>
    <row r="10153" spans="1:6" x14ac:dyDescent="0.25">
      <c r="A10153">
        <v>10152</v>
      </c>
      <c r="B10153">
        <v>45</v>
      </c>
      <c r="C10153">
        <v>0</v>
      </c>
      <c r="D10153">
        <v>0</v>
      </c>
      <c r="E10153">
        <v>0</v>
      </c>
      <c r="F10153">
        <v>519.33299999999997</v>
      </c>
    </row>
    <row r="10154" spans="1:6" x14ac:dyDescent="0.25">
      <c r="A10154">
        <v>10153</v>
      </c>
      <c r="B10154" t="s">
        <v>0</v>
      </c>
      <c r="C10154">
        <v>108</v>
      </c>
      <c r="D10154">
        <v>3494</v>
      </c>
      <c r="E10154">
        <v>80350599</v>
      </c>
    </row>
    <row r="10155" spans="1:6" x14ac:dyDescent="0.25">
      <c r="A10155">
        <v>10154</v>
      </c>
      <c r="B10155">
        <v>46</v>
      </c>
      <c r="C10155">
        <v>0</v>
      </c>
      <c r="D10155">
        <v>0</v>
      </c>
      <c r="E10155">
        <v>0</v>
      </c>
      <c r="F10155">
        <v>0</v>
      </c>
    </row>
    <row r="10156" spans="1:6" x14ac:dyDescent="0.25">
      <c r="A10156">
        <v>10155</v>
      </c>
      <c r="B10156">
        <v>2</v>
      </c>
      <c r="C10156">
        <v>0</v>
      </c>
      <c r="D10156">
        <v>0</v>
      </c>
      <c r="E10156">
        <v>0</v>
      </c>
      <c r="F10156">
        <v>249.94800000000001</v>
      </c>
    </row>
    <row r="10157" spans="1:6" x14ac:dyDescent="0.25">
      <c r="A10157">
        <v>10156</v>
      </c>
      <c r="B10157" t="s">
        <v>0</v>
      </c>
      <c r="C10157">
        <v>109</v>
      </c>
      <c r="D10157">
        <v>3494</v>
      </c>
      <c r="E10157">
        <v>80350732</v>
      </c>
    </row>
    <row r="10158" spans="1:6" x14ac:dyDescent="0.25">
      <c r="A10158">
        <v>10157</v>
      </c>
      <c r="B10158">
        <v>10</v>
      </c>
      <c r="C10158">
        <v>1</v>
      </c>
      <c r="D10158">
        <v>0</v>
      </c>
      <c r="E10158">
        <v>0</v>
      </c>
      <c r="F10158">
        <v>4627</v>
      </c>
    </row>
    <row r="10159" spans="1:6" x14ac:dyDescent="0.25">
      <c r="A10159">
        <v>10158</v>
      </c>
      <c r="B10159">
        <v>13</v>
      </c>
      <c r="C10159">
        <v>0</v>
      </c>
      <c r="D10159">
        <v>0</v>
      </c>
      <c r="E10159">
        <v>0</v>
      </c>
      <c r="F10159">
        <v>1608</v>
      </c>
    </row>
    <row r="10160" spans="1:6" x14ac:dyDescent="0.25">
      <c r="A10160">
        <v>10159</v>
      </c>
      <c r="B10160" t="s">
        <v>0</v>
      </c>
      <c r="C10160">
        <v>110</v>
      </c>
      <c r="D10160">
        <v>3494</v>
      </c>
      <c r="E10160">
        <v>80350865</v>
      </c>
    </row>
    <row r="10161" spans="1:6" x14ac:dyDescent="0.25">
      <c r="A10161">
        <v>10160</v>
      </c>
      <c r="B10161">
        <v>41</v>
      </c>
      <c r="C10161">
        <v>0</v>
      </c>
      <c r="D10161">
        <v>0</v>
      </c>
      <c r="E10161">
        <v>0</v>
      </c>
      <c r="F10161">
        <v>1</v>
      </c>
    </row>
    <row r="10162" spans="1:6" x14ac:dyDescent="0.25">
      <c r="A10162">
        <v>10161</v>
      </c>
      <c r="B10162">
        <v>42</v>
      </c>
      <c r="C10162">
        <v>0</v>
      </c>
      <c r="D10162">
        <v>0</v>
      </c>
      <c r="E10162">
        <v>0</v>
      </c>
      <c r="F10162">
        <v>0.2</v>
      </c>
    </row>
    <row r="10163" spans="1:6" x14ac:dyDescent="0.25">
      <c r="A10163">
        <v>10162</v>
      </c>
      <c r="B10163" t="s">
        <v>0</v>
      </c>
      <c r="C10163">
        <v>111</v>
      </c>
      <c r="D10163">
        <v>3494</v>
      </c>
      <c r="E10163">
        <v>80350999</v>
      </c>
    </row>
    <row r="10164" spans="1:6" x14ac:dyDescent="0.25">
      <c r="A10164">
        <v>10163</v>
      </c>
      <c r="B10164">
        <v>43</v>
      </c>
      <c r="C10164">
        <v>0</v>
      </c>
      <c r="D10164">
        <v>0</v>
      </c>
      <c r="E10164">
        <v>0</v>
      </c>
      <c r="F10164">
        <v>0</v>
      </c>
    </row>
    <row r="10165" spans="1:6" x14ac:dyDescent="0.25">
      <c r="A10165">
        <v>10164</v>
      </c>
      <c r="B10165">
        <v>44</v>
      </c>
      <c r="C10165">
        <v>0</v>
      </c>
      <c r="D10165">
        <v>0</v>
      </c>
      <c r="E10165">
        <v>0</v>
      </c>
      <c r="F10165">
        <v>-46.444499999999998</v>
      </c>
    </row>
    <row r="10166" spans="1:6" x14ac:dyDescent="0.25">
      <c r="A10166">
        <v>10165</v>
      </c>
      <c r="B10166" t="s">
        <v>0</v>
      </c>
      <c r="C10166">
        <v>112</v>
      </c>
      <c r="D10166">
        <v>3494</v>
      </c>
      <c r="E10166">
        <v>80351132</v>
      </c>
    </row>
    <row r="10167" spans="1:6" x14ac:dyDescent="0.25">
      <c r="A10167">
        <v>10166</v>
      </c>
      <c r="B10167">
        <v>45</v>
      </c>
      <c r="C10167">
        <v>0</v>
      </c>
      <c r="D10167">
        <v>0</v>
      </c>
      <c r="E10167">
        <v>0</v>
      </c>
      <c r="F10167">
        <v>519.29499999999996</v>
      </c>
    </row>
    <row r="10168" spans="1:6" x14ac:dyDescent="0.25">
      <c r="A10168">
        <v>10167</v>
      </c>
      <c r="B10168">
        <v>46</v>
      </c>
      <c r="C10168">
        <v>0</v>
      </c>
      <c r="D10168">
        <v>0</v>
      </c>
      <c r="E10168">
        <v>0</v>
      </c>
      <c r="F10168">
        <v>0</v>
      </c>
    </row>
    <row r="10169" spans="1:6" x14ac:dyDescent="0.25">
      <c r="A10169">
        <v>10168</v>
      </c>
      <c r="B10169" t="s">
        <v>0</v>
      </c>
      <c r="C10169">
        <v>113</v>
      </c>
      <c r="D10169">
        <v>3494</v>
      </c>
      <c r="E10169">
        <v>80351265</v>
      </c>
    </row>
    <row r="10170" spans="1:6" x14ac:dyDescent="0.25">
      <c r="A10170">
        <v>10169</v>
      </c>
      <c r="B10170">
        <v>2</v>
      </c>
      <c r="C10170">
        <v>0</v>
      </c>
      <c r="D10170">
        <v>0</v>
      </c>
      <c r="E10170">
        <v>0</v>
      </c>
      <c r="F10170">
        <v>249.816</v>
      </c>
    </row>
    <row r="10171" spans="1:6" x14ac:dyDescent="0.25">
      <c r="A10171">
        <v>10170</v>
      </c>
      <c r="B10171">
        <v>10</v>
      </c>
      <c r="C10171">
        <v>1</v>
      </c>
      <c r="D10171">
        <v>0</v>
      </c>
      <c r="E10171">
        <v>0</v>
      </c>
      <c r="F10171">
        <v>4630</v>
      </c>
    </row>
    <row r="10172" spans="1:6" x14ac:dyDescent="0.25">
      <c r="A10172">
        <v>10171</v>
      </c>
      <c r="B10172" t="s">
        <v>0</v>
      </c>
      <c r="C10172">
        <v>114</v>
      </c>
      <c r="D10172">
        <v>3494</v>
      </c>
      <c r="E10172">
        <v>80351399</v>
      </c>
    </row>
    <row r="10173" spans="1:6" x14ac:dyDescent="0.25">
      <c r="A10173">
        <v>10172</v>
      </c>
      <c r="B10173">
        <v>13</v>
      </c>
      <c r="C10173">
        <v>0</v>
      </c>
      <c r="D10173">
        <v>0</v>
      </c>
      <c r="E10173">
        <v>0</v>
      </c>
      <c r="F10173">
        <v>1608</v>
      </c>
    </row>
    <row r="10174" spans="1:6" x14ac:dyDescent="0.25">
      <c r="A10174">
        <v>10173</v>
      </c>
      <c r="B10174">
        <v>41</v>
      </c>
      <c r="C10174">
        <v>0</v>
      </c>
      <c r="D10174">
        <v>0</v>
      </c>
      <c r="E10174">
        <v>0</v>
      </c>
      <c r="F10174">
        <v>1</v>
      </c>
    </row>
    <row r="10175" spans="1:6" x14ac:dyDescent="0.25">
      <c r="A10175">
        <v>10174</v>
      </c>
      <c r="B10175" t="s">
        <v>0</v>
      </c>
      <c r="C10175">
        <v>115</v>
      </c>
      <c r="D10175">
        <v>3494</v>
      </c>
      <c r="E10175">
        <v>80351532</v>
      </c>
    </row>
    <row r="10176" spans="1:6" x14ac:dyDescent="0.25">
      <c r="A10176">
        <v>10175</v>
      </c>
      <c r="B10176">
        <v>42</v>
      </c>
      <c r="C10176">
        <v>0</v>
      </c>
      <c r="D10176">
        <v>0</v>
      </c>
      <c r="E10176">
        <v>0</v>
      </c>
      <c r="F10176">
        <v>0.2</v>
      </c>
    </row>
    <row r="10177" spans="1:6" x14ac:dyDescent="0.25">
      <c r="A10177">
        <v>10176</v>
      </c>
      <c r="B10177">
        <v>43</v>
      </c>
      <c r="C10177">
        <v>0</v>
      </c>
      <c r="D10177">
        <v>0</v>
      </c>
      <c r="E10177">
        <v>0</v>
      </c>
      <c r="F10177">
        <v>0</v>
      </c>
    </row>
    <row r="10178" spans="1:6" x14ac:dyDescent="0.25">
      <c r="A10178">
        <v>10177</v>
      </c>
      <c r="B10178" t="s">
        <v>0</v>
      </c>
      <c r="C10178">
        <v>116</v>
      </c>
      <c r="D10178">
        <v>3494</v>
      </c>
      <c r="E10178">
        <v>80351665</v>
      </c>
    </row>
    <row r="10179" spans="1:6" x14ac:dyDescent="0.25">
      <c r="A10179">
        <v>10178</v>
      </c>
      <c r="B10179">
        <v>44</v>
      </c>
      <c r="C10179">
        <v>0</v>
      </c>
      <c r="D10179">
        <v>0</v>
      </c>
      <c r="E10179">
        <v>0</v>
      </c>
      <c r="F10179">
        <v>-46.1614</v>
      </c>
    </row>
    <row r="10180" spans="1:6" x14ac:dyDescent="0.25">
      <c r="A10180">
        <v>10179</v>
      </c>
      <c r="B10180">
        <v>45</v>
      </c>
      <c r="C10180">
        <v>0</v>
      </c>
      <c r="D10180">
        <v>0</v>
      </c>
      <c r="E10180">
        <v>0</v>
      </c>
      <c r="F10180">
        <v>519.26599999999996</v>
      </c>
    </row>
    <row r="10181" spans="1:6" x14ac:dyDescent="0.25">
      <c r="A10181">
        <v>10180</v>
      </c>
      <c r="B10181" t="s">
        <v>0</v>
      </c>
      <c r="C10181">
        <v>117</v>
      </c>
      <c r="D10181">
        <v>3494</v>
      </c>
      <c r="E10181">
        <v>80351798</v>
      </c>
    </row>
    <row r="10182" spans="1:6" x14ac:dyDescent="0.25">
      <c r="A10182">
        <v>10181</v>
      </c>
      <c r="B10182">
        <v>46</v>
      </c>
      <c r="C10182">
        <v>0</v>
      </c>
      <c r="D10182">
        <v>0</v>
      </c>
      <c r="E10182">
        <v>0</v>
      </c>
      <c r="F10182">
        <v>0</v>
      </c>
    </row>
    <row r="10183" spans="1:6" x14ac:dyDescent="0.25">
      <c r="A10183">
        <v>10182</v>
      </c>
      <c r="B10183">
        <v>2</v>
      </c>
      <c r="C10183">
        <v>0</v>
      </c>
      <c r="D10183">
        <v>0</v>
      </c>
      <c r="E10183">
        <v>0</v>
      </c>
      <c r="F10183">
        <v>249.732</v>
      </c>
    </row>
    <row r="10184" spans="1:6" x14ac:dyDescent="0.25">
      <c r="A10184">
        <v>10183</v>
      </c>
      <c r="B10184" t="s">
        <v>0</v>
      </c>
      <c r="C10184">
        <v>118</v>
      </c>
      <c r="D10184">
        <v>3494</v>
      </c>
      <c r="E10184">
        <v>80351932</v>
      </c>
    </row>
    <row r="10185" spans="1:6" x14ac:dyDescent="0.25">
      <c r="A10185">
        <v>10184</v>
      </c>
      <c r="B10185">
        <v>10</v>
      </c>
      <c r="C10185">
        <v>1</v>
      </c>
      <c r="D10185">
        <v>0</v>
      </c>
      <c r="E10185">
        <v>0</v>
      </c>
      <c r="F10185">
        <v>4633</v>
      </c>
    </row>
    <row r="10186" spans="1:6" x14ac:dyDescent="0.25">
      <c r="A10186">
        <v>10185</v>
      </c>
      <c r="B10186">
        <v>13</v>
      </c>
      <c r="C10186">
        <v>0</v>
      </c>
      <c r="D10186">
        <v>0</v>
      </c>
      <c r="E10186">
        <v>0</v>
      </c>
      <c r="F10186">
        <v>1608</v>
      </c>
    </row>
    <row r="10187" spans="1:6" x14ac:dyDescent="0.25">
      <c r="A10187">
        <v>10186</v>
      </c>
      <c r="B10187" t="s">
        <v>0</v>
      </c>
      <c r="C10187">
        <v>119</v>
      </c>
      <c r="D10187">
        <v>3494</v>
      </c>
      <c r="E10187">
        <v>80352065</v>
      </c>
    </row>
    <row r="10188" spans="1:6" x14ac:dyDescent="0.25">
      <c r="A10188">
        <v>10187</v>
      </c>
      <c r="B10188">
        <v>41</v>
      </c>
      <c r="C10188">
        <v>0</v>
      </c>
      <c r="D10188">
        <v>0</v>
      </c>
      <c r="E10188">
        <v>0</v>
      </c>
      <c r="F10188">
        <v>1</v>
      </c>
    </row>
    <row r="10189" spans="1:6" x14ac:dyDescent="0.25">
      <c r="A10189">
        <v>10188</v>
      </c>
      <c r="B10189">
        <v>42</v>
      </c>
      <c r="C10189">
        <v>0</v>
      </c>
      <c r="D10189">
        <v>0</v>
      </c>
      <c r="E10189">
        <v>0</v>
      </c>
      <c r="F10189">
        <v>0.2</v>
      </c>
    </row>
    <row r="10190" spans="1:6" x14ac:dyDescent="0.25">
      <c r="A10190">
        <v>10189</v>
      </c>
      <c r="B10190" t="s">
        <v>0</v>
      </c>
      <c r="C10190">
        <v>120</v>
      </c>
      <c r="D10190">
        <v>3494</v>
      </c>
      <c r="E10190">
        <v>80352198</v>
      </c>
    </row>
    <row r="10191" spans="1:6" x14ac:dyDescent="0.25">
      <c r="A10191">
        <v>10190</v>
      </c>
      <c r="B10191">
        <v>43</v>
      </c>
      <c r="C10191">
        <v>0</v>
      </c>
      <c r="D10191">
        <v>0</v>
      </c>
      <c r="E10191">
        <v>0</v>
      </c>
      <c r="F10191">
        <v>0</v>
      </c>
    </row>
    <row r="10192" spans="1:6" x14ac:dyDescent="0.25">
      <c r="A10192">
        <v>10191</v>
      </c>
      <c r="B10192">
        <v>44</v>
      </c>
      <c r="C10192">
        <v>0</v>
      </c>
      <c r="D10192">
        <v>0</v>
      </c>
      <c r="E10192">
        <v>0</v>
      </c>
      <c r="F10192">
        <v>-45.964199999999998</v>
      </c>
    </row>
    <row r="10193" spans="1:6" x14ac:dyDescent="0.25">
      <c r="A10193">
        <v>10192</v>
      </c>
      <c r="B10193" t="s">
        <v>0</v>
      </c>
      <c r="C10193">
        <v>121</v>
      </c>
      <c r="D10193">
        <v>3494</v>
      </c>
      <c r="E10193">
        <v>80352331</v>
      </c>
    </row>
    <row r="10194" spans="1:6" x14ac:dyDescent="0.25">
      <c r="A10194">
        <v>10193</v>
      </c>
      <c r="B10194">
        <v>45</v>
      </c>
      <c r="C10194">
        <v>0</v>
      </c>
      <c r="D10194">
        <v>0</v>
      </c>
      <c r="E10194">
        <v>0</v>
      </c>
      <c r="F10194">
        <v>519.22900000000004</v>
      </c>
    </row>
    <row r="10195" spans="1:6" x14ac:dyDescent="0.25">
      <c r="A10195">
        <v>10194</v>
      </c>
      <c r="B10195">
        <v>46</v>
      </c>
      <c r="C10195">
        <v>0</v>
      </c>
      <c r="D10195">
        <v>0</v>
      </c>
      <c r="E10195">
        <v>0</v>
      </c>
      <c r="F10195">
        <v>0</v>
      </c>
    </row>
    <row r="10196" spans="1:6" x14ac:dyDescent="0.25">
      <c r="A10196">
        <v>10195</v>
      </c>
      <c r="B10196" t="s">
        <v>0</v>
      </c>
      <c r="C10196">
        <v>122</v>
      </c>
      <c r="D10196">
        <v>3494</v>
      </c>
      <c r="E10196">
        <v>80352465</v>
      </c>
    </row>
    <row r="10197" spans="1:6" x14ac:dyDescent="0.25">
      <c r="A10197">
        <v>10196</v>
      </c>
      <c r="B10197">
        <v>2</v>
      </c>
      <c r="C10197">
        <v>0</v>
      </c>
      <c r="D10197">
        <v>0</v>
      </c>
      <c r="E10197">
        <v>0</v>
      </c>
      <c r="F10197">
        <v>249.648</v>
      </c>
    </row>
    <row r="10198" spans="1:6" x14ac:dyDescent="0.25">
      <c r="A10198">
        <v>10197</v>
      </c>
      <c r="B10198">
        <v>10</v>
      </c>
      <c r="C10198">
        <v>1</v>
      </c>
      <c r="D10198">
        <v>0</v>
      </c>
      <c r="E10198">
        <v>0</v>
      </c>
      <c r="F10198">
        <v>4636</v>
      </c>
    </row>
    <row r="10199" spans="1:6" x14ac:dyDescent="0.25">
      <c r="A10199">
        <v>10198</v>
      </c>
      <c r="B10199" t="s">
        <v>0</v>
      </c>
      <c r="C10199">
        <v>123</v>
      </c>
      <c r="D10199">
        <v>3494</v>
      </c>
      <c r="E10199">
        <v>80352598</v>
      </c>
    </row>
    <row r="10200" spans="1:6" x14ac:dyDescent="0.25">
      <c r="A10200">
        <v>10199</v>
      </c>
      <c r="B10200">
        <v>13</v>
      </c>
      <c r="C10200">
        <v>0</v>
      </c>
      <c r="D10200">
        <v>0</v>
      </c>
      <c r="E10200">
        <v>0</v>
      </c>
      <c r="F10200">
        <v>1608</v>
      </c>
    </row>
    <row r="10201" spans="1:6" x14ac:dyDescent="0.25">
      <c r="A10201">
        <v>10200</v>
      </c>
      <c r="B10201">
        <v>41</v>
      </c>
      <c r="C10201">
        <v>0</v>
      </c>
      <c r="D10201">
        <v>0</v>
      </c>
      <c r="E10201">
        <v>0</v>
      </c>
      <c r="F10201">
        <v>1</v>
      </c>
    </row>
    <row r="10202" spans="1:6" x14ac:dyDescent="0.25">
      <c r="A10202">
        <v>10201</v>
      </c>
      <c r="B10202" t="s">
        <v>0</v>
      </c>
      <c r="C10202">
        <v>124</v>
      </c>
      <c r="D10202">
        <v>3494</v>
      </c>
      <c r="E10202">
        <v>80352731</v>
      </c>
    </row>
    <row r="10203" spans="1:6" x14ac:dyDescent="0.25">
      <c r="A10203">
        <v>10202</v>
      </c>
      <c r="B10203">
        <v>42</v>
      </c>
      <c r="C10203">
        <v>0</v>
      </c>
      <c r="D10203">
        <v>0</v>
      </c>
      <c r="E10203">
        <v>0</v>
      </c>
      <c r="F10203">
        <v>0.2</v>
      </c>
    </row>
    <row r="10204" spans="1:6" x14ac:dyDescent="0.25">
      <c r="A10204">
        <v>10203</v>
      </c>
      <c r="B10204">
        <v>43</v>
      </c>
      <c r="C10204">
        <v>0</v>
      </c>
      <c r="D10204">
        <v>0</v>
      </c>
      <c r="E10204">
        <v>0</v>
      </c>
      <c r="F10204">
        <v>0</v>
      </c>
    </row>
    <row r="10205" spans="1:6" x14ac:dyDescent="0.25">
      <c r="A10205">
        <v>10204</v>
      </c>
      <c r="B10205" t="s">
        <v>0</v>
      </c>
      <c r="C10205">
        <v>125</v>
      </c>
      <c r="D10205">
        <v>3494</v>
      </c>
      <c r="E10205">
        <v>80352864</v>
      </c>
    </row>
    <row r="10206" spans="1:6" x14ac:dyDescent="0.25">
      <c r="A10206">
        <v>10205</v>
      </c>
      <c r="B10206">
        <v>44</v>
      </c>
      <c r="C10206">
        <v>0</v>
      </c>
      <c r="D10206">
        <v>0</v>
      </c>
      <c r="E10206">
        <v>0</v>
      </c>
      <c r="F10206">
        <v>-45.717799999999997</v>
      </c>
    </row>
    <row r="10207" spans="1:6" x14ac:dyDescent="0.25">
      <c r="A10207">
        <v>10206</v>
      </c>
      <c r="B10207">
        <v>45</v>
      </c>
      <c r="C10207">
        <v>0</v>
      </c>
      <c r="D10207">
        <v>0</v>
      </c>
      <c r="E10207">
        <v>0</v>
      </c>
      <c r="F10207">
        <v>519.19899999999996</v>
      </c>
    </row>
    <row r="10208" spans="1:6" x14ac:dyDescent="0.25">
      <c r="A10208">
        <v>10207</v>
      </c>
      <c r="B10208" t="s">
        <v>0</v>
      </c>
      <c r="C10208">
        <v>126</v>
      </c>
      <c r="D10208">
        <v>3494</v>
      </c>
      <c r="E10208">
        <v>80352997</v>
      </c>
    </row>
    <row r="10209" spans="1:6" x14ac:dyDescent="0.25">
      <c r="A10209">
        <v>10208</v>
      </c>
      <c r="B10209">
        <v>46</v>
      </c>
      <c r="C10209">
        <v>0</v>
      </c>
      <c r="D10209">
        <v>0</v>
      </c>
      <c r="E10209">
        <v>0</v>
      </c>
      <c r="F10209">
        <v>0</v>
      </c>
    </row>
    <row r="10210" spans="1:6" x14ac:dyDescent="0.25">
      <c r="A10210">
        <v>10209</v>
      </c>
      <c r="B10210">
        <v>2</v>
      </c>
      <c r="C10210">
        <v>0</v>
      </c>
      <c r="D10210">
        <v>0</v>
      </c>
      <c r="E10210">
        <v>0</v>
      </c>
      <c r="F10210">
        <v>249.595</v>
      </c>
    </row>
    <row r="10211" spans="1:6" x14ac:dyDescent="0.25">
      <c r="A10211">
        <v>10210</v>
      </c>
      <c r="B10211" t="s">
        <v>0</v>
      </c>
      <c r="C10211">
        <v>127</v>
      </c>
      <c r="D10211">
        <v>3494</v>
      </c>
      <c r="E10211">
        <v>80353130</v>
      </c>
    </row>
    <row r="10212" spans="1:6" x14ac:dyDescent="0.25">
      <c r="A10212">
        <v>10211</v>
      </c>
      <c r="B10212">
        <v>10</v>
      </c>
      <c r="C10212">
        <v>1</v>
      </c>
      <c r="D10212">
        <v>0</v>
      </c>
      <c r="E10212">
        <v>0</v>
      </c>
      <c r="F10212">
        <v>4638</v>
      </c>
    </row>
    <row r="10213" spans="1:6" x14ac:dyDescent="0.25">
      <c r="A10213">
        <v>10212</v>
      </c>
      <c r="B10213">
        <v>13</v>
      </c>
      <c r="C10213">
        <v>0</v>
      </c>
      <c r="D10213">
        <v>0</v>
      </c>
      <c r="E10213">
        <v>0</v>
      </c>
      <c r="F10213">
        <v>1608</v>
      </c>
    </row>
    <row r="10214" spans="1:6" x14ac:dyDescent="0.25">
      <c r="A10214">
        <v>10213</v>
      </c>
      <c r="B10214" t="s">
        <v>0</v>
      </c>
      <c r="C10214">
        <v>128</v>
      </c>
      <c r="D10214">
        <v>3494</v>
      </c>
      <c r="E10214">
        <v>80353263</v>
      </c>
    </row>
    <row r="10215" spans="1:6" x14ac:dyDescent="0.25">
      <c r="A10215">
        <v>10214</v>
      </c>
      <c r="B10215">
        <v>41</v>
      </c>
      <c r="C10215">
        <v>0</v>
      </c>
      <c r="D10215">
        <v>0</v>
      </c>
      <c r="E10215">
        <v>0</v>
      </c>
      <c r="F10215">
        <v>1</v>
      </c>
    </row>
    <row r="10216" spans="1:6" x14ac:dyDescent="0.25">
      <c r="A10216">
        <v>10215</v>
      </c>
      <c r="B10216">
        <v>42</v>
      </c>
      <c r="C10216">
        <v>0</v>
      </c>
      <c r="D10216">
        <v>0</v>
      </c>
      <c r="E10216">
        <v>0</v>
      </c>
      <c r="F10216">
        <v>0.2</v>
      </c>
    </row>
    <row r="10217" spans="1:6" x14ac:dyDescent="0.25">
      <c r="A10217">
        <v>10216</v>
      </c>
      <c r="B10217" t="s">
        <v>0</v>
      </c>
      <c r="C10217">
        <v>129</v>
      </c>
      <c r="D10217">
        <v>3494</v>
      </c>
      <c r="E10217">
        <v>80353397</v>
      </c>
    </row>
    <row r="10218" spans="1:6" x14ac:dyDescent="0.25">
      <c r="A10218">
        <v>10217</v>
      </c>
      <c r="B10218">
        <v>43</v>
      </c>
      <c r="C10218">
        <v>0</v>
      </c>
      <c r="D10218">
        <v>0</v>
      </c>
      <c r="E10218">
        <v>0</v>
      </c>
      <c r="F10218">
        <v>0</v>
      </c>
    </row>
    <row r="10219" spans="1:6" x14ac:dyDescent="0.25">
      <c r="A10219">
        <v>10218</v>
      </c>
      <c r="B10219">
        <v>44</v>
      </c>
      <c r="C10219">
        <v>0</v>
      </c>
      <c r="D10219">
        <v>0</v>
      </c>
      <c r="E10219">
        <v>0</v>
      </c>
      <c r="F10219">
        <v>-45.528700000000001</v>
      </c>
    </row>
    <row r="10220" spans="1:6" x14ac:dyDescent="0.25">
      <c r="A10220">
        <v>10219</v>
      </c>
      <c r="B10220" t="s">
        <v>0</v>
      </c>
      <c r="C10220">
        <v>130</v>
      </c>
      <c r="D10220">
        <v>3494</v>
      </c>
      <c r="E10220">
        <v>80353531</v>
      </c>
    </row>
    <row r="10221" spans="1:6" x14ac:dyDescent="0.25">
      <c r="A10221">
        <v>10220</v>
      </c>
      <c r="B10221">
        <v>45</v>
      </c>
      <c r="C10221">
        <v>0</v>
      </c>
      <c r="D10221">
        <v>0</v>
      </c>
      <c r="E10221">
        <v>0</v>
      </c>
      <c r="F10221">
        <v>519.16300000000001</v>
      </c>
    </row>
    <row r="10222" spans="1:6" x14ac:dyDescent="0.25">
      <c r="A10222">
        <v>10221</v>
      </c>
      <c r="B10222">
        <v>46</v>
      </c>
      <c r="C10222">
        <v>0</v>
      </c>
      <c r="D10222">
        <v>0</v>
      </c>
      <c r="E10222">
        <v>0</v>
      </c>
      <c r="F10222">
        <v>0</v>
      </c>
    </row>
    <row r="10223" spans="1:6" x14ac:dyDescent="0.25">
      <c r="A10223">
        <v>10222</v>
      </c>
      <c r="B10223" t="s">
        <v>0</v>
      </c>
      <c r="C10223">
        <v>131</v>
      </c>
      <c r="D10223">
        <v>3494</v>
      </c>
      <c r="E10223">
        <v>80353665</v>
      </c>
    </row>
    <row r="10224" spans="1:6" x14ac:dyDescent="0.25">
      <c r="A10224">
        <v>10223</v>
      </c>
      <c r="B10224">
        <v>2</v>
      </c>
      <c r="C10224">
        <v>0</v>
      </c>
      <c r="D10224">
        <v>0</v>
      </c>
      <c r="E10224">
        <v>0</v>
      </c>
      <c r="F10224">
        <v>249.49</v>
      </c>
    </row>
    <row r="10225" spans="1:6" x14ac:dyDescent="0.25">
      <c r="A10225">
        <v>10224</v>
      </c>
      <c r="B10225">
        <v>10</v>
      </c>
      <c r="C10225">
        <v>1</v>
      </c>
      <c r="D10225">
        <v>0</v>
      </c>
      <c r="E10225">
        <v>0</v>
      </c>
      <c r="F10225">
        <v>4641</v>
      </c>
    </row>
    <row r="10226" spans="1:6" x14ac:dyDescent="0.25">
      <c r="A10226">
        <v>10225</v>
      </c>
      <c r="B10226" t="s">
        <v>0</v>
      </c>
      <c r="C10226">
        <v>132</v>
      </c>
      <c r="D10226">
        <v>3494</v>
      </c>
      <c r="E10226">
        <v>80353799</v>
      </c>
    </row>
    <row r="10227" spans="1:6" x14ac:dyDescent="0.25">
      <c r="A10227">
        <v>10226</v>
      </c>
      <c r="B10227">
        <v>13</v>
      </c>
      <c r="C10227">
        <v>0</v>
      </c>
      <c r="D10227">
        <v>0</v>
      </c>
      <c r="E10227">
        <v>0</v>
      </c>
      <c r="F10227">
        <v>1608</v>
      </c>
    </row>
    <row r="10228" spans="1:6" x14ac:dyDescent="0.25">
      <c r="A10228">
        <v>10227</v>
      </c>
      <c r="B10228">
        <v>41</v>
      </c>
      <c r="C10228">
        <v>0</v>
      </c>
      <c r="D10228">
        <v>0</v>
      </c>
      <c r="E10228">
        <v>0</v>
      </c>
      <c r="F10228">
        <v>1</v>
      </c>
    </row>
    <row r="10229" spans="1:6" x14ac:dyDescent="0.25">
      <c r="A10229">
        <v>10228</v>
      </c>
      <c r="B10229" t="s">
        <v>0</v>
      </c>
      <c r="C10229">
        <v>133</v>
      </c>
      <c r="D10229">
        <v>3494</v>
      </c>
      <c r="E10229">
        <v>80353933</v>
      </c>
    </row>
    <row r="10230" spans="1:6" x14ac:dyDescent="0.25">
      <c r="A10230">
        <v>10229</v>
      </c>
      <c r="B10230">
        <v>42</v>
      </c>
      <c r="C10230">
        <v>0</v>
      </c>
      <c r="D10230">
        <v>0</v>
      </c>
      <c r="E10230">
        <v>0</v>
      </c>
      <c r="F10230">
        <v>0.2</v>
      </c>
    </row>
    <row r="10231" spans="1:6" x14ac:dyDescent="0.25">
      <c r="A10231">
        <v>10230</v>
      </c>
      <c r="B10231">
        <v>43</v>
      </c>
      <c r="C10231">
        <v>0</v>
      </c>
      <c r="D10231">
        <v>0</v>
      </c>
      <c r="E10231">
        <v>0</v>
      </c>
      <c r="F10231">
        <v>0</v>
      </c>
    </row>
    <row r="10232" spans="1:6" x14ac:dyDescent="0.25">
      <c r="A10232">
        <v>10231</v>
      </c>
      <c r="B10232" t="s">
        <v>0</v>
      </c>
      <c r="C10232">
        <v>134</v>
      </c>
      <c r="D10232">
        <v>3494</v>
      </c>
      <c r="E10232">
        <v>80354067</v>
      </c>
    </row>
    <row r="10233" spans="1:6" x14ac:dyDescent="0.25">
      <c r="A10233">
        <v>10232</v>
      </c>
      <c r="B10233">
        <v>44</v>
      </c>
      <c r="C10233">
        <v>0</v>
      </c>
      <c r="D10233">
        <v>0</v>
      </c>
      <c r="E10233">
        <v>0</v>
      </c>
      <c r="F10233">
        <v>-45.227800000000002</v>
      </c>
    </row>
    <row r="10234" spans="1:6" x14ac:dyDescent="0.25">
      <c r="A10234">
        <v>10233</v>
      </c>
      <c r="B10234">
        <v>45</v>
      </c>
      <c r="C10234">
        <v>0</v>
      </c>
      <c r="D10234">
        <v>0</v>
      </c>
      <c r="E10234">
        <v>0</v>
      </c>
      <c r="F10234">
        <v>519.13400000000001</v>
      </c>
    </row>
    <row r="10235" spans="1:6" x14ac:dyDescent="0.25">
      <c r="A10235">
        <v>10234</v>
      </c>
      <c r="B10235" t="s">
        <v>0</v>
      </c>
      <c r="C10235">
        <v>135</v>
      </c>
      <c r="D10235">
        <v>3494</v>
      </c>
      <c r="E10235">
        <v>80354200</v>
      </c>
    </row>
    <row r="10236" spans="1:6" x14ac:dyDescent="0.25">
      <c r="A10236">
        <v>10235</v>
      </c>
      <c r="B10236">
        <v>46</v>
      </c>
      <c r="C10236">
        <v>0</v>
      </c>
      <c r="D10236">
        <v>0</v>
      </c>
      <c r="E10236">
        <v>0</v>
      </c>
      <c r="F10236">
        <v>0</v>
      </c>
    </row>
    <row r="10237" spans="1:6" x14ac:dyDescent="0.25">
      <c r="A10237">
        <v>10236</v>
      </c>
      <c r="B10237">
        <v>2</v>
      </c>
      <c r="C10237">
        <v>0</v>
      </c>
      <c r="D10237">
        <v>0</v>
      </c>
      <c r="E10237">
        <v>0</v>
      </c>
      <c r="F10237">
        <v>249.398</v>
      </c>
    </row>
    <row r="10238" spans="1:6" x14ac:dyDescent="0.25">
      <c r="A10238">
        <v>10237</v>
      </c>
      <c r="B10238" t="s">
        <v>0</v>
      </c>
      <c r="C10238">
        <v>136</v>
      </c>
      <c r="D10238">
        <v>3494</v>
      </c>
      <c r="E10238">
        <v>80354333</v>
      </c>
    </row>
    <row r="10239" spans="1:6" x14ac:dyDescent="0.25">
      <c r="A10239">
        <v>10238</v>
      </c>
      <c r="B10239">
        <v>10</v>
      </c>
      <c r="C10239">
        <v>1</v>
      </c>
      <c r="D10239">
        <v>0</v>
      </c>
      <c r="E10239">
        <v>0</v>
      </c>
      <c r="F10239">
        <v>4644</v>
      </c>
    </row>
    <row r="10240" spans="1:6" x14ac:dyDescent="0.25">
      <c r="A10240">
        <v>10239</v>
      </c>
      <c r="B10240">
        <v>13</v>
      </c>
      <c r="C10240">
        <v>0</v>
      </c>
      <c r="D10240">
        <v>0</v>
      </c>
      <c r="E10240">
        <v>0</v>
      </c>
      <c r="F10240">
        <v>1608</v>
      </c>
    </row>
    <row r="10241" spans="1:6" x14ac:dyDescent="0.25">
      <c r="A10241">
        <v>10240</v>
      </c>
      <c r="B10241" t="s">
        <v>0</v>
      </c>
      <c r="C10241">
        <v>137</v>
      </c>
      <c r="D10241">
        <v>3494</v>
      </c>
      <c r="E10241">
        <v>80354466</v>
      </c>
    </row>
    <row r="10242" spans="1:6" x14ac:dyDescent="0.25">
      <c r="A10242">
        <v>10241</v>
      </c>
      <c r="B10242">
        <v>41</v>
      </c>
      <c r="C10242">
        <v>0</v>
      </c>
      <c r="D10242">
        <v>0</v>
      </c>
      <c r="E10242">
        <v>0</v>
      </c>
      <c r="F10242">
        <v>1</v>
      </c>
    </row>
    <row r="10243" spans="1:6" x14ac:dyDescent="0.25">
      <c r="A10243">
        <v>10242</v>
      </c>
      <c r="B10243">
        <v>42</v>
      </c>
      <c r="C10243">
        <v>0</v>
      </c>
      <c r="D10243">
        <v>0</v>
      </c>
      <c r="E10243">
        <v>0</v>
      </c>
      <c r="F10243">
        <v>0.2</v>
      </c>
    </row>
    <row r="10244" spans="1:6" x14ac:dyDescent="0.25">
      <c r="A10244">
        <v>10243</v>
      </c>
      <c r="B10244" t="s">
        <v>0</v>
      </c>
      <c r="C10244">
        <v>138</v>
      </c>
      <c r="D10244">
        <v>3494</v>
      </c>
      <c r="E10244">
        <v>80354599</v>
      </c>
    </row>
    <row r="10245" spans="1:6" x14ac:dyDescent="0.25">
      <c r="A10245">
        <v>10244</v>
      </c>
      <c r="B10245">
        <v>43</v>
      </c>
      <c r="C10245">
        <v>0</v>
      </c>
      <c r="D10245">
        <v>0</v>
      </c>
      <c r="E10245">
        <v>0</v>
      </c>
      <c r="F10245">
        <v>0</v>
      </c>
    </row>
    <row r="10246" spans="1:6" x14ac:dyDescent="0.25">
      <c r="A10246">
        <v>10245</v>
      </c>
      <c r="B10246">
        <v>44</v>
      </c>
      <c r="C10246">
        <v>0</v>
      </c>
      <c r="D10246">
        <v>0</v>
      </c>
      <c r="E10246">
        <v>0</v>
      </c>
      <c r="F10246">
        <v>-45.024799999999999</v>
      </c>
    </row>
    <row r="10247" spans="1:6" x14ac:dyDescent="0.25">
      <c r="A10247">
        <v>10246</v>
      </c>
      <c r="B10247" t="s">
        <v>0</v>
      </c>
      <c r="C10247">
        <v>139</v>
      </c>
      <c r="D10247">
        <v>3494</v>
      </c>
      <c r="E10247">
        <v>80354732</v>
      </c>
    </row>
    <row r="10248" spans="1:6" x14ac:dyDescent="0.25">
      <c r="A10248">
        <v>10247</v>
      </c>
      <c r="B10248">
        <v>45</v>
      </c>
      <c r="C10248">
        <v>0</v>
      </c>
      <c r="D10248">
        <v>0</v>
      </c>
      <c r="E10248">
        <v>0</v>
      </c>
      <c r="F10248">
        <v>519.09699999999998</v>
      </c>
    </row>
    <row r="10249" spans="1:6" x14ac:dyDescent="0.25">
      <c r="A10249">
        <v>10248</v>
      </c>
      <c r="B10249">
        <v>46</v>
      </c>
      <c r="C10249">
        <v>0</v>
      </c>
      <c r="D10249">
        <v>0</v>
      </c>
      <c r="E10249">
        <v>0</v>
      </c>
      <c r="F10249">
        <v>0</v>
      </c>
    </row>
    <row r="10250" spans="1:6" x14ac:dyDescent="0.25">
      <c r="A10250">
        <v>10249</v>
      </c>
      <c r="B10250" t="s">
        <v>0</v>
      </c>
      <c r="C10250">
        <v>140</v>
      </c>
      <c r="D10250">
        <v>3494</v>
      </c>
      <c r="E10250">
        <v>80354865</v>
      </c>
    </row>
    <row r="10251" spans="1:6" x14ac:dyDescent="0.25">
      <c r="A10251">
        <v>10250</v>
      </c>
      <c r="B10251">
        <v>2</v>
      </c>
      <c r="C10251">
        <v>0</v>
      </c>
      <c r="D10251">
        <v>0</v>
      </c>
      <c r="E10251">
        <v>0</v>
      </c>
      <c r="F10251">
        <v>249.30500000000001</v>
      </c>
    </row>
    <row r="10252" spans="1:6" x14ac:dyDescent="0.25">
      <c r="A10252">
        <v>10251</v>
      </c>
      <c r="B10252">
        <v>10</v>
      </c>
      <c r="C10252">
        <v>1</v>
      </c>
      <c r="D10252">
        <v>0</v>
      </c>
      <c r="E10252">
        <v>0</v>
      </c>
      <c r="F10252">
        <v>4647</v>
      </c>
    </row>
    <row r="10253" spans="1:6" x14ac:dyDescent="0.25">
      <c r="A10253">
        <v>10252</v>
      </c>
      <c r="B10253" t="s">
        <v>0</v>
      </c>
      <c r="C10253">
        <v>141</v>
      </c>
      <c r="D10253">
        <v>3494</v>
      </c>
      <c r="E10253">
        <v>80354998</v>
      </c>
    </row>
    <row r="10254" spans="1:6" x14ac:dyDescent="0.25">
      <c r="A10254">
        <v>10253</v>
      </c>
      <c r="B10254">
        <v>13</v>
      </c>
      <c r="C10254">
        <v>0</v>
      </c>
      <c r="D10254">
        <v>0</v>
      </c>
      <c r="E10254">
        <v>0</v>
      </c>
      <c r="F10254">
        <v>1608</v>
      </c>
    </row>
    <row r="10255" spans="1:6" x14ac:dyDescent="0.25">
      <c r="A10255">
        <v>10254</v>
      </c>
      <c r="B10255">
        <v>41</v>
      </c>
      <c r="C10255">
        <v>0</v>
      </c>
      <c r="D10255">
        <v>0</v>
      </c>
      <c r="E10255">
        <v>0</v>
      </c>
      <c r="F10255">
        <v>1</v>
      </c>
    </row>
    <row r="10256" spans="1:6" x14ac:dyDescent="0.25">
      <c r="A10256">
        <v>10255</v>
      </c>
      <c r="B10256" t="s">
        <v>0</v>
      </c>
      <c r="C10256">
        <v>142</v>
      </c>
      <c r="D10256">
        <v>3494</v>
      </c>
      <c r="E10256">
        <v>80355131</v>
      </c>
    </row>
    <row r="10257" spans="1:6" x14ac:dyDescent="0.25">
      <c r="A10257">
        <v>10256</v>
      </c>
      <c r="B10257">
        <v>42</v>
      </c>
      <c r="C10257">
        <v>0</v>
      </c>
      <c r="D10257">
        <v>0</v>
      </c>
      <c r="E10257">
        <v>0</v>
      </c>
      <c r="F10257">
        <v>0.2</v>
      </c>
    </row>
    <row r="10258" spans="1:6" x14ac:dyDescent="0.25">
      <c r="A10258">
        <v>10257</v>
      </c>
      <c r="B10258">
        <v>43</v>
      </c>
      <c r="C10258">
        <v>0</v>
      </c>
      <c r="D10258">
        <v>0</v>
      </c>
      <c r="E10258">
        <v>0</v>
      </c>
      <c r="F10258">
        <v>0</v>
      </c>
    </row>
    <row r="10259" spans="1:6" x14ac:dyDescent="0.25">
      <c r="A10259">
        <v>10258</v>
      </c>
      <c r="B10259" t="s">
        <v>0</v>
      </c>
      <c r="C10259">
        <v>143</v>
      </c>
      <c r="D10259">
        <v>3494</v>
      </c>
      <c r="E10259">
        <v>80355264</v>
      </c>
    </row>
    <row r="10260" spans="1:6" x14ac:dyDescent="0.25">
      <c r="A10260">
        <v>10259</v>
      </c>
      <c r="B10260">
        <v>44</v>
      </c>
      <c r="C10260">
        <v>0</v>
      </c>
      <c r="D10260">
        <v>0</v>
      </c>
      <c r="E10260">
        <v>0</v>
      </c>
      <c r="F10260">
        <v>-44.770800000000001</v>
      </c>
    </row>
    <row r="10261" spans="1:6" x14ac:dyDescent="0.25">
      <c r="A10261">
        <v>10260</v>
      </c>
      <c r="B10261">
        <v>45</v>
      </c>
      <c r="C10261">
        <v>0</v>
      </c>
      <c r="D10261">
        <v>0</v>
      </c>
      <c r="E10261">
        <v>0</v>
      </c>
      <c r="F10261">
        <v>519.06899999999996</v>
      </c>
    </row>
    <row r="10262" spans="1:6" x14ac:dyDescent="0.25">
      <c r="A10262">
        <v>10261</v>
      </c>
      <c r="B10262" t="s">
        <v>0</v>
      </c>
      <c r="C10262">
        <v>144</v>
      </c>
      <c r="D10262">
        <v>3494</v>
      </c>
      <c r="E10262">
        <v>80355398</v>
      </c>
    </row>
    <row r="10263" spans="1:6" x14ac:dyDescent="0.25">
      <c r="A10263">
        <v>10262</v>
      </c>
      <c r="B10263">
        <v>46</v>
      </c>
      <c r="C10263">
        <v>0</v>
      </c>
      <c r="D10263">
        <v>0</v>
      </c>
      <c r="E10263">
        <v>0</v>
      </c>
      <c r="F10263">
        <v>0</v>
      </c>
    </row>
    <row r="10264" spans="1:6" x14ac:dyDescent="0.25">
      <c r="A10264">
        <v>10263</v>
      </c>
      <c r="B10264">
        <v>2</v>
      </c>
      <c r="C10264">
        <v>0</v>
      </c>
      <c r="D10264">
        <v>0</v>
      </c>
      <c r="E10264">
        <v>0</v>
      </c>
      <c r="F10264">
        <v>249.24700000000001</v>
      </c>
    </row>
    <row r="10265" spans="1:6" x14ac:dyDescent="0.25">
      <c r="A10265">
        <v>10264</v>
      </c>
      <c r="B10265" t="s">
        <v>0</v>
      </c>
      <c r="C10265">
        <v>145</v>
      </c>
      <c r="D10265">
        <v>3494</v>
      </c>
      <c r="E10265">
        <v>80355532</v>
      </c>
    </row>
    <row r="10266" spans="1:6" x14ac:dyDescent="0.25">
      <c r="A10266">
        <v>10265</v>
      </c>
      <c r="B10266">
        <v>10</v>
      </c>
      <c r="C10266">
        <v>1</v>
      </c>
      <c r="D10266">
        <v>0</v>
      </c>
      <c r="E10266">
        <v>0</v>
      </c>
      <c r="F10266">
        <v>4649</v>
      </c>
    </row>
    <row r="10267" spans="1:6" x14ac:dyDescent="0.25">
      <c r="A10267">
        <v>10266</v>
      </c>
      <c r="B10267">
        <v>13</v>
      </c>
      <c r="C10267">
        <v>0</v>
      </c>
      <c r="D10267">
        <v>0</v>
      </c>
      <c r="E10267">
        <v>0</v>
      </c>
      <c r="F10267">
        <v>1608</v>
      </c>
    </row>
    <row r="10268" spans="1:6" x14ac:dyDescent="0.25">
      <c r="A10268">
        <v>10267</v>
      </c>
      <c r="B10268" t="s">
        <v>0</v>
      </c>
      <c r="C10268">
        <v>146</v>
      </c>
      <c r="D10268">
        <v>3494</v>
      </c>
      <c r="E10268">
        <v>80355666</v>
      </c>
    </row>
    <row r="10269" spans="1:6" x14ac:dyDescent="0.25">
      <c r="A10269">
        <v>10268</v>
      </c>
      <c r="B10269">
        <v>41</v>
      </c>
      <c r="C10269">
        <v>0</v>
      </c>
      <c r="D10269">
        <v>0</v>
      </c>
      <c r="E10269">
        <v>0</v>
      </c>
      <c r="F10269">
        <v>1</v>
      </c>
    </row>
    <row r="10270" spans="1:6" x14ac:dyDescent="0.25">
      <c r="A10270">
        <v>10269</v>
      </c>
      <c r="B10270">
        <v>42</v>
      </c>
      <c r="C10270">
        <v>0</v>
      </c>
      <c r="D10270">
        <v>0</v>
      </c>
      <c r="E10270">
        <v>0</v>
      </c>
      <c r="F10270">
        <v>0.2</v>
      </c>
    </row>
    <row r="10271" spans="1:6" x14ac:dyDescent="0.25">
      <c r="A10271">
        <v>10270</v>
      </c>
      <c r="B10271" t="s">
        <v>0</v>
      </c>
      <c r="C10271">
        <v>147</v>
      </c>
      <c r="D10271">
        <v>3494</v>
      </c>
      <c r="E10271">
        <v>80355800</v>
      </c>
    </row>
    <row r="10272" spans="1:6" x14ac:dyDescent="0.25">
      <c r="A10272">
        <v>10271</v>
      </c>
      <c r="B10272">
        <v>43</v>
      </c>
      <c r="C10272">
        <v>0</v>
      </c>
      <c r="D10272">
        <v>0</v>
      </c>
      <c r="E10272">
        <v>0</v>
      </c>
      <c r="F10272">
        <v>0</v>
      </c>
    </row>
    <row r="10273" spans="1:6" x14ac:dyDescent="0.25">
      <c r="A10273">
        <v>10272</v>
      </c>
      <c r="B10273">
        <v>44</v>
      </c>
      <c r="C10273">
        <v>0</v>
      </c>
      <c r="D10273">
        <v>0</v>
      </c>
      <c r="E10273">
        <v>0</v>
      </c>
      <c r="F10273">
        <v>-44.570700000000002</v>
      </c>
    </row>
    <row r="10274" spans="1:6" x14ac:dyDescent="0.25">
      <c r="A10274">
        <v>10273</v>
      </c>
      <c r="B10274" t="s">
        <v>0</v>
      </c>
      <c r="C10274">
        <v>148</v>
      </c>
      <c r="D10274">
        <v>3494</v>
      </c>
      <c r="E10274">
        <v>80355934</v>
      </c>
    </row>
    <row r="10275" spans="1:6" x14ac:dyDescent="0.25">
      <c r="A10275">
        <v>10274</v>
      </c>
      <c r="B10275">
        <v>45</v>
      </c>
      <c r="C10275">
        <v>0</v>
      </c>
      <c r="D10275">
        <v>0</v>
      </c>
      <c r="E10275">
        <v>0</v>
      </c>
      <c r="F10275">
        <v>519.03300000000002</v>
      </c>
    </row>
    <row r="10276" spans="1:6" x14ac:dyDescent="0.25">
      <c r="A10276">
        <v>10275</v>
      </c>
      <c r="B10276">
        <v>46</v>
      </c>
      <c r="C10276">
        <v>0</v>
      </c>
      <c r="D10276">
        <v>0</v>
      </c>
      <c r="E10276">
        <v>0</v>
      </c>
      <c r="F10276">
        <v>0</v>
      </c>
    </row>
    <row r="10277" spans="1:6" x14ac:dyDescent="0.25">
      <c r="A10277">
        <v>10276</v>
      </c>
      <c r="B10277" t="s">
        <v>0</v>
      </c>
      <c r="C10277">
        <v>149</v>
      </c>
      <c r="D10277">
        <v>3494</v>
      </c>
      <c r="E10277">
        <v>80356068</v>
      </c>
    </row>
    <row r="10278" spans="1:6" x14ac:dyDescent="0.25">
      <c r="A10278">
        <v>10277</v>
      </c>
      <c r="B10278">
        <v>2</v>
      </c>
      <c r="C10278">
        <v>0</v>
      </c>
      <c r="D10278">
        <v>0</v>
      </c>
      <c r="E10278">
        <v>0</v>
      </c>
      <c r="F10278">
        <v>249.17</v>
      </c>
    </row>
    <row r="10279" spans="1:6" x14ac:dyDescent="0.25">
      <c r="A10279">
        <v>10278</v>
      </c>
      <c r="B10279">
        <v>10</v>
      </c>
      <c r="C10279">
        <v>1</v>
      </c>
      <c r="D10279">
        <v>0</v>
      </c>
      <c r="E10279">
        <v>0</v>
      </c>
      <c r="F10279">
        <v>4651</v>
      </c>
    </row>
    <row r="10280" spans="1:6" x14ac:dyDescent="0.25">
      <c r="A10280">
        <v>10279</v>
      </c>
      <c r="B10280" t="s">
        <v>0</v>
      </c>
      <c r="C10280">
        <v>150</v>
      </c>
      <c r="D10280">
        <v>3494</v>
      </c>
      <c r="E10280">
        <v>80356202</v>
      </c>
    </row>
    <row r="10281" spans="1:6" x14ac:dyDescent="0.25">
      <c r="A10281">
        <v>10280</v>
      </c>
      <c r="B10281">
        <v>13</v>
      </c>
      <c r="C10281">
        <v>0</v>
      </c>
      <c r="D10281">
        <v>0</v>
      </c>
      <c r="E10281">
        <v>0</v>
      </c>
      <c r="F10281">
        <v>1608</v>
      </c>
    </row>
    <row r="10282" spans="1:6" x14ac:dyDescent="0.25">
      <c r="A10282">
        <v>10281</v>
      </c>
      <c r="B10282">
        <v>41</v>
      </c>
      <c r="C10282">
        <v>0</v>
      </c>
      <c r="D10282">
        <v>0</v>
      </c>
      <c r="E10282">
        <v>0</v>
      </c>
      <c r="F10282">
        <v>1</v>
      </c>
    </row>
    <row r="10283" spans="1:6" x14ac:dyDescent="0.25">
      <c r="A10283">
        <v>10282</v>
      </c>
      <c r="B10283" t="s">
        <v>0</v>
      </c>
      <c r="C10283">
        <v>151</v>
      </c>
      <c r="D10283">
        <v>3494</v>
      </c>
      <c r="E10283">
        <v>80356336</v>
      </c>
    </row>
    <row r="10284" spans="1:6" x14ac:dyDescent="0.25">
      <c r="A10284">
        <v>10283</v>
      </c>
      <c r="B10284">
        <v>42</v>
      </c>
      <c r="C10284">
        <v>0</v>
      </c>
      <c r="D10284">
        <v>0</v>
      </c>
      <c r="E10284">
        <v>0</v>
      </c>
      <c r="F10284">
        <v>0.2</v>
      </c>
    </row>
    <row r="10285" spans="1:6" x14ac:dyDescent="0.25">
      <c r="A10285">
        <v>10284</v>
      </c>
      <c r="B10285">
        <v>43</v>
      </c>
      <c r="C10285">
        <v>0</v>
      </c>
      <c r="D10285">
        <v>0</v>
      </c>
      <c r="E10285">
        <v>0</v>
      </c>
      <c r="F10285">
        <v>0</v>
      </c>
    </row>
    <row r="10286" spans="1:6" x14ac:dyDescent="0.25">
      <c r="A10286">
        <v>10285</v>
      </c>
      <c r="B10286" t="s">
        <v>0</v>
      </c>
      <c r="C10286">
        <v>152</v>
      </c>
      <c r="D10286">
        <v>3494</v>
      </c>
      <c r="E10286">
        <v>80356469</v>
      </c>
    </row>
    <row r="10287" spans="1:6" x14ac:dyDescent="0.25">
      <c r="A10287">
        <v>10286</v>
      </c>
      <c r="B10287">
        <v>44</v>
      </c>
      <c r="C10287">
        <v>0</v>
      </c>
      <c r="D10287">
        <v>0</v>
      </c>
      <c r="E10287">
        <v>0</v>
      </c>
      <c r="F10287">
        <v>-44.302100000000003</v>
      </c>
    </row>
    <row r="10288" spans="1:6" x14ac:dyDescent="0.25">
      <c r="A10288">
        <v>10287</v>
      </c>
      <c r="B10288">
        <v>45</v>
      </c>
      <c r="C10288">
        <v>0</v>
      </c>
      <c r="D10288">
        <v>0</v>
      </c>
      <c r="E10288">
        <v>0</v>
      </c>
      <c r="F10288">
        <v>519.00400000000002</v>
      </c>
    </row>
    <row r="10289" spans="1:6" x14ac:dyDescent="0.25">
      <c r="A10289">
        <v>10288</v>
      </c>
      <c r="B10289" t="s">
        <v>0</v>
      </c>
      <c r="C10289">
        <v>153</v>
      </c>
      <c r="D10289">
        <v>3494</v>
      </c>
      <c r="E10289">
        <v>80356602</v>
      </c>
    </row>
    <row r="10290" spans="1:6" x14ac:dyDescent="0.25">
      <c r="A10290">
        <v>10289</v>
      </c>
      <c r="B10290">
        <v>46</v>
      </c>
      <c r="C10290">
        <v>0</v>
      </c>
      <c r="D10290">
        <v>0</v>
      </c>
      <c r="E10290">
        <v>0</v>
      </c>
      <c r="F10290">
        <v>0</v>
      </c>
    </row>
    <row r="10291" spans="1:6" x14ac:dyDescent="0.25">
      <c r="A10291">
        <v>10290</v>
      </c>
      <c r="B10291">
        <v>2</v>
      </c>
      <c r="C10291">
        <v>0</v>
      </c>
      <c r="D10291">
        <v>0</v>
      </c>
      <c r="E10291">
        <v>0</v>
      </c>
      <c r="F10291">
        <v>249.06800000000001</v>
      </c>
    </row>
    <row r="10292" spans="1:6" x14ac:dyDescent="0.25">
      <c r="A10292">
        <v>10291</v>
      </c>
      <c r="B10292" t="s">
        <v>0</v>
      </c>
      <c r="C10292">
        <v>154</v>
      </c>
      <c r="D10292">
        <v>3494</v>
      </c>
      <c r="E10292">
        <v>80356735</v>
      </c>
    </row>
    <row r="10293" spans="1:6" x14ac:dyDescent="0.25">
      <c r="A10293">
        <v>10292</v>
      </c>
      <c r="B10293">
        <v>10</v>
      </c>
      <c r="C10293">
        <v>1</v>
      </c>
      <c r="D10293">
        <v>0</v>
      </c>
      <c r="E10293">
        <v>0</v>
      </c>
      <c r="F10293">
        <v>4654</v>
      </c>
    </row>
    <row r="10294" spans="1:6" x14ac:dyDescent="0.25">
      <c r="A10294">
        <v>10293</v>
      </c>
      <c r="B10294">
        <v>13</v>
      </c>
      <c r="C10294">
        <v>0</v>
      </c>
      <c r="D10294">
        <v>0</v>
      </c>
      <c r="E10294">
        <v>0</v>
      </c>
      <c r="F10294">
        <v>1608</v>
      </c>
    </row>
    <row r="10295" spans="1:6" x14ac:dyDescent="0.25">
      <c r="A10295">
        <v>10294</v>
      </c>
      <c r="B10295" t="s">
        <v>0</v>
      </c>
      <c r="C10295">
        <v>155</v>
      </c>
      <c r="D10295">
        <v>3494</v>
      </c>
      <c r="E10295">
        <v>80356869</v>
      </c>
    </row>
    <row r="10296" spans="1:6" x14ac:dyDescent="0.25">
      <c r="A10296">
        <v>10295</v>
      </c>
      <c r="B10296">
        <v>41</v>
      </c>
      <c r="C10296">
        <v>0</v>
      </c>
      <c r="D10296">
        <v>0</v>
      </c>
      <c r="E10296">
        <v>0</v>
      </c>
      <c r="F10296">
        <v>1</v>
      </c>
    </row>
    <row r="10297" spans="1:6" x14ac:dyDescent="0.25">
      <c r="A10297">
        <v>10296</v>
      </c>
      <c r="B10297">
        <v>42</v>
      </c>
      <c r="C10297">
        <v>0</v>
      </c>
      <c r="D10297">
        <v>0</v>
      </c>
      <c r="E10297">
        <v>0</v>
      </c>
      <c r="F10297">
        <v>0.2</v>
      </c>
    </row>
    <row r="10298" spans="1:6" x14ac:dyDescent="0.25">
      <c r="A10298">
        <v>10297</v>
      </c>
      <c r="B10298" t="s">
        <v>0</v>
      </c>
      <c r="C10298">
        <v>156</v>
      </c>
      <c r="D10298">
        <v>3494</v>
      </c>
      <c r="E10298">
        <v>80357003</v>
      </c>
    </row>
    <row r="10299" spans="1:6" x14ac:dyDescent="0.25">
      <c r="A10299">
        <v>10298</v>
      </c>
      <c r="B10299">
        <v>43</v>
      </c>
      <c r="C10299">
        <v>0</v>
      </c>
      <c r="D10299">
        <v>0</v>
      </c>
      <c r="E10299">
        <v>0</v>
      </c>
      <c r="F10299">
        <v>0</v>
      </c>
    </row>
    <row r="10300" spans="1:6" x14ac:dyDescent="0.25">
      <c r="A10300">
        <v>10299</v>
      </c>
      <c r="B10300">
        <v>44</v>
      </c>
      <c r="C10300">
        <v>0</v>
      </c>
      <c r="D10300">
        <v>0</v>
      </c>
      <c r="E10300">
        <v>0</v>
      </c>
      <c r="F10300">
        <v>-44.064500000000002</v>
      </c>
    </row>
    <row r="10301" spans="1:6" x14ac:dyDescent="0.25">
      <c r="A10301">
        <v>10300</v>
      </c>
      <c r="B10301" t="s">
        <v>0</v>
      </c>
      <c r="C10301">
        <v>157</v>
      </c>
      <c r="D10301">
        <v>3494</v>
      </c>
      <c r="E10301">
        <v>80357137</v>
      </c>
    </row>
    <row r="10302" spans="1:6" x14ac:dyDescent="0.25">
      <c r="A10302">
        <v>10301</v>
      </c>
      <c r="B10302">
        <v>45</v>
      </c>
      <c r="C10302">
        <v>0</v>
      </c>
      <c r="D10302">
        <v>0</v>
      </c>
      <c r="E10302">
        <v>0</v>
      </c>
      <c r="F10302">
        <v>518.96900000000005</v>
      </c>
    </row>
    <row r="10303" spans="1:6" x14ac:dyDescent="0.25">
      <c r="A10303">
        <v>10302</v>
      </c>
      <c r="B10303">
        <v>46</v>
      </c>
      <c r="C10303">
        <v>0</v>
      </c>
      <c r="D10303">
        <v>0</v>
      </c>
      <c r="E10303">
        <v>0</v>
      </c>
      <c r="F10303">
        <v>0</v>
      </c>
    </row>
    <row r="10304" spans="1:6" x14ac:dyDescent="0.25">
      <c r="A10304">
        <v>10303</v>
      </c>
      <c r="B10304" t="s">
        <v>0</v>
      </c>
      <c r="C10304">
        <v>158</v>
      </c>
      <c r="D10304">
        <v>3494</v>
      </c>
      <c r="E10304">
        <v>80357271</v>
      </c>
    </row>
    <row r="10305" spans="1:6" x14ac:dyDescent="0.25">
      <c r="A10305">
        <v>10304</v>
      </c>
      <c r="B10305">
        <v>2</v>
      </c>
      <c r="C10305">
        <v>0</v>
      </c>
      <c r="D10305">
        <v>0</v>
      </c>
      <c r="E10305">
        <v>0</v>
      </c>
      <c r="F10305">
        <v>248.96600000000001</v>
      </c>
    </row>
    <row r="10306" spans="1:6" x14ac:dyDescent="0.25">
      <c r="A10306">
        <v>10305</v>
      </c>
      <c r="B10306">
        <v>10</v>
      </c>
      <c r="C10306">
        <v>1</v>
      </c>
      <c r="D10306">
        <v>0</v>
      </c>
      <c r="E10306">
        <v>0</v>
      </c>
      <c r="F10306">
        <v>4658</v>
      </c>
    </row>
    <row r="10307" spans="1:6" x14ac:dyDescent="0.25">
      <c r="A10307">
        <v>10306</v>
      </c>
      <c r="B10307" t="s">
        <v>0</v>
      </c>
      <c r="C10307">
        <v>159</v>
      </c>
      <c r="D10307">
        <v>3494</v>
      </c>
      <c r="E10307">
        <v>80357405</v>
      </c>
    </row>
    <row r="10308" spans="1:6" x14ac:dyDescent="0.25">
      <c r="A10308">
        <v>10307</v>
      </c>
      <c r="B10308">
        <v>13</v>
      </c>
      <c r="C10308">
        <v>0</v>
      </c>
      <c r="D10308">
        <v>0</v>
      </c>
      <c r="E10308">
        <v>0</v>
      </c>
      <c r="F10308">
        <v>1608</v>
      </c>
    </row>
    <row r="10309" spans="1:6" x14ac:dyDescent="0.25">
      <c r="A10309">
        <v>10308</v>
      </c>
      <c r="B10309">
        <v>41</v>
      </c>
      <c r="C10309">
        <v>0</v>
      </c>
      <c r="D10309">
        <v>0</v>
      </c>
      <c r="E10309">
        <v>0</v>
      </c>
      <c r="F10309">
        <v>1</v>
      </c>
    </row>
    <row r="10310" spans="1:6" x14ac:dyDescent="0.25">
      <c r="A10310">
        <v>10309</v>
      </c>
      <c r="B10310" t="s">
        <v>0</v>
      </c>
      <c r="C10310">
        <v>160</v>
      </c>
      <c r="D10310">
        <v>3494</v>
      </c>
      <c r="E10310">
        <v>80357538</v>
      </c>
    </row>
    <row r="10311" spans="1:6" x14ac:dyDescent="0.25">
      <c r="A10311">
        <v>10310</v>
      </c>
      <c r="B10311">
        <v>42</v>
      </c>
      <c r="C10311">
        <v>0</v>
      </c>
      <c r="D10311">
        <v>0</v>
      </c>
      <c r="E10311">
        <v>0</v>
      </c>
      <c r="F10311">
        <v>0.2</v>
      </c>
    </row>
    <row r="10312" spans="1:6" x14ac:dyDescent="0.25">
      <c r="A10312">
        <v>10311</v>
      </c>
      <c r="B10312">
        <v>43</v>
      </c>
      <c r="C10312">
        <v>0</v>
      </c>
      <c r="D10312">
        <v>0</v>
      </c>
      <c r="E10312">
        <v>0</v>
      </c>
      <c r="F10312">
        <v>0</v>
      </c>
    </row>
    <row r="10313" spans="1:6" x14ac:dyDescent="0.25">
      <c r="A10313">
        <v>10312</v>
      </c>
      <c r="B10313" t="s">
        <v>0</v>
      </c>
      <c r="C10313">
        <v>161</v>
      </c>
      <c r="D10313">
        <v>3494</v>
      </c>
      <c r="E10313">
        <v>80357671</v>
      </c>
    </row>
    <row r="10314" spans="1:6" x14ac:dyDescent="0.25">
      <c r="A10314">
        <v>10313</v>
      </c>
      <c r="B10314">
        <v>44</v>
      </c>
      <c r="C10314">
        <v>0</v>
      </c>
      <c r="D10314">
        <v>0</v>
      </c>
      <c r="E10314">
        <v>0</v>
      </c>
      <c r="F10314">
        <v>-43.828099999999999</v>
      </c>
    </row>
    <row r="10315" spans="1:6" x14ac:dyDescent="0.25">
      <c r="A10315">
        <v>10314</v>
      </c>
      <c r="B10315">
        <v>45</v>
      </c>
      <c r="C10315">
        <v>0</v>
      </c>
      <c r="D10315">
        <v>0</v>
      </c>
      <c r="E10315">
        <v>0</v>
      </c>
      <c r="F10315">
        <v>518.94000000000005</v>
      </c>
    </row>
    <row r="10316" spans="1:6" x14ac:dyDescent="0.25">
      <c r="A10316">
        <v>10315</v>
      </c>
      <c r="B10316" t="s">
        <v>0</v>
      </c>
      <c r="C10316">
        <v>162</v>
      </c>
      <c r="D10316">
        <v>3494</v>
      </c>
      <c r="E10316">
        <v>80357804</v>
      </c>
    </row>
    <row r="10317" spans="1:6" x14ac:dyDescent="0.25">
      <c r="A10317">
        <v>10316</v>
      </c>
      <c r="B10317">
        <v>46</v>
      </c>
      <c r="C10317">
        <v>0</v>
      </c>
      <c r="D10317">
        <v>0</v>
      </c>
      <c r="E10317">
        <v>0</v>
      </c>
      <c r="F10317">
        <v>0</v>
      </c>
    </row>
    <row r="10318" spans="1:6" x14ac:dyDescent="0.25">
      <c r="A10318">
        <v>10317</v>
      </c>
      <c r="B10318">
        <v>2</v>
      </c>
      <c r="C10318">
        <v>0</v>
      </c>
      <c r="D10318">
        <v>0</v>
      </c>
      <c r="E10318">
        <v>0</v>
      </c>
      <c r="F10318">
        <v>248.90299999999999</v>
      </c>
    </row>
    <row r="10319" spans="1:6" x14ac:dyDescent="0.25">
      <c r="A10319">
        <v>10318</v>
      </c>
      <c r="B10319" t="s">
        <v>0</v>
      </c>
      <c r="C10319">
        <v>163</v>
      </c>
      <c r="D10319">
        <v>3494</v>
      </c>
      <c r="E10319">
        <v>80357938</v>
      </c>
    </row>
    <row r="10320" spans="1:6" x14ac:dyDescent="0.25">
      <c r="A10320">
        <v>10319</v>
      </c>
      <c r="B10320">
        <v>10</v>
      </c>
      <c r="C10320">
        <v>1</v>
      </c>
      <c r="D10320">
        <v>0</v>
      </c>
      <c r="E10320">
        <v>0</v>
      </c>
      <c r="F10320">
        <v>4660</v>
      </c>
    </row>
    <row r="10321" spans="1:6" x14ac:dyDescent="0.25">
      <c r="A10321">
        <v>10320</v>
      </c>
      <c r="B10321">
        <v>13</v>
      </c>
      <c r="C10321">
        <v>0</v>
      </c>
      <c r="D10321">
        <v>0</v>
      </c>
      <c r="E10321">
        <v>0</v>
      </c>
      <c r="F10321">
        <v>1608</v>
      </c>
    </row>
    <row r="10322" spans="1:6" x14ac:dyDescent="0.25">
      <c r="A10322">
        <v>10321</v>
      </c>
      <c r="B10322" t="s">
        <v>0</v>
      </c>
      <c r="C10322">
        <v>164</v>
      </c>
      <c r="D10322">
        <v>3494</v>
      </c>
      <c r="E10322">
        <v>80358072</v>
      </c>
    </row>
    <row r="10323" spans="1:6" x14ac:dyDescent="0.25">
      <c r="A10323">
        <v>10322</v>
      </c>
      <c r="B10323">
        <v>41</v>
      </c>
      <c r="C10323">
        <v>0</v>
      </c>
      <c r="D10323">
        <v>0</v>
      </c>
      <c r="E10323">
        <v>0</v>
      </c>
      <c r="F10323">
        <v>1</v>
      </c>
    </row>
    <row r="10324" spans="1:6" x14ac:dyDescent="0.25">
      <c r="A10324">
        <v>10323</v>
      </c>
      <c r="B10324">
        <v>42</v>
      </c>
      <c r="C10324">
        <v>0</v>
      </c>
      <c r="D10324">
        <v>0</v>
      </c>
      <c r="E10324">
        <v>0</v>
      </c>
      <c r="F10324">
        <v>0.2</v>
      </c>
    </row>
    <row r="10325" spans="1:6" x14ac:dyDescent="0.25">
      <c r="A10325">
        <v>10324</v>
      </c>
      <c r="B10325" t="s">
        <v>0</v>
      </c>
      <c r="C10325">
        <v>165</v>
      </c>
      <c r="D10325">
        <v>3494</v>
      </c>
      <c r="E10325">
        <v>80358206</v>
      </c>
    </row>
    <row r="10326" spans="1:6" x14ac:dyDescent="0.25">
      <c r="A10326">
        <v>10325</v>
      </c>
      <c r="B10326">
        <v>43</v>
      </c>
      <c r="C10326">
        <v>0</v>
      </c>
      <c r="D10326">
        <v>0</v>
      </c>
      <c r="E10326">
        <v>0</v>
      </c>
      <c r="F10326">
        <v>0</v>
      </c>
    </row>
    <row r="10327" spans="1:6" x14ac:dyDescent="0.25">
      <c r="A10327">
        <v>10326</v>
      </c>
      <c r="B10327">
        <v>44</v>
      </c>
      <c r="C10327">
        <v>0</v>
      </c>
      <c r="D10327">
        <v>0</v>
      </c>
      <c r="E10327">
        <v>0</v>
      </c>
      <c r="F10327">
        <v>-43.622599999999998</v>
      </c>
    </row>
    <row r="10328" spans="1:6" x14ac:dyDescent="0.25">
      <c r="A10328">
        <v>10327</v>
      </c>
      <c r="B10328" t="s">
        <v>0</v>
      </c>
      <c r="C10328">
        <v>166</v>
      </c>
      <c r="D10328">
        <v>3494</v>
      </c>
      <c r="E10328">
        <v>80358340</v>
      </c>
    </row>
    <row r="10329" spans="1:6" x14ac:dyDescent="0.25">
      <c r="A10329">
        <v>10328</v>
      </c>
      <c r="B10329">
        <v>45</v>
      </c>
      <c r="C10329">
        <v>0</v>
      </c>
      <c r="D10329">
        <v>0</v>
      </c>
      <c r="E10329">
        <v>0</v>
      </c>
      <c r="F10329">
        <v>518.90499999999997</v>
      </c>
    </row>
    <row r="10330" spans="1:6" x14ac:dyDescent="0.25">
      <c r="A10330">
        <v>10329</v>
      </c>
      <c r="B10330">
        <v>46</v>
      </c>
      <c r="C10330">
        <v>0</v>
      </c>
      <c r="D10330">
        <v>0</v>
      </c>
      <c r="E10330">
        <v>0</v>
      </c>
      <c r="F10330">
        <v>0</v>
      </c>
    </row>
    <row r="10331" spans="1:6" x14ac:dyDescent="0.25">
      <c r="A10331">
        <v>10330</v>
      </c>
      <c r="B10331" t="s">
        <v>0</v>
      </c>
      <c r="C10331">
        <v>167</v>
      </c>
      <c r="D10331">
        <v>3494</v>
      </c>
      <c r="E10331">
        <v>80358473</v>
      </c>
    </row>
    <row r="10332" spans="1:6" x14ac:dyDescent="0.25">
      <c r="A10332">
        <v>10331</v>
      </c>
      <c r="B10332">
        <v>2</v>
      </c>
      <c r="C10332">
        <v>0</v>
      </c>
      <c r="D10332">
        <v>0</v>
      </c>
      <c r="E10332">
        <v>0</v>
      </c>
      <c r="F10332">
        <v>248.83799999999999</v>
      </c>
    </row>
    <row r="10333" spans="1:6" x14ac:dyDescent="0.25">
      <c r="A10333">
        <v>10332</v>
      </c>
      <c r="B10333">
        <v>10</v>
      </c>
      <c r="C10333">
        <v>1</v>
      </c>
      <c r="D10333">
        <v>0</v>
      </c>
      <c r="E10333">
        <v>0</v>
      </c>
      <c r="F10333">
        <v>4662</v>
      </c>
    </row>
    <row r="10334" spans="1:6" x14ac:dyDescent="0.25">
      <c r="A10334">
        <v>10333</v>
      </c>
      <c r="B10334" t="s">
        <v>0</v>
      </c>
      <c r="C10334">
        <v>168</v>
      </c>
      <c r="D10334">
        <v>3494</v>
      </c>
      <c r="E10334">
        <v>80358606</v>
      </c>
    </row>
    <row r="10335" spans="1:6" x14ac:dyDescent="0.25">
      <c r="A10335">
        <v>10334</v>
      </c>
      <c r="B10335">
        <v>13</v>
      </c>
      <c r="C10335">
        <v>0</v>
      </c>
      <c r="D10335">
        <v>0</v>
      </c>
      <c r="E10335">
        <v>0</v>
      </c>
      <c r="F10335">
        <v>1608</v>
      </c>
    </row>
    <row r="10336" spans="1:6" x14ac:dyDescent="0.25">
      <c r="A10336">
        <v>10335</v>
      </c>
      <c r="B10336">
        <v>41</v>
      </c>
      <c r="C10336">
        <v>0</v>
      </c>
      <c r="D10336">
        <v>0</v>
      </c>
      <c r="E10336">
        <v>0</v>
      </c>
      <c r="F10336">
        <v>1</v>
      </c>
    </row>
    <row r="10337" spans="1:6" x14ac:dyDescent="0.25">
      <c r="A10337">
        <v>10336</v>
      </c>
      <c r="B10337" t="s">
        <v>0</v>
      </c>
      <c r="C10337">
        <v>169</v>
      </c>
      <c r="D10337">
        <v>3494</v>
      </c>
      <c r="E10337">
        <v>80358739</v>
      </c>
    </row>
    <row r="10338" spans="1:6" x14ac:dyDescent="0.25">
      <c r="A10338">
        <v>10337</v>
      </c>
      <c r="B10338">
        <v>42</v>
      </c>
      <c r="C10338">
        <v>0</v>
      </c>
      <c r="D10338">
        <v>0</v>
      </c>
      <c r="E10338">
        <v>0</v>
      </c>
      <c r="F10338">
        <v>0.2</v>
      </c>
    </row>
    <row r="10339" spans="1:6" x14ac:dyDescent="0.25">
      <c r="A10339">
        <v>10338</v>
      </c>
      <c r="B10339">
        <v>43</v>
      </c>
      <c r="C10339">
        <v>0</v>
      </c>
      <c r="D10339">
        <v>0</v>
      </c>
      <c r="E10339">
        <v>0</v>
      </c>
      <c r="F10339">
        <v>0</v>
      </c>
    </row>
    <row r="10340" spans="1:6" x14ac:dyDescent="0.25">
      <c r="A10340">
        <v>10339</v>
      </c>
      <c r="B10340" t="s">
        <v>0</v>
      </c>
      <c r="C10340">
        <v>170</v>
      </c>
      <c r="D10340">
        <v>3494</v>
      </c>
      <c r="E10340">
        <v>80358873</v>
      </c>
    </row>
    <row r="10341" spans="1:6" x14ac:dyDescent="0.25">
      <c r="A10341">
        <v>10340</v>
      </c>
      <c r="B10341">
        <v>44</v>
      </c>
      <c r="C10341">
        <v>0</v>
      </c>
      <c r="D10341">
        <v>0</v>
      </c>
      <c r="E10341">
        <v>0</v>
      </c>
      <c r="F10341">
        <v>-43.3904</v>
      </c>
    </row>
    <row r="10342" spans="1:6" x14ac:dyDescent="0.25">
      <c r="A10342">
        <v>10341</v>
      </c>
      <c r="B10342">
        <v>45</v>
      </c>
      <c r="C10342">
        <v>0</v>
      </c>
      <c r="D10342">
        <v>0</v>
      </c>
      <c r="E10342">
        <v>0</v>
      </c>
      <c r="F10342">
        <v>518.87699999999995</v>
      </c>
    </row>
    <row r="10343" spans="1:6" x14ac:dyDescent="0.25">
      <c r="A10343">
        <v>10342</v>
      </c>
      <c r="B10343" t="s">
        <v>0</v>
      </c>
      <c r="C10343">
        <v>171</v>
      </c>
      <c r="D10343">
        <v>3494</v>
      </c>
      <c r="E10343">
        <v>80359007</v>
      </c>
    </row>
    <row r="10344" spans="1:6" x14ac:dyDescent="0.25">
      <c r="A10344">
        <v>10343</v>
      </c>
      <c r="B10344">
        <v>46</v>
      </c>
      <c r="C10344">
        <v>0</v>
      </c>
      <c r="D10344">
        <v>0</v>
      </c>
      <c r="E10344">
        <v>0</v>
      </c>
      <c r="F10344">
        <v>0</v>
      </c>
    </row>
    <row r="10345" spans="1:6" x14ac:dyDescent="0.25">
      <c r="A10345">
        <v>10344</v>
      </c>
      <c r="B10345">
        <v>2</v>
      </c>
      <c r="C10345">
        <v>0</v>
      </c>
      <c r="D10345">
        <v>0</v>
      </c>
      <c r="E10345">
        <v>0</v>
      </c>
      <c r="F10345">
        <v>248.75299999999999</v>
      </c>
    </row>
    <row r="10346" spans="1:6" x14ac:dyDescent="0.25">
      <c r="A10346">
        <v>10345</v>
      </c>
      <c r="B10346" t="s">
        <v>0</v>
      </c>
      <c r="C10346">
        <v>172</v>
      </c>
      <c r="D10346">
        <v>3494</v>
      </c>
      <c r="E10346">
        <v>80359140</v>
      </c>
    </row>
    <row r="10347" spans="1:6" x14ac:dyDescent="0.25">
      <c r="A10347">
        <v>10346</v>
      </c>
      <c r="B10347">
        <v>10</v>
      </c>
      <c r="C10347">
        <v>1</v>
      </c>
      <c r="D10347">
        <v>0</v>
      </c>
      <c r="E10347">
        <v>0</v>
      </c>
      <c r="F10347">
        <v>4665</v>
      </c>
    </row>
    <row r="10348" spans="1:6" x14ac:dyDescent="0.25">
      <c r="A10348">
        <v>10347</v>
      </c>
      <c r="B10348">
        <v>13</v>
      </c>
      <c r="C10348">
        <v>0</v>
      </c>
      <c r="D10348">
        <v>0</v>
      </c>
      <c r="E10348">
        <v>0</v>
      </c>
      <c r="F10348">
        <v>1608</v>
      </c>
    </row>
    <row r="10349" spans="1:6" x14ac:dyDescent="0.25">
      <c r="A10349">
        <v>10348</v>
      </c>
      <c r="B10349" t="s">
        <v>0</v>
      </c>
      <c r="C10349">
        <v>173</v>
      </c>
      <c r="D10349">
        <v>3494</v>
      </c>
      <c r="E10349">
        <v>80359274</v>
      </c>
    </row>
    <row r="10350" spans="1:6" x14ac:dyDescent="0.25">
      <c r="A10350">
        <v>10349</v>
      </c>
      <c r="B10350">
        <v>41</v>
      </c>
      <c r="C10350">
        <v>0</v>
      </c>
      <c r="D10350">
        <v>0</v>
      </c>
      <c r="E10350">
        <v>0</v>
      </c>
      <c r="F10350">
        <v>1</v>
      </c>
    </row>
    <row r="10351" spans="1:6" x14ac:dyDescent="0.25">
      <c r="A10351">
        <v>10350</v>
      </c>
      <c r="B10351">
        <v>42</v>
      </c>
      <c r="C10351">
        <v>0</v>
      </c>
      <c r="D10351">
        <v>0</v>
      </c>
      <c r="E10351">
        <v>0</v>
      </c>
      <c r="F10351">
        <v>0.2</v>
      </c>
    </row>
    <row r="10352" spans="1:6" x14ac:dyDescent="0.25">
      <c r="A10352">
        <v>10351</v>
      </c>
      <c r="B10352" t="s">
        <v>0</v>
      </c>
      <c r="C10352">
        <v>174</v>
      </c>
      <c r="D10352">
        <v>3494</v>
      </c>
      <c r="E10352">
        <v>80359408</v>
      </c>
    </row>
    <row r="10353" spans="1:6" x14ac:dyDescent="0.25">
      <c r="A10353">
        <v>10352</v>
      </c>
      <c r="B10353">
        <v>43</v>
      </c>
      <c r="C10353">
        <v>0</v>
      </c>
      <c r="D10353">
        <v>0</v>
      </c>
      <c r="E10353">
        <v>0</v>
      </c>
      <c r="F10353">
        <v>0</v>
      </c>
    </row>
    <row r="10354" spans="1:6" x14ac:dyDescent="0.25">
      <c r="A10354">
        <v>10353</v>
      </c>
      <c r="B10354">
        <v>44</v>
      </c>
      <c r="C10354">
        <v>0</v>
      </c>
      <c r="D10354">
        <v>0</v>
      </c>
      <c r="E10354">
        <v>0</v>
      </c>
      <c r="F10354">
        <v>-43.1419</v>
      </c>
    </row>
    <row r="10355" spans="1:6" x14ac:dyDescent="0.25">
      <c r="A10355">
        <v>10354</v>
      </c>
      <c r="B10355" t="s">
        <v>0</v>
      </c>
      <c r="C10355">
        <v>175</v>
      </c>
      <c r="D10355">
        <v>3494</v>
      </c>
      <c r="E10355">
        <v>80359541</v>
      </c>
    </row>
    <row r="10356" spans="1:6" x14ac:dyDescent="0.25">
      <c r="A10356">
        <v>10355</v>
      </c>
      <c r="B10356">
        <v>45</v>
      </c>
      <c r="C10356">
        <v>0</v>
      </c>
      <c r="D10356">
        <v>0</v>
      </c>
      <c r="E10356">
        <v>0</v>
      </c>
      <c r="F10356">
        <v>518.84299999999996</v>
      </c>
    </row>
    <row r="10357" spans="1:6" x14ac:dyDescent="0.25">
      <c r="A10357">
        <v>10356</v>
      </c>
      <c r="B10357">
        <v>46</v>
      </c>
      <c r="C10357">
        <v>0</v>
      </c>
      <c r="D10357">
        <v>0</v>
      </c>
      <c r="E10357">
        <v>0</v>
      </c>
      <c r="F10357">
        <v>0</v>
      </c>
    </row>
    <row r="10358" spans="1:6" x14ac:dyDescent="0.25">
      <c r="A10358">
        <v>10357</v>
      </c>
      <c r="B10358" t="s">
        <v>0</v>
      </c>
      <c r="C10358">
        <v>176</v>
      </c>
      <c r="D10358">
        <v>3494</v>
      </c>
      <c r="E10358">
        <v>80359675</v>
      </c>
    </row>
    <row r="10359" spans="1:6" x14ac:dyDescent="0.25">
      <c r="A10359">
        <v>10358</v>
      </c>
      <c r="B10359">
        <v>2</v>
      </c>
      <c r="C10359">
        <v>0</v>
      </c>
      <c r="D10359">
        <v>0</v>
      </c>
      <c r="E10359">
        <v>0</v>
      </c>
      <c r="F10359">
        <v>248.63900000000001</v>
      </c>
    </row>
    <row r="10360" spans="1:6" x14ac:dyDescent="0.25">
      <c r="A10360">
        <v>10359</v>
      </c>
      <c r="B10360">
        <v>10</v>
      </c>
      <c r="C10360">
        <v>1</v>
      </c>
      <c r="D10360">
        <v>0</v>
      </c>
      <c r="E10360">
        <v>0</v>
      </c>
      <c r="F10360">
        <v>4668</v>
      </c>
    </row>
    <row r="10361" spans="1:6" x14ac:dyDescent="0.25">
      <c r="A10361">
        <v>10360</v>
      </c>
      <c r="B10361" t="s">
        <v>0</v>
      </c>
      <c r="C10361">
        <v>177</v>
      </c>
      <c r="D10361">
        <v>3494</v>
      </c>
      <c r="E10361">
        <v>80359809</v>
      </c>
    </row>
    <row r="10362" spans="1:6" x14ac:dyDescent="0.25">
      <c r="A10362">
        <v>10361</v>
      </c>
      <c r="B10362">
        <v>13</v>
      </c>
      <c r="C10362">
        <v>0</v>
      </c>
      <c r="D10362">
        <v>0</v>
      </c>
      <c r="E10362">
        <v>0</v>
      </c>
      <c r="F10362">
        <v>1608</v>
      </c>
    </row>
    <row r="10363" spans="1:6" x14ac:dyDescent="0.25">
      <c r="A10363">
        <v>10362</v>
      </c>
      <c r="B10363">
        <v>41</v>
      </c>
      <c r="C10363">
        <v>0</v>
      </c>
      <c r="D10363">
        <v>0</v>
      </c>
      <c r="E10363">
        <v>0</v>
      </c>
      <c r="F10363">
        <v>1</v>
      </c>
    </row>
    <row r="10364" spans="1:6" x14ac:dyDescent="0.25">
      <c r="A10364">
        <v>10363</v>
      </c>
      <c r="B10364" t="s">
        <v>0</v>
      </c>
      <c r="C10364">
        <v>178</v>
      </c>
      <c r="D10364">
        <v>3494</v>
      </c>
      <c r="E10364">
        <v>80359942</v>
      </c>
    </row>
    <row r="10365" spans="1:6" x14ac:dyDescent="0.25">
      <c r="A10365">
        <v>10364</v>
      </c>
      <c r="B10365">
        <v>42</v>
      </c>
      <c r="C10365">
        <v>0</v>
      </c>
      <c r="D10365">
        <v>0</v>
      </c>
      <c r="E10365">
        <v>0</v>
      </c>
      <c r="F10365">
        <v>0.2</v>
      </c>
    </row>
    <row r="10366" spans="1:6" x14ac:dyDescent="0.25">
      <c r="A10366">
        <v>10365</v>
      </c>
      <c r="B10366">
        <v>43</v>
      </c>
      <c r="C10366">
        <v>0</v>
      </c>
      <c r="D10366">
        <v>0</v>
      </c>
      <c r="E10366">
        <v>0</v>
      </c>
      <c r="F10366">
        <v>0</v>
      </c>
    </row>
    <row r="10367" spans="1:6" x14ac:dyDescent="0.25">
      <c r="A10367">
        <v>10366</v>
      </c>
      <c r="B10367">
        <v>44</v>
      </c>
      <c r="C10367">
        <v>0</v>
      </c>
      <c r="D10367">
        <v>0</v>
      </c>
      <c r="E10367">
        <v>0</v>
      </c>
      <c r="F10367">
        <v>-42.936700000000002</v>
      </c>
    </row>
    <row r="10368" spans="1:6" x14ac:dyDescent="0.25">
      <c r="A10368">
        <v>10367</v>
      </c>
      <c r="B10368">
        <v>45</v>
      </c>
      <c r="C10368">
        <v>0</v>
      </c>
      <c r="D10368">
        <v>0</v>
      </c>
      <c r="E10368">
        <v>0</v>
      </c>
      <c r="F10368">
        <v>518.822</v>
      </c>
    </row>
    <row r="10369" spans="1:6" x14ac:dyDescent="0.25">
      <c r="A10369">
        <v>10368</v>
      </c>
      <c r="B10369" t="s">
        <v>0</v>
      </c>
      <c r="C10369">
        <v>0</v>
      </c>
      <c r="D10369">
        <v>3495</v>
      </c>
      <c r="E10369">
        <v>80360210</v>
      </c>
    </row>
    <row r="10370" spans="1:6" x14ac:dyDescent="0.25">
      <c r="A10370">
        <v>10369</v>
      </c>
      <c r="B10370">
        <v>46</v>
      </c>
      <c r="C10370">
        <v>0</v>
      </c>
      <c r="D10370">
        <v>0</v>
      </c>
      <c r="E10370">
        <v>0</v>
      </c>
      <c r="F10370">
        <v>0</v>
      </c>
    </row>
    <row r="10371" spans="1:6" x14ac:dyDescent="0.25">
      <c r="A10371">
        <v>10370</v>
      </c>
      <c r="B10371">
        <v>2</v>
      </c>
      <c r="C10371">
        <v>0</v>
      </c>
      <c r="D10371">
        <v>0</v>
      </c>
      <c r="E10371">
        <v>0</v>
      </c>
      <c r="F10371">
        <v>248.601</v>
      </c>
    </row>
    <row r="10372" spans="1:6" x14ac:dyDescent="0.25">
      <c r="A10372">
        <v>10371</v>
      </c>
      <c r="B10372" t="s">
        <v>0</v>
      </c>
      <c r="C10372">
        <v>1</v>
      </c>
      <c r="D10372">
        <v>3495</v>
      </c>
      <c r="E10372">
        <v>80360344</v>
      </c>
    </row>
    <row r="10373" spans="1:6" x14ac:dyDescent="0.25">
      <c r="A10373">
        <v>10372</v>
      </c>
      <c r="B10373">
        <v>10</v>
      </c>
      <c r="C10373">
        <v>1</v>
      </c>
      <c r="D10373">
        <v>0</v>
      </c>
      <c r="E10373">
        <v>0</v>
      </c>
      <c r="F10373">
        <v>4669</v>
      </c>
    </row>
    <row r="10374" spans="1:6" x14ac:dyDescent="0.25">
      <c r="A10374">
        <v>10373</v>
      </c>
      <c r="B10374">
        <v>13</v>
      </c>
      <c r="C10374">
        <v>0</v>
      </c>
      <c r="D10374">
        <v>0</v>
      </c>
      <c r="E10374">
        <v>0</v>
      </c>
      <c r="F10374">
        <v>1608</v>
      </c>
    </row>
    <row r="10375" spans="1:6" x14ac:dyDescent="0.25">
      <c r="A10375">
        <v>10374</v>
      </c>
      <c r="B10375" t="s">
        <v>0</v>
      </c>
      <c r="C10375">
        <v>2</v>
      </c>
      <c r="D10375">
        <v>3495</v>
      </c>
      <c r="E10375">
        <v>80360478</v>
      </c>
    </row>
    <row r="10376" spans="1:6" x14ac:dyDescent="0.25">
      <c r="A10376">
        <v>10375</v>
      </c>
      <c r="B10376">
        <v>41</v>
      </c>
      <c r="C10376">
        <v>0</v>
      </c>
      <c r="D10376">
        <v>0</v>
      </c>
      <c r="E10376">
        <v>0</v>
      </c>
      <c r="F10376">
        <v>1</v>
      </c>
    </row>
    <row r="10377" spans="1:6" x14ac:dyDescent="0.25">
      <c r="A10377">
        <v>10376</v>
      </c>
      <c r="B10377">
        <v>42</v>
      </c>
      <c r="C10377">
        <v>0</v>
      </c>
      <c r="D10377">
        <v>0</v>
      </c>
      <c r="E10377">
        <v>0</v>
      </c>
      <c r="F10377">
        <v>0.2</v>
      </c>
    </row>
    <row r="10378" spans="1:6" x14ac:dyDescent="0.25">
      <c r="A10378">
        <v>10377</v>
      </c>
      <c r="B10378" t="s">
        <v>0</v>
      </c>
      <c r="C10378">
        <v>3</v>
      </c>
      <c r="D10378">
        <v>3495</v>
      </c>
      <c r="E10378">
        <v>80360612</v>
      </c>
    </row>
    <row r="10379" spans="1:6" x14ac:dyDescent="0.25">
      <c r="A10379">
        <v>10378</v>
      </c>
      <c r="B10379">
        <v>43</v>
      </c>
      <c r="C10379">
        <v>0</v>
      </c>
      <c r="D10379">
        <v>0</v>
      </c>
      <c r="E10379">
        <v>0</v>
      </c>
      <c r="F10379">
        <v>0</v>
      </c>
    </row>
    <row r="10380" spans="1:6" x14ac:dyDescent="0.25">
      <c r="A10380">
        <v>10379</v>
      </c>
      <c r="B10380">
        <v>44</v>
      </c>
      <c r="C10380">
        <v>0</v>
      </c>
      <c r="D10380">
        <v>0</v>
      </c>
      <c r="E10380">
        <v>0</v>
      </c>
      <c r="F10380">
        <v>-42.711399999999998</v>
      </c>
    </row>
    <row r="10381" spans="1:6" x14ac:dyDescent="0.25">
      <c r="A10381">
        <v>10380</v>
      </c>
      <c r="B10381" t="s">
        <v>0</v>
      </c>
      <c r="C10381">
        <v>4</v>
      </c>
      <c r="D10381">
        <v>3495</v>
      </c>
      <c r="E10381">
        <v>80360745</v>
      </c>
    </row>
    <row r="10382" spans="1:6" x14ac:dyDescent="0.25">
      <c r="A10382">
        <v>10381</v>
      </c>
      <c r="B10382">
        <v>46</v>
      </c>
      <c r="C10382">
        <v>0</v>
      </c>
      <c r="D10382">
        <v>0</v>
      </c>
      <c r="E10382">
        <v>0</v>
      </c>
      <c r="F10382">
        <v>0</v>
      </c>
    </row>
    <row r="10383" spans="1:6" x14ac:dyDescent="0.25">
      <c r="A10383">
        <v>10382</v>
      </c>
      <c r="B10383" t="s">
        <v>0</v>
      </c>
      <c r="C10383">
        <v>5</v>
      </c>
      <c r="D10383">
        <v>3495</v>
      </c>
      <c r="E10383">
        <v>80360879</v>
      </c>
    </row>
    <row r="10384" spans="1:6" x14ac:dyDescent="0.25">
      <c r="A10384">
        <v>10383</v>
      </c>
      <c r="B10384">
        <v>10</v>
      </c>
      <c r="C10384">
        <v>1</v>
      </c>
      <c r="D10384">
        <v>0</v>
      </c>
      <c r="E10384">
        <v>0</v>
      </c>
      <c r="F10384">
        <v>4672</v>
      </c>
    </row>
    <row r="10385" spans="1:6" x14ac:dyDescent="0.25">
      <c r="A10385">
        <v>10384</v>
      </c>
      <c r="B10385" t="s">
        <v>0</v>
      </c>
      <c r="C10385">
        <v>6</v>
      </c>
      <c r="D10385">
        <v>3495</v>
      </c>
      <c r="E10385">
        <v>80361013</v>
      </c>
    </row>
    <row r="10386" spans="1:6" x14ac:dyDescent="0.25">
      <c r="A10386">
        <v>10385</v>
      </c>
      <c r="B10386">
        <v>41</v>
      </c>
      <c r="C10386">
        <v>0</v>
      </c>
      <c r="D10386">
        <v>0</v>
      </c>
      <c r="E10386">
        <v>0</v>
      </c>
      <c r="F10386">
        <v>1</v>
      </c>
    </row>
    <row r="10387" spans="1:6" x14ac:dyDescent="0.25">
      <c r="A10387">
        <v>10386</v>
      </c>
      <c r="B10387" t="s">
        <v>0</v>
      </c>
      <c r="C10387">
        <v>7</v>
      </c>
      <c r="D10387">
        <v>3495</v>
      </c>
      <c r="E10387">
        <v>80361146</v>
      </c>
    </row>
    <row r="10388" spans="1:6" x14ac:dyDescent="0.25">
      <c r="A10388">
        <v>10387</v>
      </c>
      <c r="B10388">
        <v>43</v>
      </c>
      <c r="C10388">
        <v>0</v>
      </c>
      <c r="D10388">
        <v>0</v>
      </c>
      <c r="E10388">
        <v>0</v>
      </c>
      <c r="F10388">
        <v>0</v>
      </c>
    </row>
    <row r="10389" spans="1:6" x14ac:dyDescent="0.25">
      <c r="A10389">
        <v>10388</v>
      </c>
      <c r="B10389" t="s">
        <v>0</v>
      </c>
      <c r="C10389">
        <v>8</v>
      </c>
      <c r="D10389">
        <v>3495</v>
      </c>
      <c r="E10389">
        <v>80361280</v>
      </c>
    </row>
    <row r="10390" spans="1:6" x14ac:dyDescent="0.25">
      <c r="A10390">
        <v>10389</v>
      </c>
      <c r="B10390">
        <v>45</v>
      </c>
      <c r="C10390">
        <v>0</v>
      </c>
      <c r="D10390">
        <v>0</v>
      </c>
      <c r="E10390">
        <v>0</v>
      </c>
      <c r="F10390">
        <v>518.76700000000005</v>
      </c>
    </row>
    <row r="10391" spans="1:6" x14ac:dyDescent="0.25">
      <c r="A10391">
        <v>10390</v>
      </c>
      <c r="B10391" t="s">
        <v>0</v>
      </c>
      <c r="C10391">
        <v>9</v>
      </c>
      <c r="D10391">
        <v>3495</v>
      </c>
      <c r="E10391">
        <v>80361414</v>
      </c>
    </row>
    <row r="10392" spans="1:6" x14ac:dyDescent="0.25">
      <c r="A10392">
        <v>10391</v>
      </c>
      <c r="B10392">
        <v>2</v>
      </c>
      <c r="C10392">
        <v>0</v>
      </c>
      <c r="D10392">
        <v>0</v>
      </c>
      <c r="E10392">
        <v>0</v>
      </c>
      <c r="F10392">
        <v>248.471</v>
      </c>
    </row>
    <row r="10393" spans="1:6" x14ac:dyDescent="0.25">
      <c r="A10393">
        <v>10392</v>
      </c>
      <c r="B10393" t="s">
        <v>0</v>
      </c>
      <c r="C10393">
        <v>10</v>
      </c>
      <c r="D10393">
        <v>3495</v>
      </c>
      <c r="E10393">
        <v>80361548</v>
      </c>
    </row>
    <row r="10394" spans="1:6" x14ac:dyDescent="0.25">
      <c r="A10394">
        <v>10393</v>
      </c>
      <c r="B10394">
        <v>13</v>
      </c>
      <c r="C10394">
        <v>0</v>
      </c>
      <c r="D10394">
        <v>0</v>
      </c>
      <c r="E10394">
        <v>0</v>
      </c>
      <c r="F10394">
        <v>1608</v>
      </c>
    </row>
    <row r="10395" spans="1:6" x14ac:dyDescent="0.25">
      <c r="A10395">
        <v>10394</v>
      </c>
      <c r="B10395" t="s">
        <v>0</v>
      </c>
      <c r="C10395">
        <v>11</v>
      </c>
      <c r="D10395">
        <v>3495</v>
      </c>
      <c r="E10395">
        <v>80361682</v>
      </c>
    </row>
    <row r="10396" spans="1:6" x14ac:dyDescent="0.25">
      <c r="A10396">
        <v>10395</v>
      </c>
      <c r="B10396">
        <v>42</v>
      </c>
      <c r="C10396">
        <v>0</v>
      </c>
      <c r="D10396">
        <v>0</v>
      </c>
      <c r="E10396">
        <v>0</v>
      </c>
      <c r="F10396">
        <v>0.2</v>
      </c>
    </row>
    <row r="10397" spans="1:6" x14ac:dyDescent="0.25">
      <c r="A10397">
        <v>10396</v>
      </c>
      <c r="B10397" t="s">
        <v>0</v>
      </c>
      <c r="C10397">
        <v>12</v>
      </c>
      <c r="D10397">
        <v>3495</v>
      </c>
      <c r="E10397">
        <v>80361816</v>
      </c>
    </row>
    <row r="10398" spans="1:6" x14ac:dyDescent="0.25">
      <c r="A10398">
        <v>10397</v>
      </c>
      <c r="B10398">
        <v>44</v>
      </c>
      <c r="C10398">
        <v>0</v>
      </c>
      <c r="D10398">
        <v>0</v>
      </c>
      <c r="E10398">
        <v>0</v>
      </c>
      <c r="F10398">
        <v>-42.255499999999998</v>
      </c>
    </row>
    <row r="10399" spans="1:6" x14ac:dyDescent="0.25">
      <c r="A10399">
        <v>10398</v>
      </c>
      <c r="B10399" t="s">
        <v>0</v>
      </c>
      <c r="C10399">
        <v>13</v>
      </c>
      <c r="D10399">
        <v>3495</v>
      </c>
      <c r="E10399">
        <v>80361950</v>
      </c>
    </row>
    <row r="10400" spans="1:6" x14ac:dyDescent="0.25">
      <c r="A10400">
        <v>10399</v>
      </c>
      <c r="B10400">
        <v>46</v>
      </c>
      <c r="C10400">
        <v>0</v>
      </c>
      <c r="D10400">
        <v>0</v>
      </c>
      <c r="E10400">
        <v>0</v>
      </c>
      <c r="F10400">
        <v>0</v>
      </c>
    </row>
    <row r="10401" spans="1:6" x14ac:dyDescent="0.25">
      <c r="A10401">
        <v>10400</v>
      </c>
      <c r="B10401" t="s">
        <v>0</v>
      </c>
      <c r="C10401">
        <v>14</v>
      </c>
      <c r="D10401">
        <v>3495</v>
      </c>
      <c r="E10401">
        <v>80362084</v>
      </c>
    </row>
    <row r="10402" spans="1:6" x14ac:dyDescent="0.25">
      <c r="A10402">
        <v>10401</v>
      </c>
      <c r="B10402">
        <v>10</v>
      </c>
      <c r="C10402">
        <v>1</v>
      </c>
      <c r="D10402">
        <v>0</v>
      </c>
      <c r="E10402">
        <v>0</v>
      </c>
      <c r="F10402">
        <v>4678</v>
      </c>
    </row>
    <row r="10403" spans="1:6" x14ac:dyDescent="0.25">
      <c r="A10403">
        <v>10402</v>
      </c>
      <c r="B10403" t="s">
        <v>0</v>
      </c>
      <c r="C10403">
        <v>15</v>
      </c>
      <c r="D10403">
        <v>3495</v>
      </c>
      <c r="E10403">
        <v>80362218</v>
      </c>
    </row>
    <row r="10404" spans="1:6" x14ac:dyDescent="0.25">
      <c r="A10404">
        <v>10403</v>
      </c>
      <c r="B10404">
        <v>41</v>
      </c>
      <c r="C10404">
        <v>0</v>
      </c>
      <c r="D10404">
        <v>0</v>
      </c>
      <c r="E10404">
        <v>0</v>
      </c>
      <c r="F10404">
        <v>1</v>
      </c>
    </row>
    <row r="10405" spans="1:6" x14ac:dyDescent="0.25">
      <c r="A10405">
        <v>10404</v>
      </c>
      <c r="B10405" t="s">
        <v>0</v>
      </c>
      <c r="C10405">
        <v>16</v>
      </c>
      <c r="D10405">
        <v>3495</v>
      </c>
      <c r="E10405">
        <v>80362352</v>
      </c>
    </row>
    <row r="10406" spans="1:6" x14ac:dyDescent="0.25">
      <c r="A10406">
        <v>10405</v>
      </c>
      <c r="B10406">
        <v>43</v>
      </c>
      <c r="C10406">
        <v>0</v>
      </c>
      <c r="D10406">
        <v>0</v>
      </c>
      <c r="E10406">
        <v>0</v>
      </c>
      <c r="F10406">
        <v>0</v>
      </c>
    </row>
    <row r="10407" spans="1:6" x14ac:dyDescent="0.25">
      <c r="A10407">
        <v>10406</v>
      </c>
      <c r="B10407" t="s">
        <v>0</v>
      </c>
      <c r="C10407">
        <v>17</v>
      </c>
      <c r="D10407">
        <v>3495</v>
      </c>
      <c r="E10407">
        <v>80362486</v>
      </c>
    </row>
    <row r="10408" spans="1:6" x14ac:dyDescent="0.25">
      <c r="A10408">
        <v>10407</v>
      </c>
      <c r="B10408">
        <v>45</v>
      </c>
      <c r="C10408">
        <v>0</v>
      </c>
      <c r="D10408">
        <v>0</v>
      </c>
      <c r="E10408">
        <v>0</v>
      </c>
      <c r="F10408">
        <v>518.70600000000002</v>
      </c>
    </row>
    <row r="10409" spans="1:6" x14ac:dyDescent="0.25">
      <c r="A10409">
        <v>10408</v>
      </c>
      <c r="B10409" t="s">
        <v>0</v>
      </c>
      <c r="C10409">
        <v>18</v>
      </c>
      <c r="D10409">
        <v>3495</v>
      </c>
      <c r="E10409">
        <v>80362620</v>
      </c>
    </row>
    <row r="10410" spans="1:6" x14ac:dyDescent="0.25">
      <c r="A10410">
        <v>10409</v>
      </c>
      <c r="B10410">
        <v>2</v>
      </c>
      <c r="C10410">
        <v>0</v>
      </c>
      <c r="D10410">
        <v>0</v>
      </c>
      <c r="E10410">
        <v>0</v>
      </c>
      <c r="F10410">
        <v>248.25800000000001</v>
      </c>
    </row>
    <row r="10411" spans="1:6" x14ac:dyDescent="0.25">
      <c r="A10411">
        <v>10410</v>
      </c>
      <c r="B10411" t="s">
        <v>0</v>
      </c>
      <c r="C10411">
        <v>19</v>
      </c>
      <c r="D10411">
        <v>3495</v>
      </c>
      <c r="E10411">
        <v>80362754</v>
      </c>
    </row>
    <row r="10412" spans="1:6" x14ac:dyDescent="0.25">
      <c r="A10412">
        <v>10411</v>
      </c>
      <c r="B10412">
        <v>13</v>
      </c>
      <c r="C10412">
        <v>0</v>
      </c>
      <c r="D10412">
        <v>0</v>
      </c>
      <c r="E10412">
        <v>0</v>
      </c>
      <c r="F10412">
        <v>1608</v>
      </c>
    </row>
    <row r="10413" spans="1:6" x14ac:dyDescent="0.25">
      <c r="A10413">
        <v>10412</v>
      </c>
      <c r="B10413" t="s">
        <v>0</v>
      </c>
      <c r="C10413">
        <v>20</v>
      </c>
      <c r="D10413">
        <v>3495</v>
      </c>
      <c r="E10413">
        <v>80362888</v>
      </c>
    </row>
    <row r="10414" spans="1:6" x14ac:dyDescent="0.25">
      <c r="A10414">
        <v>10413</v>
      </c>
      <c r="B10414">
        <v>42</v>
      </c>
      <c r="C10414">
        <v>0</v>
      </c>
      <c r="D10414">
        <v>0</v>
      </c>
      <c r="E10414">
        <v>0</v>
      </c>
      <c r="F10414">
        <v>0.2</v>
      </c>
    </row>
    <row r="10415" spans="1:6" x14ac:dyDescent="0.25">
      <c r="A10415">
        <v>10414</v>
      </c>
      <c r="B10415" t="s">
        <v>0</v>
      </c>
      <c r="C10415">
        <v>21</v>
      </c>
      <c r="D10415">
        <v>3495</v>
      </c>
      <c r="E10415">
        <v>80363022</v>
      </c>
    </row>
    <row r="10416" spans="1:6" x14ac:dyDescent="0.25">
      <c r="A10416">
        <v>10415</v>
      </c>
      <c r="B10416">
        <v>44</v>
      </c>
      <c r="C10416">
        <v>0</v>
      </c>
      <c r="D10416">
        <v>0</v>
      </c>
      <c r="E10416">
        <v>0</v>
      </c>
      <c r="F10416">
        <v>-41.765000000000001</v>
      </c>
    </row>
    <row r="10417" spans="1:6" x14ac:dyDescent="0.25">
      <c r="A10417">
        <v>10416</v>
      </c>
      <c r="B10417" t="s">
        <v>0</v>
      </c>
      <c r="C10417">
        <v>22</v>
      </c>
      <c r="D10417">
        <v>3495</v>
      </c>
      <c r="E10417">
        <v>80363156</v>
      </c>
    </row>
    <row r="10418" spans="1:6" x14ac:dyDescent="0.25">
      <c r="A10418">
        <v>10417</v>
      </c>
      <c r="B10418">
        <v>46</v>
      </c>
      <c r="C10418">
        <v>0</v>
      </c>
      <c r="D10418">
        <v>0</v>
      </c>
      <c r="E10418">
        <v>0</v>
      </c>
      <c r="F10418">
        <v>0</v>
      </c>
    </row>
    <row r="10419" spans="1:6" x14ac:dyDescent="0.25">
      <c r="A10419">
        <v>10418</v>
      </c>
      <c r="B10419" t="s">
        <v>0</v>
      </c>
      <c r="C10419">
        <v>23</v>
      </c>
      <c r="D10419">
        <v>3495</v>
      </c>
      <c r="E10419">
        <v>80363289</v>
      </c>
    </row>
    <row r="10420" spans="1:6" x14ac:dyDescent="0.25">
      <c r="A10420">
        <v>10419</v>
      </c>
      <c r="B10420">
        <v>10</v>
      </c>
      <c r="C10420">
        <v>1</v>
      </c>
      <c r="D10420">
        <v>0</v>
      </c>
      <c r="E10420">
        <v>0</v>
      </c>
      <c r="F10420">
        <v>4684</v>
      </c>
    </row>
    <row r="10421" spans="1:6" x14ac:dyDescent="0.25">
      <c r="A10421">
        <v>10420</v>
      </c>
      <c r="B10421" t="s">
        <v>0</v>
      </c>
      <c r="C10421">
        <v>24</v>
      </c>
      <c r="D10421">
        <v>3495</v>
      </c>
      <c r="E10421">
        <v>80363423</v>
      </c>
    </row>
    <row r="10422" spans="1:6" x14ac:dyDescent="0.25">
      <c r="A10422">
        <v>10421</v>
      </c>
      <c r="B10422">
        <v>41</v>
      </c>
      <c r="C10422">
        <v>0</v>
      </c>
      <c r="D10422">
        <v>0</v>
      </c>
      <c r="E10422">
        <v>0</v>
      </c>
      <c r="F10422">
        <v>1</v>
      </c>
    </row>
    <row r="10423" spans="1:6" x14ac:dyDescent="0.25">
      <c r="A10423">
        <v>10422</v>
      </c>
      <c r="B10423" t="s">
        <v>0</v>
      </c>
      <c r="C10423">
        <v>25</v>
      </c>
      <c r="D10423">
        <v>3495</v>
      </c>
      <c r="E10423">
        <v>80363557</v>
      </c>
    </row>
    <row r="10424" spans="1:6" x14ac:dyDescent="0.25">
      <c r="A10424">
        <v>10423</v>
      </c>
      <c r="B10424">
        <v>43</v>
      </c>
      <c r="C10424">
        <v>0</v>
      </c>
      <c r="D10424">
        <v>0</v>
      </c>
      <c r="E10424">
        <v>0</v>
      </c>
      <c r="F10424">
        <v>0</v>
      </c>
    </row>
    <row r="10425" spans="1:6" x14ac:dyDescent="0.25">
      <c r="A10425">
        <v>10424</v>
      </c>
      <c r="B10425" t="s">
        <v>0</v>
      </c>
      <c r="C10425">
        <v>26</v>
      </c>
      <c r="D10425">
        <v>3495</v>
      </c>
      <c r="E10425">
        <v>80363691</v>
      </c>
    </row>
    <row r="10426" spans="1:6" x14ac:dyDescent="0.25">
      <c r="A10426">
        <v>10425</v>
      </c>
      <c r="B10426">
        <v>45</v>
      </c>
      <c r="C10426">
        <v>0</v>
      </c>
      <c r="D10426">
        <v>0</v>
      </c>
      <c r="E10426">
        <v>0</v>
      </c>
      <c r="F10426">
        <v>518.64499999999998</v>
      </c>
    </row>
    <row r="10427" spans="1:6" x14ac:dyDescent="0.25">
      <c r="A10427">
        <v>10426</v>
      </c>
      <c r="B10427" t="s">
        <v>0</v>
      </c>
      <c r="C10427">
        <v>27</v>
      </c>
      <c r="D10427">
        <v>3495</v>
      </c>
      <c r="E10427">
        <v>80363825</v>
      </c>
    </row>
    <row r="10428" spans="1:6" x14ac:dyDescent="0.25">
      <c r="A10428">
        <v>10427</v>
      </c>
      <c r="B10428">
        <v>2</v>
      </c>
      <c r="C10428">
        <v>0</v>
      </c>
      <c r="D10428">
        <v>0</v>
      </c>
      <c r="E10428">
        <v>0</v>
      </c>
      <c r="F10428">
        <v>248.11799999999999</v>
      </c>
    </row>
    <row r="10429" spans="1:6" x14ac:dyDescent="0.25">
      <c r="A10429">
        <v>10428</v>
      </c>
      <c r="B10429" t="s">
        <v>0</v>
      </c>
      <c r="C10429">
        <v>28</v>
      </c>
      <c r="D10429">
        <v>3495</v>
      </c>
      <c r="E10429">
        <v>80363959</v>
      </c>
    </row>
    <row r="10430" spans="1:6" x14ac:dyDescent="0.25">
      <c r="A10430">
        <v>10429</v>
      </c>
      <c r="B10430">
        <v>13</v>
      </c>
      <c r="C10430">
        <v>0</v>
      </c>
      <c r="D10430">
        <v>0</v>
      </c>
      <c r="E10430">
        <v>0</v>
      </c>
      <c r="F10430">
        <v>1608</v>
      </c>
    </row>
    <row r="10431" spans="1:6" x14ac:dyDescent="0.25">
      <c r="A10431">
        <v>10430</v>
      </c>
      <c r="B10431" t="s">
        <v>0</v>
      </c>
      <c r="C10431">
        <v>29</v>
      </c>
      <c r="D10431">
        <v>3495</v>
      </c>
      <c r="E10431">
        <v>80364093</v>
      </c>
    </row>
    <row r="10432" spans="1:6" x14ac:dyDescent="0.25">
      <c r="A10432">
        <v>10431</v>
      </c>
      <c r="B10432">
        <v>42</v>
      </c>
      <c r="C10432">
        <v>0</v>
      </c>
      <c r="D10432">
        <v>0</v>
      </c>
      <c r="E10432">
        <v>0</v>
      </c>
      <c r="F10432">
        <v>0.2</v>
      </c>
    </row>
    <row r="10433" spans="1:6" x14ac:dyDescent="0.25">
      <c r="A10433">
        <v>10432</v>
      </c>
      <c r="B10433" t="s">
        <v>0</v>
      </c>
      <c r="C10433">
        <v>30</v>
      </c>
      <c r="D10433">
        <v>3495</v>
      </c>
      <c r="E10433">
        <v>80364227</v>
      </c>
    </row>
    <row r="10434" spans="1:6" x14ac:dyDescent="0.25">
      <c r="A10434">
        <v>10433</v>
      </c>
      <c r="B10434">
        <v>44</v>
      </c>
      <c r="C10434">
        <v>0</v>
      </c>
      <c r="D10434">
        <v>0</v>
      </c>
      <c r="E10434">
        <v>0</v>
      </c>
      <c r="F10434">
        <v>-41.345100000000002</v>
      </c>
    </row>
    <row r="10435" spans="1:6" x14ac:dyDescent="0.25">
      <c r="A10435">
        <v>10434</v>
      </c>
      <c r="B10435" t="s">
        <v>0</v>
      </c>
      <c r="C10435">
        <v>31</v>
      </c>
      <c r="D10435">
        <v>3495</v>
      </c>
      <c r="E10435">
        <v>80364361</v>
      </c>
    </row>
    <row r="10436" spans="1:6" x14ac:dyDescent="0.25">
      <c r="A10436">
        <v>10435</v>
      </c>
      <c r="B10436">
        <v>46</v>
      </c>
      <c r="C10436">
        <v>0</v>
      </c>
      <c r="D10436">
        <v>0</v>
      </c>
      <c r="E10436">
        <v>0</v>
      </c>
      <c r="F10436">
        <v>0</v>
      </c>
    </row>
    <row r="10437" spans="1:6" x14ac:dyDescent="0.25">
      <c r="A10437">
        <v>10436</v>
      </c>
      <c r="B10437" t="s">
        <v>0</v>
      </c>
      <c r="C10437">
        <v>32</v>
      </c>
      <c r="D10437">
        <v>3495</v>
      </c>
      <c r="E10437">
        <v>80364496</v>
      </c>
    </row>
    <row r="10438" spans="1:6" x14ac:dyDescent="0.25">
      <c r="A10438">
        <v>10437</v>
      </c>
      <c r="B10438">
        <v>10</v>
      </c>
      <c r="C10438">
        <v>1</v>
      </c>
      <c r="D10438">
        <v>0</v>
      </c>
      <c r="E10438">
        <v>0</v>
      </c>
      <c r="F10438">
        <v>4688</v>
      </c>
    </row>
    <row r="10439" spans="1:6" x14ac:dyDescent="0.25">
      <c r="A10439">
        <v>10438</v>
      </c>
      <c r="B10439" t="s">
        <v>0</v>
      </c>
      <c r="C10439">
        <v>33</v>
      </c>
      <c r="D10439">
        <v>3495</v>
      </c>
      <c r="E10439">
        <v>80364630</v>
      </c>
    </row>
    <row r="10440" spans="1:6" x14ac:dyDescent="0.25">
      <c r="A10440">
        <v>10439</v>
      </c>
      <c r="B10440">
        <v>41</v>
      </c>
      <c r="C10440">
        <v>0</v>
      </c>
      <c r="D10440">
        <v>0</v>
      </c>
      <c r="E10440">
        <v>0</v>
      </c>
      <c r="F10440">
        <v>1</v>
      </c>
    </row>
    <row r="10441" spans="1:6" x14ac:dyDescent="0.25">
      <c r="A10441">
        <v>10440</v>
      </c>
      <c r="B10441" t="s">
        <v>0</v>
      </c>
      <c r="C10441">
        <v>34</v>
      </c>
      <c r="D10441">
        <v>3495</v>
      </c>
      <c r="E10441">
        <v>80364764</v>
      </c>
    </row>
    <row r="10442" spans="1:6" x14ac:dyDescent="0.25">
      <c r="A10442">
        <v>10441</v>
      </c>
      <c r="B10442">
        <v>42</v>
      </c>
      <c r="C10442">
        <v>0</v>
      </c>
      <c r="D10442">
        <v>0</v>
      </c>
      <c r="E10442">
        <v>0</v>
      </c>
      <c r="F10442">
        <v>0.2</v>
      </c>
    </row>
    <row r="10443" spans="1:6" x14ac:dyDescent="0.25">
      <c r="A10443">
        <v>10442</v>
      </c>
      <c r="B10443">
        <v>43</v>
      </c>
      <c r="C10443">
        <v>0</v>
      </c>
      <c r="D10443">
        <v>0</v>
      </c>
      <c r="E10443">
        <v>0</v>
      </c>
      <c r="F10443">
        <v>0</v>
      </c>
    </row>
    <row r="10444" spans="1:6" x14ac:dyDescent="0.25">
      <c r="A10444">
        <v>10443</v>
      </c>
      <c r="B10444">
        <v>44</v>
      </c>
      <c r="C10444">
        <v>0</v>
      </c>
      <c r="D10444">
        <v>0</v>
      </c>
      <c r="E10444">
        <v>0</v>
      </c>
      <c r="F10444">
        <v>-41.066400000000002</v>
      </c>
    </row>
    <row r="10445" spans="1:6" x14ac:dyDescent="0.25">
      <c r="A10445">
        <v>10444</v>
      </c>
      <c r="B10445">
        <v>45</v>
      </c>
      <c r="C10445">
        <v>0</v>
      </c>
      <c r="D10445">
        <v>0</v>
      </c>
      <c r="E10445">
        <v>0</v>
      </c>
      <c r="F10445">
        <v>518.58500000000004</v>
      </c>
    </row>
    <row r="10446" spans="1:6" x14ac:dyDescent="0.25">
      <c r="A10446">
        <v>10445</v>
      </c>
      <c r="B10446">
        <v>46</v>
      </c>
      <c r="C10446">
        <v>0</v>
      </c>
      <c r="D10446">
        <v>0</v>
      </c>
      <c r="E10446">
        <v>0</v>
      </c>
      <c r="F10446">
        <v>0</v>
      </c>
    </row>
    <row r="10447" spans="1:6" x14ac:dyDescent="0.25">
      <c r="A10447">
        <v>10446</v>
      </c>
      <c r="B10447">
        <v>2</v>
      </c>
      <c r="C10447">
        <v>0</v>
      </c>
      <c r="D10447">
        <v>0</v>
      </c>
      <c r="E10447">
        <v>0</v>
      </c>
      <c r="F10447">
        <v>247.94</v>
      </c>
    </row>
    <row r="10448" spans="1:6" x14ac:dyDescent="0.25">
      <c r="A10448">
        <v>10447</v>
      </c>
      <c r="B10448">
        <v>10</v>
      </c>
      <c r="C10448">
        <v>1</v>
      </c>
      <c r="D10448">
        <v>0</v>
      </c>
      <c r="E10448">
        <v>0</v>
      </c>
      <c r="F10448">
        <v>4692</v>
      </c>
    </row>
    <row r="10449" spans="1:6" x14ac:dyDescent="0.25">
      <c r="A10449">
        <v>10448</v>
      </c>
      <c r="B10449">
        <v>13</v>
      </c>
      <c r="C10449">
        <v>0</v>
      </c>
      <c r="D10449">
        <v>0</v>
      </c>
      <c r="E10449">
        <v>0</v>
      </c>
      <c r="F10449">
        <v>1608</v>
      </c>
    </row>
    <row r="10450" spans="1:6" x14ac:dyDescent="0.25">
      <c r="A10450">
        <v>10449</v>
      </c>
      <c r="B10450">
        <v>41</v>
      </c>
      <c r="C10450">
        <v>0</v>
      </c>
      <c r="D10450">
        <v>0</v>
      </c>
      <c r="E10450">
        <v>0</v>
      </c>
      <c r="F10450">
        <v>1</v>
      </c>
    </row>
    <row r="10451" spans="1:6" x14ac:dyDescent="0.25">
      <c r="A10451">
        <v>10450</v>
      </c>
      <c r="B10451">
        <v>42</v>
      </c>
      <c r="C10451">
        <v>0</v>
      </c>
      <c r="D10451">
        <v>0</v>
      </c>
      <c r="E10451">
        <v>0</v>
      </c>
      <c r="F10451">
        <v>0.2</v>
      </c>
    </row>
    <row r="10452" spans="1:6" x14ac:dyDescent="0.25">
      <c r="A10452">
        <v>10451</v>
      </c>
      <c r="B10452">
        <v>43</v>
      </c>
      <c r="C10452">
        <v>0</v>
      </c>
      <c r="D10452">
        <v>0</v>
      </c>
      <c r="E10452">
        <v>0</v>
      </c>
      <c r="F10452">
        <v>0</v>
      </c>
    </row>
    <row r="10453" spans="1:6" x14ac:dyDescent="0.25">
      <c r="A10453">
        <v>10452</v>
      </c>
      <c r="B10453">
        <v>44</v>
      </c>
      <c r="C10453">
        <v>0</v>
      </c>
      <c r="D10453">
        <v>0</v>
      </c>
      <c r="E10453">
        <v>0</v>
      </c>
      <c r="F10453">
        <v>-40.839599999999997</v>
      </c>
    </row>
    <row r="10454" spans="1:6" x14ac:dyDescent="0.25">
      <c r="A10454">
        <v>10453</v>
      </c>
      <c r="B10454">
        <v>45</v>
      </c>
      <c r="C10454">
        <v>0</v>
      </c>
      <c r="D10454">
        <v>0</v>
      </c>
      <c r="E10454">
        <v>0</v>
      </c>
      <c r="F10454">
        <v>518.55200000000002</v>
      </c>
    </row>
    <row r="10455" spans="1:6" x14ac:dyDescent="0.25">
      <c r="A10455">
        <v>10454</v>
      </c>
      <c r="B10455">
        <v>46</v>
      </c>
      <c r="C10455">
        <v>0</v>
      </c>
      <c r="D10455">
        <v>0</v>
      </c>
      <c r="E10455">
        <v>0</v>
      </c>
      <c r="F10455">
        <v>0</v>
      </c>
    </row>
    <row r="10456" spans="1:6" x14ac:dyDescent="0.25">
      <c r="A10456">
        <v>10455</v>
      </c>
      <c r="B10456">
        <v>2</v>
      </c>
      <c r="C10456">
        <v>0</v>
      </c>
      <c r="D10456">
        <v>0</v>
      </c>
      <c r="E10456">
        <v>0</v>
      </c>
      <c r="F10456">
        <v>247.84299999999999</v>
      </c>
    </row>
    <row r="10457" spans="1:6" x14ac:dyDescent="0.25">
      <c r="A10457">
        <v>10456</v>
      </c>
      <c r="B10457">
        <v>10</v>
      </c>
      <c r="C10457">
        <v>1</v>
      </c>
      <c r="D10457">
        <v>0</v>
      </c>
      <c r="E10457">
        <v>0</v>
      </c>
      <c r="F10457">
        <v>4695</v>
      </c>
    </row>
    <row r="10458" spans="1:6" x14ac:dyDescent="0.25">
      <c r="A10458">
        <v>10457</v>
      </c>
      <c r="B10458">
        <v>13</v>
      </c>
      <c r="C10458">
        <v>0</v>
      </c>
      <c r="D10458">
        <v>0</v>
      </c>
      <c r="E10458">
        <v>0</v>
      </c>
      <c r="F10458">
        <v>1608</v>
      </c>
    </row>
    <row r="10459" spans="1:6" x14ac:dyDescent="0.25">
      <c r="A10459">
        <v>10458</v>
      </c>
      <c r="B10459">
        <v>41</v>
      </c>
      <c r="C10459">
        <v>0</v>
      </c>
      <c r="D10459">
        <v>0</v>
      </c>
      <c r="E10459">
        <v>0</v>
      </c>
      <c r="F10459">
        <v>1</v>
      </c>
    </row>
    <row r="10460" spans="1:6" x14ac:dyDescent="0.25">
      <c r="A10460">
        <v>10459</v>
      </c>
      <c r="B10460">
        <v>42</v>
      </c>
      <c r="C10460">
        <v>0</v>
      </c>
      <c r="D10460">
        <v>0</v>
      </c>
      <c r="E10460">
        <v>0</v>
      </c>
      <c r="F10460">
        <v>0.2</v>
      </c>
    </row>
    <row r="10461" spans="1:6" x14ac:dyDescent="0.25">
      <c r="A10461">
        <v>10460</v>
      </c>
      <c r="B10461">
        <v>43</v>
      </c>
      <c r="C10461">
        <v>0</v>
      </c>
      <c r="D10461">
        <v>0</v>
      </c>
      <c r="E10461">
        <v>0</v>
      </c>
      <c r="F10461">
        <v>0</v>
      </c>
    </row>
    <row r="10462" spans="1:6" x14ac:dyDescent="0.25">
      <c r="A10462">
        <v>10461</v>
      </c>
      <c r="B10462">
        <v>44</v>
      </c>
      <c r="C10462">
        <v>0</v>
      </c>
      <c r="D10462">
        <v>0</v>
      </c>
      <c r="E10462">
        <v>0</v>
      </c>
      <c r="F10462">
        <v>-40.581600000000002</v>
      </c>
    </row>
    <row r="10463" spans="1:6" x14ac:dyDescent="0.25">
      <c r="A10463">
        <v>10462</v>
      </c>
      <c r="B10463">
        <v>45</v>
      </c>
      <c r="C10463">
        <v>0</v>
      </c>
      <c r="D10463">
        <v>0</v>
      </c>
      <c r="E10463">
        <v>0</v>
      </c>
      <c r="F10463">
        <v>518.52599999999995</v>
      </c>
    </row>
    <row r="10464" spans="1:6" x14ac:dyDescent="0.25">
      <c r="A10464">
        <v>10463</v>
      </c>
      <c r="B10464">
        <v>46</v>
      </c>
      <c r="C10464">
        <v>0</v>
      </c>
      <c r="D10464">
        <v>0</v>
      </c>
      <c r="E10464">
        <v>0</v>
      </c>
      <c r="F10464">
        <v>0</v>
      </c>
    </row>
    <row r="10465" spans="1:6" x14ac:dyDescent="0.25">
      <c r="A10465">
        <v>10464</v>
      </c>
      <c r="B10465">
        <v>2</v>
      </c>
      <c r="C10465">
        <v>0</v>
      </c>
      <c r="D10465">
        <v>0</v>
      </c>
      <c r="E10465">
        <v>0</v>
      </c>
      <c r="F10465">
        <v>247.78100000000001</v>
      </c>
    </row>
    <row r="10466" spans="1:6" x14ac:dyDescent="0.25">
      <c r="A10466">
        <v>10465</v>
      </c>
      <c r="B10466">
        <v>10</v>
      </c>
      <c r="C10466">
        <v>1</v>
      </c>
      <c r="D10466">
        <v>0</v>
      </c>
      <c r="E10466">
        <v>0</v>
      </c>
      <c r="F10466">
        <v>4697</v>
      </c>
    </row>
    <row r="10467" spans="1:6" x14ac:dyDescent="0.25">
      <c r="A10467">
        <v>10466</v>
      </c>
      <c r="B10467">
        <v>13</v>
      </c>
      <c r="C10467">
        <v>0</v>
      </c>
      <c r="D10467">
        <v>0</v>
      </c>
      <c r="E10467">
        <v>0</v>
      </c>
      <c r="F10467">
        <v>1608</v>
      </c>
    </row>
    <row r="10468" spans="1:6" x14ac:dyDescent="0.25">
      <c r="A10468">
        <v>10467</v>
      </c>
      <c r="B10468">
        <v>41</v>
      </c>
      <c r="C10468">
        <v>0</v>
      </c>
      <c r="D10468">
        <v>0</v>
      </c>
      <c r="E10468">
        <v>0</v>
      </c>
      <c r="F10468">
        <v>1</v>
      </c>
    </row>
    <row r="10469" spans="1:6" x14ac:dyDescent="0.25">
      <c r="A10469">
        <v>10468</v>
      </c>
      <c r="B10469">
        <v>42</v>
      </c>
      <c r="C10469">
        <v>0</v>
      </c>
      <c r="D10469">
        <v>0</v>
      </c>
      <c r="E10469">
        <v>0</v>
      </c>
      <c r="F10469">
        <v>0.2</v>
      </c>
    </row>
    <row r="10470" spans="1:6" x14ac:dyDescent="0.25">
      <c r="A10470">
        <v>10469</v>
      </c>
      <c r="B10470">
        <v>43</v>
      </c>
      <c r="C10470">
        <v>0</v>
      </c>
      <c r="D10470">
        <v>0</v>
      </c>
      <c r="E10470">
        <v>0</v>
      </c>
      <c r="F10470">
        <v>0</v>
      </c>
    </row>
    <row r="10471" spans="1:6" x14ac:dyDescent="0.25">
      <c r="A10471">
        <v>10470</v>
      </c>
      <c r="B10471">
        <v>44</v>
      </c>
      <c r="C10471">
        <v>0</v>
      </c>
      <c r="D10471">
        <v>0</v>
      </c>
      <c r="E10471">
        <v>0</v>
      </c>
      <c r="F10471">
        <v>-40.4041</v>
      </c>
    </row>
    <row r="10472" spans="1:6" x14ac:dyDescent="0.25">
      <c r="A10472">
        <v>10471</v>
      </c>
      <c r="B10472">
        <v>45</v>
      </c>
      <c r="C10472">
        <v>0</v>
      </c>
      <c r="D10472">
        <v>0</v>
      </c>
      <c r="E10472">
        <v>0</v>
      </c>
      <c r="F10472">
        <v>518.49300000000005</v>
      </c>
    </row>
    <row r="10473" spans="1:6" x14ac:dyDescent="0.25">
      <c r="A10473">
        <v>10472</v>
      </c>
      <c r="B10473">
        <v>46</v>
      </c>
      <c r="C10473">
        <v>0</v>
      </c>
      <c r="D10473">
        <v>0</v>
      </c>
      <c r="E10473">
        <v>0</v>
      </c>
      <c r="F10473">
        <v>0</v>
      </c>
    </row>
    <row r="10474" spans="1:6" x14ac:dyDescent="0.25">
      <c r="A10474">
        <v>10473</v>
      </c>
      <c r="B10474">
        <v>2</v>
      </c>
      <c r="C10474">
        <v>0</v>
      </c>
      <c r="D10474">
        <v>0</v>
      </c>
      <c r="E10474">
        <v>0</v>
      </c>
      <c r="F10474">
        <v>247.721</v>
      </c>
    </row>
    <row r="10475" spans="1:6" x14ac:dyDescent="0.25">
      <c r="A10475">
        <v>10474</v>
      </c>
      <c r="B10475">
        <v>10</v>
      </c>
      <c r="C10475">
        <v>1</v>
      </c>
      <c r="D10475">
        <v>0</v>
      </c>
      <c r="E10475">
        <v>0</v>
      </c>
      <c r="F10475">
        <v>4699</v>
      </c>
    </row>
    <row r="10476" spans="1:6" x14ac:dyDescent="0.25">
      <c r="A10476">
        <v>10475</v>
      </c>
      <c r="B10476">
        <v>13</v>
      </c>
      <c r="C10476">
        <v>0</v>
      </c>
      <c r="D10476">
        <v>0</v>
      </c>
      <c r="E10476">
        <v>0</v>
      </c>
      <c r="F10476">
        <v>1608</v>
      </c>
    </row>
    <row r="10477" spans="1:6" x14ac:dyDescent="0.25">
      <c r="A10477">
        <v>10476</v>
      </c>
      <c r="B10477">
        <v>41</v>
      </c>
      <c r="C10477">
        <v>0</v>
      </c>
      <c r="D10477">
        <v>0</v>
      </c>
      <c r="E10477">
        <v>0</v>
      </c>
      <c r="F10477">
        <v>1</v>
      </c>
    </row>
    <row r="10478" spans="1:6" x14ac:dyDescent="0.25">
      <c r="A10478">
        <v>10477</v>
      </c>
      <c r="B10478">
        <v>42</v>
      </c>
      <c r="C10478">
        <v>0</v>
      </c>
      <c r="D10478">
        <v>0</v>
      </c>
      <c r="E10478">
        <v>0</v>
      </c>
      <c r="F10478">
        <v>0.2</v>
      </c>
    </row>
    <row r="10479" spans="1:6" x14ac:dyDescent="0.25">
      <c r="A10479">
        <v>10478</v>
      </c>
      <c r="B10479">
        <v>43</v>
      </c>
      <c r="C10479">
        <v>0</v>
      </c>
      <c r="D10479">
        <v>0</v>
      </c>
      <c r="E10479">
        <v>0</v>
      </c>
      <c r="F10479">
        <v>0</v>
      </c>
    </row>
    <row r="10480" spans="1:6" x14ac:dyDescent="0.25">
      <c r="A10480">
        <v>10479</v>
      </c>
      <c r="B10480">
        <v>44</v>
      </c>
      <c r="C10480">
        <v>0</v>
      </c>
      <c r="D10480">
        <v>0</v>
      </c>
      <c r="E10480">
        <v>0</v>
      </c>
      <c r="F10480">
        <v>-40.149900000000002</v>
      </c>
    </row>
    <row r="10481" spans="1:6" x14ac:dyDescent="0.25">
      <c r="A10481">
        <v>10480</v>
      </c>
      <c r="B10481">
        <v>45</v>
      </c>
      <c r="C10481">
        <v>0</v>
      </c>
      <c r="D10481">
        <v>0</v>
      </c>
      <c r="E10481">
        <v>0</v>
      </c>
      <c r="F10481">
        <v>518.46699999999998</v>
      </c>
    </row>
    <row r="10482" spans="1:6" x14ac:dyDescent="0.25">
      <c r="A10482">
        <v>10481</v>
      </c>
      <c r="B10482">
        <v>46</v>
      </c>
      <c r="C10482">
        <v>0</v>
      </c>
      <c r="D10482">
        <v>0</v>
      </c>
      <c r="E10482">
        <v>0</v>
      </c>
      <c r="F10482">
        <v>0</v>
      </c>
    </row>
    <row r="10483" spans="1:6" x14ac:dyDescent="0.25">
      <c r="A10483">
        <v>10482</v>
      </c>
      <c r="B10483">
        <v>2</v>
      </c>
      <c r="C10483">
        <v>0</v>
      </c>
      <c r="D10483">
        <v>0</v>
      </c>
      <c r="E10483">
        <v>0</v>
      </c>
      <c r="F10483">
        <v>247.63800000000001</v>
      </c>
    </row>
    <row r="10484" spans="1:6" x14ac:dyDescent="0.25">
      <c r="A10484">
        <v>10483</v>
      </c>
      <c r="B10484">
        <v>10</v>
      </c>
      <c r="C10484">
        <v>1</v>
      </c>
      <c r="D10484">
        <v>0</v>
      </c>
      <c r="E10484">
        <v>0</v>
      </c>
      <c r="F10484">
        <v>4701</v>
      </c>
    </row>
    <row r="10485" spans="1:6" x14ac:dyDescent="0.25">
      <c r="A10485">
        <v>10484</v>
      </c>
      <c r="B10485">
        <v>13</v>
      </c>
      <c r="C10485">
        <v>0</v>
      </c>
      <c r="D10485">
        <v>0</v>
      </c>
      <c r="E10485">
        <v>0</v>
      </c>
      <c r="F10485">
        <v>1608</v>
      </c>
    </row>
    <row r="10486" spans="1:6" x14ac:dyDescent="0.25">
      <c r="A10486">
        <v>10485</v>
      </c>
      <c r="B10486">
        <v>41</v>
      </c>
      <c r="C10486">
        <v>0</v>
      </c>
      <c r="D10486">
        <v>0</v>
      </c>
      <c r="E10486">
        <v>0</v>
      </c>
      <c r="F10486">
        <v>1</v>
      </c>
    </row>
    <row r="10487" spans="1:6" x14ac:dyDescent="0.25">
      <c r="A10487">
        <v>10486</v>
      </c>
      <c r="B10487">
        <v>42</v>
      </c>
      <c r="C10487">
        <v>0</v>
      </c>
      <c r="D10487">
        <v>0</v>
      </c>
      <c r="E10487">
        <v>0</v>
      </c>
      <c r="F10487">
        <v>0.2</v>
      </c>
    </row>
    <row r="10488" spans="1:6" x14ac:dyDescent="0.25">
      <c r="A10488">
        <v>10487</v>
      </c>
      <c r="B10488">
        <v>43</v>
      </c>
      <c r="C10488">
        <v>0</v>
      </c>
      <c r="D10488">
        <v>0</v>
      </c>
      <c r="E10488">
        <v>0</v>
      </c>
      <c r="F10488">
        <v>0</v>
      </c>
    </row>
    <row r="10489" spans="1:6" x14ac:dyDescent="0.25">
      <c r="A10489">
        <v>10488</v>
      </c>
      <c r="B10489">
        <v>44</v>
      </c>
      <c r="C10489">
        <v>0</v>
      </c>
      <c r="D10489">
        <v>0</v>
      </c>
      <c r="E10489">
        <v>0</v>
      </c>
      <c r="F10489">
        <v>-39.928600000000003</v>
      </c>
    </row>
    <row r="10490" spans="1:6" x14ac:dyDescent="0.25">
      <c r="A10490">
        <v>10489</v>
      </c>
      <c r="B10490">
        <v>45</v>
      </c>
      <c r="C10490">
        <v>0</v>
      </c>
      <c r="D10490">
        <v>0</v>
      </c>
      <c r="E10490">
        <v>0</v>
      </c>
      <c r="F10490">
        <v>518.43399999999997</v>
      </c>
    </row>
    <row r="10491" spans="1:6" x14ac:dyDescent="0.25">
      <c r="A10491">
        <v>10490</v>
      </c>
      <c r="B10491">
        <v>46</v>
      </c>
      <c r="C10491">
        <v>0</v>
      </c>
      <c r="D10491">
        <v>0</v>
      </c>
      <c r="E10491">
        <v>0</v>
      </c>
      <c r="F10491">
        <v>0</v>
      </c>
    </row>
    <row r="10492" spans="1:6" x14ac:dyDescent="0.25">
      <c r="A10492">
        <v>10491</v>
      </c>
      <c r="B10492">
        <v>2</v>
      </c>
      <c r="C10492">
        <v>0</v>
      </c>
      <c r="D10492">
        <v>0</v>
      </c>
      <c r="E10492">
        <v>0</v>
      </c>
      <c r="F10492">
        <v>247.52600000000001</v>
      </c>
    </row>
    <row r="10493" spans="1:6" x14ac:dyDescent="0.25">
      <c r="A10493">
        <v>10492</v>
      </c>
      <c r="B10493">
        <v>10</v>
      </c>
      <c r="C10493">
        <v>1</v>
      </c>
      <c r="D10493">
        <v>0</v>
      </c>
      <c r="E10493">
        <v>0</v>
      </c>
      <c r="F10493">
        <v>4705</v>
      </c>
    </row>
    <row r="10494" spans="1:6" x14ac:dyDescent="0.25">
      <c r="A10494">
        <v>10493</v>
      </c>
      <c r="B10494">
        <v>13</v>
      </c>
      <c r="C10494">
        <v>0</v>
      </c>
      <c r="D10494">
        <v>0</v>
      </c>
      <c r="E10494">
        <v>0</v>
      </c>
      <c r="F10494">
        <v>1608</v>
      </c>
    </row>
    <row r="10495" spans="1:6" x14ac:dyDescent="0.25">
      <c r="A10495">
        <v>10494</v>
      </c>
      <c r="B10495">
        <v>41</v>
      </c>
      <c r="C10495">
        <v>0</v>
      </c>
      <c r="D10495">
        <v>0</v>
      </c>
      <c r="E10495">
        <v>0</v>
      </c>
      <c r="F10495">
        <v>1</v>
      </c>
    </row>
    <row r="10496" spans="1:6" x14ac:dyDescent="0.25">
      <c r="A10496">
        <v>10495</v>
      </c>
      <c r="B10496">
        <v>42</v>
      </c>
      <c r="C10496">
        <v>0</v>
      </c>
      <c r="D10496">
        <v>0</v>
      </c>
      <c r="E10496">
        <v>0</v>
      </c>
      <c r="F10496">
        <v>0.2</v>
      </c>
    </row>
    <row r="10497" spans="1:6" x14ac:dyDescent="0.25">
      <c r="A10497">
        <v>10496</v>
      </c>
      <c r="B10497">
        <v>43</v>
      </c>
      <c r="C10497">
        <v>0</v>
      </c>
      <c r="D10497">
        <v>0</v>
      </c>
      <c r="E10497">
        <v>0</v>
      </c>
      <c r="F10497">
        <v>0</v>
      </c>
    </row>
    <row r="10498" spans="1:6" x14ac:dyDescent="0.25">
      <c r="A10498">
        <v>10497</v>
      </c>
      <c r="B10498">
        <v>44</v>
      </c>
      <c r="C10498">
        <v>0</v>
      </c>
      <c r="D10498">
        <v>0</v>
      </c>
      <c r="E10498">
        <v>0</v>
      </c>
      <c r="F10498">
        <v>-39.657800000000002</v>
      </c>
    </row>
    <row r="10499" spans="1:6" x14ac:dyDescent="0.25">
      <c r="A10499">
        <v>10498</v>
      </c>
      <c r="B10499">
        <v>45</v>
      </c>
      <c r="C10499">
        <v>0</v>
      </c>
      <c r="D10499">
        <v>0</v>
      </c>
      <c r="E10499">
        <v>0</v>
      </c>
      <c r="F10499">
        <v>518.40899999999999</v>
      </c>
    </row>
    <row r="10500" spans="1:6" x14ac:dyDescent="0.25">
      <c r="A10500">
        <v>10499</v>
      </c>
      <c r="B10500" t="s">
        <v>0</v>
      </c>
      <c r="C10500">
        <v>63</v>
      </c>
      <c r="D10500">
        <v>3495</v>
      </c>
      <c r="E10500">
        <v>80368659</v>
      </c>
    </row>
    <row r="10501" spans="1:6" x14ac:dyDescent="0.25">
      <c r="A10501">
        <v>10500</v>
      </c>
      <c r="B10501">
        <v>46</v>
      </c>
      <c r="C10501">
        <v>0</v>
      </c>
      <c r="D10501">
        <v>0</v>
      </c>
      <c r="E10501">
        <v>0</v>
      </c>
      <c r="F10501">
        <v>0</v>
      </c>
    </row>
    <row r="10502" spans="1:6" x14ac:dyDescent="0.25">
      <c r="A10502">
        <v>10501</v>
      </c>
      <c r="B10502">
        <v>2</v>
      </c>
      <c r="C10502">
        <v>0</v>
      </c>
      <c r="D10502">
        <v>0</v>
      </c>
      <c r="E10502">
        <v>0</v>
      </c>
      <c r="F10502">
        <v>247.45400000000001</v>
      </c>
    </row>
    <row r="10503" spans="1:6" x14ac:dyDescent="0.25">
      <c r="A10503">
        <v>10502</v>
      </c>
      <c r="B10503" t="s">
        <v>0</v>
      </c>
      <c r="C10503">
        <v>64</v>
      </c>
      <c r="D10503">
        <v>3495</v>
      </c>
      <c r="E10503">
        <v>80368793</v>
      </c>
    </row>
    <row r="10504" spans="1:6" x14ac:dyDescent="0.25">
      <c r="A10504">
        <v>10503</v>
      </c>
      <c r="B10504">
        <v>10</v>
      </c>
      <c r="C10504">
        <v>1</v>
      </c>
      <c r="D10504">
        <v>0</v>
      </c>
      <c r="E10504">
        <v>0</v>
      </c>
      <c r="F10504">
        <v>4707</v>
      </c>
    </row>
    <row r="10505" spans="1:6" x14ac:dyDescent="0.25">
      <c r="A10505">
        <v>10504</v>
      </c>
      <c r="B10505">
        <v>13</v>
      </c>
      <c r="C10505">
        <v>0</v>
      </c>
      <c r="D10505">
        <v>0</v>
      </c>
      <c r="E10505">
        <v>0</v>
      </c>
      <c r="F10505">
        <v>1608</v>
      </c>
    </row>
    <row r="10506" spans="1:6" x14ac:dyDescent="0.25">
      <c r="A10506">
        <v>10505</v>
      </c>
      <c r="B10506" t="s">
        <v>0</v>
      </c>
      <c r="C10506">
        <v>65</v>
      </c>
      <c r="D10506">
        <v>3495</v>
      </c>
      <c r="E10506">
        <v>80368927</v>
      </c>
    </row>
    <row r="10507" spans="1:6" x14ac:dyDescent="0.25">
      <c r="A10507">
        <v>10506</v>
      </c>
      <c r="B10507">
        <v>41</v>
      </c>
      <c r="C10507">
        <v>0</v>
      </c>
      <c r="D10507">
        <v>0</v>
      </c>
      <c r="E10507">
        <v>0</v>
      </c>
      <c r="F10507">
        <v>1</v>
      </c>
    </row>
    <row r="10508" spans="1:6" x14ac:dyDescent="0.25">
      <c r="A10508">
        <v>10507</v>
      </c>
      <c r="B10508">
        <v>42</v>
      </c>
      <c r="C10508">
        <v>0</v>
      </c>
      <c r="D10508">
        <v>0</v>
      </c>
      <c r="E10508">
        <v>0</v>
      </c>
      <c r="F10508">
        <v>0.2</v>
      </c>
    </row>
    <row r="10509" spans="1:6" x14ac:dyDescent="0.25">
      <c r="A10509">
        <v>10508</v>
      </c>
      <c r="B10509" t="s">
        <v>0</v>
      </c>
      <c r="C10509">
        <v>66</v>
      </c>
      <c r="D10509">
        <v>3495</v>
      </c>
      <c r="E10509">
        <v>80369061</v>
      </c>
    </row>
    <row r="10510" spans="1:6" x14ac:dyDescent="0.25">
      <c r="A10510">
        <v>10509</v>
      </c>
      <c r="B10510">
        <v>43</v>
      </c>
      <c r="C10510">
        <v>0</v>
      </c>
      <c r="D10510">
        <v>0</v>
      </c>
      <c r="E10510">
        <v>0</v>
      </c>
      <c r="F10510">
        <v>0</v>
      </c>
    </row>
    <row r="10511" spans="1:6" x14ac:dyDescent="0.25">
      <c r="A10511">
        <v>10510</v>
      </c>
      <c r="B10511">
        <v>44</v>
      </c>
      <c r="C10511">
        <v>0</v>
      </c>
      <c r="D10511">
        <v>0</v>
      </c>
      <c r="E10511">
        <v>0</v>
      </c>
      <c r="F10511">
        <v>-39.472099999999998</v>
      </c>
    </row>
    <row r="10512" spans="1:6" x14ac:dyDescent="0.25">
      <c r="A10512">
        <v>10511</v>
      </c>
      <c r="B10512" t="s">
        <v>0</v>
      </c>
      <c r="C10512">
        <v>67</v>
      </c>
      <c r="D10512">
        <v>3495</v>
      </c>
      <c r="E10512">
        <v>80369195</v>
      </c>
    </row>
    <row r="10513" spans="1:6" x14ac:dyDescent="0.25">
      <c r="A10513">
        <v>10512</v>
      </c>
      <c r="B10513">
        <v>45</v>
      </c>
      <c r="C10513">
        <v>0</v>
      </c>
      <c r="D10513">
        <v>0</v>
      </c>
      <c r="E10513">
        <v>0</v>
      </c>
      <c r="F10513">
        <v>518.37699999999995</v>
      </c>
    </row>
    <row r="10514" spans="1:6" x14ac:dyDescent="0.25">
      <c r="A10514">
        <v>10513</v>
      </c>
      <c r="B10514">
        <v>46</v>
      </c>
      <c r="C10514">
        <v>0</v>
      </c>
      <c r="D10514">
        <v>0</v>
      </c>
      <c r="E10514">
        <v>0</v>
      </c>
      <c r="F10514">
        <v>0</v>
      </c>
    </row>
    <row r="10515" spans="1:6" x14ac:dyDescent="0.25">
      <c r="A10515">
        <v>10514</v>
      </c>
      <c r="B10515" t="s">
        <v>0</v>
      </c>
      <c r="C10515">
        <v>68</v>
      </c>
      <c r="D10515">
        <v>3495</v>
      </c>
      <c r="E10515">
        <v>80369329</v>
      </c>
    </row>
    <row r="10516" spans="1:6" x14ac:dyDescent="0.25">
      <c r="A10516">
        <v>10515</v>
      </c>
      <c r="B10516">
        <v>2</v>
      </c>
      <c r="C10516">
        <v>0</v>
      </c>
      <c r="D10516">
        <v>0</v>
      </c>
      <c r="E10516">
        <v>0</v>
      </c>
      <c r="F10516">
        <v>247.38499999999999</v>
      </c>
    </row>
    <row r="10517" spans="1:6" x14ac:dyDescent="0.25">
      <c r="A10517">
        <v>10516</v>
      </c>
      <c r="B10517">
        <v>10</v>
      </c>
      <c r="C10517">
        <v>1</v>
      </c>
      <c r="D10517">
        <v>0</v>
      </c>
      <c r="E10517">
        <v>0</v>
      </c>
      <c r="F10517">
        <v>4710</v>
      </c>
    </row>
    <row r="10518" spans="1:6" x14ac:dyDescent="0.25">
      <c r="A10518">
        <v>10517</v>
      </c>
      <c r="B10518" t="s">
        <v>0</v>
      </c>
      <c r="C10518">
        <v>69</v>
      </c>
      <c r="D10518">
        <v>3495</v>
      </c>
      <c r="E10518">
        <v>80369463</v>
      </c>
    </row>
    <row r="10519" spans="1:6" x14ac:dyDescent="0.25">
      <c r="A10519">
        <v>10518</v>
      </c>
      <c r="B10519">
        <v>13</v>
      </c>
      <c r="C10519">
        <v>0</v>
      </c>
      <c r="D10519">
        <v>0</v>
      </c>
      <c r="E10519">
        <v>0</v>
      </c>
      <c r="F10519">
        <v>1608</v>
      </c>
    </row>
    <row r="10520" spans="1:6" x14ac:dyDescent="0.25">
      <c r="A10520">
        <v>10519</v>
      </c>
      <c r="B10520">
        <v>41</v>
      </c>
      <c r="C10520">
        <v>0</v>
      </c>
      <c r="D10520">
        <v>0</v>
      </c>
      <c r="E10520">
        <v>0</v>
      </c>
      <c r="F10520">
        <v>1</v>
      </c>
    </row>
    <row r="10521" spans="1:6" x14ac:dyDescent="0.25">
      <c r="A10521">
        <v>10520</v>
      </c>
      <c r="B10521" t="s">
        <v>0</v>
      </c>
      <c r="C10521">
        <v>70</v>
      </c>
      <c r="D10521">
        <v>3495</v>
      </c>
      <c r="E10521">
        <v>80369597</v>
      </c>
    </row>
    <row r="10522" spans="1:6" x14ac:dyDescent="0.25">
      <c r="A10522">
        <v>10521</v>
      </c>
      <c r="B10522">
        <v>42</v>
      </c>
      <c r="C10522">
        <v>0</v>
      </c>
      <c r="D10522">
        <v>0</v>
      </c>
      <c r="E10522">
        <v>0</v>
      </c>
      <c r="F10522">
        <v>0.2</v>
      </c>
    </row>
    <row r="10523" spans="1:6" x14ac:dyDescent="0.25">
      <c r="A10523">
        <v>10522</v>
      </c>
      <c r="B10523">
        <v>43</v>
      </c>
      <c r="C10523">
        <v>0</v>
      </c>
      <c r="D10523">
        <v>0</v>
      </c>
      <c r="E10523">
        <v>0</v>
      </c>
      <c r="F10523">
        <v>0</v>
      </c>
    </row>
    <row r="10524" spans="1:6" x14ac:dyDescent="0.25">
      <c r="A10524">
        <v>10523</v>
      </c>
      <c r="B10524" t="s">
        <v>0</v>
      </c>
      <c r="C10524">
        <v>71</v>
      </c>
      <c r="D10524">
        <v>3495</v>
      </c>
      <c r="E10524">
        <v>80369731</v>
      </c>
    </row>
    <row r="10525" spans="1:6" x14ac:dyDescent="0.25">
      <c r="A10525">
        <v>10524</v>
      </c>
      <c r="B10525">
        <v>44</v>
      </c>
      <c r="C10525">
        <v>0</v>
      </c>
      <c r="D10525">
        <v>0</v>
      </c>
      <c r="E10525">
        <v>0</v>
      </c>
      <c r="F10525">
        <v>-39.236899999999999</v>
      </c>
    </row>
    <row r="10526" spans="1:6" x14ac:dyDescent="0.25">
      <c r="A10526">
        <v>10525</v>
      </c>
      <c r="B10526">
        <v>45</v>
      </c>
      <c r="C10526">
        <v>0</v>
      </c>
      <c r="D10526">
        <v>0</v>
      </c>
      <c r="E10526">
        <v>0</v>
      </c>
      <c r="F10526">
        <v>518.351</v>
      </c>
    </row>
    <row r="10527" spans="1:6" x14ac:dyDescent="0.25">
      <c r="A10527">
        <v>10526</v>
      </c>
      <c r="B10527" t="s">
        <v>0</v>
      </c>
      <c r="C10527">
        <v>72</v>
      </c>
      <c r="D10527">
        <v>3495</v>
      </c>
      <c r="E10527">
        <v>80369865</v>
      </c>
    </row>
    <row r="10528" spans="1:6" x14ac:dyDescent="0.25">
      <c r="A10528">
        <v>10527</v>
      </c>
      <c r="B10528">
        <v>46</v>
      </c>
      <c r="C10528">
        <v>0</v>
      </c>
      <c r="D10528">
        <v>0</v>
      </c>
      <c r="E10528">
        <v>0</v>
      </c>
      <c r="F10528">
        <v>0</v>
      </c>
    </row>
    <row r="10529" spans="1:6" x14ac:dyDescent="0.25">
      <c r="A10529">
        <v>10528</v>
      </c>
      <c r="B10529">
        <v>2</v>
      </c>
      <c r="C10529">
        <v>0</v>
      </c>
      <c r="D10529">
        <v>0</v>
      </c>
      <c r="E10529">
        <v>0</v>
      </c>
      <c r="F10529">
        <v>247.34</v>
      </c>
    </row>
    <row r="10530" spans="1:6" x14ac:dyDescent="0.25">
      <c r="A10530">
        <v>10529</v>
      </c>
      <c r="B10530" t="s">
        <v>0</v>
      </c>
      <c r="C10530">
        <v>73</v>
      </c>
      <c r="D10530">
        <v>3495</v>
      </c>
      <c r="E10530">
        <v>80370000</v>
      </c>
    </row>
    <row r="10531" spans="1:6" x14ac:dyDescent="0.25">
      <c r="A10531">
        <v>10530</v>
      </c>
      <c r="B10531">
        <v>10</v>
      </c>
      <c r="C10531">
        <v>1</v>
      </c>
      <c r="D10531">
        <v>0</v>
      </c>
      <c r="E10531">
        <v>0</v>
      </c>
      <c r="F10531">
        <v>4712</v>
      </c>
    </row>
    <row r="10532" spans="1:6" x14ac:dyDescent="0.25">
      <c r="A10532">
        <v>10531</v>
      </c>
      <c r="B10532">
        <v>13</v>
      </c>
      <c r="C10532">
        <v>0</v>
      </c>
      <c r="D10532">
        <v>0</v>
      </c>
      <c r="E10532">
        <v>0</v>
      </c>
      <c r="F10532">
        <v>1608</v>
      </c>
    </row>
    <row r="10533" spans="1:6" x14ac:dyDescent="0.25">
      <c r="A10533">
        <v>10532</v>
      </c>
      <c r="B10533" t="s">
        <v>0</v>
      </c>
      <c r="C10533">
        <v>74</v>
      </c>
      <c r="D10533">
        <v>3495</v>
      </c>
      <c r="E10533">
        <v>80370135</v>
      </c>
    </row>
    <row r="10534" spans="1:6" x14ac:dyDescent="0.25">
      <c r="A10534">
        <v>10533</v>
      </c>
      <c r="B10534">
        <v>41</v>
      </c>
      <c r="C10534">
        <v>0</v>
      </c>
      <c r="D10534">
        <v>0</v>
      </c>
      <c r="E10534">
        <v>0</v>
      </c>
      <c r="F10534">
        <v>1</v>
      </c>
    </row>
    <row r="10535" spans="1:6" x14ac:dyDescent="0.25">
      <c r="A10535">
        <v>10534</v>
      </c>
      <c r="B10535">
        <v>42</v>
      </c>
      <c r="C10535">
        <v>0</v>
      </c>
      <c r="D10535">
        <v>0</v>
      </c>
      <c r="E10535">
        <v>0</v>
      </c>
      <c r="F10535">
        <v>0.2</v>
      </c>
    </row>
    <row r="10536" spans="1:6" x14ac:dyDescent="0.25">
      <c r="A10536">
        <v>10535</v>
      </c>
      <c r="B10536" t="s">
        <v>0</v>
      </c>
      <c r="C10536">
        <v>75</v>
      </c>
      <c r="D10536">
        <v>3495</v>
      </c>
      <c r="E10536">
        <v>80370269</v>
      </c>
    </row>
    <row r="10537" spans="1:6" x14ac:dyDescent="0.25">
      <c r="A10537">
        <v>10536</v>
      </c>
      <c r="B10537">
        <v>43</v>
      </c>
      <c r="C10537">
        <v>0</v>
      </c>
      <c r="D10537">
        <v>0</v>
      </c>
      <c r="E10537">
        <v>0</v>
      </c>
      <c r="F10537">
        <v>0</v>
      </c>
    </row>
    <row r="10538" spans="1:6" x14ac:dyDescent="0.25">
      <c r="A10538">
        <v>10537</v>
      </c>
      <c r="B10538">
        <v>44</v>
      </c>
      <c r="C10538">
        <v>0</v>
      </c>
      <c r="D10538">
        <v>0</v>
      </c>
      <c r="E10538">
        <v>0</v>
      </c>
      <c r="F10538">
        <v>-39.029600000000002</v>
      </c>
    </row>
    <row r="10539" spans="1:6" x14ac:dyDescent="0.25">
      <c r="A10539">
        <v>10538</v>
      </c>
      <c r="B10539" t="s">
        <v>0</v>
      </c>
      <c r="C10539">
        <v>76</v>
      </c>
      <c r="D10539">
        <v>3495</v>
      </c>
      <c r="E10539">
        <v>80370403</v>
      </c>
    </row>
    <row r="10540" spans="1:6" x14ac:dyDescent="0.25">
      <c r="A10540">
        <v>10539</v>
      </c>
      <c r="B10540">
        <v>45</v>
      </c>
      <c r="C10540">
        <v>0</v>
      </c>
      <c r="D10540">
        <v>0</v>
      </c>
      <c r="E10540">
        <v>0</v>
      </c>
      <c r="F10540">
        <v>518.32000000000005</v>
      </c>
    </row>
    <row r="10541" spans="1:6" x14ac:dyDescent="0.25">
      <c r="A10541">
        <v>10540</v>
      </c>
      <c r="B10541">
        <v>46</v>
      </c>
      <c r="C10541">
        <v>0</v>
      </c>
      <c r="D10541">
        <v>0</v>
      </c>
      <c r="E10541">
        <v>0</v>
      </c>
      <c r="F10541">
        <v>0</v>
      </c>
    </row>
    <row r="10542" spans="1:6" x14ac:dyDescent="0.25">
      <c r="A10542">
        <v>10541</v>
      </c>
      <c r="B10542" t="s">
        <v>0</v>
      </c>
      <c r="C10542">
        <v>77</v>
      </c>
      <c r="D10542">
        <v>3495</v>
      </c>
      <c r="E10542">
        <v>80370537</v>
      </c>
    </row>
    <row r="10543" spans="1:6" x14ac:dyDescent="0.25">
      <c r="A10543">
        <v>10542</v>
      </c>
      <c r="B10543">
        <v>10</v>
      </c>
      <c r="C10543">
        <v>1</v>
      </c>
      <c r="D10543">
        <v>0</v>
      </c>
      <c r="E10543">
        <v>0</v>
      </c>
      <c r="F10543">
        <v>4715</v>
      </c>
    </row>
    <row r="10544" spans="1:6" x14ac:dyDescent="0.25">
      <c r="A10544">
        <v>10543</v>
      </c>
      <c r="B10544" t="s">
        <v>0</v>
      </c>
      <c r="C10544">
        <v>78</v>
      </c>
      <c r="D10544">
        <v>3495</v>
      </c>
      <c r="E10544">
        <v>80370672</v>
      </c>
    </row>
    <row r="10545" spans="1:6" x14ac:dyDescent="0.25">
      <c r="A10545">
        <v>10544</v>
      </c>
      <c r="B10545">
        <v>41</v>
      </c>
      <c r="C10545">
        <v>0</v>
      </c>
      <c r="D10545">
        <v>0</v>
      </c>
      <c r="E10545">
        <v>0</v>
      </c>
      <c r="F10545">
        <v>1</v>
      </c>
    </row>
    <row r="10546" spans="1:6" x14ac:dyDescent="0.25">
      <c r="A10546">
        <v>10545</v>
      </c>
      <c r="B10546" t="s">
        <v>0</v>
      </c>
      <c r="C10546">
        <v>79</v>
      </c>
      <c r="D10546">
        <v>3495</v>
      </c>
      <c r="E10546">
        <v>80370807</v>
      </c>
    </row>
    <row r="10547" spans="1:6" x14ac:dyDescent="0.25">
      <c r="A10547">
        <v>10546</v>
      </c>
      <c r="B10547">
        <v>43</v>
      </c>
      <c r="C10547">
        <v>0</v>
      </c>
      <c r="D10547">
        <v>0</v>
      </c>
      <c r="E10547">
        <v>0</v>
      </c>
      <c r="F10547">
        <v>0</v>
      </c>
    </row>
    <row r="10548" spans="1:6" x14ac:dyDescent="0.25">
      <c r="A10548">
        <v>10547</v>
      </c>
      <c r="B10548" t="s">
        <v>0</v>
      </c>
      <c r="C10548">
        <v>80</v>
      </c>
      <c r="D10548">
        <v>3495</v>
      </c>
      <c r="E10548">
        <v>80370942</v>
      </c>
    </row>
    <row r="10549" spans="1:6" x14ac:dyDescent="0.25">
      <c r="A10549">
        <v>10548</v>
      </c>
      <c r="B10549">
        <v>45</v>
      </c>
      <c r="C10549">
        <v>0</v>
      </c>
      <c r="D10549">
        <v>0</v>
      </c>
      <c r="E10549">
        <v>0</v>
      </c>
      <c r="F10549">
        <v>518.29399999999998</v>
      </c>
    </row>
    <row r="10550" spans="1:6" x14ac:dyDescent="0.25">
      <c r="A10550">
        <v>10549</v>
      </c>
      <c r="B10550" t="s">
        <v>0</v>
      </c>
      <c r="C10550">
        <v>81</v>
      </c>
      <c r="D10550">
        <v>3495</v>
      </c>
      <c r="E10550">
        <v>80371077</v>
      </c>
    </row>
    <row r="10551" spans="1:6" x14ac:dyDescent="0.25">
      <c r="A10551">
        <v>10550</v>
      </c>
      <c r="B10551">
        <v>2</v>
      </c>
      <c r="C10551">
        <v>0</v>
      </c>
      <c r="D10551">
        <v>0</v>
      </c>
      <c r="E10551">
        <v>0</v>
      </c>
      <c r="F10551">
        <v>247.13800000000001</v>
      </c>
    </row>
    <row r="10552" spans="1:6" x14ac:dyDescent="0.25">
      <c r="A10552">
        <v>10551</v>
      </c>
      <c r="B10552" t="s">
        <v>0</v>
      </c>
      <c r="C10552">
        <v>82</v>
      </c>
      <c r="D10552">
        <v>3495</v>
      </c>
      <c r="E10552">
        <v>80371211</v>
      </c>
    </row>
    <row r="10553" spans="1:6" x14ac:dyDescent="0.25">
      <c r="A10553">
        <v>10552</v>
      </c>
      <c r="B10553">
        <v>13</v>
      </c>
      <c r="C10553">
        <v>0</v>
      </c>
      <c r="D10553">
        <v>0</v>
      </c>
      <c r="E10553">
        <v>0</v>
      </c>
      <c r="F10553">
        <v>1608</v>
      </c>
    </row>
    <row r="10554" spans="1:6" x14ac:dyDescent="0.25">
      <c r="A10554">
        <v>10553</v>
      </c>
      <c r="B10554" t="s">
        <v>0</v>
      </c>
      <c r="C10554">
        <v>83</v>
      </c>
      <c r="D10554">
        <v>3495</v>
      </c>
      <c r="E10554">
        <v>80371345</v>
      </c>
    </row>
    <row r="10555" spans="1:6" x14ac:dyDescent="0.25">
      <c r="A10555">
        <v>10554</v>
      </c>
      <c r="B10555">
        <v>42</v>
      </c>
      <c r="C10555">
        <v>0</v>
      </c>
      <c r="D10555">
        <v>0</v>
      </c>
      <c r="E10555">
        <v>0</v>
      </c>
      <c r="F10555">
        <v>0.2</v>
      </c>
    </row>
    <row r="10556" spans="1:6" x14ac:dyDescent="0.25">
      <c r="A10556">
        <v>10555</v>
      </c>
      <c r="B10556" t="s">
        <v>0</v>
      </c>
      <c r="C10556">
        <v>84</v>
      </c>
      <c r="D10556">
        <v>3495</v>
      </c>
      <c r="E10556">
        <v>80371479</v>
      </c>
    </row>
    <row r="10557" spans="1:6" x14ac:dyDescent="0.25">
      <c r="A10557">
        <v>10556</v>
      </c>
      <c r="B10557">
        <v>44</v>
      </c>
      <c r="C10557">
        <v>0</v>
      </c>
      <c r="D10557">
        <v>0</v>
      </c>
      <c r="E10557">
        <v>0</v>
      </c>
      <c r="F10557">
        <v>-38.548499999999997</v>
      </c>
    </row>
    <row r="10558" spans="1:6" x14ac:dyDescent="0.25">
      <c r="A10558">
        <v>10557</v>
      </c>
      <c r="B10558" t="s">
        <v>0</v>
      </c>
      <c r="C10558">
        <v>85</v>
      </c>
      <c r="D10558">
        <v>3495</v>
      </c>
      <c r="E10558">
        <v>80371614</v>
      </c>
    </row>
    <row r="10559" spans="1:6" x14ac:dyDescent="0.25">
      <c r="A10559">
        <v>10558</v>
      </c>
      <c r="B10559">
        <v>46</v>
      </c>
      <c r="C10559">
        <v>0</v>
      </c>
      <c r="D10559">
        <v>0</v>
      </c>
      <c r="E10559">
        <v>0</v>
      </c>
      <c r="F10559">
        <v>0</v>
      </c>
    </row>
    <row r="10560" spans="1:6" x14ac:dyDescent="0.25">
      <c r="A10560">
        <v>10559</v>
      </c>
      <c r="B10560" t="s">
        <v>0</v>
      </c>
      <c r="C10560">
        <v>86</v>
      </c>
      <c r="D10560">
        <v>3495</v>
      </c>
      <c r="E10560">
        <v>80371749</v>
      </c>
    </row>
    <row r="10561" spans="1:6" x14ac:dyDescent="0.25">
      <c r="A10561">
        <v>10560</v>
      </c>
      <c r="B10561">
        <v>10</v>
      </c>
      <c r="C10561">
        <v>1</v>
      </c>
      <c r="D10561">
        <v>0</v>
      </c>
      <c r="E10561">
        <v>0</v>
      </c>
      <c r="F10561">
        <v>4721</v>
      </c>
    </row>
    <row r="10562" spans="1:6" x14ac:dyDescent="0.25">
      <c r="A10562">
        <v>10561</v>
      </c>
      <c r="B10562" t="s">
        <v>0</v>
      </c>
      <c r="C10562">
        <v>87</v>
      </c>
      <c r="D10562">
        <v>3495</v>
      </c>
      <c r="E10562">
        <v>80371884</v>
      </c>
    </row>
    <row r="10563" spans="1:6" x14ac:dyDescent="0.25">
      <c r="A10563">
        <v>10562</v>
      </c>
      <c r="B10563">
        <v>41</v>
      </c>
      <c r="C10563">
        <v>0</v>
      </c>
      <c r="D10563">
        <v>0</v>
      </c>
      <c r="E10563">
        <v>0</v>
      </c>
      <c r="F10563">
        <v>1</v>
      </c>
    </row>
    <row r="10564" spans="1:6" x14ac:dyDescent="0.25">
      <c r="A10564">
        <v>10563</v>
      </c>
      <c r="B10564" t="s">
        <v>0</v>
      </c>
      <c r="C10564">
        <v>88</v>
      </c>
      <c r="D10564">
        <v>3495</v>
      </c>
      <c r="E10564">
        <v>80372019</v>
      </c>
    </row>
    <row r="10565" spans="1:6" x14ac:dyDescent="0.25">
      <c r="A10565">
        <v>10564</v>
      </c>
      <c r="B10565">
        <v>43</v>
      </c>
      <c r="C10565">
        <v>0</v>
      </c>
      <c r="D10565">
        <v>0</v>
      </c>
      <c r="E10565">
        <v>0</v>
      </c>
      <c r="F10565">
        <v>0</v>
      </c>
    </row>
    <row r="10566" spans="1:6" x14ac:dyDescent="0.25">
      <c r="A10566">
        <v>10565</v>
      </c>
      <c r="B10566" t="s">
        <v>0</v>
      </c>
      <c r="C10566">
        <v>89</v>
      </c>
      <c r="D10566">
        <v>3495</v>
      </c>
      <c r="E10566">
        <v>80372154</v>
      </c>
    </row>
    <row r="10567" spans="1:6" x14ac:dyDescent="0.25">
      <c r="A10567">
        <v>10566</v>
      </c>
      <c r="B10567">
        <v>45</v>
      </c>
      <c r="C10567">
        <v>0</v>
      </c>
      <c r="D10567">
        <v>0</v>
      </c>
      <c r="E10567">
        <v>0</v>
      </c>
      <c r="F10567">
        <v>518.23800000000006</v>
      </c>
    </row>
    <row r="10568" spans="1:6" x14ac:dyDescent="0.25">
      <c r="A10568">
        <v>10567</v>
      </c>
      <c r="B10568" t="s">
        <v>0</v>
      </c>
      <c r="C10568">
        <v>90</v>
      </c>
      <c r="D10568">
        <v>3495</v>
      </c>
      <c r="E10568">
        <v>80372288</v>
      </c>
    </row>
    <row r="10569" spans="1:6" x14ac:dyDescent="0.25">
      <c r="A10569">
        <v>10568</v>
      </c>
      <c r="B10569">
        <v>2</v>
      </c>
      <c r="C10569">
        <v>0</v>
      </c>
      <c r="D10569">
        <v>0</v>
      </c>
      <c r="E10569">
        <v>0</v>
      </c>
      <c r="F10569">
        <v>247.006</v>
      </c>
    </row>
    <row r="10570" spans="1:6" x14ac:dyDescent="0.25">
      <c r="A10570">
        <v>10569</v>
      </c>
      <c r="B10570" t="s">
        <v>0</v>
      </c>
      <c r="C10570">
        <v>91</v>
      </c>
      <c r="D10570">
        <v>3495</v>
      </c>
      <c r="E10570">
        <v>80372422</v>
      </c>
    </row>
    <row r="10571" spans="1:6" x14ac:dyDescent="0.25">
      <c r="A10571">
        <v>10570</v>
      </c>
      <c r="B10571">
        <v>10</v>
      </c>
      <c r="C10571">
        <v>1</v>
      </c>
      <c r="D10571">
        <v>0</v>
      </c>
      <c r="E10571">
        <v>0</v>
      </c>
      <c r="F10571">
        <v>4723</v>
      </c>
    </row>
    <row r="10572" spans="1:6" x14ac:dyDescent="0.25">
      <c r="A10572">
        <v>10571</v>
      </c>
      <c r="B10572">
        <v>13</v>
      </c>
      <c r="C10572">
        <v>0</v>
      </c>
      <c r="D10572">
        <v>0</v>
      </c>
      <c r="E10572">
        <v>0</v>
      </c>
      <c r="F10572">
        <v>1608</v>
      </c>
    </row>
    <row r="10573" spans="1:6" x14ac:dyDescent="0.25">
      <c r="A10573">
        <v>10572</v>
      </c>
      <c r="B10573">
        <v>41</v>
      </c>
      <c r="C10573">
        <v>0</v>
      </c>
      <c r="D10573">
        <v>0</v>
      </c>
      <c r="E10573">
        <v>0</v>
      </c>
      <c r="F10573">
        <v>1</v>
      </c>
    </row>
    <row r="10574" spans="1:6" x14ac:dyDescent="0.25">
      <c r="A10574">
        <v>10573</v>
      </c>
      <c r="B10574">
        <v>42</v>
      </c>
      <c r="C10574">
        <v>0</v>
      </c>
      <c r="D10574">
        <v>0</v>
      </c>
      <c r="E10574">
        <v>0</v>
      </c>
      <c r="F10574">
        <v>0.2</v>
      </c>
    </row>
    <row r="10575" spans="1:6" x14ac:dyDescent="0.25">
      <c r="A10575">
        <v>10574</v>
      </c>
      <c r="B10575">
        <v>43</v>
      </c>
      <c r="C10575">
        <v>0</v>
      </c>
      <c r="D10575">
        <v>0</v>
      </c>
      <c r="E10575">
        <v>0</v>
      </c>
      <c r="F10575">
        <v>0</v>
      </c>
    </row>
    <row r="10576" spans="1:6" x14ac:dyDescent="0.25">
      <c r="A10576">
        <v>10575</v>
      </c>
      <c r="B10576">
        <v>44</v>
      </c>
      <c r="C10576">
        <v>0</v>
      </c>
      <c r="D10576">
        <v>0</v>
      </c>
      <c r="E10576">
        <v>0</v>
      </c>
      <c r="F10576">
        <v>-38.134999999999998</v>
      </c>
    </row>
    <row r="10577" spans="1:6" x14ac:dyDescent="0.25">
      <c r="A10577">
        <v>10576</v>
      </c>
      <c r="B10577">
        <v>45</v>
      </c>
      <c r="C10577">
        <v>0</v>
      </c>
      <c r="D10577">
        <v>0</v>
      </c>
      <c r="E10577">
        <v>0</v>
      </c>
      <c r="F10577">
        <v>518.20699999999999</v>
      </c>
    </row>
    <row r="10578" spans="1:6" x14ac:dyDescent="0.25">
      <c r="A10578">
        <v>10577</v>
      </c>
      <c r="B10578">
        <v>46</v>
      </c>
      <c r="C10578">
        <v>0</v>
      </c>
      <c r="D10578">
        <v>0</v>
      </c>
      <c r="E10578">
        <v>0</v>
      </c>
      <c r="F10578">
        <v>0</v>
      </c>
    </row>
    <row r="10579" spans="1:6" x14ac:dyDescent="0.25">
      <c r="A10579">
        <v>10578</v>
      </c>
      <c r="B10579">
        <v>2</v>
      </c>
      <c r="C10579">
        <v>0</v>
      </c>
      <c r="D10579">
        <v>0</v>
      </c>
      <c r="E10579">
        <v>0</v>
      </c>
      <c r="F10579">
        <v>246.93600000000001</v>
      </c>
    </row>
    <row r="10580" spans="1:6" x14ac:dyDescent="0.25">
      <c r="A10580">
        <v>10579</v>
      </c>
      <c r="B10580">
        <v>10</v>
      </c>
      <c r="C10580">
        <v>1</v>
      </c>
      <c r="D10580">
        <v>0</v>
      </c>
      <c r="E10580">
        <v>0</v>
      </c>
      <c r="F10580">
        <v>4725</v>
      </c>
    </row>
    <row r="10581" spans="1:6" x14ac:dyDescent="0.25">
      <c r="A10581">
        <v>10580</v>
      </c>
      <c r="B10581">
        <v>13</v>
      </c>
      <c r="C10581">
        <v>0</v>
      </c>
      <c r="D10581">
        <v>0</v>
      </c>
      <c r="E10581">
        <v>0</v>
      </c>
      <c r="F10581">
        <v>1608</v>
      </c>
    </row>
    <row r="10582" spans="1:6" x14ac:dyDescent="0.25">
      <c r="A10582">
        <v>10581</v>
      </c>
      <c r="B10582">
        <v>41</v>
      </c>
      <c r="C10582">
        <v>0</v>
      </c>
      <c r="D10582">
        <v>0</v>
      </c>
      <c r="E10582">
        <v>0</v>
      </c>
      <c r="F10582">
        <v>1</v>
      </c>
    </row>
    <row r="10583" spans="1:6" x14ac:dyDescent="0.25">
      <c r="A10583">
        <v>10582</v>
      </c>
      <c r="B10583">
        <v>42</v>
      </c>
      <c r="C10583">
        <v>0</v>
      </c>
      <c r="D10583">
        <v>0</v>
      </c>
      <c r="E10583">
        <v>0</v>
      </c>
      <c r="F10583">
        <v>0.2</v>
      </c>
    </row>
    <row r="10584" spans="1:6" x14ac:dyDescent="0.25">
      <c r="A10584">
        <v>10583</v>
      </c>
      <c r="B10584">
        <v>43</v>
      </c>
      <c r="C10584">
        <v>0</v>
      </c>
      <c r="D10584">
        <v>0</v>
      </c>
      <c r="E10584">
        <v>0</v>
      </c>
      <c r="F10584">
        <v>0</v>
      </c>
    </row>
    <row r="10585" spans="1:6" x14ac:dyDescent="0.25">
      <c r="A10585">
        <v>10584</v>
      </c>
      <c r="B10585">
        <v>44</v>
      </c>
      <c r="C10585">
        <v>0</v>
      </c>
      <c r="D10585">
        <v>0</v>
      </c>
      <c r="E10585">
        <v>0</v>
      </c>
      <c r="F10585">
        <v>-37.848100000000002</v>
      </c>
    </row>
    <row r="10586" spans="1:6" x14ac:dyDescent="0.25">
      <c r="A10586">
        <v>10585</v>
      </c>
      <c r="B10586">
        <v>45</v>
      </c>
      <c r="C10586">
        <v>0</v>
      </c>
      <c r="D10586">
        <v>0</v>
      </c>
      <c r="E10586">
        <v>0</v>
      </c>
      <c r="F10586">
        <v>518.18299999999999</v>
      </c>
    </row>
    <row r="10587" spans="1:6" x14ac:dyDescent="0.25">
      <c r="A10587">
        <v>10586</v>
      </c>
      <c r="B10587">
        <v>46</v>
      </c>
      <c r="C10587">
        <v>0</v>
      </c>
      <c r="D10587">
        <v>0</v>
      </c>
      <c r="E10587">
        <v>0</v>
      </c>
      <c r="F10587">
        <v>0</v>
      </c>
    </row>
    <row r="10588" spans="1:6" x14ac:dyDescent="0.25">
      <c r="A10588">
        <v>10587</v>
      </c>
      <c r="B10588">
        <v>2</v>
      </c>
      <c r="C10588">
        <v>0</v>
      </c>
      <c r="D10588">
        <v>0</v>
      </c>
      <c r="E10588">
        <v>0</v>
      </c>
      <c r="F10588">
        <v>246.839</v>
      </c>
    </row>
    <row r="10589" spans="1:6" x14ac:dyDescent="0.25">
      <c r="A10589">
        <v>10588</v>
      </c>
      <c r="B10589">
        <v>10</v>
      </c>
      <c r="C10589">
        <v>1</v>
      </c>
      <c r="D10589">
        <v>0</v>
      </c>
      <c r="E10589">
        <v>0</v>
      </c>
      <c r="F10589">
        <v>4728</v>
      </c>
    </row>
    <row r="10590" spans="1:6" x14ac:dyDescent="0.25">
      <c r="A10590">
        <v>10589</v>
      </c>
      <c r="B10590">
        <v>13</v>
      </c>
      <c r="C10590">
        <v>0</v>
      </c>
      <c r="D10590">
        <v>0</v>
      </c>
      <c r="E10590">
        <v>0</v>
      </c>
      <c r="F10590">
        <v>1608</v>
      </c>
    </row>
    <row r="10591" spans="1:6" x14ac:dyDescent="0.25">
      <c r="A10591">
        <v>10590</v>
      </c>
      <c r="B10591">
        <v>41</v>
      </c>
      <c r="C10591">
        <v>0</v>
      </c>
      <c r="D10591">
        <v>0</v>
      </c>
      <c r="E10591">
        <v>0</v>
      </c>
      <c r="F10591">
        <v>1</v>
      </c>
    </row>
    <row r="10592" spans="1:6" x14ac:dyDescent="0.25">
      <c r="A10592">
        <v>10591</v>
      </c>
      <c r="B10592">
        <v>42</v>
      </c>
      <c r="C10592">
        <v>0</v>
      </c>
      <c r="D10592">
        <v>0</v>
      </c>
      <c r="E10592">
        <v>0</v>
      </c>
      <c r="F10592">
        <v>0.2</v>
      </c>
    </row>
    <row r="10593" spans="1:6" x14ac:dyDescent="0.25">
      <c r="A10593">
        <v>10592</v>
      </c>
      <c r="B10593">
        <v>43</v>
      </c>
      <c r="C10593">
        <v>0</v>
      </c>
      <c r="D10593">
        <v>0</v>
      </c>
      <c r="E10593">
        <v>0</v>
      </c>
      <c r="F10593">
        <v>0</v>
      </c>
    </row>
    <row r="10594" spans="1:6" x14ac:dyDescent="0.25">
      <c r="A10594">
        <v>10593</v>
      </c>
      <c r="B10594">
        <v>44</v>
      </c>
      <c r="C10594">
        <v>0</v>
      </c>
      <c r="D10594">
        <v>0</v>
      </c>
      <c r="E10594">
        <v>0</v>
      </c>
      <c r="F10594">
        <v>-37.615000000000002</v>
      </c>
    </row>
    <row r="10595" spans="1:6" x14ac:dyDescent="0.25">
      <c r="A10595">
        <v>10594</v>
      </c>
      <c r="B10595">
        <v>45</v>
      </c>
      <c r="C10595">
        <v>0</v>
      </c>
      <c r="D10595">
        <v>0</v>
      </c>
      <c r="E10595">
        <v>0</v>
      </c>
      <c r="F10595">
        <v>518.15200000000004</v>
      </c>
    </row>
    <row r="10596" spans="1:6" x14ac:dyDescent="0.25">
      <c r="A10596">
        <v>10595</v>
      </c>
      <c r="B10596">
        <v>46</v>
      </c>
      <c r="C10596">
        <v>0</v>
      </c>
      <c r="D10596">
        <v>0</v>
      </c>
      <c r="E10596">
        <v>0</v>
      </c>
      <c r="F10596">
        <v>0</v>
      </c>
    </row>
    <row r="10597" spans="1:6" x14ac:dyDescent="0.25">
      <c r="A10597">
        <v>10596</v>
      </c>
      <c r="B10597">
        <v>2</v>
      </c>
      <c r="C10597">
        <v>0</v>
      </c>
      <c r="D10597">
        <v>0</v>
      </c>
      <c r="E10597">
        <v>0</v>
      </c>
      <c r="F10597">
        <v>246.74299999999999</v>
      </c>
    </row>
    <row r="10598" spans="1:6" x14ac:dyDescent="0.25">
      <c r="A10598">
        <v>10597</v>
      </c>
      <c r="B10598">
        <v>10</v>
      </c>
      <c r="C10598">
        <v>1</v>
      </c>
      <c r="D10598">
        <v>0</v>
      </c>
      <c r="E10598">
        <v>0</v>
      </c>
      <c r="F10598">
        <v>4731</v>
      </c>
    </row>
    <row r="10599" spans="1:6" x14ac:dyDescent="0.25">
      <c r="A10599">
        <v>10598</v>
      </c>
      <c r="B10599">
        <v>13</v>
      </c>
      <c r="C10599">
        <v>0</v>
      </c>
      <c r="D10599">
        <v>0</v>
      </c>
      <c r="E10599">
        <v>0</v>
      </c>
      <c r="F10599">
        <v>1608</v>
      </c>
    </row>
    <row r="10600" spans="1:6" x14ac:dyDescent="0.25">
      <c r="A10600">
        <v>10599</v>
      </c>
      <c r="B10600">
        <v>41</v>
      </c>
      <c r="C10600">
        <v>0</v>
      </c>
      <c r="D10600">
        <v>0</v>
      </c>
      <c r="E10600">
        <v>0</v>
      </c>
      <c r="F10600">
        <v>1</v>
      </c>
    </row>
    <row r="10601" spans="1:6" x14ac:dyDescent="0.25">
      <c r="A10601">
        <v>10600</v>
      </c>
      <c r="B10601">
        <v>42</v>
      </c>
      <c r="C10601">
        <v>0</v>
      </c>
      <c r="D10601">
        <v>0</v>
      </c>
      <c r="E10601">
        <v>0</v>
      </c>
      <c r="F10601">
        <v>0.2</v>
      </c>
    </row>
    <row r="10602" spans="1:6" x14ac:dyDescent="0.25">
      <c r="A10602">
        <v>10601</v>
      </c>
      <c r="B10602">
        <v>43</v>
      </c>
      <c r="C10602">
        <v>0</v>
      </c>
      <c r="D10602">
        <v>0</v>
      </c>
      <c r="E10602">
        <v>0</v>
      </c>
      <c r="F10602">
        <v>0</v>
      </c>
    </row>
    <row r="10603" spans="1:6" x14ac:dyDescent="0.25">
      <c r="A10603">
        <v>10602</v>
      </c>
      <c r="B10603">
        <v>44</v>
      </c>
      <c r="C10603">
        <v>0</v>
      </c>
      <c r="D10603">
        <v>0</v>
      </c>
      <c r="E10603">
        <v>0</v>
      </c>
      <c r="F10603">
        <v>-37.382399999999997</v>
      </c>
    </row>
    <row r="10604" spans="1:6" x14ac:dyDescent="0.25">
      <c r="A10604">
        <v>10603</v>
      </c>
      <c r="B10604">
        <v>45</v>
      </c>
      <c r="C10604">
        <v>0</v>
      </c>
      <c r="D10604">
        <v>0</v>
      </c>
      <c r="E10604">
        <v>0</v>
      </c>
      <c r="F10604">
        <v>518.12800000000004</v>
      </c>
    </row>
    <row r="10605" spans="1:6" x14ac:dyDescent="0.25">
      <c r="A10605">
        <v>10604</v>
      </c>
      <c r="B10605">
        <v>46</v>
      </c>
      <c r="C10605">
        <v>0</v>
      </c>
      <c r="D10605">
        <v>0</v>
      </c>
      <c r="E10605">
        <v>0</v>
      </c>
      <c r="F10605">
        <v>0</v>
      </c>
    </row>
    <row r="10606" spans="1:6" x14ac:dyDescent="0.25">
      <c r="A10606">
        <v>10605</v>
      </c>
      <c r="B10606">
        <v>2</v>
      </c>
      <c r="C10606">
        <v>0</v>
      </c>
      <c r="D10606">
        <v>0</v>
      </c>
      <c r="E10606">
        <v>0</v>
      </c>
      <c r="F10606">
        <v>246.68199999999999</v>
      </c>
    </row>
    <row r="10607" spans="1:6" x14ac:dyDescent="0.25">
      <c r="A10607">
        <v>10606</v>
      </c>
      <c r="B10607" t="s">
        <v>0</v>
      </c>
      <c r="C10607">
        <v>109</v>
      </c>
      <c r="D10607">
        <v>3495</v>
      </c>
      <c r="E10607">
        <v>80374847</v>
      </c>
    </row>
    <row r="10608" spans="1:6" x14ac:dyDescent="0.25">
      <c r="A10608">
        <v>10607</v>
      </c>
      <c r="B10608">
        <v>10</v>
      </c>
      <c r="C10608">
        <v>1</v>
      </c>
      <c r="D10608">
        <v>0</v>
      </c>
      <c r="E10608">
        <v>0</v>
      </c>
      <c r="F10608">
        <v>4733</v>
      </c>
    </row>
    <row r="10609" spans="1:6" x14ac:dyDescent="0.25">
      <c r="A10609">
        <v>10608</v>
      </c>
      <c r="B10609">
        <v>13</v>
      </c>
      <c r="C10609">
        <v>0</v>
      </c>
      <c r="D10609">
        <v>0</v>
      </c>
      <c r="E10609">
        <v>0</v>
      </c>
      <c r="F10609">
        <v>1608</v>
      </c>
    </row>
    <row r="10610" spans="1:6" x14ac:dyDescent="0.25">
      <c r="A10610">
        <v>10609</v>
      </c>
      <c r="B10610" t="s">
        <v>0</v>
      </c>
      <c r="C10610">
        <v>110</v>
      </c>
      <c r="D10610">
        <v>3495</v>
      </c>
      <c r="E10610">
        <v>80374982</v>
      </c>
    </row>
    <row r="10611" spans="1:6" x14ac:dyDescent="0.25">
      <c r="A10611">
        <v>10610</v>
      </c>
      <c r="B10611">
        <v>41</v>
      </c>
      <c r="C10611">
        <v>0</v>
      </c>
      <c r="D10611">
        <v>0</v>
      </c>
      <c r="E10611">
        <v>0</v>
      </c>
      <c r="F10611">
        <v>1</v>
      </c>
    </row>
    <row r="10612" spans="1:6" x14ac:dyDescent="0.25">
      <c r="A10612">
        <v>10611</v>
      </c>
      <c r="B10612">
        <v>42</v>
      </c>
      <c r="C10612">
        <v>0</v>
      </c>
      <c r="D10612">
        <v>0</v>
      </c>
      <c r="E10612">
        <v>0</v>
      </c>
      <c r="F10612">
        <v>0.2</v>
      </c>
    </row>
    <row r="10613" spans="1:6" x14ac:dyDescent="0.25">
      <c r="A10613">
        <v>10612</v>
      </c>
      <c r="B10613" t="s">
        <v>0</v>
      </c>
      <c r="C10613">
        <v>111</v>
      </c>
      <c r="D10613">
        <v>3495</v>
      </c>
      <c r="E10613">
        <v>80375116</v>
      </c>
    </row>
    <row r="10614" spans="1:6" x14ac:dyDescent="0.25">
      <c r="A10614">
        <v>10613</v>
      </c>
      <c r="B10614">
        <v>43</v>
      </c>
      <c r="C10614">
        <v>0</v>
      </c>
      <c r="D10614">
        <v>0</v>
      </c>
      <c r="E10614">
        <v>0</v>
      </c>
      <c r="F10614">
        <v>0</v>
      </c>
    </row>
    <row r="10615" spans="1:6" x14ac:dyDescent="0.25">
      <c r="A10615">
        <v>10614</v>
      </c>
      <c r="B10615">
        <v>44</v>
      </c>
      <c r="C10615">
        <v>0</v>
      </c>
      <c r="D10615">
        <v>0</v>
      </c>
      <c r="E10615">
        <v>0</v>
      </c>
      <c r="F10615">
        <v>-37.180100000000003</v>
      </c>
    </row>
    <row r="10616" spans="1:6" x14ac:dyDescent="0.25">
      <c r="A10616">
        <v>10615</v>
      </c>
      <c r="B10616" t="s">
        <v>0</v>
      </c>
      <c r="C10616">
        <v>112</v>
      </c>
      <c r="D10616">
        <v>3495</v>
      </c>
      <c r="E10616">
        <v>80375251</v>
      </c>
    </row>
    <row r="10617" spans="1:6" x14ac:dyDescent="0.25">
      <c r="A10617">
        <v>10616</v>
      </c>
      <c r="B10617">
        <v>45</v>
      </c>
      <c r="C10617">
        <v>0</v>
      </c>
      <c r="D10617">
        <v>0</v>
      </c>
      <c r="E10617">
        <v>0</v>
      </c>
      <c r="F10617">
        <v>518.09799999999996</v>
      </c>
    </row>
    <row r="10618" spans="1:6" x14ac:dyDescent="0.25">
      <c r="A10618">
        <v>10617</v>
      </c>
      <c r="B10618">
        <v>46</v>
      </c>
      <c r="C10618">
        <v>0</v>
      </c>
      <c r="D10618">
        <v>0</v>
      </c>
      <c r="E10618">
        <v>0</v>
      </c>
      <c r="F10618">
        <v>0</v>
      </c>
    </row>
    <row r="10619" spans="1:6" x14ac:dyDescent="0.25">
      <c r="A10619">
        <v>10618</v>
      </c>
      <c r="B10619" t="s">
        <v>0</v>
      </c>
      <c r="C10619">
        <v>113</v>
      </c>
      <c r="D10619">
        <v>3495</v>
      </c>
      <c r="E10619">
        <v>80375386</v>
      </c>
    </row>
    <row r="10620" spans="1:6" x14ac:dyDescent="0.25">
      <c r="A10620">
        <v>10619</v>
      </c>
      <c r="B10620">
        <v>2</v>
      </c>
      <c r="C10620">
        <v>0</v>
      </c>
      <c r="D10620">
        <v>0</v>
      </c>
      <c r="E10620">
        <v>0</v>
      </c>
      <c r="F10620">
        <v>246.62100000000001</v>
      </c>
    </row>
    <row r="10621" spans="1:6" x14ac:dyDescent="0.25">
      <c r="A10621">
        <v>10620</v>
      </c>
      <c r="B10621">
        <v>10</v>
      </c>
      <c r="C10621">
        <v>1</v>
      </c>
      <c r="D10621">
        <v>0</v>
      </c>
      <c r="E10621">
        <v>0</v>
      </c>
      <c r="F10621">
        <v>4736</v>
      </c>
    </row>
    <row r="10622" spans="1:6" x14ac:dyDescent="0.25">
      <c r="A10622">
        <v>10621</v>
      </c>
      <c r="B10622" t="s">
        <v>0</v>
      </c>
      <c r="C10622">
        <v>114</v>
      </c>
      <c r="D10622">
        <v>3495</v>
      </c>
      <c r="E10622">
        <v>80375520</v>
      </c>
    </row>
    <row r="10623" spans="1:6" x14ac:dyDescent="0.25">
      <c r="A10623">
        <v>10622</v>
      </c>
      <c r="B10623">
        <v>13</v>
      </c>
      <c r="C10623">
        <v>0</v>
      </c>
      <c r="D10623">
        <v>0</v>
      </c>
      <c r="E10623">
        <v>0</v>
      </c>
      <c r="F10623">
        <v>1608</v>
      </c>
    </row>
    <row r="10624" spans="1:6" x14ac:dyDescent="0.25">
      <c r="A10624">
        <v>10623</v>
      </c>
      <c r="B10624">
        <v>41</v>
      </c>
      <c r="C10624">
        <v>0</v>
      </c>
      <c r="D10624">
        <v>0</v>
      </c>
      <c r="E10624">
        <v>0</v>
      </c>
      <c r="F10624">
        <v>1</v>
      </c>
    </row>
    <row r="10625" spans="1:6" x14ac:dyDescent="0.25">
      <c r="A10625">
        <v>10624</v>
      </c>
      <c r="B10625" t="s">
        <v>0</v>
      </c>
      <c r="C10625">
        <v>115</v>
      </c>
      <c r="D10625">
        <v>3495</v>
      </c>
      <c r="E10625">
        <v>80375655</v>
      </c>
    </row>
    <row r="10626" spans="1:6" x14ac:dyDescent="0.25">
      <c r="A10626">
        <v>10625</v>
      </c>
      <c r="B10626">
        <v>42</v>
      </c>
      <c r="C10626">
        <v>0</v>
      </c>
      <c r="D10626">
        <v>0</v>
      </c>
      <c r="E10626">
        <v>0</v>
      </c>
      <c r="F10626">
        <v>0.2</v>
      </c>
    </row>
    <row r="10627" spans="1:6" x14ac:dyDescent="0.25">
      <c r="A10627">
        <v>10626</v>
      </c>
      <c r="B10627">
        <v>43</v>
      </c>
      <c r="C10627">
        <v>0</v>
      </c>
      <c r="D10627">
        <v>0</v>
      </c>
      <c r="E10627">
        <v>0</v>
      </c>
      <c r="F10627">
        <v>0</v>
      </c>
    </row>
    <row r="10628" spans="1:6" x14ac:dyDescent="0.25">
      <c r="A10628">
        <v>10627</v>
      </c>
      <c r="B10628" t="s">
        <v>0</v>
      </c>
      <c r="C10628">
        <v>116</v>
      </c>
      <c r="D10628">
        <v>3495</v>
      </c>
      <c r="E10628">
        <v>80375790</v>
      </c>
    </row>
    <row r="10629" spans="1:6" x14ac:dyDescent="0.25">
      <c r="A10629">
        <v>10628</v>
      </c>
      <c r="B10629">
        <v>44</v>
      </c>
      <c r="C10629">
        <v>0</v>
      </c>
      <c r="D10629">
        <v>0</v>
      </c>
      <c r="E10629">
        <v>0</v>
      </c>
      <c r="F10629">
        <v>-36.968899999999998</v>
      </c>
    </row>
    <row r="10630" spans="1:6" x14ac:dyDescent="0.25">
      <c r="A10630">
        <v>10629</v>
      </c>
      <c r="B10630">
        <v>45</v>
      </c>
      <c r="C10630">
        <v>0</v>
      </c>
      <c r="D10630">
        <v>0</v>
      </c>
      <c r="E10630">
        <v>0</v>
      </c>
      <c r="F10630">
        <v>518.07399999999996</v>
      </c>
    </row>
    <row r="10631" spans="1:6" x14ac:dyDescent="0.25">
      <c r="A10631">
        <v>10630</v>
      </c>
      <c r="B10631" t="s">
        <v>0</v>
      </c>
      <c r="C10631">
        <v>117</v>
      </c>
      <c r="D10631">
        <v>3495</v>
      </c>
      <c r="E10631">
        <v>80375925</v>
      </c>
    </row>
    <row r="10632" spans="1:6" x14ac:dyDescent="0.25">
      <c r="A10632">
        <v>10631</v>
      </c>
      <c r="B10632">
        <v>46</v>
      </c>
      <c r="C10632">
        <v>0</v>
      </c>
      <c r="D10632">
        <v>0</v>
      </c>
      <c r="E10632">
        <v>0</v>
      </c>
      <c r="F10632">
        <v>0</v>
      </c>
    </row>
    <row r="10633" spans="1:6" x14ac:dyDescent="0.25">
      <c r="A10633">
        <v>10632</v>
      </c>
      <c r="B10633">
        <v>2</v>
      </c>
      <c r="C10633">
        <v>0</v>
      </c>
      <c r="D10633">
        <v>0</v>
      </c>
      <c r="E10633">
        <v>0</v>
      </c>
      <c r="F10633">
        <v>246.55600000000001</v>
      </c>
    </row>
    <row r="10634" spans="1:6" x14ac:dyDescent="0.25">
      <c r="A10634">
        <v>10633</v>
      </c>
      <c r="B10634" t="s">
        <v>0</v>
      </c>
      <c r="C10634">
        <v>118</v>
      </c>
      <c r="D10634">
        <v>3495</v>
      </c>
      <c r="E10634">
        <v>80376060</v>
      </c>
    </row>
    <row r="10635" spans="1:6" x14ac:dyDescent="0.25">
      <c r="A10635">
        <v>10634</v>
      </c>
      <c r="B10635">
        <v>10</v>
      </c>
      <c r="C10635">
        <v>1</v>
      </c>
      <c r="D10635">
        <v>0</v>
      </c>
      <c r="E10635">
        <v>0</v>
      </c>
      <c r="F10635">
        <v>4738</v>
      </c>
    </row>
    <row r="10636" spans="1:6" x14ac:dyDescent="0.25">
      <c r="A10636">
        <v>10635</v>
      </c>
      <c r="B10636">
        <v>13</v>
      </c>
      <c r="C10636">
        <v>0</v>
      </c>
      <c r="D10636">
        <v>0</v>
      </c>
      <c r="E10636">
        <v>0</v>
      </c>
      <c r="F10636">
        <v>1608</v>
      </c>
    </row>
    <row r="10637" spans="1:6" x14ac:dyDescent="0.25">
      <c r="A10637">
        <v>10636</v>
      </c>
      <c r="B10637" t="s">
        <v>0</v>
      </c>
      <c r="C10637">
        <v>119</v>
      </c>
      <c r="D10637">
        <v>3495</v>
      </c>
      <c r="E10637">
        <v>80376195</v>
      </c>
    </row>
    <row r="10638" spans="1:6" x14ac:dyDescent="0.25">
      <c r="A10638">
        <v>10637</v>
      </c>
      <c r="B10638">
        <v>41</v>
      </c>
      <c r="C10638">
        <v>0</v>
      </c>
      <c r="D10638">
        <v>0</v>
      </c>
      <c r="E10638">
        <v>0</v>
      </c>
      <c r="F10638">
        <v>1</v>
      </c>
    </row>
    <row r="10639" spans="1:6" x14ac:dyDescent="0.25">
      <c r="A10639">
        <v>10638</v>
      </c>
      <c r="B10639">
        <v>42</v>
      </c>
      <c r="C10639">
        <v>0</v>
      </c>
      <c r="D10639">
        <v>0</v>
      </c>
      <c r="E10639">
        <v>0</v>
      </c>
      <c r="F10639">
        <v>0.2</v>
      </c>
    </row>
    <row r="10640" spans="1:6" x14ac:dyDescent="0.25">
      <c r="A10640">
        <v>10639</v>
      </c>
      <c r="B10640" t="s">
        <v>0</v>
      </c>
      <c r="C10640">
        <v>120</v>
      </c>
      <c r="D10640">
        <v>3495</v>
      </c>
      <c r="E10640">
        <v>80376330</v>
      </c>
    </row>
    <row r="10641" spans="1:6" x14ac:dyDescent="0.25">
      <c r="A10641">
        <v>10640</v>
      </c>
      <c r="B10641">
        <v>43</v>
      </c>
      <c r="C10641">
        <v>0</v>
      </c>
      <c r="D10641">
        <v>0</v>
      </c>
      <c r="E10641">
        <v>0</v>
      </c>
      <c r="F10641">
        <v>0</v>
      </c>
    </row>
    <row r="10642" spans="1:6" x14ac:dyDescent="0.25">
      <c r="A10642">
        <v>10641</v>
      </c>
      <c r="B10642">
        <v>44</v>
      </c>
      <c r="C10642">
        <v>0</v>
      </c>
      <c r="D10642">
        <v>0</v>
      </c>
      <c r="E10642">
        <v>0</v>
      </c>
      <c r="F10642">
        <v>-36.720199999999998</v>
      </c>
    </row>
    <row r="10643" spans="1:6" x14ac:dyDescent="0.25">
      <c r="A10643">
        <v>10642</v>
      </c>
      <c r="B10643" t="s">
        <v>0</v>
      </c>
      <c r="C10643">
        <v>121</v>
      </c>
      <c r="D10643">
        <v>3495</v>
      </c>
      <c r="E10643">
        <v>80376465</v>
      </c>
    </row>
    <row r="10644" spans="1:6" x14ac:dyDescent="0.25">
      <c r="A10644">
        <v>10643</v>
      </c>
      <c r="B10644">
        <v>46</v>
      </c>
      <c r="C10644">
        <v>0</v>
      </c>
      <c r="D10644">
        <v>0</v>
      </c>
      <c r="E10644">
        <v>0</v>
      </c>
      <c r="F10644">
        <v>0</v>
      </c>
    </row>
    <row r="10645" spans="1:6" x14ac:dyDescent="0.25">
      <c r="A10645">
        <v>10644</v>
      </c>
      <c r="B10645" t="s">
        <v>0</v>
      </c>
      <c r="C10645">
        <v>122</v>
      </c>
      <c r="D10645">
        <v>3495</v>
      </c>
      <c r="E10645">
        <v>80376600</v>
      </c>
    </row>
    <row r="10646" spans="1:6" x14ac:dyDescent="0.25">
      <c r="A10646">
        <v>10645</v>
      </c>
      <c r="B10646">
        <v>10</v>
      </c>
      <c r="C10646">
        <v>1</v>
      </c>
      <c r="D10646">
        <v>0</v>
      </c>
      <c r="E10646">
        <v>0</v>
      </c>
      <c r="F10646">
        <v>4742</v>
      </c>
    </row>
    <row r="10647" spans="1:6" x14ac:dyDescent="0.25">
      <c r="A10647">
        <v>10646</v>
      </c>
      <c r="B10647" t="s">
        <v>0</v>
      </c>
      <c r="C10647">
        <v>123</v>
      </c>
      <c r="D10647">
        <v>3495</v>
      </c>
      <c r="E10647">
        <v>80376735</v>
      </c>
    </row>
    <row r="10648" spans="1:6" x14ac:dyDescent="0.25">
      <c r="A10648">
        <v>10647</v>
      </c>
      <c r="B10648">
        <v>41</v>
      </c>
      <c r="C10648">
        <v>0</v>
      </c>
      <c r="D10648">
        <v>0</v>
      </c>
      <c r="E10648">
        <v>0</v>
      </c>
      <c r="F10648">
        <v>1</v>
      </c>
    </row>
    <row r="10649" spans="1:6" x14ac:dyDescent="0.25">
      <c r="A10649">
        <v>10648</v>
      </c>
      <c r="B10649" t="s">
        <v>0</v>
      </c>
      <c r="C10649">
        <v>124</v>
      </c>
      <c r="D10649">
        <v>3495</v>
      </c>
      <c r="E10649">
        <v>80376870</v>
      </c>
    </row>
    <row r="10650" spans="1:6" x14ac:dyDescent="0.25">
      <c r="A10650">
        <v>10649</v>
      </c>
      <c r="B10650">
        <v>43</v>
      </c>
      <c r="C10650">
        <v>0</v>
      </c>
      <c r="D10650">
        <v>0</v>
      </c>
      <c r="E10650">
        <v>0</v>
      </c>
      <c r="F10650">
        <v>0</v>
      </c>
    </row>
    <row r="10651" spans="1:6" x14ac:dyDescent="0.25">
      <c r="A10651">
        <v>10650</v>
      </c>
      <c r="B10651" t="s">
        <v>0</v>
      </c>
      <c r="C10651">
        <v>125</v>
      </c>
      <c r="D10651">
        <v>3495</v>
      </c>
      <c r="E10651">
        <v>80377005</v>
      </c>
    </row>
    <row r="10652" spans="1:6" x14ac:dyDescent="0.25">
      <c r="A10652">
        <v>10651</v>
      </c>
      <c r="B10652">
        <v>45</v>
      </c>
      <c r="C10652">
        <v>0</v>
      </c>
      <c r="D10652">
        <v>0</v>
      </c>
      <c r="E10652">
        <v>0</v>
      </c>
      <c r="F10652">
        <v>518.02</v>
      </c>
    </row>
    <row r="10653" spans="1:6" x14ac:dyDescent="0.25">
      <c r="A10653">
        <v>10652</v>
      </c>
      <c r="B10653" t="s">
        <v>0</v>
      </c>
      <c r="C10653">
        <v>126</v>
      </c>
      <c r="D10653">
        <v>3495</v>
      </c>
      <c r="E10653">
        <v>80377140</v>
      </c>
    </row>
    <row r="10654" spans="1:6" x14ac:dyDescent="0.25">
      <c r="A10654">
        <v>10653</v>
      </c>
      <c r="B10654">
        <v>2</v>
      </c>
      <c r="C10654">
        <v>0</v>
      </c>
      <c r="D10654">
        <v>0</v>
      </c>
      <c r="E10654">
        <v>0</v>
      </c>
      <c r="F10654">
        <v>246.369</v>
      </c>
    </row>
    <row r="10655" spans="1:6" x14ac:dyDescent="0.25">
      <c r="A10655">
        <v>10654</v>
      </c>
      <c r="B10655" t="s">
        <v>0</v>
      </c>
      <c r="C10655">
        <v>127</v>
      </c>
      <c r="D10655">
        <v>3495</v>
      </c>
      <c r="E10655">
        <v>80377275</v>
      </c>
    </row>
    <row r="10656" spans="1:6" x14ac:dyDescent="0.25">
      <c r="A10656">
        <v>10655</v>
      </c>
      <c r="B10656">
        <v>13</v>
      </c>
      <c r="C10656">
        <v>0</v>
      </c>
      <c r="D10656">
        <v>0</v>
      </c>
      <c r="E10656">
        <v>0</v>
      </c>
      <c r="F10656">
        <v>1608</v>
      </c>
    </row>
    <row r="10657" spans="1:6" x14ac:dyDescent="0.25">
      <c r="A10657">
        <v>10656</v>
      </c>
      <c r="B10657" t="s">
        <v>0</v>
      </c>
      <c r="C10657">
        <v>128</v>
      </c>
      <c r="D10657">
        <v>3495</v>
      </c>
      <c r="E10657">
        <v>80377410</v>
      </c>
    </row>
    <row r="10658" spans="1:6" x14ac:dyDescent="0.25">
      <c r="A10658">
        <v>10657</v>
      </c>
      <c r="B10658">
        <v>42</v>
      </c>
      <c r="C10658">
        <v>0</v>
      </c>
      <c r="D10658">
        <v>0</v>
      </c>
      <c r="E10658">
        <v>0</v>
      </c>
      <c r="F10658">
        <v>0.2</v>
      </c>
    </row>
    <row r="10659" spans="1:6" x14ac:dyDescent="0.25">
      <c r="A10659">
        <v>10658</v>
      </c>
      <c r="B10659" t="s">
        <v>0</v>
      </c>
      <c r="C10659">
        <v>129</v>
      </c>
      <c r="D10659">
        <v>3495</v>
      </c>
      <c r="E10659">
        <v>80377545</v>
      </c>
    </row>
    <row r="10660" spans="1:6" x14ac:dyDescent="0.25">
      <c r="A10660">
        <v>10659</v>
      </c>
      <c r="B10660">
        <v>44</v>
      </c>
      <c r="C10660">
        <v>0</v>
      </c>
      <c r="D10660">
        <v>0</v>
      </c>
      <c r="E10660">
        <v>0</v>
      </c>
      <c r="F10660">
        <v>-36.259700000000002</v>
      </c>
    </row>
    <row r="10661" spans="1:6" x14ac:dyDescent="0.25">
      <c r="A10661">
        <v>10660</v>
      </c>
      <c r="B10661" t="s">
        <v>0</v>
      </c>
      <c r="C10661">
        <v>130</v>
      </c>
      <c r="D10661">
        <v>3495</v>
      </c>
      <c r="E10661">
        <v>80377680</v>
      </c>
    </row>
    <row r="10662" spans="1:6" x14ac:dyDescent="0.25">
      <c r="A10662">
        <v>10661</v>
      </c>
      <c r="B10662">
        <v>46</v>
      </c>
      <c r="C10662">
        <v>0</v>
      </c>
      <c r="D10662">
        <v>0</v>
      </c>
      <c r="E10662">
        <v>0</v>
      </c>
      <c r="F10662">
        <v>0</v>
      </c>
    </row>
    <row r="10663" spans="1:6" x14ac:dyDescent="0.25">
      <c r="A10663">
        <v>10662</v>
      </c>
      <c r="B10663" t="s">
        <v>0</v>
      </c>
      <c r="C10663">
        <v>131</v>
      </c>
      <c r="D10663">
        <v>3495</v>
      </c>
      <c r="E10663">
        <v>80377815</v>
      </c>
    </row>
    <row r="10664" spans="1:6" x14ac:dyDescent="0.25">
      <c r="A10664">
        <v>10663</v>
      </c>
      <c r="B10664">
        <v>10</v>
      </c>
      <c r="C10664">
        <v>1</v>
      </c>
      <c r="D10664">
        <v>0</v>
      </c>
      <c r="E10664">
        <v>0</v>
      </c>
      <c r="F10664">
        <v>4747</v>
      </c>
    </row>
    <row r="10665" spans="1:6" x14ac:dyDescent="0.25">
      <c r="A10665">
        <v>10664</v>
      </c>
      <c r="B10665">
        <v>13</v>
      </c>
      <c r="C10665">
        <v>0</v>
      </c>
      <c r="D10665">
        <v>0</v>
      </c>
      <c r="E10665">
        <v>0</v>
      </c>
      <c r="F10665">
        <v>1608</v>
      </c>
    </row>
    <row r="10666" spans="1:6" x14ac:dyDescent="0.25">
      <c r="A10666">
        <v>10665</v>
      </c>
      <c r="B10666">
        <v>41</v>
      </c>
      <c r="C10666">
        <v>0</v>
      </c>
      <c r="D10666">
        <v>0</v>
      </c>
      <c r="E10666">
        <v>0</v>
      </c>
      <c r="F10666">
        <v>1</v>
      </c>
    </row>
    <row r="10667" spans="1:6" x14ac:dyDescent="0.25">
      <c r="A10667">
        <v>10666</v>
      </c>
      <c r="B10667">
        <v>42</v>
      </c>
      <c r="C10667">
        <v>0</v>
      </c>
      <c r="D10667">
        <v>0</v>
      </c>
      <c r="E10667">
        <v>0</v>
      </c>
      <c r="F10667">
        <v>0.2</v>
      </c>
    </row>
    <row r="10668" spans="1:6" x14ac:dyDescent="0.25">
      <c r="A10668">
        <v>10667</v>
      </c>
      <c r="B10668">
        <v>43</v>
      </c>
      <c r="C10668">
        <v>0</v>
      </c>
      <c r="D10668">
        <v>0</v>
      </c>
      <c r="E10668">
        <v>0</v>
      </c>
      <c r="F10668">
        <v>0</v>
      </c>
    </row>
    <row r="10669" spans="1:6" x14ac:dyDescent="0.25">
      <c r="A10669">
        <v>10668</v>
      </c>
      <c r="B10669">
        <v>44</v>
      </c>
      <c r="C10669">
        <v>0</v>
      </c>
      <c r="D10669">
        <v>0</v>
      </c>
      <c r="E10669">
        <v>0</v>
      </c>
      <c r="F10669">
        <v>-36.084099999999999</v>
      </c>
    </row>
    <row r="10670" spans="1:6" x14ac:dyDescent="0.25">
      <c r="A10670">
        <v>10669</v>
      </c>
      <c r="B10670">
        <v>45</v>
      </c>
      <c r="C10670">
        <v>0</v>
      </c>
      <c r="D10670">
        <v>0</v>
      </c>
      <c r="E10670">
        <v>0</v>
      </c>
      <c r="F10670">
        <v>517.96699999999998</v>
      </c>
    </row>
    <row r="10671" spans="1:6" x14ac:dyDescent="0.25">
      <c r="A10671">
        <v>10670</v>
      </c>
      <c r="B10671">
        <v>46</v>
      </c>
      <c r="C10671">
        <v>0</v>
      </c>
      <c r="D10671">
        <v>0</v>
      </c>
      <c r="E10671">
        <v>0</v>
      </c>
      <c r="F10671">
        <v>0</v>
      </c>
    </row>
    <row r="10672" spans="1:6" x14ac:dyDescent="0.25">
      <c r="A10672">
        <v>10671</v>
      </c>
      <c r="B10672">
        <v>2</v>
      </c>
      <c r="C10672">
        <v>0</v>
      </c>
      <c r="D10672">
        <v>0</v>
      </c>
      <c r="E10672">
        <v>0</v>
      </c>
      <c r="F10672">
        <v>246.251</v>
      </c>
    </row>
    <row r="10673" spans="1:6" x14ac:dyDescent="0.25">
      <c r="A10673">
        <v>10672</v>
      </c>
      <c r="B10673">
        <v>10</v>
      </c>
      <c r="C10673">
        <v>1</v>
      </c>
      <c r="D10673">
        <v>0</v>
      </c>
      <c r="E10673">
        <v>0</v>
      </c>
      <c r="F10673">
        <v>4748</v>
      </c>
    </row>
    <row r="10674" spans="1:6" x14ac:dyDescent="0.25">
      <c r="A10674">
        <v>10673</v>
      </c>
      <c r="B10674">
        <v>13</v>
      </c>
      <c r="C10674">
        <v>0</v>
      </c>
      <c r="D10674">
        <v>0</v>
      </c>
      <c r="E10674">
        <v>0</v>
      </c>
      <c r="F10674">
        <v>1608</v>
      </c>
    </row>
    <row r="10675" spans="1:6" x14ac:dyDescent="0.25">
      <c r="A10675">
        <v>10674</v>
      </c>
      <c r="B10675">
        <v>41</v>
      </c>
      <c r="C10675">
        <v>0</v>
      </c>
      <c r="D10675">
        <v>0</v>
      </c>
      <c r="E10675">
        <v>0</v>
      </c>
      <c r="F10675">
        <v>1</v>
      </c>
    </row>
    <row r="10676" spans="1:6" x14ac:dyDescent="0.25">
      <c r="A10676">
        <v>10675</v>
      </c>
      <c r="B10676">
        <v>42</v>
      </c>
      <c r="C10676">
        <v>0</v>
      </c>
      <c r="D10676">
        <v>0</v>
      </c>
      <c r="E10676">
        <v>0</v>
      </c>
      <c r="F10676">
        <v>0.2</v>
      </c>
    </row>
    <row r="10677" spans="1:6" x14ac:dyDescent="0.25">
      <c r="A10677">
        <v>10676</v>
      </c>
      <c r="B10677">
        <v>43</v>
      </c>
      <c r="C10677">
        <v>0</v>
      </c>
      <c r="D10677">
        <v>0</v>
      </c>
      <c r="E10677">
        <v>0</v>
      </c>
      <c r="F10677">
        <v>0</v>
      </c>
    </row>
    <row r="10678" spans="1:6" x14ac:dyDescent="0.25">
      <c r="A10678">
        <v>10677</v>
      </c>
      <c r="B10678">
        <v>44</v>
      </c>
      <c r="C10678">
        <v>0</v>
      </c>
      <c r="D10678">
        <v>0</v>
      </c>
      <c r="E10678">
        <v>0</v>
      </c>
      <c r="F10678">
        <v>-35.840699999999998</v>
      </c>
    </row>
    <row r="10679" spans="1:6" x14ac:dyDescent="0.25">
      <c r="A10679">
        <v>10678</v>
      </c>
      <c r="B10679">
        <v>45</v>
      </c>
      <c r="C10679">
        <v>0</v>
      </c>
      <c r="D10679">
        <v>0</v>
      </c>
      <c r="E10679">
        <v>0</v>
      </c>
      <c r="F10679">
        <v>517.94399999999996</v>
      </c>
    </row>
    <row r="10680" spans="1:6" x14ac:dyDescent="0.25">
      <c r="A10680">
        <v>10679</v>
      </c>
      <c r="B10680">
        <v>46</v>
      </c>
      <c r="C10680">
        <v>0</v>
      </c>
      <c r="D10680">
        <v>0</v>
      </c>
      <c r="E10680">
        <v>0</v>
      </c>
      <c r="F10680">
        <v>0</v>
      </c>
    </row>
    <row r="10681" spans="1:6" x14ac:dyDescent="0.25">
      <c r="A10681">
        <v>10680</v>
      </c>
      <c r="B10681">
        <v>2</v>
      </c>
      <c r="C10681">
        <v>0</v>
      </c>
      <c r="D10681">
        <v>0</v>
      </c>
      <c r="E10681">
        <v>0</v>
      </c>
      <c r="F10681">
        <v>246.178</v>
      </c>
    </row>
    <row r="10682" spans="1:6" x14ac:dyDescent="0.25">
      <c r="A10682">
        <v>10681</v>
      </c>
      <c r="B10682">
        <v>10</v>
      </c>
      <c r="C10682">
        <v>1</v>
      </c>
      <c r="D10682">
        <v>0</v>
      </c>
      <c r="E10682">
        <v>0</v>
      </c>
      <c r="F10682">
        <v>4751</v>
      </c>
    </row>
    <row r="10683" spans="1:6" x14ac:dyDescent="0.25">
      <c r="A10683">
        <v>10682</v>
      </c>
      <c r="B10683">
        <v>13</v>
      </c>
      <c r="C10683">
        <v>0</v>
      </c>
      <c r="D10683">
        <v>0</v>
      </c>
      <c r="E10683">
        <v>0</v>
      </c>
      <c r="F10683">
        <v>1608</v>
      </c>
    </row>
    <row r="10684" spans="1:6" x14ac:dyDescent="0.25">
      <c r="A10684">
        <v>10683</v>
      </c>
      <c r="B10684">
        <v>41</v>
      </c>
      <c r="C10684">
        <v>0</v>
      </c>
      <c r="D10684">
        <v>0</v>
      </c>
      <c r="E10684">
        <v>0</v>
      </c>
      <c r="F10684">
        <v>1</v>
      </c>
    </row>
    <row r="10685" spans="1:6" x14ac:dyDescent="0.25">
      <c r="A10685">
        <v>10684</v>
      </c>
      <c r="B10685">
        <v>42</v>
      </c>
      <c r="C10685">
        <v>0</v>
      </c>
      <c r="D10685">
        <v>0</v>
      </c>
      <c r="E10685">
        <v>0</v>
      </c>
      <c r="F10685">
        <v>0.2</v>
      </c>
    </row>
    <row r="10686" spans="1:6" x14ac:dyDescent="0.25">
      <c r="A10686">
        <v>10685</v>
      </c>
      <c r="B10686">
        <v>43</v>
      </c>
      <c r="C10686">
        <v>0</v>
      </c>
      <c r="D10686">
        <v>0</v>
      </c>
      <c r="E10686">
        <v>0</v>
      </c>
      <c r="F10686">
        <v>0</v>
      </c>
    </row>
    <row r="10687" spans="1:6" x14ac:dyDescent="0.25">
      <c r="A10687">
        <v>10686</v>
      </c>
      <c r="B10687">
        <v>44</v>
      </c>
      <c r="C10687">
        <v>0</v>
      </c>
      <c r="D10687">
        <v>0</v>
      </c>
      <c r="E10687">
        <v>0</v>
      </c>
      <c r="F10687">
        <v>-35.594799999999999</v>
      </c>
    </row>
    <row r="10688" spans="1:6" x14ac:dyDescent="0.25">
      <c r="A10688">
        <v>10687</v>
      </c>
      <c r="B10688">
        <v>45</v>
      </c>
      <c r="C10688">
        <v>0</v>
      </c>
      <c r="D10688">
        <v>0</v>
      </c>
      <c r="E10688">
        <v>0</v>
      </c>
      <c r="F10688">
        <v>517.91399999999999</v>
      </c>
    </row>
    <row r="10689" spans="1:6" x14ac:dyDescent="0.25">
      <c r="A10689">
        <v>10688</v>
      </c>
      <c r="B10689">
        <v>46</v>
      </c>
      <c r="C10689">
        <v>0</v>
      </c>
      <c r="D10689">
        <v>0</v>
      </c>
      <c r="E10689">
        <v>0</v>
      </c>
      <c r="F10689">
        <v>0</v>
      </c>
    </row>
    <row r="10690" spans="1:6" x14ac:dyDescent="0.25">
      <c r="A10690">
        <v>10689</v>
      </c>
      <c r="B10690">
        <v>2</v>
      </c>
      <c r="C10690">
        <v>0</v>
      </c>
      <c r="D10690">
        <v>0</v>
      </c>
      <c r="E10690">
        <v>0</v>
      </c>
      <c r="F10690">
        <v>246.06700000000001</v>
      </c>
    </row>
    <row r="10691" spans="1:6" x14ac:dyDescent="0.25">
      <c r="A10691">
        <v>10690</v>
      </c>
      <c r="B10691">
        <v>10</v>
      </c>
      <c r="C10691">
        <v>1</v>
      </c>
      <c r="D10691">
        <v>0</v>
      </c>
      <c r="E10691">
        <v>0</v>
      </c>
      <c r="F10691">
        <v>4754</v>
      </c>
    </row>
    <row r="10692" spans="1:6" x14ac:dyDescent="0.25">
      <c r="A10692">
        <v>10691</v>
      </c>
      <c r="B10692">
        <v>13</v>
      </c>
      <c r="C10692">
        <v>0</v>
      </c>
      <c r="D10692">
        <v>0</v>
      </c>
      <c r="E10692">
        <v>0</v>
      </c>
      <c r="F10692">
        <v>1608</v>
      </c>
    </row>
    <row r="10693" spans="1:6" x14ac:dyDescent="0.25">
      <c r="A10693">
        <v>10692</v>
      </c>
      <c r="B10693">
        <v>41</v>
      </c>
      <c r="C10693">
        <v>0</v>
      </c>
      <c r="D10693">
        <v>0</v>
      </c>
      <c r="E10693">
        <v>0</v>
      </c>
      <c r="F10693">
        <v>1</v>
      </c>
    </row>
    <row r="10694" spans="1:6" x14ac:dyDescent="0.25">
      <c r="A10694">
        <v>10693</v>
      </c>
      <c r="B10694" t="s">
        <v>0</v>
      </c>
      <c r="C10694">
        <v>146</v>
      </c>
      <c r="D10694">
        <v>3495</v>
      </c>
      <c r="E10694">
        <v>80379841</v>
      </c>
    </row>
    <row r="10695" spans="1:6" x14ac:dyDescent="0.25">
      <c r="A10695">
        <v>10694</v>
      </c>
      <c r="B10695">
        <v>42</v>
      </c>
      <c r="C10695">
        <v>0</v>
      </c>
      <c r="D10695">
        <v>0</v>
      </c>
      <c r="E10695">
        <v>0</v>
      </c>
      <c r="F10695">
        <v>0.2</v>
      </c>
    </row>
    <row r="10696" spans="1:6" x14ac:dyDescent="0.25">
      <c r="A10696">
        <v>10695</v>
      </c>
      <c r="B10696">
        <v>43</v>
      </c>
      <c r="C10696">
        <v>0</v>
      </c>
      <c r="D10696">
        <v>0</v>
      </c>
      <c r="E10696">
        <v>0</v>
      </c>
      <c r="F10696">
        <v>0</v>
      </c>
    </row>
    <row r="10697" spans="1:6" x14ac:dyDescent="0.25">
      <c r="A10697">
        <v>10696</v>
      </c>
      <c r="B10697" t="s">
        <v>0</v>
      </c>
      <c r="C10697">
        <v>147</v>
      </c>
      <c r="D10697">
        <v>3495</v>
      </c>
      <c r="E10697">
        <v>80379977</v>
      </c>
    </row>
    <row r="10698" spans="1:6" x14ac:dyDescent="0.25">
      <c r="A10698">
        <v>10697</v>
      </c>
      <c r="B10698">
        <v>44</v>
      </c>
      <c r="C10698">
        <v>0</v>
      </c>
      <c r="D10698">
        <v>0</v>
      </c>
      <c r="E10698">
        <v>0</v>
      </c>
      <c r="F10698">
        <v>-35.349499999999999</v>
      </c>
    </row>
    <row r="10699" spans="1:6" x14ac:dyDescent="0.25">
      <c r="A10699">
        <v>10698</v>
      </c>
      <c r="B10699">
        <v>45</v>
      </c>
      <c r="C10699">
        <v>0</v>
      </c>
      <c r="D10699">
        <v>0</v>
      </c>
      <c r="E10699">
        <v>0</v>
      </c>
      <c r="F10699">
        <v>517.89099999999996</v>
      </c>
    </row>
    <row r="10700" spans="1:6" x14ac:dyDescent="0.25">
      <c r="A10700">
        <v>10699</v>
      </c>
      <c r="B10700" t="s">
        <v>0</v>
      </c>
      <c r="C10700">
        <v>148</v>
      </c>
      <c r="D10700">
        <v>3495</v>
      </c>
      <c r="E10700">
        <v>80380112</v>
      </c>
    </row>
    <row r="10701" spans="1:6" x14ac:dyDescent="0.25">
      <c r="A10701">
        <v>10700</v>
      </c>
      <c r="B10701">
        <v>46</v>
      </c>
      <c r="C10701">
        <v>0</v>
      </c>
      <c r="D10701">
        <v>0</v>
      </c>
      <c r="E10701">
        <v>0</v>
      </c>
      <c r="F10701">
        <v>0</v>
      </c>
    </row>
    <row r="10702" spans="1:6" x14ac:dyDescent="0.25">
      <c r="A10702">
        <v>10701</v>
      </c>
      <c r="B10702">
        <v>2</v>
      </c>
      <c r="C10702">
        <v>0</v>
      </c>
      <c r="D10702">
        <v>0</v>
      </c>
      <c r="E10702">
        <v>0</v>
      </c>
      <c r="F10702">
        <v>245.99600000000001</v>
      </c>
    </row>
    <row r="10703" spans="1:6" x14ac:dyDescent="0.25">
      <c r="A10703">
        <v>10702</v>
      </c>
      <c r="B10703" t="s">
        <v>0</v>
      </c>
      <c r="C10703">
        <v>149</v>
      </c>
      <c r="D10703">
        <v>3495</v>
      </c>
      <c r="E10703">
        <v>80380247</v>
      </c>
    </row>
    <row r="10704" spans="1:6" x14ac:dyDescent="0.25">
      <c r="A10704">
        <v>10703</v>
      </c>
      <c r="B10704">
        <v>10</v>
      </c>
      <c r="C10704">
        <v>1</v>
      </c>
      <c r="D10704">
        <v>0</v>
      </c>
      <c r="E10704">
        <v>0</v>
      </c>
      <c r="F10704">
        <v>4757</v>
      </c>
    </row>
    <row r="10705" spans="1:6" x14ac:dyDescent="0.25">
      <c r="A10705">
        <v>10704</v>
      </c>
      <c r="B10705">
        <v>13</v>
      </c>
      <c r="C10705">
        <v>0</v>
      </c>
      <c r="D10705">
        <v>0</v>
      </c>
      <c r="E10705">
        <v>0</v>
      </c>
      <c r="F10705">
        <v>1608</v>
      </c>
    </row>
    <row r="10706" spans="1:6" x14ac:dyDescent="0.25">
      <c r="A10706">
        <v>10705</v>
      </c>
      <c r="B10706" t="s">
        <v>0</v>
      </c>
      <c r="C10706">
        <v>150</v>
      </c>
      <c r="D10706">
        <v>3495</v>
      </c>
      <c r="E10706">
        <v>80380382</v>
      </c>
    </row>
    <row r="10707" spans="1:6" x14ac:dyDescent="0.25">
      <c r="A10707">
        <v>10706</v>
      </c>
      <c r="B10707">
        <v>41</v>
      </c>
      <c r="C10707">
        <v>0</v>
      </c>
      <c r="D10707">
        <v>0</v>
      </c>
      <c r="E10707">
        <v>0</v>
      </c>
      <c r="F10707">
        <v>1</v>
      </c>
    </row>
    <row r="10708" spans="1:6" x14ac:dyDescent="0.25">
      <c r="A10708">
        <v>10707</v>
      </c>
      <c r="B10708">
        <v>42</v>
      </c>
      <c r="C10708">
        <v>0</v>
      </c>
      <c r="D10708">
        <v>0</v>
      </c>
      <c r="E10708">
        <v>0</v>
      </c>
      <c r="F10708">
        <v>0.2</v>
      </c>
    </row>
    <row r="10709" spans="1:6" x14ac:dyDescent="0.25">
      <c r="A10709">
        <v>10708</v>
      </c>
      <c r="B10709" t="s">
        <v>0</v>
      </c>
      <c r="C10709">
        <v>151</v>
      </c>
      <c r="D10709">
        <v>3495</v>
      </c>
      <c r="E10709">
        <v>80380517</v>
      </c>
    </row>
    <row r="10710" spans="1:6" x14ac:dyDescent="0.25">
      <c r="A10710">
        <v>10709</v>
      </c>
      <c r="B10710">
        <v>43</v>
      </c>
      <c r="C10710">
        <v>0</v>
      </c>
      <c r="D10710">
        <v>0</v>
      </c>
      <c r="E10710">
        <v>0</v>
      </c>
      <c r="F10710">
        <v>0</v>
      </c>
    </row>
    <row r="10711" spans="1:6" x14ac:dyDescent="0.25">
      <c r="A10711">
        <v>10710</v>
      </c>
      <c r="B10711">
        <v>44</v>
      </c>
      <c r="C10711">
        <v>0</v>
      </c>
      <c r="D10711">
        <v>0</v>
      </c>
      <c r="E10711">
        <v>0</v>
      </c>
      <c r="F10711">
        <v>-35.139099999999999</v>
      </c>
    </row>
    <row r="10712" spans="1:6" x14ac:dyDescent="0.25">
      <c r="A10712">
        <v>10711</v>
      </c>
      <c r="B10712" t="s">
        <v>0</v>
      </c>
      <c r="C10712">
        <v>152</v>
      </c>
      <c r="D10712">
        <v>3495</v>
      </c>
      <c r="E10712">
        <v>80380652</v>
      </c>
    </row>
    <row r="10713" spans="1:6" x14ac:dyDescent="0.25">
      <c r="A10713">
        <v>10712</v>
      </c>
      <c r="B10713">
        <v>45</v>
      </c>
      <c r="C10713">
        <v>0</v>
      </c>
      <c r="D10713">
        <v>0</v>
      </c>
      <c r="E10713">
        <v>0</v>
      </c>
      <c r="F10713">
        <v>517.86300000000006</v>
      </c>
    </row>
    <row r="10714" spans="1:6" x14ac:dyDescent="0.25">
      <c r="A10714">
        <v>10713</v>
      </c>
      <c r="B10714">
        <v>46</v>
      </c>
      <c r="C10714">
        <v>0</v>
      </c>
      <c r="D10714">
        <v>0</v>
      </c>
      <c r="E10714">
        <v>0</v>
      </c>
      <c r="F10714">
        <v>0</v>
      </c>
    </row>
    <row r="10715" spans="1:6" x14ac:dyDescent="0.25">
      <c r="A10715">
        <v>10714</v>
      </c>
      <c r="B10715" t="s">
        <v>0</v>
      </c>
      <c r="C10715">
        <v>153</v>
      </c>
      <c r="D10715">
        <v>3495</v>
      </c>
      <c r="E10715">
        <v>80380787</v>
      </c>
    </row>
    <row r="10716" spans="1:6" x14ac:dyDescent="0.25">
      <c r="A10716">
        <v>10715</v>
      </c>
      <c r="B10716">
        <v>2</v>
      </c>
      <c r="C10716">
        <v>0</v>
      </c>
      <c r="D10716">
        <v>0</v>
      </c>
      <c r="E10716">
        <v>0</v>
      </c>
      <c r="F10716">
        <v>245.92599999999999</v>
      </c>
    </row>
    <row r="10717" spans="1:6" x14ac:dyDescent="0.25">
      <c r="A10717">
        <v>10716</v>
      </c>
      <c r="B10717">
        <v>10</v>
      </c>
      <c r="C10717">
        <v>1</v>
      </c>
      <c r="D10717">
        <v>0</v>
      </c>
      <c r="E10717">
        <v>0</v>
      </c>
      <c r="F10717">
        <v>4759</v>
      </c>
    </row>
    <row r="10718" spans="1:6" x14ac:dyDescent="0.25">
      <c r="A10718">
        <v>10717</v>
      </c>
      <c r="B10718" t="s">
        <v>0</v>
      </c>
      <c r="C10718">
        <v>154</v>
      </c>
      <c r="D10718">
        <v>3495</v>
      </c>
      <c r="E10718">
        <v>80380923</v>
      </c>
    </row>
    <row r="10719" spans="1:6" x14ac:dyDescent="0.25">
      <c r="A10719">
        <v>10718</v>
      </c>
      <c r="B10719">
        <v>13</v>
      </c>
      <c r="C10719">
        <v>0</v>
      </c>
      <c r="D10719">
        <v>0</v>
      </c>
      <c r="E10719">
        <v>0</v>
      </c>
      <c r="F10719">
        <v>1608</v>
      </c>
    </row>
    <row r="10720" spans="1:6" x14ac:dyDescent="0.25">
      <c r="A10720">
        <v>10719</v>
      </c>
      <c r="B10720">
        <v>41</v>
      </c>
      <c r="C10720">
        <v>0</v>
      </c>
      <c r="D10720">
        <v>0</v>
      </c>
      <c r="E10720">
        <v>0</v>
      </c>
      <c r="F10720">
        <v>1</v>
      </c>
    </row>
    <row r="10721" spans="1:6" x14ac:dyDescent="0.25">
      <c r="A10721">
        <v>10720</v>
      </c>
      <c r="B10721" t="s">
        <v>0</v>
      </c>
      <c r="C10721">
        <v>155</v>
      </c>
      <c r="D10721">
        <v>3495</v>
      </c>
      <c r="E10721">
        <v>80381058</v>
      </c>
    </row>
    <row r="10722" spans="1:6" x14ac:dyDescent="0.25">
      <c r="A10722">
        <v>10721</v>
      </c>
      <c r="B10722">
        <v>42</v>
      </c>
      <c r="C10722">
        <v>0</v>
      </c>
      <c r="D10722">
        <v>0</v>
      </c>
      <c r="E10722">
        <v>0</v>
      </c>
      <c r="F10722">
        <v>0.2</v>
      </c>
    </row>
    <row r="10723" spans="1:6" x14ac:dyDescent="0.25">
      <c r="A10723">
        <v>10722</v>
      </c>
      <c r="B10723">
        <v>43</v>
      </c>
      <c r="C10723">
        <v>0</v>
      </c>
      <c r="D10723">
        <v>0</v>
      </c>
      <c r="E10723">
        <v>0</v>
      </c>
      <c r="F10723">
        <v>0</v>
      </c>
    </row>
    <row r="10724" spans="1:6" x14ac:dyDescent="0.25">
      <c r="A10724">
        <v>10723</v>
      </c>
      <c r="B10724" t="s">
        <v>0</v>
      </c>
      <c r="C10724">
        <v>156</v>
      </c>
      <c r="D10724">
        <v>3495</v>
      </c>
      <c r="E10724">
        <v>80381193</v>
      </c>
    </row>
    <row r="10725" spans="1:6" x14ac:dyDescent="0.25">
      <c r="A10725">
        <v>10724</v>
      </c>
      <c r="B10725">
        <v>45</v>
      </c>
      <c r="C10725">
        <v>0</v>
      </c>
      <c r="D10725">
        <v>0</v>
      </c>
      <c r="E10725">
        <v>0</v>
      </c>
      <c r="F10725">
        <v>517.84</v>
      </c>
    </row>
    <row r="10726" spans="1:6" x14ac:dyDescent="0.25">
      <c r="A10726">
        <v>10725</v>
      </c>
      <c r="B10726" t="s">
        <v>0</v>
      </c>
      <c r="C10726">
        <v>157</v>
      </c>
      <c r="D10726">
        <v>3495</v>
      </c>
      <c r="E10726">
        <v>80381328</v>
      </c>
    </row>
    <row r="10727" spans="1:6" x14ac:dyDescent="0.25">
      <c r="A10727">
        <v>10726</v>
      </c>
      <c r="B10727">
        <v>2</v>
      </c>
      <c r="C10727">
        <v>0</v>
      </c>
      <c r="D10727">
        <v>0</v>
      </c>
      <c r="E10727">
        <v>0</v>
      </c>
      <c r="F10727">
        <v>245.88200000000001</v>
      </c>
    </row>
    <row r="10728" spans="1:6" x14ac:dyDescent="0.25">
      <c r="A10728">
        <v>10727</v>
      </c>
      <c r="B10728" t="s">
        <v>0</v>
      </c>
      <c r="C10728">
        <v>158</v>
      </c>
      <c r="D10728">
        <v>3495</v>
      </c>
      <c r="E10728">
        <v>80381464</v>
      </c>
    </row>
    <row r="10729" spans="1:6" x14ac:dyDescent="0.25">
      <c r="A10729">
        <v>10728</v>
      </c>
      <c r="B10729">
        <v>13</v>
      </c>
      <c r="C10729">
        <v>0</v>
      </c>
      <c r="D10729">
        <v>0</v>
      </c>
      <c r="E10729">
        <v>0</v>
      </c>
      <c r="F10729">
        <v>1608</v>
      </c>
    </row>
    <row r="10730" spans="1:6" x14ac:dyDescent="0.25">
      <c r="A10730">
        <v>10729</v>
      </c>
      <c r="B10730" t="s">
        <v>0</v>
      </c>
      <c r="C10730">
        <v>159</v>
      </c>
      <c r="D10730">
        <v>3495</v>
      </c>
      <c r="E10730">
        <v>80381599</v>
      </c>
    </row>
    <row r="10731" spans="1:6" x14ac:dyDescent="0.25">
      <c r="A10731">
        <v>10730</v>
      </c>
      <c r="B10731">
        <v>42</v>
      </c>
      <c r="C10731">
        <v>0</v>
      </c>
      <c r="D10731">
        <v>0</v>
      </c>
      <c r="E10731">
        <v>0</v>
      </c>
      <c r="F10731">
        <v>0.2</v>
      </c>
    </row>
    <row r="10732" spans="1:6" x14ac:dyDescent="0.25">
      <c r="A10732">
        <v>10731</v>
      </c>
      <c r="B10732" t="s">
        <v>0</v>
      </c>
      <c r="C10732">
        <v>160</v>
      </c>
      <c r="D10732">
        <v>3495</v>
      </c>
      <c r="E10732">
        <v>80381734</v>
      </c>
    </row>
    <row r="10733" spans="1:6" x14ac:dyDescent="0.25">
      <c r="A10733">
        <v>10732</v>
      </c>
      <c r="B10733">
        <v>44</v>
      </c>
      <c r="C10733">
        <v>0</v>
      </c>
      <c r="D10733">
        <v>0</v>
      </c>
      <c r="E10733">
        <v>0</v>
      </c>
      <c r="F10733">
        <v>-34.731999999999999</v>
      </c>
    </row>
    <row r="10734" spans="1:6" x14ac:dyDescent="0.25">
      <c r="A10734">
        <v>10733</v>
      </c>
      <c r="B10734" t="s">
        <v>0</v>
      </c>
      <c r="C10734">
        <v>161</v>
      </c>
      <c r="D10734">
        <v>3495</v>
      </c>
      <c r="E10734">
        <v>80381869</v>
      </c>
    </row>
    <row r="10735" spans="1:6" x14ac:dyDescent="0.25">
      <c r="A10735">
        <v>10734</v>
      </c>
      <c r="B10735">
        <v>46</v>
      </c>
      <c r="C10735">
        <v>0</v>
      </c>
      <c r="D10735">
        <v>0</v>
      </c>
      <c r="E10735">
        <v>0</v>
      </c>
      <c r="F10735">
        <v>0</v>
      </c>
    </row>
    <row r="10736" spans="1:6" x14ac:dyDescent="0.25">
      <c r="A10736">
        <v>10735</v>
      </c>
      <c r="B10736" t="s">
        <v>0</v>
      </c>
      <c r="C10736">
        <v>162</v>
      </c>
      <c r="D10736">
        <v>3495</v>
      </c>
      <c r="E10736">
        <v>80382004</v>
      </c>
    </row>
    <row r="10737" spans="1:6" x14ac:dyDescent="0.25">
      <c r="A10737">
        <v>10736</v>
      </c>
      <c r="B10737">
        <v>10</v>
      </c>
      <c r="C10737">
        <v>1</v>
      </c>
      <c r="D10737">
        <v>0</v>
      </c>
      <c r="E10737">
        <v>0</v>
      </c>
      <c r="F10737">
        <v>4764</v>
      </c>
    </row>
    <row r="10738" spans="1:6" x14ac:dyDescent="0.25">
      <c r="A10738">
        <v>10737</v>
      </c>
      <c r="B10738" t="s">
        <v>0</v>
      </c>
      <c r="C10738">
        <v>163</v>
      </c>
      <c r="D10738">
        <v>3495</v>
      </c>
      <c r="E10738">
        <v>80382139</v>
      </c>
    </row>
    <row r="10739" spans="1:6" x14ac:dyDescent="0.25">
      <c r="A10739">
        <v>10738</v>
      </c>
      <c r="B10739">
        <v>41</v>
      </c>
      <c r="C10739">
        <v>0</v>
      </c>
      <c r="D10739">
        <v>0</v>
      </c>
      <c r="E10739">
        <v>0</v>
      </c>
      <c r="F10739">
        <v>1</v>
      </c>
    </row>
    <row r="10740" spans="1:6" x14ac:dyDescent="0.25">
      <c r="A10740">
        <v>10739</v>
      </c>
      <c r="B10740" t="s">
        <v>0</v>
      </c>
      <c r="C10740">
        <v>164</v>
      </c>
      <c r="D10740">
        <v>3495</v>
      </c>
      <c r="E10740">
        <v>80382275</v>
      </c>
    </row>
    <row r="10741" spans="1:6" x14ac:dyDescent="0.25">
      <c r="A10741">
        <v>10740</v>
      </c>
      <c r="B10741">
        <v>43</v>
      </c>
      <c r="C10741">
        <v>0</v>
      </c>
      <c r="D10741">
        <v>0</v>
      </c>
      <c r="E10741">
        <v>0</v>
      </c>
      <c r="F10741">
        <v>0</v>
      </c>
    </row>
    <row r="10742" spans="1:6" x14ac:dyDescent="0.25">
      <c r="A10742">
        <v>10741</v>
      </c>
      <c r="B10742" t="s">
        <v>0</v>
      </c>
      <c r="C10742">
        <v>165</v>
      </c>
      <c r="D10742">
        <v>3495</v>
      </c>
      <c r="E10742">
        <v>80382410</v>
      </c>
    </row>
    <row r="10743" spans="1:6" x14ac:dyDescent="0.25">
      <c r="A10743">
        <v>10742</v>
      </c>
      <c r="B10743">
        <v>44</v>
      </c>
      <c r="C10743">
        <v>0</v>
      </c>
      <c r="D10743">
        <v>0</v>
      </c>
      <c r="E10743">
        <v>0</v>
      </c>
      <c r="F10743">
        <v>-34.439500000000002</v>
      </c>
    </row>
    <row r="10744" spans="1:6" x14ac:dyDescent="0.25">
      <c r="A10744">
        <v>10743</v>
      </c>
      <c r="B10744">
        <v>45</v>
      </c>
      <c r="C10744">
        <v>0</v>
      </c>
      <c r="D10744">
        <v>0</v>
      </c>
      <c r="E10744">
        <v>0</v>
      </c>
      <c r="F10744">
        <v>517.78899999999999</v>
      </c>
    </row>
    <row r="10745" spans="1:6" x14ac:dyDescent="0.25">
      <c r="A10745">
        <v>10744</v>
      </c>
      <c r="B10745">
        <v>46</v>
      </c>
      <c r="C10745">
        <v>0</v>
      </c>
      <c r="D10745">
        <v>0</v>
      </c>
      <c r="E10745">
        <v>0</v>
      </c>
      <c r="F10745">
        <v>0</v>
      </c>
    </row>
    <row r="10746" spans="1:6" x14ac:dyDescent="0.25">
      <c r="A10746">
        <v>10745</v>
      </c>
      <c r="B10746">
        <v>2</v>
      </c>
      <c r="C10746">
        <v>0</v>
      </c>
      <c r="D10746">
        <v>0</v>
      </c>
      <c r="E10746">
        <v>0</v>
      </c>
      <c r="F10746">
        <v>245.70699999999999</v>
      </c>
    </row>
    <row r="10747" spans="1:6" x14ac:dyDescent="0.25">
      <c r="A10747">
        <v>10746</v>
      </c>
      <c r="B10747">
        <v>10</v>
      </c>
      <c r="C10747">
        <v>1</v>
      </c>
      <c r="D10747">
        <v>0</v>
      </c>
      <c r="E10747">
        <v>0</v>
      </c>
      <c r="F10747">
        <v>4767</v>
      </c>
    </row>
    <row r="10748" spans="1:6" x14ac:dyDescent="0.25">
      <c r="A10748">
        <v>10747</v>
      </c>
      <c r="B10748">
        <v>13</v>
      </c>
      <c r="C10748">
        <v>0</v>
      </c>
      <c r="D10748">
        <v>0</v>
      </c>
      <c r="E10748">
        <v>0</v>
      </c>
      <c r="F10748">
        <v>1609</v>
      </c>
    </row>
    <row r="10749" spans="1:6" x14ac:dyDescent="0.25">
      <c r="A10749">
        <v>10748</v>
      </c>
      <c r="B10749">
        <v>41</v>
      </c>
      <c r="C10749">
        <v>0</v>
      </c>
      <c r="D10749">
        <v>0</v>
      </c>
      <c r="E10749">
        <v>0</v>
      </c>
      <c r="F10749">
        <v>1</v>
      </c>
    </row>
    <row r="10750" spans="1:6" x14ac:dyDescent="0.25">
      <c r="A10750">
        <v>10749</v>
      </c>
      <c r="B10750">
        <v>42</v>
      </c>
      <c r="C10750">
        <v>0</v>
      </c>
      <c r="D10750">
        <v>0</v>
      </c>
      <c r="E10750">
        <v>0</v>
      </c>
      <c r="F10750">
        <v>0.2</v>
      </c>
    </row>
    <row r="10751" spans="1:6" x14ac:dyDescent="0.25">
      <c r="A10751">
        <v>10750</v>
      </c>
      <c r="B10751">
        <v>43</v>
      </c>
      <c r="C10751">
        <v>0</v>
      </c>
      <c r="D10751">
        <v>0</v>
      </c>
      <c r="E10751">
        <v>0</v>
      </c>
      <c r="F10751">
        <v>0</v>
      </c>
    </row>
    <row r="10752" spans="1:6" x14ac:dyDescent="0.25">
      <c r="A10752">
        <v>10751</v>
      </c>
      <c r="B10752">
        <v>44</v>
      </c>
      <c r="C10752">
        <v>0</v>
      </c>
      <c r="D10752">
        <v>0</v>
      </c>
      <c r="E10752">
        <v>0</v>
      </c>
      <c r="F10752">
        <v>-34.238500000000002</v>
      </c>
    </row>
    <row r="10753" spans="1:6" x14ac:dyDescent="0.25">
      <c r="A10753">
        <v>10752</v>
      </c>
      <c r="B10753">
        <v>45</v>
      </c>
      <c r="C10753">
        <v>0</v>
      </c>
      <c r="D10753">
        <v>0</v>
      </c>
      <c r="E10753">
        <v>0</v>
      </c>
      <c r="F10753">
        <v>517.76099999999997</v>
      </c>
    </row>
    <row r="10754" spans="1:6" x14ac:dyDescent="0.25">
      <c r="A10754">
        <v>10753</v>
      </c>
      <c r="B10754">
        <v>46</v>
      </c>
      <c r="C10754">
        <v>0</v>
      </c>
      <c r="D10754">
        <v>0</v>
      </c>
      <c r="E10754">
        <v>0</v>
      </c>
      <c r="F10754">
        <v>0</v>
      </c>
    </row>
    <row r="10755" spans="1:6" x14ac:dyDescent="0.25">
      <c r="A10755">
        <v>10754</v>
      </c>
      <c r="B10755">
        <v>2</v>
      </c>
      <c r="C10755">
        <v>0</v>
      </c>
      <c r="D10755">
        <v>0</v>
      </c>
      <c r="E10755">
        <v>0</v>
      </c>
      <c r="F10755">
        <v>245.62100000000001</v>
      </c>
    </row>
    <row r="10756" spans="1:6" x14ac:dyDescent="0.25">
      <c r="A10756">
        <v>10755</v>
      </c>
      <c r="B10756">
        <v>10</v>
      </c>
      <c r="C10756">
        <v>1</v>
      </c>
      <c r="D10756">
        <v>0</v>
      </c>
      <c r="E10756">
        <v>0</v>
      </c>
      <c r="F10756">
        <v>4770</v>
      </c>
    </row>
    <row r="10757" spans="1:6" x14ac:dyDescent="0.25">
      <c r="A10757">
        <v>10756</v>
      </c>
      <c r="B10757">
        <v>13</v>
      </c>
      <c r="C10757">
        <v>0</v>
      </c>
      <c r="D10757">
        <v>0</v>
      </c>
      <c r="E10757">
        <v>0</v>
      </c>
      <c r="F10757">
        <v>1609</v>
      </c>
    </row>
    <row r="10758" spans="1:6" x14ac:dyDescent="0.25">
      <c r="A10758">
        <v>10757</v>
      </c>
      <c r="B10758">
        <v>41</v>
      </c>
      <c r="C10758">
        <v>0</v>
      </c>
      <c r="D10758">
        <v>0</v>
      </c>
      <c r="E10758">
        <v>0</v>
      </c>
      <c r="F10758">
        <v>1</v>
      </c>
    </row>
    <row r="10759" spans="1:6" x14ac:dyDescent="0.25">
      <c r="A10759">
        <v>10758</v>
      </c>
      <c r="B10759">
        <v>42</v>
      </c>
      <c r="C10759">
        <v>0</v>
      </c>
      <c r="D10759">
        <v>0</v>
      </c>
      <c r="E10759">
        <v>0</v>
      </c>
      <c r="F10759">
        <v>0.2</v>
      </c>
    </row>
    <row r="10760" spans="1:6" x14ac:dyDescent="0.25">
      <c r="A10760">
        <v>10759</v>
      </c>
      <c r="B10760">
        <v>43</v>
      </c>
      <c r="C10760">
        <v>0</v>
      </c>
      <c r="D10760">
        <v>0</v>
      </c>
      <c r="E10760">
        <v>0</v>
      </c>
      <c r="F10760">
        <v>0</v>
      </c>
    </row>
    <row r="10761" spans="1:6" x14ac:dyDescent="0.25">
      <c r="A10761">
        <v>10760</v>
      </c>
      <c r="B10761">
        <v>44</v>
      </c>
      <c r="C10761">
        <v>0</v>
      </c>
      <c r="D10761">
        <v>0</v>
      </c>
      <c r="E10761">
        <v>0</v>
      </c>
      <c r="F10761">
        <v>-33.9908</v>
      </c>
    </row>
    <row r="10762" spans="1:6" x14ac:dyDescent="0.25">
      <c r="A10762">
        <v>10761</v>
      </c>
      <c r="B10762">
        <v>45</v>
      </c>
      <c r="C10762">
        <v>0</v>
      </c>
      <c r="D10762">
        <v>0</v>
      </c>
      <c r="E10762">
        <v>0</v>
      </c>
      <c r="F10762">
        <v>517.73900000000003</v>
      </c>
    </row>
    <row r="10763" spans="1:6" x14ac:dyDescent="0.25">
      <c r="A10763">
        <v>10762</v>
      </c>
      <c r="B10763">
        <v>46</v>
      </c>
      <c r="C10763">
        <v>0</v>
      </c>
      <c r="D10763">
        <v>0</v>
      </c>
      <c r="E10763">
        <v>0</v>
      </c>
      <c r="F10763">
        <v>0</v>
      </c>
    </row>
    <row r="10764" spans="1:6" x14ac:dyDescent="0.25">
      <c r="A10764">
        <v>10763</v>
      </c>
      <c r="B10764">
        <v>2</v>
      </c>
      <c r="C10764">
        <v>0</v>
      </c>
      <c r="D10764">
        <v>0</v>
      </c>
      <c r="E10764">
        <v>0</v>
      </c>
      <c r="F10764">
        <v>245.566</v>
      </c>
    </row>
    <row r="10765" spans="1:6" x14ac:dyDescent="0.25">
      <c r="A10765">
        <v>10764</v>
      </c>
      <c r="B10765">
        <v>10</v>
      </c>
      <c r="C10765">
        <v>1</v>
      </c>
      <c r="D10765">
        <v>0</v>
      </c>
      <c r="E10765">
        <v>0</v>
      </c>
      <c r="F10765">
        <v>4772</v>
      </c>
    </row>
    <row r="10766" spans="1:6" x14ac:dyDescent="0.25">
      <c r="A10766">
        <v>10765</v>
      </c>
      <c r="B10766">
        <v>13</v>
      </c>
      <c r="C10766">
        <v>0</v>
      </c>
      <c r="D10766">
        <v>0</v>
      </c>
      <c r="E10766">
        <v>0</v>
      </c>
      <c r="F10766">
        <v>1609</v>
      </c>
    </row>
    <row r="10767" spans="1:6" x14ac:dyDescent="0.25">
      <c r="A10767">
        <v>10766</v>
      </c>
      <c r="B10767" t="s">
        <v>0</v>
      </c>
      <c r="C10767">
        <v>177</v>
      </c>
      <c r="D10767">
        <v>3495</v>
      </c>
      <c r="E10767">
        <v>80384034</v>
      </c>
    </row>
    <row r="10768" spans="1:6" x14ac:dyDescent="0.25">
      <c r="A10768">
        <v>10767</v>
      </c>
      <c r="B10768">
        <v>41</v>
      </c>
      <c r="C10768">
        <v>0</v>
      </c>
      <c r="D10768">
        <v>0</v>
      </c>
      <c r="E10768">
        <v>0</v>
      </c>
      <c r="F10768">
        <v>1</v>
      </c>
    </row>
    <row r="10769" spans="1:6" x14ac:dyDescent="0.25">
      <c r="A10769">
        <v>10768</v>
      </c>
      <c r="B10769">
        <v>42</v>
      </c>
      <c r="C10769">
        <v>0</v>
      </c>
      <c r="D10769">
        <v>0</v>
      </c>
      <c r="E10769">
        <v>0</v>
      </c>
      <c r="F10769">
        <v>0.2</v>
      </c>
    </row>
    <row r="10770" spans="1:6" x14ac:dyDescent="0.25">
      <c r="A10770">
        <v>10769</v>
      </c>
      <c r="B10770" t="s">
        <v>0</v>
      </c>
      <c r="C10770">
        <v>178</v>
      </c>
      <c r="D10770">
        <v>3495</v>
      </c>
      <c r="E10770">
        <v>80384169</v>
      </c>
    </row>
    <row r="10771" spans="1:6" x14ac:dyDescent="0.25">
      <c r="A10771">
        <v>10770</v>
      </c>
      <c r="B10771">
        <v>43</v>
      </c>
      <c r="C10771">
        <v>0</v>
      </c>
      <c r="D10771">
        <v>0</v>
      </c>
      <c r="E10771">
        <v>0</v>
      </c>
      <c r="F10771">
        <v>0</v>
      </c>
    </row>
    <row r="10772" spans="1:6" x14ac:dyDescent="0.25">
      <c r="A10772">
        <v>10771</v>
      </c>
      <c r="B10772">
        <v>44</v>
      </c>
      <c r="C10772">
        <v>0</v>
      </c>
      <c r="D10772">
        <v>0</v>
      </c>
      <c r="E10772">
        <v>0</v>
      </c>
      <c r="F10772">
        <v>-33.818899999999999</v>
      </c>
    </row>
    <row r="10773" spans="1:6" x14ac:dyDescent="0.25">
      <c r="A10773">
        <v>10772</v>
      </c>
      <c r="B10773">
        <v>45</v>
      </c>
      <c r="C10773">
        <v>0</v>
      </c>
      <c r="D10773">
        <v>0</v>
      </c>
      <c r="E10773">
        <v>0</v>
      </c>
      <c r="F10773">
        <v>517.71699999999998</v>
      </c>
    </row>
    <row r="10774" spans="1:6" x14ac:dyDescent="0.25">
      <c r="A10774">
        <v>10773</v>
      </c>
      <c r="B10774">
        <v>46</v>
      </c>
      <c r="C10774">
        <v>0</v>
      </c>
      <c r="D10774">
        <v>0</v>
      </c>
      <c r="E10774">
        <v>0</v>
      </c>
      <c r="F10774">
        <v>0</v>
      </c>
    </row>
    <row r="10775" spans="1:6" x14ac:dyDescent="0.25">
      <c r="A10775">
        <v>10774</v>
      </c>
      <c r="B10775" t="s">
        <v>0</v>
      </c>
      <c r="C10775">
        <v>0</v>
      </c>
      <c r="D10775">
        <v>3496</v>
      </c>
      <c r="E10775">
        <v>80384441</v>
      </c>
    </row>
    <row r="10776" spans="1:6" x14ac:dyDescent="0.25">
      <c r="A10776">
        <v>10775</v>
      </c>
      <c r="B10776">
        <v>2</v>
      </c>
      <c r="C10776">
        <v>0</v>
      </c>
      <c r="D10776">
        <v>0</v>
      </c>
      <c r="E10776">
        <v>0</v>
      </c>
      <c r="F10776">
        <v>245.53200000000001</v>
      </c>
    </row>
    <row r="10777" spans="1:6" x14ac:dyDescent="0.25">
      <c r="A10777">
        <v>10776</v>
      </c>
      <c r="B10777">
        <v>10</v>
      </c>
      <c r="C10777">
        <v>1</v>
      </c>
      <c r="D10777">
        <v>0</v>
      </c>
      <c r="E10777">
        <v>0</v>
      </c>
      <c r="F10777">
        <v>4773</v>
      </c>
    </row>
    <row r="10778" spans="1:6" x14ac:dyDescent="0.25">
      <c r="A10778">
        <v>10777</v>
      </c>
      <c r="B10778" t="s">
        <v>0</v>
      </c>
      <c r="C10778">
        <v>1</v>
      </c>
      <c r="D10778">
        <v>3496</v>
      </c>
      <c r="E10778">
        <v>80384577</v>
      </c>
    </row>
    <row r="10779" spans="1:6" x14ac:dyDescent="0.25">
      <c r="A10779">
        <v>10778</v>
      </c>
      <c r="B10779">
        <v>13</v>
      </c>
      <c r="C10779">
        <v>0</v>
      </c>
      <c r="D10779">
        <v>0</v>
      </c>
      <c r="E10779">
        <v>0</v>
      </c>
      <c r="F10779">
        <v>1609</v>
      </c>
    </row>
    <row r="10780" spans="1:6" x14ac:dyDescent="0.25">
      <c r="A10780">
        <v>10779</v>
      </c>
      <c r="B10780">
        <v>41</v>
      </c>
      <c r="C10780">
        <v>0</v>
      </c>
      <c r="D10780">
        <v>0</v>
      </c>
      <c r="E10780">
        <v>0</v>
      </c>
      <c r="F10780">
        <v>1</v>
      </c>
    </row>
    <row r="10781" spans="1:6" x14ac:dyDescent="0.25">
      <c r="A10781">
        <v>10780</v>
      </c>
      <c r="B10781" t="s">
        <v>0</v>
      </c>
      <c r="C10781">
        <v>2</v>
      </c>
      <c r="D10781">
        <v>3496</v>
      </c>
      <c r="E10781">
        <v>80384713</v>
      </c>
    </row>
    <row r="10782" spans="1:6" x14ac:dyDescent="0.25">
      <c r="A10782">
        <v>10781</v>
      </c>
      <c r="B10782">
        <v>42</v>
      </c>
      <c r="C10782">
        <v>0</v>
      </c>
      <c r="D10782">
        <v>0</v>
      </c>
      <c r="E10782">
        <v>0</v>
      </c>
      <c r="F10782">
        <v>0.2</v>
      </c>
    </row>
    <row r="10783" spans="1:6" x14ac:dyDescent="0.25">
      <c r="A10783">
        <v>10782</v>
      </c>
      <c r="B10783">
        <v>43</v>
      </c>
      <c r="C10783">
        <v>0</v>
      </c>
      <c r="D10783">
        <v>0</v>
      </c>
      <c r="E10783">
        <v>0</v>
      </c>
      <c r="F10783">
        <v>0</v>
      </c>
    </row>
    <row r="10784" spans="1:6" x14ac:dyDescent="0.25">
      <c r="A10784">
        <v>10783</v>
      </c>
      <c r="B10784" t="s">
        <v>0</v>
      </c>
      <c r="C10784">
        <v>3</v>
      </c>
      <c r="D10784">
        <v>3496</v>
      </c>
      <c r="E10784">
        <v>80384849</v>
      </c>
    </row>
    <row r="10785" spans="1:6" x14ac:dyDescent="0.25">
      <c r="A10785">
        <v>10784</v>
      </c>
      <c r="B10785">
        <v>44</v>
      </c>
      <c r="C10785">
        <v>0</v>
      </c>
      <c r="D10785">
        <v>0</v>
      </c>
      <c r="E10785">
        <v>0</v>
      </c>
      <c r="F10785">
        <v>-33.6143</v>
      </c>
    </row>
    <row r="10786" spans="1:6" x14ac:dyDescent="0.25">
      <c r="A10786">
        <v>10785</v>
      </c>
      <c r="B10786">
        <v>45</v>
      </c>
      <c r="C10786">
        <v>0</v>
      </c>
      <c r="D10786">
        <v>0</v>
      </c>
      <c r="E10786">
        <v>0</v>
      </c>
      <c r="F10786">
        <v>517.70000000000005</v>
      </c>
    </row>
    <row r="10787" spans="1:6" x14ac:dyDescent="0.25">
      <c r="A10787">
        <v>10786</v>
      </c>
      <c r="B10787" t="s">
        <v>0</v>
      </c>
      <c r="C10787">
        <v>4</v>
      </c>
      <c r="D10787">
        <v>3496</v>
      </c>
      <c r="E10787">
        <v>80384985</v>
      </c>
    </row>
    <row r="10788" spans="1:6" x14ac:dyDescent="0.25">
      <c r="A10788">
        <v>10787</v>
      </c>
      <c r="B10788">
        <v>46</v>
      </c>
      <c r="C10788">
        <v>0</v>
      </c>
      <c r="D10788">
        <v>0</v>
      </c>
      <c r="E10788">
        <v>0</v>
      </c>
      <c r="F10788">
        <v>0</v>
      </c>
    </row>
    <row r="10789" spans="1:6" x14ac:dyDescent="0.25">
      <c r="A10789">
        <v>10788</v>
      </c>
      <c r="B10789">
        <v>2</v>
      </c>
      <c r="C10789">
        <v>0</v>
      </c>
      <c r="D10789">
        <v>0</v>
      </c>
      <c r="E10789">
        <v>0</v>
      </c>
      <c r="F10789">
        <v>245.489</v>
      </c>
    </row>
    <row r="10790" spans="1:6" x14ac:dyDescent="0.25">
      <c r="A10790">
        <v>10789</v>
      </c>
      <c r="B10790" t="s">
        <v>0</v>
      </c>
      <c r="C10790">
        <v>5</v>
      </c>
      <c r="D10790">
        <v>3496</v>
      </c>
      <c r="E10790">
        <v>80385120</v>
      </c>
    </row>
    <row r="10791" spans="1:6" x14ac:dyDescent="0.25">
      <c r="A10791">
        <v>10790</v>
      </c>
      <c r="B10791">
        <v>10</v>
      </c>
      <c r="C10791">
        <v>1</v>
      </c>
      <c r="D10791">
        <v>0</v>
      </c>
      <c r="E10791">
        <v>0</v>
      </c>
      <c r="F10791">
        <v>4775</v>
      </c>
    </row>
    <row r="10792" spans="1:6" x14ac:dyDescent="0.25">
      <c r="A10792">
        <v>10791</v>
      </c>
      <c r="B10792">
        <v>13</v>
      </c>
      <c r="C10792">
        <v>0</v>
      </c>
      <c r="D10792">
        <v>0</v>
      </c>
      <c r="E10792">
        <v>0</v>
      </c>
      <c r="F10792">
        <v>1609</v>
      </c>
    </row>
    <row r="10793" spans="1:6" x14ac:dyDescent="0.25">
      <c r="A10793">
        <v>10792</v>
      </c>
      <c r="B10793" t="s">
        <v>0</v>
      </c>
      <c r="C10793">
        <v>6</v>
      </c>
      <c r="D10793">
        <v>3496</v>
      </c>
      <c r="E10793">
        <v>80385255</v>
      </c>
    </row>
    <row r="10794" spans="1:6" x14ac:dyDescent="0.25">
      <c r="A10794">
        <v>10793</v>
      </c>
      <c r="B10794">
        <v>41</v>
      </c>
      <c r="C10794">
        <v>0</v>
      </c>
      <c r="D10794">
        <v>0</v>
      </c>
      <c r="E10794">
        <v>0</v>
      </c>
      <c r="F10794">
        <v>1</v>
      </c>
    </row>
    <row r="10795" spans="1:6" x14ac:dyDescent="0.25">
      <c r="A10795">
        <v>10794</v>
      </c>
      <c r="B10795">
        <v>42</v>
      </c>
      <c r="C10795">
        <v>0</v>
      </c>
      <c r="D10795">
        <v>0</v>
      </c>
      <c r="E10795">
        <v>0</v>
      </c>
      <c r="F10795">
        <v>0.2</v>
      </c>
    </row>
    <row r="10796" spans="1:6" x14ac:dyDescent="0.25">
      <c r="A10796">
        <v>10795</v>
      </c>
      <c r="B10796" t="s">
        <v>0</v>
      </c>
      <c r="C10796">
        <v>7</v>
      </c>
      <c r="D10796">
        <v>3496</v>
      </c>
      <c r="E10796">
        <v>80385390</v>
      </c>
    </row>
    <row r="10797" spans="1:6" x14ac:dyDescent="0.25">
      <c r="A10797">
        <v>10796</v>
      </c>
      <c r="B10797">
        <v>44</v>
      </c>
      <c r="C10797">
        <v>0</v>
      </c>
      <c r="D10797">
        <v>0</v>
      </c>
      <c r="E10797">
        <v>0</v>
      </c>
      <c r="F10797">
        <v>-33.456899999999997</v>
      </c>
    </row>
    <row r="10798" spans="1:6" x14ac:dyDescent="0.25">
      <c r="A10798">
        <v>10797</v>
      </c>
      <c r="B10798" t="s">
        <v>0</v>
      </c>
      <c r="C10798">
        <v>8</v>
      </c>
      <c r="D10798">
        <v>3496</v>
      </c>
      <c r="E10798">
        <v>80385525</v>
      </c>
    </row>
    <row r="10799" spans="1:6" x14ac:dyDescent="0.25">
      <c r="A10799">
        <v>10798</v>
      </c>
      <c r="B10799">
        <v>46</v>
      </c>
      <c r="C10799">
        <v>0</v>
      </c>
      <c r="D10799">
        <v>0</v>
      </c>
      <c r="E10799">
        <v>0</v>
      </c>
      <c r="F10799">
        <v>0</v>
      </c>
    </row>
    <row r="10800" spans="1:6" x14ac:dyDescent="0.25">
      <c r="A10800">
        <v>10799</v>
      </c>
      <c r="B10800" t="s">
        <v>0</v>
      </c>
      <c r="C10800">
        <v>9</v>
      </c>
      <c r="D10800">
        <v>3496</v>
      </c>
      <c r="E10800">
        <v>80385661</v>
      </c>
    </row>
    <row r="10801" spans="1:6" x14ac:dyDescent="0.25">
      <c r="A10801">
        <v>10800</v>
      </c>
      <c r="B10801">
        <v>10</v>
      </c>
      <c r="C10801">
        <v>1</v>
      </c>
      <c r="D10801">
        <v>0</v>
      </c>
      <c r="E10801">
        <v>0</v>
      </c>
      <c r="F10801">
        <v>4778</v>
      </c>
    </row>
    <row r="10802" spans="1:6" x14ac:dyDescent="0.25">
      <c r="A10802">
        <v>10801</v>
      </c>
      <c r="B10802" t="s">
        <v>0</v>
      </c>
      <c r="C10802">
        <v>10</v>
      </c>
      <c r="D10802">
        <v>3496</v>
      </c>
      <c r="E10802">
        <v>80385797</v>
      </c>
    </row>
    <row r="10803" spans="1:6" x14ac:dyDescent="0.25">
      <c r="A10803">
        <v>10802</v>
      </c>
      <c r="B10803">
        <v>41</v>
      </c>
      <c r="C10803">
        <v>0</v>
      </c>
      <c r="D10803">
        <v>0</v>
      </c>
      <c r="E10803">
        <v>0</v>
      </c>
      <c r="F10803">
        <v>1</v>
      </c>
    </row>
    <row r="10804" spans="1:6" x14ac:dyDescent="0.25">
      <c r="A10804">
        <v>10803</v>
      </c>
      <c r="B10804" t="s">
        <v>0</v>
      </c>
      <c r="C10804">
        <v>11</v>
      </c>
      <c r="D10804">
        <v>3496</v>
      </c>
      <c r="E10804">
        <v>80385933</v>
      </c>
    </row>
    <row r="10805" spans="1:6" x14ac:dyDescent="0.25">
      <c r="A10805">
        <v>10804</v>
      </c>
      <c r="B10805">
        <v>43</v>
      </c>
      <c r="C10805">
        <v>0</v>
      </c>
      <c r="D10805">
        <v>0</v>
      </c>
      <c r="E10805">
        <v>0</v>
      </c>
      <c r="F10805">
        <v>0</v>
      </c>
    </row>
    <row r="10806" spans="1:6" x14ac:dyDescent="0.25">
      <c r="A10806">
        <v>10805</v>
      </c>
      <c r="B10806" t="s">
        <v>0</v>
      </c>
      <c r="C10806">
        <v>12</v>
      </c>
      <c r="D10806">
        <v>3496</v>
      </c>
      <c r="E10806">
        <v>80386069</v>
      </c>
    </row>
    <row r="10807" spans="1:6" x14ac:dyDescent="0.25">
      <c r="A10807">
        <v>10806</v>
      </c>
      <c r="B10807">
        <v>45</v>
      </c>
      <c r="C10807">
        <v>0</v>
      </c>
      <c r="D10807">
        <v>0</v>
      </c>
      <c r="E10807">
        <v>0</v>
      </c>
      <c r="F10807">
        <v>517.65099999999995</v>
      </c>
    </row>
    <row r="10808" spans="1:6" x14ac:dyDescent="0.25">
      <c r="A10808">
        <v>10807</v>
      </c>
      <c r="B10808" t="s">
        <v>0</v>
      </c>
      <c r="C10808">
        <v>13</v>
      </c>
      <c r="D10808">
        <v>3496</v>
      </c>
      <c r="E10808">
        <v>80386205</v>
      </c>
    </row>
    <row r="10809" spans="1:6" x14ac:dyDescent="0.25">
      <c r="A10809">
        <v>10808</v>
      </c>
      <c r="B10809">
        <v>2</v>
      </c>
      <c r="C10809">
        <v>0</v>
      </c>
      <c r="D10809">
        <v>0</v>
      </c>
      <c r="E10809">
        <v>0</v>
      </c>
      <c r="F10809">
        <v>245.33600000000001</v>
      </c>
    </row>
    <row r="10810" spans="1:6" x14ac:dyDescent="0.25">
      <c r="A10810">
        <v>10809</v>
      </c>
      <c r="B10810" t="s">
        <v>0</v>
      </c>
      <c r="C10810">
        <v>14</v>
      </c>
      <c r="D10810">
        <v>3496</v>
      </c>
      <c r="E10810">
        <v>80386340</v>
      </c>
    </row>
    <row r="10811" spans="1:6" x14ac:dyDescent="0.25">
      <c r="A10811">
        <v>10810</v>
      </c>
      <c r="B10811">
        <v>13</v>
      </c>
      <c r="C10811">
        <v>0</v>
      </c>
      <c r="D10811">
        <v>0</v>
      </c>
      <c r="E10811">
        <v>0</v>
      </c>
      <c r="F10811">
        <v>1609</v>
      </c>
    </row>
    <row r="10812" spans="1:6" x14ac:dyDescent="0.25">
      <c r="A10812">
        <v>10811</v>
      </c>
      <c r="B10812" t="s">
        <v>0</v>
      </c>
      <c r="C10812">
        <v>15</v>
      </c>
      <c r="D10812">
        <v>3496</v>
      </c>
      <c r="E10812">
        <v>80386475</v>
      </c>
    </row>
    <row r="10813" spans="1:6" x14ac:dyDescent="0.25">
      <c r="A10813">
        <v>10812</v>
      </c>
      <c r="B10813">
        <v>42</v>
      </c>
      <c r="C10813">
        <v>0</v>
      </c>
      <c r="D10813">
        <v>0</v>
      </c>
      <c r="E10813">
        <v>0</v>
      </c>
      <c r="F10813">
        <v>0.2</v>
      </c>
    </row>
    <row r="10814" spans="1:6" x14ac:dyDescent="0.25">
      <c r="A10814">
        <v>10813</v>
      </c>
      <c r="B10814" t="s">
        <v>0</v>
      </c>
      <c r="C10814">
        <v>16</v>
      </c>
      <c r="D10814">
        <v>3496</v>
      </c>
      <c r="E10814">
        <v>80386610</v>
      </c>
    </row>
    <row r="10815" spans="1:6" x14ac:dyDescent="0.25">
      <c r="A10815">
        <v>10814</v>
      </c>
      <c r="B10815">
        <v>43</v>
      </c>
      <c r="C10815">
        <v>0</v>
      </c>
      <c r="D10815">
        <v>0</v>
      </c>
      <c r="E10815">
        <v>0</v>
      </c>
      <c r="F10815">
        <v>0</v>
      </c>
    </row>
    <row r="10816" spans="1:6" x14ac:dyDescent="0.25">
      <c r="A10816">
        <v>10815</v>
      </c>
      <c r="B10816">
        <v>44</v>
      </c>
      <c r="C10816">
        <v>0</v>
      </c>
      <c r="D10816">
        <v>0</v>
      </c>
      <c r="E10816">
        <v>0</v>
      </c>
      <c r="F10816">
        <v>-32.945099999999996</v>
      </c>
    </row>
    <row r="10817" spans="1:6" x14ac:dyDescent="0.25">
      <c r="A10817">
        <v>10816</v>
      </c>
      <c r="B10817">
        <v>45</v>
      </c>
      <c r="C10817">
        <v>0</v>
      </c>
      <c r="D10817">
        <v>0</v>
      </c>
      <c r="E10817">
        <v>0</v>
      </c>
      <c r="F10817">
        <v>517.62400000000002</v>
      </c>
    </row>
    <row r="10818" spans="1:6" x14ac:dyDescent="0.25">
      <c r="A10818">
        <v>10817</v>
      </c>
      <c r="B10818">
        <v>46</v>
      </c>
      <c r="C10818">
        <v>0</v>
      </c>
      <c r="D10818">
        <v>0</v>
      </c>
      <c r="E10818">
        <v>0</v>
      </c>
      <c r="F10818">
        <v>0</v>
      </c>
    </row>
    <row r="10819" spans="1:6" x14ac:dyDescent="0.25">
      <c r="A10819">
        <v>10818</v>
      </c>
      <c r="B10819">
        <v>2</v>
      </c>
      <c r="C10819">
        <v>0</v>
      </c>
      <c r="D10819">
        <v>0</v>
      </c>
      <c r="E10819">
        <v>0</v>
      </c>
      <c r="F10819">
        <v>245.25200000000001</v>
      </c>
    </row>
    <row r="10820" spans="1:6" x14ac:dyDescent="0.25">
      <c r="A10820">
        <v>10819</v>
      </c>
      <c r="B10820">
        <v>10</v>
      </c>
      <c r="C10820">
        <v>1</v>
      </c>
      <c r="D10820">
        <v>0</v>
      </c>
      <c r="E10820">
        <v>0</v>
      </c>
      <c r="F10820">
        <v>4783</v>
      </c>
    </row>
    <row r="10821" spans="1:6" x14ac:dyDescent="0.25">
      <c r="A10821">
        <v>10820</v>
      </c>
      <c r="B10821">
        <v>13</v>
      </c>
      <c r="C10821">
        <v>0</v>
      </c>
      <c r="D10821">
        <v>0</v>
      </c>
      <c r="E10821">
        <v>0</v>
      </c>
      <c r="F10821">
        <v>1609</v>
      </c>
    </row>
    <row r="10822" spans="1:6" x14ac:dyDescent="0.25">
      <c r="A10822">
        <v>10821</v>
      </c>
      <c r="B10822">
        <v>41</v>
      </c>
      <c r="C10822">
        <v>0</v>
      </c>
      <c r="D10822">
        <v>0</v>
      </c>
      <c r="E10822">
        <v>0</v>
      </c>
      <c r="F10822">
        <v>1</v>
      </c>
    </row>
    <row r="10823" spans="1:6" x14ac:dyDescent="0.25">
      <c r="A10823">
        <v>10822</v>
      </c>
      <c r="B10823">
        <v>42</v>
      </c>
      <c r="C10823">
        <v>0</v>
      </c>
      <c r="D10823">
        <v>0</v>
      </c>
      <c r="E10823">
        <v>0</v>
      </c>
      <c r="F10823">
        <v>0.2</v>
      </c>
    </row>
    <row r="10824" spans="1:6" x14ac:dyDescent="0.25">
      <c r="A10824">
        <v>10823</v>
      </c>
      <c r="B10824">
        <v>43</v>
      </c>
      <c r="C10824">
        <v>0</v>
      </c>
      <c r="D10824">
        <v>0</v>
      </c>
      <c r="E10824">
        <v>0</v>
      </c>
      <c r="F10824">
        <v>0</v>
      </c>
    </row>
    <row r="10825" spans="1:6" x14ac:dyDescent="0.25">
      <c r="A10825">
        <v>10824</v>
      </c>
      <c r="B10825">
        <v>44</v>
      </c>
      <c r="C10825">
        <v>0</v>
      </c>
      <c r="D10825">
        <v>0</v>
      </c>
      <c r="E10825">
        <v>0</v>
      </c>
      <c r="F10825">
        <v>-32.722799999999999</v>
      </c>
    </row>
    <row r="10826" spans="1:6" x14ac:dyDescent="0.25">
      <c r="A10826">
        <v>10825</v>
      </c>
      <c r="B10826">
        <v>45</v>
      </c>
      <c r="C10826">
        <v>0</v>
      </c>
      <c r="D10826">
        <v>0</v>
      </c>
      <c r="E10826">
        <v>0</v>
      </c>
      <c r="F10826">
        <v>517.60299999999995</v>
      </c>
    </row>
    <row r="10827" spans="1:6" x14ac:dyDescent="0.25">
      <c r="A10827">
        <v>10826</v>
      </c>
      <c r="B10827">
        <v>46</v>
      </c>
      <c r="C10827">
        <v>0</v>
      </c>
      <c r="D10827">
        <v>0</v>
      </c>
      <c r="E10827">
        <v>0</v>
      </c>
      <c r="F10827">
        <v>0</v>
      </c>
    </row>
    <row r="10828" spans="1:6" x14ac:dyDescent="0.25">
      <c r="A10828">
        <v>10827</v>
      </c>
      <c r="B10828">
        <v>2</v>
      </c>
      <c r="C10828">
        <v>0</v>
      </c>
      <c r="D10828">
        <v>0</v>
      </c>
      <c r="E10828">
        <v>0</v>
      </c>
      <c r="F10828">
        <v>245.197</v>
      </c>
    </row>
    <row r="10829" spans="1:6" x14ac:dyDescent="0.25">
      <c r="A10829">
        <v>10828</v>
      </c>
      <c r="B10829">
        <v>10</v>
      </c>
      <c r="C10829">
        <v>1</v>
      </c>
      <c r="D10829">
        <v>0</v>
      </c>
      <c r="E10829">
        <v>0</v>
      </c>
      <c r="F10829">
        <v>4786</v>
      </c>
    </row>
    <row r="10830" spans="1:6" x14ac:dyDescent="0.25">
      <c r="A10830">
        <v>10829</v>
      </c>
      <c r="B10830">
        <v>13</v>
      </c>
      <c r="C10830">
        <v>0</v>
      </c>
      <c r="D10830">
        <v>0</v>
      </c>
      <c r="E10830">
        <v>0</v>
      </c>
      <c r="F10830">
        <v>1609</v>
      </c>
    </row>
    <row r="10831" spans="1:6" x14ac:dyDescent="0.25">
      <c r="A10831">
        <v>10830</v>
      </c>
      <c r="B10831">
        <v>41</v>
      </c>
      <c r="C10831">
        <v>0</v>
      </c>
      <c r="D10831">
        <v>0</v>
      </c>
      <c r="E10831">
        <v>0</v>
      </c>
      <c r="F10831">
        <v>1</v>
      </c>
    </row>
    <row r="10832" spans="1:6" x14ac:dyDescent="0.25">
      <c r="A10832">
        <v>10831</v>
      </c>
      <c r="B10832">
        <v>42</v>
      </c>
      <c r="C10832">
        <v>0</v>
      </c>
      <c r="D10832">
        <v>0</v>
      </c>
      <c r="E10832">
        <v>0</v>
      </c>
      <c r="F10832">
        <v>0.2</v>
      </c>
    </row>
    <row r="10833" spans="1:6" x14ac:dyDescent="0.25">
      <c r="A10833">
        <v>10832</v>
      </c>
      <c r="B10833">
        <v>43</v>
      </c>
      <c r="C10833">
        <v>0</v>
      </c>
      <c r="D10833">
        <v>0</v>
      </c>
      <c r="E10833">
        <v>0</v>
      </c>
      <c r="F10833">
        <v>0</v>
      </c>
    </row>
    <row r="10834" spans="1:6" x14ac:dyDescent="0.25">
      <c r="A10834">
        <v>10833</v>
      </c>
      <c r="B10834">
        <v>44</v>
      </c>
      <c r="C10834">
        <v>0</v>
      </c>
      <c r="D10834">
        <v>0</v>
      </c>
      <c r="E10834">
        <v>0</v>
      </c>
      <c r="F10834">
        <v>-32.527799999999999</v>
      </c>
    </row>
    <row r="10835" spans="1:6" x14ac:dyDescent="0.25">
      <c r="A10835">
        <v>10834</v>
      </c>
      <c r="B10835">
        <v>45</v>
      </c>
      <c r="C10835">
        <v>0</v>
      </c>
      <c r="D10835">
        <v>0</v>
      </c>
      <c r="E10835">
        <v>0</v>
      </c>
      <c r="F10835">
        <v>517.57600000000002</v>
      </c>
    </row>
    <row r="10836" spans="1:6" x14ac:dyDescent="0.25">
      <c r="A10836">
        <v>10835</v>
      </c>
      <c r="B10836">
        <v>46</v>
      </c>
      <c r="C10836">
        <v>0</v>
      </c>
      <c r="D10836">
        <v>0</v>
      </c>
      <c r="E10836">
        <v>0</v>
      </c>
      <c r="F10836">
        <v>0</v>
      </c>
    </row>
    <row r="10837" spans="1:6" x14ac:dyDescent="0.25">
      <c r="A10837">
        <v>10836</v>
      </c>
      <c r="B10837">
        <v>2</v>
      </c>
      <c r="C10837">
        <v>0</v>
      </c>
      <c r="D10837">
        <v>0</v>
      </c>
      <c r="E10837">
        <v>0</v>
      </c>
      <c r="F10837">
        <v>245.14599999999999</v>
      </c>
    </row>
    <row r="10838" spans="1:6" x14ac:dyDescent="0.25">
      <c r="A10838">
        <v>10837</v>
      </c>
      <c r="B10838">
        <v>10</v>
      </c>
      <c r="C10838">
        <v>1</v>
      </c>
      <c r="D10838">
        <v>0</v>
      </c>
      <c r="E10838">
        <v>0</v>
      </c>
      <c r="F10838">
        <v>4788</v>
      </c>
    </row>
    <row r="10839" spans="1:6" x14ac:dyDescent="0.25">
      <c r="A10839">
        <v>10838</v>
      </c>
      <c r="B10839" t="s">
        <v>0</v>
      </c>
      <c r="C10839">
        <v>28</v>
      </c>
      <c r="D10839">
        <v>3496</v>
      </c>
      <c r="E10839">
        <v>80388239</v>
      </c>
    </row>
    <row r="10840" spans="1:6" x14ac:dyDescent="0.25">
      <c r="A10840">
        <v>10839</v>
      </c>
      <c r="B10840">
        <v>13</v>
      </c>
      <c r="C10840">
        <v>0</v>
      </c>
      <c r="D10840">
        <v>0</v>
      </c>
      <c r="E10840">
        <v>0</v>
      </c>
      <c r="F10840">
        <v>1609</v>
      </c>
    </row>
    <row r="10841" spans="1:6" x14ac:dyDescent="0.25">
      <c r="A10841">
        <v>10840</v>
      </c>
      <c r="B10841">
        <v>41</v>
      </c>
      <c r="C10841">
        <v>0</v>
      </c>
      <c r="D10841">
        <v>0</v>
      </c>
      <c r="E10841">
        <v>0</v>
      </c>
      <c r="F10841">
        <v>1</v>
      </c>
    </row>
    <row r="10842" spans="1:6" x14ac:dyDescent="0.25">
      <c r="A10842">
        <v>10841</v>
      </c>
      <c r="B10842" t="s">
        <v>0</v>
      </c>
      <c r="C10842">
        <v>29</v>
      </c>
      <c r="D10842">
        <v>3496</v>
      </c>
      <c r="E10842">
        <v>80388374</v>
      </c>
    </row>
    <row r="10843" spans="1:6" x14ac:dyDescent="0.25">
      <c r="A10843">
        <v>10842</v>
      </c>
      <c r="B10843">
        <v>42</v>
      </c>
      <c r="C10843">
        <v>0</v>
      </c>
      <c r="D10843">
        <v>0</v>
      </c>
      <c r="E10843">
        <v>0</v>
      </c>
      <c r="F10843">
        <v>0.2</v>
      </c>
    </row>
    <row r="10844" spans="1:6" x14ac:dyDescent="0.25">
      <c r="A10844">
        <v>10843</v>
      </c>
      <c r="B10844">
        <v>43</v>
      </c>
      <c r="C10844">
        <v>0</v>
      </c>
      <c r="D10844">
        <v>0</v>
      </c>
      <c r="E10844">
        <v>0</v>
      </c>
      <c r="F10844">
        <v>0</v>
      </c>
    </row>
    <row r="10845" spans="1:6" x14ac:dyDescent="0.25">
      <c r="A10845">
        <v>10844</v>
      </c>
      <c r="B10845" t="s">
        <v>0</v>
      </c>
      <c r="C10845">
        <v>30</v>
      </c>
      <c r="D10845">
        <v>3496</v>
      </c>
      <c r="E10845">
        <v>80388509</v>
      </c>
    </row>
    <row r="10846" spans="1:6" x14ac:dyDescent="0.25">
      <c r="A10846">
        <v>10845</v>
      </c>
      <c r="B10846">
        <v>44</v>
      </c>
      <c r="C10846">
        <v>0</v>
      </c>
      <c r="D10846">
        <v>0</v>
      </c>
      <c r="E10846">
        <v>0</v>
      </c>
      <c r="F10846">
        <v>-32.307400000000001</v>
      </c>
    </row>
    <row r="10847" spans="1:6" x14ac:dyDescent="0.25">
      <c r="A10847">
        <v>10846</v>
      </c>
      <c r="B10847">
        <v>45</v>
      </c>
      <c r="C10847">
        <v>0</v>
      </c>
      <c r="D10847">
        <v>0</v>
      </c>
      <c r="E10847">
        <v>0</v>
      </c>
      <c r="F10847">
        <v>517.55499999999995</v>
      </c>
    </row>
    <row r="10848" spans="1:6" x14ac:dyDescent="0.25">
      <c r="A10848">
        <v>10847</v>
      </c>
      <c r="B10848" t="s">
        <v>0</v>
      </c>
      <c r="C10848">
        <v>31</v>
      </c>
      <c r="D10848">
        <v>3496</v>
      </c>
      <c r="E10848">
        <v>80388644</v>
      </c>
    </row>
    <row r="10849" spans="1:6" x14ac:dyDescent="0.25">
      <c r="A10849">
        <v>10848</v>
      </c>
      <c r="B10849">
        <v>46</v>
      </c>
      <c r="C10849">
        <v>0</v>
      </c>
      <c r="D10849">
        <v>0</v>
      </c>
      <c r="E10849">
        <v>0</v>
      </c>
      <c r="F10849">
        <v>0</v>
      </c>
    </row>
    <row r="10850" spans="1:6" x14ac:dyDescent="0.25">
      <c r="A10850">
        <v>10849</v>
      </c>
      <c r="B10850">
        <v>2</v>
      </c>
      <c r="C10850">
        <v>0</v>
      </c>
      <c r="D10850">
        <v>0</v>
      </c>
      <c r="E10850">
        <v>0</v>
      </c>
      <c r="F10850">
        <v>245.11199999999999</v>
      </c>
    </row>
    <row r="10851" spans="1:6" x14ac:dyDescent="0.25">
      <c r="A10851">
        <v>10850</v>
      </c>
      <c r="B10851" t="s">
        <v>0</v>
      </c>
      <c r="C10851">
        <v>32</v>
      </c>
      <c r="D10851">
        <v>3496</v>
      </c>
      <c r="E10851">
        <v>80388780</v>
      </c>
    </row>
    <row r="10852" spans="1:6" x14ac:dyDescent="0.25">
      <c r="A10852">
        <v>10851</v>
      </c>
      <c r="B10852">
        <v>10</v>
      </c>
      <c r="C10852">
        <v>1</v>
      </c>
      <c r="D10852">
        <v>0</v>
      </c>
      <c r="E10852">
        <v>0</v>
      </c>
      <c r="F10852">
        <v>4789</v>
      </c>
    </row>
    <row r="10853" spans="1:6" x14ac:dyDescent="0.25">
      <c r="A10853">
        <v>10852</v>
      </c>
      <c r="B10853">
        <v>13</v>
      </c>
      <c r="C10853">
        <v>0</v>
      </c>
      <c r="D10853">
        <v>0</v>
      </c>
      <c r="E10853">
        <v>0</v>
      </c>
      <c r="F10853">
        <v>1609</v>
      </c>
    </row>
    <row r="10854" spans="1:6" x14ac:dyDescent="0.25">
      <c r="A10854">
        <v>10853</v>
      </c>
      <c r="B10854" t="s">
        <v>0</v>
      </c>
      <c r="C10854">
        <v>33</v>
      </c>
      <c r="D10854">
        <v>3496</v>
      </c>
      <c r="E10854">
        <v>80388916</v>
      </c>
    </row>
    <row r="10855" spans="1:6" x14ac:dyDescent="0.25">
      <c r="A10855">
        <v>10854</v>
      </c>
      <c r="B10855">
        <v>41</v>
      </c>
      <c r="C10855">
        <v>0</v>
      </c>
      <c r="D10855">
        <v>0</v>
      </c>
      <c r="E10855">
        <v>0</v>
      </c>
      <c r="F10855">
        <v>1</v>
      </c>
    </row>
    <row r="10856" spans="1:6" x14ac:dyDescent="0.25">
      <c r="A10856">
        <v>10855</v>
      </c>
      <c r="B10856">
        <v>42</v>
      </c>
      <c r="C10856">
        <v>0</v>
      </c>
      <c r="D10856">
        <v>0</v>
      </c>
      <c r="E10856">
        <v>0</v>
      </c>
      <c r="F10856">
        <v>0.2</v>
      </c>
    </row>
    <row r="10857" spans="1:6" x14ac:dyDescent="0.25">
      <c r="A10857">
        <v>10856</v>
      </c>
      <c r="B10857" t="s">
        <v>0</v>
      </c>
      <c r="C10857">
        <v>34</v>
      </c>
      <c r="D10857">
        <v>3496</v>
      </c>
      <c r="E10857">
        <v>80389052</v>
      </c>
    </row>
    <row r="10858" spans="1:6" x14ac:dyDescent="0.25">
      <c r="A10858">
        <v>10857</v>
      </c>
      <c r="B10858">
        <v>43</v>
      </c>
      <c r="C10858">
        <v>0</v>
      </c>
      <c r="D10858">
        <v>0</v>
      </c>
      <c r="E10858">
        <v>0</v>
      </c>
      <c r="F10858">
        <v>0</v>
      </c>
    </row>
    <row r="10859" spans="1:6" x14ac:dyDescent="0.25">
      <c r="A10859">
        <v>10858</v>
      </c>
      <c r="B10859">
        <v>44</v>
      </c>
      <c r="C10859">
        <v>0</v>
      </c>
      <c r="D10859">
        <v>0</v>
      </c>
      <c r="E10859">
        <v>0</v>
      </c>
      <c r="F10859">
        <v>-32.15</v>
      </c>
    </row>
    <row r="10860" spans="1:6" x14ac:dyDescent="0.25">
      <c r="A10860">
        <v>10859</v>
      </c>
      <c r="B10860" t="s">
        <v>0</v>
      </c>
      <c r="C10860">
        <v>35</v>
      </c>
      <c r="D10860">
        <v>3496</v>
      </c>
      <c r="E10860">
        <v>80389188</v>
      </c>
    </row>
    <row r="10861" spans="1:6" x14ac:dyDescent="0.25">
      <c r="A10861">
        <v>10860</v>
      </c>
      <c r="B10861">
        <v>45</v>
      </c>
      <c r="C10861">
        <v>0</v>
      </c>
      <c r="D10861">
        <v>0</v>
      </c>
      <c r="E10861">
        <v>0</v>
      </c>
      <c r="F10861">
        <v>517.529</v>
      </c>
    </row>
    <row r="10862" spans="1:6" x14ac:dyDescent="0.25">
      <c r="A10862">
        <v>10861</v>
      </c>
      <c r="B10862">
        <v>46</v>
      </c>
      <c r="C10862">
        <v>0</v>
      </c>
      <c r="D10862">
        <v>0</v>
      </c>
      <c r="E10862">
        <v>0</v>
      </c>
      <c r="F10862">
        <v>0</v>
      </c>
    </row>
    <row r="10863" spans="1:6" x14ac:dyDescent="0.25">
      <c r="A10863">
        <v>10862</v>
      </c>
      <c r="B10863" t="s">
        <v>0</v>
      </c>
      <c r="C10863">
        <v>36</v>
      </c>
      <c r="D10863">
        <v>3496</v>
      </c>
      <c r="E10863">
        <v>80389323</v>
      </c>
    </row>
    <row r="10864" spans="1:6" x14ac:dyDescent="0.25">
      <c r="A10864">
        <v>10863</v>
      </c>
      <c r="B10864">
        <v>2</v>
      </c>
      <c r="C10864">
        <v>0</v>
      </c>
      <c r="D10864">
        <v>0</v>
      </c>
      <c r="E10864">
        <v>0</v>
      </c>
      <c r="F10864">
        <v>245.07900000000001</v>
      </c>
    </row>
    <row r="10865" spans="1:6" x14ac:dyDescent="0.25">
      <c r="A10865">
        <v>10864</v>
      </c>
      <c r="B10865">
        <v>10</v>
      </c>
      <c r="C10865">
        <v>1</v>
      </c>
      <c r="D10865">
        <v>0</v>
      </c>
      <c r="E10865">
        <v>0</v>
      </c>
      <c r="F10865">
        <v>4791</v>
      </c>
    </row>
    <row r="10866" spans="1:6" x14ac:dyDescent="0.25">
      <c r="A10866">
        <v>10865</v>
      </c>
      <c r="B10866" t="s">
        <v>0</v>
      </c>
      <c r="C10866">
        <v>37</v>
      </c>
      <c r="D10866">
        <v>3496</v>
      </c>
      <c r="E10866">
        <v>80389458</v>
      </c>
    </row>
    <row r="10867" spans="1:6" x14ac:dyDescent="0.25">
      <c r="A10867">
        <v>10866</v>
      </c>
      <c r="B10867">
        <v>41</v>
      </c>
      <c r="C10867">
        <v>0</v>
      </c>
      <c r="D10867">
        <v>0</v>
      </c>
      <c r="E10867">
        <v>0</v>
      </c>
      <c r="F10867">
        <v>1</v>
      </c>
    </row>
    <row r="10868" spans="1:6" x14ac:dyDescent="0.25">
      <c r="A10868">
        <v>10867</v>
      </c>
      <c r="B10868" t="s">
        <v>0</v>
      </c>
      <c r="C10868">
        <v>38</v>
      </c>
      <c r="D10868">
        <v>3496</v>
      </c>
      <c r="E10868">
        <v>80389593</v>
      </c>
    </row>
    <row r="10869" spans="1:6" x14ac:dyDescent="0.25">
      <c r="A10869">
        <v>10868</v>
      </c>
      <c r="B10869">
        <v>43</v>
      </c>
      <c r="C10869">
        <v>0</v>
      </c>
      <c r="D10869">
        <v>0</v>
      </c>
      <c r="E10869">
        <v>0</v>
      </c>
      <c r="F10869">
        <v>0</v>
      </c>
    </row>
    <row r="10870" spans="1:6" x14ac:dyDescent="0.25">
      <c r="A10870">
        <v>10869</v>
      </c>
      <c r="B10870" t="s">
        <v>0</v>
      </c>
      <c r="C10870">
        <v>39</v>
      </c>
      <c r="D10870">
        <v>3496</v>
      </c>
      <c r="E10870">
        <v>80389728</v>
      </c>
    </row>
    <row r="10871" spans="1:6" x14ac:dyDescent="0.25">
      <c r="A10871">
        <v>10870</v>
      </c>
      <c r="B10871">
        <v>45</v>
      </c>
      <c r="C10871">
        <v>0</v>
      </c>
      <c r="D10871">
        <v>0</v>
      </c>
      <c r="E10871">
        <v>0</v>
      </c>
      <c r="F10871">
        <v>517.50800000000004</v>
      </c>
    </row>
    <row r="10872" spans="1:6" x14ac:dyDescent="0.25">
      <c r="A10872">
        <v>10871</v>
      </c>
      <c r="B10872" t="s">
        <v>0</v>
      </c>
      <c r="C10872">
        <v>40</v>
      </c>
      <c r="D10872">
        <v>3496</v>
      </c>
      <c r="E10872">
        <v>80389864</v>
      </c>
    </row>
    <row r="10873" spans="1:6" x14ac:dyDescent="0.25">
      <c r="A10873">
        <v>10872</v>
      </c>
      <c r="B10873">
        <v>2</v>
      </c>
      <c r="C10873">
        <v>0</v>
      </c>
      <c r="D10873">
        <v>0</v>
      </c>
      <c r="E10873">
        <v>0</v>
      </c>
      <c r="F10873">
        <v>245.05799999999999</v>
      </c>
    </row>
    <row r="10874" spans="1:6" x14ac:dyDescent="0.25">
      <c r="A10874">
        <v>10873</v>
      </c>
      <c r="B10874" t="s">
        <v>0</v>
      </c>
      <c r="C10874">
        <v>41</v>
      </c>
      <c r="D10874">
        <v>3496</v>
      </c>
      <c r="E10874">
        <v>80390000</v>
      </c>
    </row>
    <row r="10875" spans="1:6" x14ac:dyDescent="0.25">
      <c r="A10875">
        <v>10874</v>
      </c>
      <c r="B10875">
        <v>13</v>
      </c>
      <c r="C10875">
        <v>0</v>
      </c>
      <c r="D10875">
        <v>0</v>
      </c>
      <c r="E10875">
        <v>0</v>
      </c>
      <c r="F10875">
        <v>1609</v>
      </c>
    </row>
    <row r="10876" spans="1:6" x14ac:dyDescent="0.25">
      <c r="A10876">
        <v>10875</v>
      </c>
      <c r="B10876" t="s">
        <v>0</v>
      </c>
      <c r="C10876">
        <v>42</v>
      </c>
      <c r="D10876">
        <v>3496</v>
      </c>
      <c r="E10876">
        <v>80390136</v>
      </c>
    </row>
    <row r="10877" spans="1:6" x14ac:dyDescent="0.25">
      <c r="A10877">
        <v>10876</v>
      </c>
      <c r="B10877">
        <v>42</v>
      </c>
      <c r="C10877">
        <v>0</v>
      </c>
      <c r="D10877">
        <v>0</v>
      </c>
      <c r="E10877">
        <v>0</v>
      </c>
      <c r="F10877">
        <v>0.2</v>
      </c>
    </row>
    <row r="10878" spans="1:6" x14ac:dyDescent="0.25">
      <c r="A10878">
        <v>10877</v>
      </c>
      <c r="B10878" t="s">
        <v>0</v>
      </c>
      <c r="C10878">
        <v>43</v>
      </c>
      <c r="D10878">
        <v>3496</v>
      </c>
      <c r="E10878">
        <v>80390272</v>
      </c>
    </row>
    <row r="10879" spans="1:6" x14ac:dyDescent="0.25">
      <c r="A10879">
        <v>10878</v>
      </c>
      <c r="B10879">
        <v>44</v>
      </c>
      <c r="C10879">
        <v>0</v>
      </c>
      <c r="D10879">
        <v>0</v>
      </c>
      <c r="E10879">
        <v>0</v>
      </c>
      <c r="F10879">
        <v>-31.806899999999999</v>
      </c>
    </row>
    <row r="10880" spans="1:6" x14ac:dyDescent="0.25">
      <c r="A10880">
        <v>10879</v>
      </c>
      <c r="B10880" t="s">
        <v>0</v>
      </c>
      <c r="C10880">
        <v>44</v>
      </c>
      <c r="D10880">
        <v>3496</v>
      </c>
      <c r="E10880">
        <v>80390407</v>
      </c>
    </row>
    <row r="10881" spans="1:6" x14ac:dyDescent="0.25">
      <c r="A10881">
        <v>10880</v>
      </c>
      <c r="B10881">
        <v>46</v>
      </c>
      <c r="C10881">
        <v>0</v>
      </c>
      <c r="D10881">
        <v>0</v>
      </c>
      <c r="E10881">
        <v>0</v>
      </c>
      <c r="F10881">
        <v>0</v>
      </c>
    </row>
    <row r="10882" spans="1:6" x14ac:dyDescent="0.25">
      <c r="A10882">
        <v>10881</v>
      </c>
      <c r="B10882" t="s">
        <v>0</v>
      </c>
      <c r="C10882">
        <v>45</v>
      </c>
      <c r="D10882">
        <v>3496</v>
      </c>
      <c r="E10882">
        <v>80390542</v>
      </c>
    </row>
    <row r="10883" spans="1:6" x14ac:dyDescent="0.25">
      <c r="A10883">
        <v>10882</v>
      </c>
      <c r="B10883">
        <v>2</v>
      </c>
      <c r="C10883">
        <v>0</v>
      </c>
      <c r="D10883">
        <v>0</v>
      </c>
      <c r="E10883">
        <v>0</v>
      </c>
      <c r="F10883">
        <v>245.03700000000001</v>
      </c>
    </row>
    <row r="10884" spans="1:6" x14ac:dyDescent="0.25">
      <c r="A10884">
        <v>10883</v>
      </c>
      <c r="B10884">
        <v>10</v>
      </c>
      <c r="C10884">
        <v>1</v>
      </c>
      <c r="D10884">
        <v>0</v>
      </c>
      <c r="E10884">
        <v>0</v>
      </c>
      <c r="F10884">
        <v>4793</v>
      </c>
    </row>
    <row r="10885" spans="1:6" x14ac:dyDescent="0.25">
      <c r="A10885">
        <v>10884</v>
      </c>
      <c r="B10885">
        <v>13</v>
      </c>
      <c r="C10885">
        <v>0</v>
      </c>
      <c r="D10885">
        <v>0</v>
      </c>
      <c r="E10885">
        <v>0</v>
      </c>
      <c r="F10885">
        <v>1609</v>
      </c>
    </row>
    <row r="10886" spans="1:6" x14ac:dyDescent="0.25">
      <c r="A10886">
        <v>10885</v>
      </c>
      <c r="B10886">
        <v>41</v>
      </c>
      <c r="C10886">
        <v>0</v>
      </c>
      <c r="D10886">
        <v>0</v>
      </c>
      <c r="E10886">
        <v>0</v>
      </c>
      <c r="F10886">
        <v>1</v>
      </c>
    </row>
    <row r="10887" spans="1:6" x14ac:dyDescent="0.25">
      <c r="A10887">
        <v>10886</v>
      </c>
      <c r="B10887">
        <v>42</v>
      </c>
      <c r="C10887">
        <v>0</v>
      </c>
      <c r="D10887">
        <v>0</v>
      </c>
      <c r="E10887">
        <v>0</v>
      </c>
      <c r="F10887">
        <v>0.2</v>
      </c>
    </row>
    <row r="10888" spans="1:6" x14ac:dyDescent="0.25">
      <c r="A10888">
        <v>10887</v>
      </c>
      <c r="B10888">
        <v>43</v>
      </c>
      <c r="C10888">
        <v>0</v>
      </c>
      <c r="D10888">
        <v>0</v>
      </c>
      <c r="E10888">
        <v>0</v>
      </c>
      <c r="F10888">
        <v>0</v>
      </c>
    </row>
    <row r="10889" spans="1:6" x14ac:dyDescent="0.25">
      <c r="A10889">
        <v>10888</v>
      </c>
      <c r="B10889">
        <v>44</v>
      </c>
      <c r="C10889">
        <v>0</v>
      </c>
      <c r="D10889">
        <v>0</v>
      </c>
      <c r="E10889">
        <v>0</v>
      </c>
      <c r="F10889">
        <v>-31.5627</v>
      </c>
    </row>
    <row r="10890" spans="1:6" x14ac:dyDescent="0.25">
      <c r="A10890">
        <v>10889</v>
      </c>
      <c r="B10890">
        <v>45</v>
      </c>
      <c r="C10890">
        <v>0</v>
      </c>
      <c r="D10890">
        <v>0</v>
      </c>
      <c r="E10890">
        <v>0</v>
      </c>
      <c r="F10890">
        <v>517.46100000000001</v>
      </c>
    </row>
    <row r="10891" spans="1:6" x14ac:dyDescent="0.25">
      <c r="A10891">
        <v>10890</v>
      </c>
      <c r="B10891">
        <v>46</v>
      </c>
      <c r="C10891">
        <v>0</v>
      </c>
      <c r="D10891">
        <v>0</v>
      </c>
      <c r="E10891">
        <v>0</v>
      </c>
      <c r="F10891">
        <v>0</v>
      </c>
    </row>
    <row r="10892" spans="1:6" x14ac:dyDescent="0.25">
      <c r="A10892">
        <v>10891</v>
      </c>
      <c r="B10892">
        <v>2</v>
      </c>
      <c r="C10892">
        <v>0</v>
      </c>
      <c r="D10892">
        <v>0</v>
      </c>
      <c r="E10892">
        <v>0</v>
      </c>
      <c r="F10892">
        <v>244.95699999999999</v>
      </c>
    </row>
    <row r="10893" spans="1:6" x14ac:dyDescent="0.25">
      <c r="A10893">
        <v>10892</v>
      </c>
      <c r="B10893">
        <v>10</v>
      </c>
      <c r="C10893">
        <v>1</v>
      </c>
      <c r="D10893">
        <v>0</v>
      </c>
      <c r="E10893">
        <v>0</v>
      </c>
      <c r="F10893">
        <v>4796</v>
      </c>
    </row>
    <row r="10894" spans="1:6" x14ac:dyDescent="0.25">
      <c r="A10894">
        <v>10893</v>
      </c>
      <c r="B10894">
        <v>13</v>
      </c>
      <c r="C10894">
        <v>0</v>
      </c>
      <c r="D10894">
        <v>0</v>
      </c>
      <c r="E10894">
        <v>0</v>
      </c>
      <c r="F10894">
        <v>1609</v>
      </c>
    </row>
    <row r="10895" spans="1:6" x14ac:dyDescent="0.25">
      <c r="A10895">
        <v>10894</v>
      </c>
      <c r="B10895">
        <v>41</v>
      </c>
      <c r="C10895">
        <v>0</v>
      </c>
      <c r="D10895">
        <v>0</v>
      </c>
      <c r="E10895">
        <v>0</v>
      </c>
      <c r="F10895">
        <v>1</v>
      </c>
    </row>
    <row r="10896" spans="1:6" x14ac:dyDescent="0.25">
      <c r="A10896">
        <v>10895</v>
      </c>
      <c r="B10896">
        <v>42</v>
      </c>
      <c r="C10896">
        <v>0</v>
      </c>
      <c r="D10896">
        <v>0</v>
      </c>
      <c r="E10896">
        <v>0</v>
      </c>
      <c r="F10896">
        <v>0.2</v>
      </c>
    </row>
    <row r="10897" spans="1:6" x14ac:dyDescent="0.25">
      <c r="A10897">
        <v>10896</v>
      </c>
      <c r="B10897">
        <v>43</v>
      </c>
      <c r="C10897">
        <v>0</v>
      </c>
      <c r="D10897">
        <v>0</v>
      </c>
      <c r="E10897">
        <v>0</v>
      </c>
      <c r="F10897">
        <v>0</v>
      </c>
    </row>
    <row r="10898" spans="1:6" x14ac:dyDescent="0.25">
      <c r="A10898">
        <v>10897</v>
      </c>
      <c r="B10898">
        <v>44</v>
      </c>
      <c r="C10898">
        <v>0</v>
      </c>
      <c r="D10898">
        <v>0</v>
      </c>
      <c r="E10898">
        <v>0</v>
      </c>
      <c r="F10898">
        <v>-31.3691</v>
      </c>
    </row>
    <row r="10899" spans="1:6" x14ac:dyDescent="0.25">
      <c r="A10899">
        <v>10898</v>
      </c>
      <c r="B10899">
        <v>45</v>
      </c>
      <c r="C10899">
        <v>0</v>
      </c>
      <c r="D10899">
        <v>0</v>
      </c>
      <c r="E10899">
        <v>0</v>
      </c>
      <c r="F10899">
        <v>517.43600000000004</v>
      </c>
    </row>
    <row r="10900" spans="1:6" x14ac:dyDescent="0.25">
      <c r="A10900">
        <v>10899</v>
      </c>
      <c r="B10900">
        <v>46</v>
      </c>
      <c r="C10900">
        <v>0</v>
      </c>
      <c r="D10900">
        <v>0</v>
      </c>
      <c r="E10900">
        <v>0</v>
      </c>
      <c r="F10900">
        <v>0</v>
      </c>
    </row>
    <row r="10901" spans="1:6" x14ac:dyDescent="0.25">
      <c r="A10901">
        <v>10900</v>
      </c>
      <c r="B10901">
        <v>2</v>
      </c>
      <c r="C10901">
        <v>0</v>
      </c>
      <c r="D10901">
        <v>0</v>
      </c>
      <c r="E10901">
        <v>0</v>
      </c>
      <c r="F10901">
        <v>244.87700000000001</v>
      </c>
    </row>
    <row r="10902" spans="1:6" x14ac:dyDescent="0.25">
      <c r="A10902">
        <v>10901</v>
      </c>
      <c r="B10902">
        <v>10</v>
      </c>
      <c r="C10902">
        <v>1</v>
      </c>
      <c r="D10902">
        <v>0</v>
      </c>
      <c r="E10902">
        <v>0</v>
      </c>
      <c r="F10902">
        <v>4799</v>
      </c>
    </row>
    <row r="10903" spans="1:6" x14ac:dyDescent="0.25">
      <c r="A10903">
        <v>10902</v>
      </c>
      <c r="B10903" t="s">
        <v>0</v>
      </c>
      <c r="C10903">
        <v>55</v>
      </c>
      <c r="D10903">
        <v>3496</v>
      </c>
      <c r="E10903">
        <v>80391902</v>
      </c>
    </row>
    <row r="10904" spans="1:6" x14ac:dyDescent="0.25">
      <c r="A10904">
        <v>10903</v>
      </c>
      <c r="B10904">
        <v>13</v>
      </c>
      <c r="C10904">
        <v>0</v>
      </c>
      <c r="D10904">
        <v>0</v>
      </c>
      <c r="E10904">
        <v>0</v>
      </c>
      <c r="F10904">
        <v>1609</v>
      </c>
    </row>
    <row r="10905" spans="1:6" x14ac:dyDescent="0.25">
      <c r="A10905">
        <v>10904</v>
      </c>
      <c r="B10905">
        <v>41</v>
      </c>
      <c r="C10905">
        <v>0</v>
      </c>
      <c r="D10905">
        <v>0</v>
      </c>
      <c r="E10905">
        <v>0</v>
      </c>
      <c r="F10905">
        <v>1</v>
      </c>
    </row>
    <row r="10906" spans="1:6" x14ac:dyDescent="0.25">
      <c r="A10906">
        <v>10905</v>
      </c>
      <c r="B10906" t="s">
        <v>0</v>
      </c>
      <c r="C10906">
        <v>56</v>
      </c>
      <c r="D10906">
        <v>3496</v>
      </c>
      <c r="E10906">
        <v>80392038</v>
      </c>
    </row>
    <row r="10907" spans="1:6" x14ac:dyDescent="0.25">
      <c r="A10907">
        <v>10906</v>
      </c>
      <c r="B10907">
        <v>42</v>
      </c>
      <c r="C10907">
        <v>0</v>
      </c>
      <c r="D10907">
        <v>0</v>
      </c>
      <c r="E10907">
        <v>0</v>
      </c>
      <c r="F10907">
        <v>0.2</v>
      </c>
    </row>
    <row r="10908" spans="1:6" x14ac:dyDescent="0.25">
      <c r="A10908">
        <v>10907</v>
      </c>
      <c r="B10908">
        <v>43</v>
      </c>
      <c r="C10908">
        <v>0</v>
      </c>
      <c r="D10908">
        <v>0</v>
      </c>
      <c r="E10908">
        <v>0</v>
      </c>
      <c r="F10908">
        <v>0</v>
      </c>
    </row>
    <row r="10909" spans="1:6" x14ac:dyDescent="0.25">
      <c r="A10909">
        <v>10908</v>
      </c>
      <c r="B10909" t="s">
        <v>0</v>
      </c>
      <c r="C10909">
        <v>57</v>
      </c>
      <c r="D10909">
        <v>3496</v>
      </c>
      <c r="E10909">
        <v>80392174</v>
      </c>
    </row>
    <row r="10910" spans="1:6" x14ac:dyDescent="0.25">
      <c r="A10910">
        <v>10909</v>
      </c>
      <c r="B10910">
        <v>44</v>
      </c>
      <c r="C10910">
        <v>0</v>
      </c>
      <c r="D10910">
        <v>0</v>
      </c>
      <c r="E10910">
        <v>0</v>
      </c>
      <c r="F10910">
        <v>-31.126000000000001</v>
      </c>
    </row>
    <row r="10911" spans="1:6" x14ac:dyDescent="0.25">
      <c r="A10911">
        <v>10910</v>
      </c>
      <c r="B10911">
        <v>45</v>
      </c>
      <c r="C10911">
        <v>0</v>
      </c>
      <c r="D10911">
        <v>0</v>
      </c>
      <c r="E10911">
        <v>0</v>
      </c>
      <c r="F10911">
        <v>517.41499999999996</v>
      </c>
    </row>
    <row r="10912" spans="1:6" x14ac:dyDescent="0.25">
      <c r="A10912">
        <v>10911</v>
      </c>
      <c r="B10912" t="s">
        <v>0</v>
      </c>
      <c r="C10912">
        <v>58</v>
      </c>
      <c r="D10912">
        <v>3496</v>
      </c>
      <c r="E10912">
        <v>80392310</v>
      </c>
    </row>
    <row r="10913" spans="1:6" x14ac:dyDescent="0.25">
      <c r="A10913">
        <v>10912</v>
      </c>
      <c r="B10913">
        <v>46</v>
      </c>
      <c r="C10913">
        <v>0</v>
      </c>
      <c r="D10913">
        <v>0</v>
      </c>
      <c r="E10913">
        <v>0</v>
      </c>
      <c r="F10913">
        <v>0</v>
      </c>
    </row>
    <row r="10914" spans="1:6" x14ac:dyDescent="0.25">
      <c r="A10914">
        <v>10913</v>
      </c>
      <c r="B10914">
        <v>2</v>
      </c>
      <c r="C10914">
        <v>0</v>
      </c>
      <c r="D10914">
        <v>0</v>
      </c>
      <c r="E10914">
        <v>0</v>
      </c>
      <c r="F10914">
        <v>244.827</v>
      </c>
    </row>
    <row r="10915" spans="1:6" x14ac:dyDescent="0.25">
      <c r="A10915">
        <v>10914</v>
      </c>
      <c r="B10915" t="s">
        <v>0</v>
      </c>
      <c r="C10915">
        <v>59</v>
      </c>
      <c r="D10915">
        <v>3496</v>
      </c>
      <c r="E10915">
        <v>80392446</v>
      </c>
    </row>
    <row r="10916" spans="1:6" x14ac:dyDescent="0.25">
      <c r="A10916">
        <v>10915</v>
      </c>
      <c r="B10916">
        <v>10</v>
      </c>
      <c r="C10916">
        <v>1</v>
      </c>
      <c r="D10916">
        <v>0</v>
      </c>
      <c r="E10916">
        <v>0</v>
      </c>
      <c r="F10916">
        <v>4801</v>
      </c>
    </row>
    <row r="10917" spans="1:6" x14ac:dyDescent="0.25">
      <c r="A10917">
        <v>10916</v>
      </c>
      <c r="B10917">
        <v>13</v>
      </c>
      <c r="C10917">
        <v>0</v>
      </c>
      <c r="D10917">
        <v>0</v>
      </c>
      <c r="E10917">
        <v>0</v>
      </c>
      <c r="F10917">
        <v>1609</v>
      </c>
    </row>
    <row r="10918" spans="1:6" x14ac:dyDescent="0.25">
      <c r="A10918">
        <v>10917</v>
      </c>
      <c r="B10918" t="s">
        <v>0</v>
      </c>
      <c r="C10918">
        <v>60</v>
      </c>
      <c r="D10918">
        <v>3496</v>
      </c>
      <c r="E10918">
        <v>80392582</v>
      </c>
    </row>
    <row r="10919" spans="1:6" x14ac:dyDescent="0.25">
      <c r="A10919">
        <v>10918</v>
      </c>
      <c r="B10919">
        <v>41</v>
      </c>
      <c r="C10919">
        <v>0</v>
      </c>
      <c r="D10919">
        <v>0</v>
      </c>
      <c r="E10919">
        <v>0</v>
      </c>
      <c r="F10919">
        <v>1</v>
      </c>
    </row>
    <row r="10920" spans="1:6" x14ac:dyDescent="0.25">
      <c r="A10920">
        <v>10919</v>
      </c>
      <c r="B10920">
        <v>42</v>
      </c>
      <c r="C10920">
        <v>0</v>
      </c>
      <c r="D10920">
        <v>0</v>
      </c>
      <c r="E10920">
        <v>0</v>
      </c>
      <c r="F10920">
        <v>0.2</v>
      </c>
    </row>
    <row r="10921" spans="1:6" x14ac:dyDescent="0.25">
      <c r="A10921">
        <v>10920</v>
      </c>
      <c r="B10921" t="s">
        <v>0</v>
      </c>
      <c r="C10921">
        <v>61</v>
      </c>
      <c r="D10921">
        <v>3496</v>
      </c>
      <c r="E10921">
        <v>80392717</v>
      </c>
    </row>
    <row r="10922" spans="1:6" x14ac:dyDescent="0.25">
      <c r="A10922">
        <v>10921</v>
      </c>
      <c r="B10922">
        <v>43</v>
      </c>
      <c r="C10922">
        <v>0</v>
      </c>
      <c r="D10922">
        <v>0</v>
      </c>
      <c r="E10922">
        <v>0</v>
      </c>
      <c r="F10922">
        <v>0</v>
      </c>
    </row>
    <row r="10923" spans="1:6" x14ac:dyDescent="0.25">
      <c r="A10923">
        <v>10922</v>
      </c>
      <c r="B10923">
        <v>44</v>
      </c>
      <c r="C10923">
        <v>0</v>
      </c>
      <c r="D10923">
        <v>0</v>
      </c>
      <c r="E10923">
        <v>0</v>
      </c>
      <c r="F10923">
        <v>-30.9314</v>
      </c>
    </row>
    <row r="10924" spans="1:6" x14ac:dyDescent="0.25">
      <c r="A10924">
        <v>10923</v>
      </c>
      <c r="B10924" t="s">
        <v>0</v>
      </c>
      <c r="C10924">
        <v>62</v>
      </c>
      <c r="D10924">
        <v>3496</v>
      </c>
      <c r="E10924">
        <v>80392853</v>
      </c>
    </row>
    <row r="10925" spans="1:6" x14ac:dyDescent="0.25">
      <c r="A10925">
        <v>10924</v>
      </c>
      <c r="B10925">
        <v>45</v>
      </c>
      <c r="C10925">
        <v>0</v>
      </c>
      <c r="D10925">
        <v>0</v>
      </c>
      <c r="E10925">
        <v>0</v>
      </c>
      <c r="F10925">
        <v>517.39</v>
      </c>
    </row>
    <row r="10926" spans="1:6" x14ac:dyDescent="0.25">
      <c r="A10926">
        <v>10925</v>
      </c>
      <c r="B10926">
        <v>46</v>
      </c>
      <c r="C10926">
        <v>0</v>
      </c>
      <c r="D10926">
        <v>0</v>
      </c>
      <c r="E10926">
        <v>0</v>
      </c>
      <c r="F10926">
        <v>0</v>
      </c>
    </row>
    <row r="10927" spans="1:6" x14ac:dyDescent="0.25">
      <c r="A10927">
        <v>10926</v>
      </c>
      <c r="B10927" t="s">
        <v>0</v>
      </c>
      <c r="C10927">
        <v>63</v>
      </c>
      <c r="D10927">
        <v>3496</v>
      </c>
      <c r="E10927">
        <v>80392989</v>
      </c>
    </row>
    <row r="10928" spans="1:6" x14ac:dyDescent="0.25">
      <c r="A10928">
        <v>10927</v>
      </c>
      <c r="B10928">
        <v>10</v>
      </c>
      <c r="C10928">
        <v>1</v>
      </c>
      <c r="D10928">
        <v>0</v>
      </c>
      <c r="E10928">
        <v>0</v>
      </c>
      <c r="F10928">
        <v>4803</v>
      </c>
    </row>
    <row r="10929" spans="1:6" x14ac:dyDescent="0.25">
      <c r="A10929">
        <v>10928</v>
      </c>
      <c r="B10929" t="s">
        <v>0</v>
      </c>
      <c r="C10929">
        <v>64</v>
      </c>
      <c r="D10929">
        <v>3496</v>
      </c>
      <c r="E10929">
        <v>80393125</v>
      </c>
    </row>
    <row r="10930" spans="1:6" x14ac:dyDescent="0.25">
      <c r="A10930">
        <v>10929</v>
      </c>
      <c r="B10930">
        <v>41</v>
      </c>
      <c r="C10930">
        <v>0</v>
      </c>
      <c r="D10930">
        <v>0</v>
      </c>
      <c r="E10930">
        <v>0</v>
      </c>
      <c r="F10930">
        <v>1</v>
      </c>
    </row>
    <row r="10931" spans="1:6" x14ac:dyDescent="0.25">
      <c r="A10931">
        <v>10930</v>
      </c>
      <c r="B10931" t="s">
        <v>0</v>
      </c>
      <c r="C10931">
        <v>65</v>
      </c>
      <c r="D10931">
        <v>3496</v>
      </c>
      <c r="E10931">
        <v>80393261</v>
      </c>
    </row>
    <row r="10932" spans="1:6" x14ac:dyDescent="0.25">
      <c r="A10932">
        <v>10931</v>
      </c>
      <c r="B10932">
        <v>43</v>
      </c>
      <c r="C10932">
        <v>0</v>
      </c>
      <c r="D10932">
        <v>0</v>
      </c>
      <c r="E10932">
        <v>0</v>
      </c>
      <c r="F10932">
        <v>0</v>
      </c>
    </row>
    <row r="10933" spans="1:6" x14ac:dyDescent="0.25">
      <c r="A10933">
        <v>10932</v>
      </c>
      <c r="B10933" t="s">
        <v>0</v>
      </c>
      <c r="C10933">
        <v>66</v>
      </c>
      <c r="D10933">
        <v>3496</v>
      </c>
      <c r="E10933">
        <v>80393396</v>
      </c>
    </row>
    <row r="10934" spans="1:6" x14ac:dyDescent="0.25">
      <c r="A10934">
        <v>10933</v>
      </c>
      <c r="B10934">
        <v>45</v>
      </c>
      <c r="C10934">
        <v>0</v>
      </c>
      <c r="D10934">
        <v>0</v>
      </c>
      <c r="E10934">
        <v>0</v>
      </c>
      <c r="F10934">
        <v>517.37</v>
      </c>
    </row>
    <row r="10935" spans="1:6" x14ac:dyDescent="0.25">
      <c r="A10935">
        <v>10934</v>
      </c>
      <c r="B10935" t="s">
        <v>0</v>
      </c>
      <c r="C10935">
        <v>67</v>
      </c>
      <c r="D10935">
        <v>3496</v>
      </c>
      <c r="E10935">
        <v>80393532</v>
      </c>
    </row>
    <row r="10936" spans="1:6" x14ac:dyDescent="0.25">
      <c r="A10936">
        <v>10935</v>
      </c>
      <c r="B10936">
        <v>2</v>
      </c>
      <c r="C10936">
        <v>0</v>
      </c>
      <c r="D10936">
        <v>0</v>
      </c>
      <c r="E10936">
        <v>0</v>
      </c>
      <c r="F10936">
        <v>244.745</v>
      </c>
    </row>
    <row r="10937" spans="1:6" x14ac:dyDescent="0.25">
      <c r="A10937">
        <v>10936</v>
      </c>
      <c r="B10937" t="s">
        <v>0</v>
      </c>
      <c r="C10937">
        <v>68</v>
      </c>
      <c r="D10937">
        <v>3496</v>
      </c>
      <c r="E10937">
        <v>80393668</v>
      </c>
    </row>
    <row r="10938" spans="1:6" x14ac:dyDescent="0.25">
      <c r="A10938">
        <v>10937</v>
      </c>
      <c r="B10938">
        <v>13</v>
      </c>
      <c r="C10938">
        <v>0</v>
      </c>
      <c r="D10938">
        <v>0</v>
      </c>
      <c r="E10938">
        <v>0</v>
      </c>
      <c r="F10938">
        <v>1609</v>
      </c>
    </row>
    <row r="10939" spans="1:6" x14ac:dyDescent="0.25">
      <c r="A10939">
        <v>10938</v>
      </c>
      <c r="B10939" t="s">
        <v>0</v>
      </c>
      <c r="C10939">
        <v>69</v>
      </c>
      <c r="D10939">
        <v>3496</v>
      </c>
      <c r="E10939">
        <v>80393803</v>
      </c>
    </row>
    <row r="10940" spans="1:6" x14ac:dyDescent="0.25">
      <c r="A10940">
        <v>10939</v>
      </c>
      <c r="B10940">
        <v>42</v>
      </c>
      <c r="C10940">
        <v>0</v>
      </c>
      <c r="D10940">
        <v>0</v>
      </c>
      <c r="E10940">
        <v>0</v>
      </c>
      <c r="F10940">
        <v>0.2</v>
      </c>
    </row>
    <row r="10941" spans="1:6" x14ac:dyDescent="0.25">
      <c r="A10941">
        <v>10940</v>
      </c>
      <c r="B10941" t="s">
        <v>0</v>
      </c>
      <c r="C10941">
        <v>70</v>
      </c>
      <c r="D10941">
        <v>3496</v>
      </c>
      <c r="E10941">
        <v>80393939</v>
      </c>
    </row>
    <row r="10942" spans="1:6" x14ac:dyDescent="0.25">
      <c r="A10942">
        <v>10941</v>
      </c>
      <c r="B10942">
        <v>44</v>
      </c>
      <c r="C10942">
        <v>0</v>
      </c>
      <c r="D10942">
        <v>0</v>
      </c>
      <c r="E10942">
        <v>0</v>
      </c>
      <c r="F10942">
        <v>-30.5625</v>
      </c>
    </row>
    <row r="10943" spans="1:6" x14ac:dyDescent="0.25">
      <c r="A10943">
        <v>10942</v>
      </c>
      <c r="B10943" t="s">
        <v>0</v>
      </c>
      <c r="C10943">
        <v>71</v>
      </c>
      <c r="D10943">
        <v>3496</v>
      </c>
      <c r="E10943">
        <v>80394075</v>
      </c>
    </row>
    <row r="10944" spans="1:6" x14ac:dyDescent="0.25">
      <c r="A10944">
        <v>10943</v>
      </c>
      <c r="B10944">
        <v>46</v>
      </c>
      <c r="C10944">
        <v>0</v>
      </c>
      <c r="D10944">
        <v>0</v>
      </c>
      <c r="E10944">
        <v>0</v>
      </c>
      <c r="F10944">
        <v>0</v>
      </c>
    </row>
    <row r="10945" spans="1:6" x14ac:dyDescent="0.25">
      <c r="A10945">
        <v>10944</v>
      </c>
      <c r="B10945" t="s">
        <v>0</v>
      </c>
      <c r="C10945">
        <v>72</v>
      </c>
      <c r="D10945">
        <v>3496</v>
      </c>
      <c r="E10945">
        <v>80394211</v>
      </c>
    </row>
    <row r="10946" spans="1:6" x14ac:dyDescent="0.25">
      <c r="A10946">
        <v>10945</v>
      </c>
      <c r="B10946">
        <v>10</v>
      </c>
      <c r="C10946">
        <v>1</v>
      </c>
      <c r="D10946">
        <v>0</v>
      </c>
      <c r="E10946">
        <v>0</v>
      </c>
      <c r="F10946">
        <v>4806</v>
      </c>
    </row>
    <row r="10947" spans="1:6" x14ac:dyDescent="0.25">
      <c r="A10947">
        <v>10946</v>
      </c>
      <c r="B10947">
        <v>13</v>
      </c>
      <c r="C10947">
        <v>0</v>
      </c>
      <c r="D10947">
        <v>0</v>
      </c>
      <c r="E10947">
        <v>0</v>
      </c>
      <c r="F10947">
        <v>1609</v>
      </c>
    </row>
    <row r="10948" spans="1:6" x14ac:dyDescent="0.25">
      <c r="A10948">
        <v>10947</v>
      </c>
      <c r="B10948">
        <v>41</v>
      </c>
      <c r="C10948">
        <v>0</v>
      </c>
      <c r="D10948">
        <v>0</v>
      </c>
      <c r="E10948">
        <v>0</v>
      </c>
      <c r="F10948">
        <v>1</v>
      </c>
    </row>
    <row r="10949" spans="1:6" x14ac:dyDescent="0.25">
      <c r="A10949">
        <v>10948</v>
      </c>
      <c r="B10949">
        <v>42</v>
      </c>
      <c r="C10949">
        <v>0</v>
      </c>
      <c r="D10949">
        <v>0</v>
      </c>
      <c r="E10949">
        <v>0</v>
      </c>
      <c r="F10949">
        <v>0.2</v>
      </c>
    </row>
    <row r="10950" spans="1:6" x14ac:dyDescent="0.25">
      <c r="A10950">
        <v>10949</v>
      </c>
      <c r="B10950">
        <v>43</v>
      </c>
      <c r="C10950">
        <v>0</v>
      </c>
      <c r="D10950">
        <v>0</v>
      </c>
      <c r="E10950">
        <v>0</v>
      </c>
      <c r="F10950">
        <v>0</v>
      </c>
    </row>
    <row r="10951" spans="1:6" x14ac:dyDescent="0.25">
      <c r="A10951">
        <v>10950</v>
      </c>
      <c r="B10951">
        <v>44</v>
      </c>
      <c r="C10951">
        <v>0</v>
      </c>
      <c r="D10951">
        <v>0</v>
      </c>
      <c r="E10951">
        <v>0</v>
      </c>
      <c r="F10951">
        <v>-30.415700000000001</v>
      </c>
    </row>
    <row r="10952" spans="1:6" x14ac:dyDescent="0.25">
      <c r="A10952">
        <v>10951</v>
      </c>
      <c r="B10952">
        <v>45</v>
      </c>
      <c r="C10952">
        <v>0</v>
      </c>
      <c r="D10952">
        <v>0</v>
      </c>
      <c r="E10952">
        <v>0</v>
      </c>
      <c r="F10952">
        <v>517.32500000000005</v>
      </c>
    </row>
    <row r="10953" spans="1:6" x14ac:dyDescent="0.25">
      <c r="A10953">
        <v>10952</v>
      </c>
      <c r="B10953">
        <v>46</v>
      </c>
      <c r="C10953">
        <v>0</v>
      </c>
      <c r="D10953">
        <v>0</v>
      </c>
      <c r="E10953">
        <v>0</v>
      </c>
      <c r="F10953">
        <v>0</v>
      </c>
    </row>
    <row r="10954" spans="1:6" x14ac:dyDescent="0.25">
      <c r="A10954">
        <v>10953</v>
      </c>
      <c r="B10954">
        <v>2</v>
      </c>
      <c r="C10954">
        <v>0</v>
      </c>
      <c r="D10954">
        <v>0</v>
      </c>
      <c r="E10954">
        <v>0</v>
      </c>
      <c r="F10954">
        <v>244.69200000000001</v>
      </c>
    </row>
    <row r="10955" spans="1:6" x14ac:dyDescent="0.25">
      <c r="A10955">
        <v>10954</v>
      </c>
      <c r="B10955">
        <v>10</v>
      </c>
      <c r="C10955">
        <v>1</v>
      </c>
      <c r="D10955">
        <v>0</v>
      </c>
      <c r="E10955">
        <v>0</v>
      </c>
      <c r="F10955">
        <v>4807</v>
      </c>
    </row>
    <row r="10956" spans="1:6" x14ac:dyDescent="0.25">
      <c r="A10956">
        <v>10955</v>
      </c>
      <c r="B10956">
        <v>13</v>
      </c>
      <c r="C10956">
        <v>0</v>
      </c>
      <c r="D10956">
        <v>0</v>
      </c>
      <c r="E10956">
        <v>0</v>
      </c>
      <c r="F10956">
        <v>1609</v>
      </c>
    </row>
    <row r="10957" spans="1:6" x14ac:dyDescent="0.25">
      <c r="A10957">
        <v>10956</v>
      </c>
      <c r="B10957">
        <v>41</v>
      </c>
      <c r="C10957">
        <v>0</v>
      </c>
      <c r="D10957">
        <v>0</v>
      </c>
      <c r="E10957">
        <v>0</v>
      </c>
      <c r="F10957">
        <v>1</v>
      </c>
    </row>
    <row r="10958" spans="1:6" x14ac:dyDescent="0.25">
      <c r="A10958">
        <v>10957</v>
      </c>
      <c r="B10958">
        <v>42</v>
      </c>
      <c r="C10958">
        <v>0</v>
      </c>
      <c r="D10958">
        <v>0</v>
      </c>
      <c r="E10958">
        <v>0</v>
      </c>
      <c r="F10958">
        <v>0.2</v>
      </c>
    </row>
    <row r="10959" spans="1:6" x14ac:dyDescent="0.25">
      <c r="A10959">
        <v>10958</v>
      </c>
      <c r="B10959">
        <v>43</v>
      </c>
      <c r="C10959">
        <v>0</v>
      </c>
      <c r="D10959">
        <v>0</v>
      </c>
      <c r="E10959">
        <v>0</v>
      </c>
      <c r="F10959">
        <v>0</v>
      </c>
    </row>
    <row r="10960" spans="1:6" x14ac:dyDescent="0.25">
      <c r="A10960">
        <v>10959</v>
      </c>
      <c r="B10960">
        <v>44</v>
      </c>
      <c r="C10960">
        <v>0</v>
      </c>
      <c r="D10960">
        <v>0</v>
      </c>
      <c r="E10960">
        <v>0</v>
      </c>
      <c r="F10960">
        <v>-30.2165</v>
      </c>
    </row>
    <row r="10961" spans="1:6" x14ac:dyDescent="0.25">
      <c r="A10961">
        <v>10960</v>
      </c>
      <c r="B10961">
        <v>45</v>
      </c>
      <c r="C10961">
        <v>0</v>
      </c>
      <c r="D10961">
        <v>0</v>
      </c>
      <c r="E10961">
        <v>0</v>
      </c>
      <c r="F10961">
        <v>517.30499999999995</v>
      </c>
    </row>
    <row r="10962" spans="1:6" x14ac:dyDescent="0.25">
      <c r="A10962">
        <v>10961</v>
      </c>
      <c r="B10962">
        <v>46</v>
      </c>
      <c r="C10962">
        <v>0</v>
      </c>
      <c r="D10962">
        <v>0</v>
      </c>
      <c r="E10962">
        <v>0</v>
      </c>
      <c r="F10962">
        <v>0</v>
      </c>
    </row>
    <row r="10963" spans="1:6" x14ac:dyDescent="0.25">
      <c r="A10963">
        <v>10962</v>
      </c>
      <c r="B10963">
        <v>2</v>
      </c>
      <c r="C10963">
        <v>0</v>
      </c>
      <c r="D10963">
        <v>0</v>
      </c>
      <c r="E10963">
        <v>0</v>
      </c>
      <c r="F10963">
        <v>244.67699999999999</v>
      </c>
    </row>
    <row r="10964" spans="1:6" x14ac:dyDescent="0.25">
      <c r="A10964">
        <v>10963</v>
      </c>
      <c r="B10964">
        <v>10</v>
      </c>
      <c r="C10964">
        <v>1</v>
      </c>
      <c r="D10964">
        <v>0</v>
      </c>
      <c r="E10964">
        <v>0</v>
      </c>
      <c r="F10964">
        <v>4808</v>
      </c>
    </row>
    <row r="10965" spans="1:6" x14ac:dyDescent="0.25">
      <c r="A10965">
        <v>10964</v>
      </c>
      <c r="B10965">
        <v>13</v>
      </c>
      <c r="C10965">
        <v>0</v>
      </c>
      <c r="D10965">
        <v>0</v>
      </c>
      <c r="E10965">
        <v>0</v>
      </c>
      <c r="F10965">
        <v>1609</v>
      </c>
    </row>
    <row r="10966" spans="1:6" x14ac:dyDescent="0.25">
      <c r="A10966">
        <v>10965</v>
      </c>
      <c r="B10966" t="s">
        <v>0</v>
      </c>
      <c r="C10966">
        <v>82</v>
      </c>
      <c r="D10966">
        <v>3496</v>
      </c>
      <c r="E10966">
        <v>80395571</v>
      </c>
    </row>
    <row r="10967" spans="1:6" x14ac:dyDescent="0.25">
      <c r="A10967">
        <v>10966</v>
      </c>
      <c r="B10967">
        <v>41</v>
      </c>
      <c r="C10967">
        <v>0</v>
      </c>
      <c r="D10967">
        <v>0</v>
      </c>
      <c r="E10967">
        <v>0</v>
      </c>
      <c r="F10967">
        <v>1</v>
      </c>
    </row>
    <row r="10968" spans="1:6" x14ac:dyDescent="0.25">
      <c r="A10968">
        <v>10967</v>
      </c>
      <c r="B10968">
        <v>42</v>
      </c>
      <c r="C10968">
        <v>0</v>
      </c>
      <c r="D10968">
        <v>0</v>
      </c>
      <c r="E10968">
        <v>0</v>
      </c>
      <c r="F10968">
        <v>0.2</v>
      </c>
    </row>
    <row r="10969" spans="1:6" x14ac:dyDescent="0.25">
      <c r="A10969">
        <v>10968</v>
      </c>
      <c r="B10969" t="s">
        <v>0</v>
      </c>
      <c r="C10969">
        <v>83</v>
      </c>
      <c r="D10969">
        <v>3496</v>
      </c>
      <c r="E10969">
        <v>80395707</v>
      </c>
    </row>
    <row r="10970" spans="1:6" x14ac:dyDescent="0.25">
      <c r="A10970">
        <v>10969</v>
      </c>
      <c r="B10970">
        <v>43</v>
      </c>
      <c r="C10970">
        <v>0</v>
      </c>
      <c r="D10970">
        <v>0</v>
      </c>
      <c r="E10970">
        <v>0</v>
      </c>
      <c r="F10970">
        <v>0</v>
      </c>
    </row>
    <row r="10971" spans="1:6" x14ac:dyDescent="0.25">
      <c r="A10971">
        <v>10970</v>
      </c>
      <c r="B10971">
        <v>44</v>
      </c>
      <c r="C10971">
        <v>0</v>
      </c>
      <c r="D10971">
        <v>0</v>
      </c>
      <c r="E10971">
        <v>0</v>
      </c>
      <c r="F10971">
        <v>-30.055</v>
      </c>
    </row>
    <row r="10972" spans="1:6" x14ac:dyDescent="0.25">
      <c r="A10972">
        <v>10971</v>
      </c>
      <c r="B10972" t="s">
        <v>0</v>
      </c>
      <c r="C10972">
        <v>84</v>
      </c>
      <c r="D10972">
        <v>3496</v>
      </c>
      <c r="E10972">
        <v>80395843</v>
      </c>
    </row>
    <row r="10973" spans="1:6" x14ac:dyDescent="0.25">
      <c r="A10973">
        <v>10972</v>
      </c>
      <c r="B10973">
        <v>45</v>
      </c>
      <c r="C10973">
        <v>0</v>
      </c>
      <c r="D10973">
        <v>0</v>
      </c>
      <c r="E10973">
        <v>0</v>
      </c>
      <c r="F10973">
        <v>517.28099999999995</v>
      </c>
    </row>
    <row r="10974" spans="1:6" x14ac:dyDescent="0.25">
      <c r="A10974">
        <v>10973</v>
      </c>
      <c r="B10974">
        <v>46</v>
      </c>
      <c r="C10974">
        <v>0</v>
      </c>
      <c r="D10974">
        <v>0</v>
      </c>
      <c r="E10974">
        <v>0</v>
      </c>
      <c r="F10974">
        <v>0</v>
      </c>
    </row>
    <row r="10975" spans="1:6" x14ac:dyDescent="0.25">
      <c r="A10975">
        <v>10974</v>
      </c>
      <c r="B10975" t="s">
        <v>0</v>
      </c>
      <c r="C10975">
        <v>85</v>
      </c>
      <c r="D10975">
        <v>3496</v>
      </c>
      <c r="E10975">
        <v>80395979</v>
      </c>
    </row>
    <row r="10976" spans="1:6" x14ac:dyDescent="0.25">
      <c r="A10976">
        <v>10975</v>
      </c>
      <c r="B10976">
        <v>2</v>
      </c>
      <c r="C10976">
        <v>0</v>
      </c>
      <c r="D10976">
        <v>0</v>
      </c>
      <c r="E10976">
        <v>0</v>
      </c>
      <c r="F10976">
        <v>244.643</v>
      </c>
    </row>
    <row r="10977" spans="1:6" x14ac:dyDescent="0.25">
      <c r="A10977">
        <v>10976</v>
      </c>
      <c r="B10977">
        <v>10</v>
      </c>
      <c r="C10977">
        <v>1</v>
      </c>
      <c r="D10977">
        <v>0</v>
      </c>
      <c r="E10977">
        <v>0</v>
      </c>
      <c r="F10977">
        <v>4810</v>
      </c>
    </row>
    <row r="10978" spans="1:6" x14ac:dyDescent="0.25">
      <c r="A10978">
        <v>10977</v>
      </c>
      <c r="B10978" t="s">
        <v>0</v>
      </c>
      <c r="C10978">
        <v>86</v>
      </c>
      <c r="D10978">
        <v>3496</v>
      </c>
      <c r="E10978">
        <v>80396115</v>
      </c>
    </row>
    <row r="10979" spans="1:6" x14ac:dyDescent="0.25">
      <c r="A10979">
        <v>10978</v>
      </c>
      <c r="B10979">
        <v>13</v>
      </c>
      <c r="C10979">
        <v>0</v>
      </c>
      <c r="D10979">
        <v>0</v>
      </c>
      <c r="E10979">
        <v>0</v>
      </c>
      <c r="F10979">
        <v>1609</v>
      </c>
    </row>
    <row r="10980" spans="1:6" x14ac:dyDescent="0.25">
      <c r="A10980">
        <v>10979</v>
      </c>
      <c r="B10980">
        <v>41</v>
      </c>
      <c r="C10980">
        <v>0</v>
      </c>
      <c r="D10980">
        <v>0</v>
      </c>
      <c r="E10980">
        <v>0</v>
      </c>
      <c r="F10980">
        <v>1</v>
      </c>
    </row>
    <row r="10981" spans="1:6" x14ac:dyDescent="0.25">
      <c r="A10981">
        <v>10980</v>
      </c>
      <c r="B10981" t="s">
        <v>0</v>
      </c>
      <c r="C10981">
        <v>87</v>
      </c>
      <c r="D10981">
        <v>3496</v>
      </c>
      <c r="E10981">
        <v>80396251</v>
      </c>
    </row>
    <row r="10982" spans="1:6" x14ac:dyDescent="0.25">
      <c r="A10982">
        <v>10981</v>
      </c>
      <c r="B10982">
        <v>42</v>
      </c>
      <c r="C10982">
        <v>0</v>
      </c>
      <c r="D10982">
        <v>0</v>
      </c>
      <c r="E10982">
        <v>0</v>
      </c>
      <c r="F10982">
        <v>0.2</v>
      </c>
    </row>
    <row r="10983" spans="1:6" x14ac:dyDescent="0.25">
      <c r="A10983">
        <v>10982</v>
      </c>
      <c r="B10983">
        <v>43</v>
      </c>
      <c r="C10983">
        <v>0</v>
      </c>
      <c r="D10983">
        <v>0</v>
      </c>
      <c r="E10983">
        <v>0</v>
      </c>
      <c r="F10983">
        <v>0</v>
      </c>
    </row>
    <row r="10984" spans="1:6" x14ac:dyDescent="0.25">
      <c r="A10984">
        <v>10983</v>
      </c>
      <c r="B10984" t="s">
        <v>0</v>
      </c>
      <c r="C10984">
        <v>88</v>
      </c>
      <c r="D10984">
        <v>3496</v>
      </c>
      <c r="E10984">
        <v>80396387</v>
      </c>
    </row>
    <row r="10985" spans="1:6" x14ac:dyDescent="0.25">
      <c r="A10985">
        <v>10984</v>
      </c>
      <c r="B10985">
        <v>44</v>
      </c>
      <c r="C10985">
        <v>0</v>
      </c>
      <c r="D10985">
        <v>0</v>
      </c>
      <c r="E10985">
        <v>0</v>
      </c>
      <c r="F10985">
        <v>-29.8245</v>
      </c>
    </row>
    <row r="10986" spans="1:6" x14ac:dyDescent="0.25">
      <c r="A10986">
        <v>10985</v>
      </c>
      <c r="B10986">
        <v>45</v>
      </c>
      <c r="C10986">
        <v>0</v>
      </c>
      <c r="D10986">
        <v>0</v>
      </c>
      <c r="E10986">
        <v>0</v>
      </c>
      <c r="F10986">
        <v>517.26099999999997</v>
      </c>
    </row>
    <row r="10987" spans="1:6" x14ac:dyDescent="0.25">
      <c r="A10987">
        <v>10986</v>
      </c>
      <c r="B10987" t="s">
        <v>0</v>
      </c>
      <c r="C10987">
        <v>89</v>
      </c>
      <c r="D10987">
        <v>3496</v>
      </c>
      <c r="E10987">
        <v>80396523</v>
      </c>
    </row>
    <row r="10988" spans="1:6" x14ac:dyDescent="0.25">
      <c r="A10988">
        <v>10987</v>
      </c>
      <c r="B10988">
        <v>46</v>
      </c>
      <c r="C10988">
        <v>0</v>
      </c>
      <c r="D10988">
        <v>0</v>
      </c>
      <c r="E10988">
        <v>0</v>
      </c>
      <c r="F10988">
        <v>0</v>
      </c>
    </row>
    <row r="10989" spans="1:6" x14ac:dyDescent="0.25">
      <c r="A10989">
        <v>10988</v>
      </c>
      <c r="B10989">
        <v>2</v>
      </c>
      <c r="C10989">
        <v>0</v>
      </c>
      <c r="D10989">
        <v>0</v>
      </c>
      <c r="E10989">
        <v>0</v>
      </c>
      <c r="F10989">
        <v>244.57</v>
      </c>
    </row>
    <row r="10990" spans="1:6" x14ac:dyDescent="0.25">
      <c r="A10990">
        <v>10989</v>
      </c>
      <c r="B10990" t="s">
        <v>0</v>
      </c>
      <c r="C10990">
        <v>90</v>
      </c>
      <c r="D10990">
        <v>3496</v>
      </c>
      <c r="E10990">
        <v>80396659</v>
      </c>
    </row>
    <row r="10991" spans="1:6" x14ac:dyDescent="0.25">
      <c r="A10991">
        <v>10990</v>
      </c>
      <c r="B10991">
        <v>13</v>
      </c>
      <c r="C10991">
        <v>0</v>
      </c>
      <c r="D10991">
        <v>0</v>
      </c>
      <c r="E10991">
        <v>0</v>
      </c>
      <c r="F10991">
        <v>1609</v>
      </c>
    </row>
    <row r="10992" spans="1:6" x14ac:dyDescent="0.25">
      <c r="A10992">
        <v>10991</v>
      </c>
      <c r="B10992" t="s">
        <v>0</v>
      </c>
      <c r="C10992">
        <v>91</v>
      </c>
      <c r="D10992">
        <v>3496</v>
      </c>
      <c r="E10992">
        <v>80396795</v>
      </c>
    </row>
    <row r="10993" spans="1:6" x14ac:dyDescent="0.25">
      <c r="A10993">
        <v>10992</v>
      </c>
      <c r="B10993">
        <v>42</v>
      </c>
      <c r="C10993">
        <v>0</v>
      </c>
      <c r="D10993">
        <v>0</v>
      </c>
      <c r="E10993">
        <v>0</v>
      </c>
      <c r="F10993">
        <v>0.2</v>
      </c>
    </row>
    <row r="10994" spans="1:6" x14ac:dyDescent="0.25">
      <c r="A10994">
        <v>10993</v>
      </c>
      <c r="B10994" t="s">
        <v>0</v>
      </c>
      <c r="C10994">
        <v>92</v>
      </c>
      <c r="D10994">
        <v>3496</v>
      </c>
      <c r="E10994">
        <v>80396931</v>
      </c>
    </row>
    <row r="10995" spans="1:6" x14ac:dyDescent="0.25">
      <c r="A10995">
        <v>10994</v>
      </c>
      <c r="B10995">
        <v>44</v>
      </c>
      <c r="C10995">
        <v>0</v>
      </c>
      <c r="D10995">
        <v>0</v>
      </c>
      <c r="E10995">
        <v>0</v>
      </c>
      <c r="F10995">
        <v>-29.611499999999999</v>
      </c>
    </row>
    <row r="10996" spans="1:6" x14ac:dyDescent="0.25">
      <c r="A10996">
        <v>10995</v>
      </c>
      <c r="B10996" t="s">
        <v>0</v>
      </c>
      <c r="C10996">
        <v>93</v>
      </c>
      <c r="D10996">
        <v>3496</v>
      </c>
      <c r="E10996">
        <v>80397067</v>
      </c>
    </row>
    <row r="10997" spans="1:6" x14ac:dyDescent="0.25">
      <c r="A10997">
        <v>10996</v>
      </c>
      <c r="B10997">
        <v>46</v>
      </c>
      <c r="C10997">
        <v>0</v>
      </c>
      <c r="D10997">
        <v>0</v>
      </c>
      <c r="E10997">
        <v>0</v>
      </c>
      <c r="F10997">
        <v>0</v>
      </c>
    </row>
    <row r="10998" spans="1:6" x14ac:dyDescent="0.25">
      <c r="A10998">
        <v>10997</v>
      </c>
      <c r="B10998" t="s">
        <v>0</v>
      </c>
      <c r="C10998">
        <v>94</v>
      </c>
      <c r="D10998">
        <v>3496</v>
      </c>
      <c r="E10998">
        <v>80397203</v>
      </c>
    </row>
    <row r="10999" spans="1:6" x14ac:dyDescent="0.25">
      <c r="A10999">
        <v>10998</v>
      </c>
      <c r="B10999">
        <v>10</v>
      </c>
      <c r="C10999">
        <v>1</v>
      </c>
      <c r="D10999">
        <v>0</v>
      </c>
      <c r="E10999">
        <v>0</v>
      </c>
      <c r="F10999">
        <v>4815</v>
      </c>
    </row>
    <row r="11000" spans="1:6" x14ac:dyDescent="0.25">
      <c r="A11000">
        <v>10999</v>
      </c>
      <c r="B11000" t="s">
        <v>0</v>
      </c>
      <c r="C11000">
        <v>95</v>
      </c>
      <c r="D11000">
        <v>3496</v>
      </c>
      <c r="E11000">
        <v>80397339</v>
      </c>
    </row>
    <row r="11001" spans="1:6" x14ac:dyDescent="0.25">
      <c r="A11001">
        <v>11000</v>
      </c>
      <c r="B11001">
        <v>41</v>
      </c>
      <c r="C11001">
        <v>0</v>
      </c>
      <c r="D11001">
        <v>0</v>
      </c>
      <c r="E11001">
        <v>0</v>
      </c>
      <c r="F11001">
        <v>1</v>
      </c>
    </row>
    <row r="11002" spans="1:6" x14ac:dyDescent="0.25">
      <c r="A11002">
        <v>11001</v>
      </c>
      <c r="B11002" t="s">
        <v>0</v>
      </c>
      <c r="C11002">
        <v>96</v>
      </c>
      <c r="D11002">
        <v>3496</v>
      </c>
      <c r="E11002">
        <v>80397475</v>
      </c>
    </row>
    <row r="11003" spans="1:6" x14ac:dyDescent="0.25">
      <c r="A11003">
        <v>11002</v>
      </c>
      <c r="B11003">
        <v>43</v>
      </c>
      <c r="C11003">
        <v>0</v>
      </c>
      <c r="D11003">
        <v>0</v>
      </c>
      <c r="E11003">
        <v>0</v>
      </c>
      <c r="F11003">
        <v>0</v>
      </c>
    </row>
    <row r="11004" spans="1:6" x14ac:dyDescent="0.25">
      <c r="A11004">
        <v>11003</v>
      </c>
      <c r="B11004" t="s">
        <v>0</v>
      </c>
      <c r="C11004">
        <v>97</v>
      </c>
      <c r="D11004">
        <v>3496</v>
      </c>
      <c r="E11004">
        <v>80397611</v>
      </c>
    </row>
    <row r="11005" spans="1:6" x14ac:dyDescent="0.25">
      <c r="A11005">
        <v>11004</v>
      </c>
      <c r="B11005">
        <v>44</v>
      </c>
      <c r="C11005">
        <v>0</v>
      </c>
      <c r="D11005">
        <v>0</v>
      </c>
      <c r="E11005">
        <v>0</v>
      </c>
      <c r="F11005">
        <v>-29.373799999999999</v>
      </c>
    </row>
    <row r="11006" spans="1:6" x14ac:dyDescent="0.25">
      <c r="A11006">
        <v>11005</v>
      </c>
      <c r="B11006">
        <v>45</v>
      </c>
      <c r="C11006">
        <v>0</v>
      </c>
      <c r="D11006">
        <v>0</v>
      </c>
      <c r="E11006">
        <v>0</v>
      </c>
      <c r="F11006">
        <v>517.21699999999998</v>
      </c>
    </row>
    <row r="11007" spans="1:6" x14ac:dyDescent="0.25">
      <c r="A11007">
        <v>11006</v>
      </c>
      <c r="B11007">
        <v>46</v>
      </c>
      <c r="C11007">
        <v>0</v>
      </c>
      <c r="D11007">
        <v>0</v>
      </c>
      <c r="E11007">
        <v>0</v>
      </c>
      <c r="F11007">
        <v>0</v>
      </c>
    </row>
    <row r="11008" spans="1:6" x14ac:dyDescent="0.25">
      <c r="A11008">
        <v>11007</v>
      </c>
      <c r="B11008">
        <v>2</v>
      </c>
      <c r="C11008">
        <v>0</v>
      </c>
      <c r="D11008">
        <v>0</v>
      </c>
      <c r="E11008">
        <v>0</v>
      </c>
      <c r="F11008">
        <v>244.45</v>
      </c>
    </row>
    <row r="11009" spans="1:6" x14ac:dyDescent="0.25">
      <c r="A11009">
        <v>11008</v>
      </c>
      <c r="B11009">
        <v>10</v>
      </c>
      <c r="C11009">
        <v>1</v>
      </c>
      <c r="D11009">
        <v>0</v>
      </c>
      <c r="E11009">
        <v>0</v>
      </c>
      <c r="F11009">
        <v>4817</v>
      </c>
    </row>
    <row r="11010" spans="1:6" x14ac:dyDescent="0.25">
      <c r="A11010">
        <v>11009</v>
      </c>
      <c r="B11010">
        <v>13</v>
      </c>
      <c r="C11010">
        <v>0</v>
      </c>
      <c r="D11010">
        <v>0</v>
      </c>
      <c r="E11010">
        <v>0</v>
      </c>
      <c r="F11010">
        <v>1609</v>
      </c>
    </row>
    <row r="11011" spans="1:6" x14ac:dyDescent="0.25">
      <c r="A11011">
        <v>11010</v>
      </c>
      <c r="B11011">
        <v>41</v>
      </c>
      <c r="C11011">
        <v>0</v>
      </c>
      <c r="D11011">
        <v>0</v>
      </c>
      <c r="E11011">
        <v>0</v>
      </c>
      <c r="F11011">
        <v>1</v>
      </c>
    </row>
    <row r="11012" spans="1:6" x14ac:dyDescent="0.25">
      <c r="A11012">
        <v>11011</v>
      </c>
      <c r="B11012">
        <v>42</v>
      </c>
      <c r="C11012">
        <v>0</v>
      </c>
      <c r="D11012">
        <v>0</v>
      </c>
      <c r="E11012">
        <v>0</v>
      </c>
      <c r="F11012">
        <v>0.2</v>
      </c>
    </row>
    <row r="11013" spans="1:6" x14ac:dyDescent="0.25">
      <c r="A11013">
        <v>11012</v>
      </c>
      <c r="B11013">
        <v>43</v>
      </c>
      <c r="C11013">
        <v>0</v>
      </c>
      <c r="D11013">
        <v>0</v>
      </c>
      <c r="E11013">
        <v>0</v>
      </c>
      <c r="F11013">
        <v>0</v>
      </c>
    </row>
    <row r="11014" spans="1:6" x14ac:dyDescent="0.25">
      <c r="A11014">
        <v>11013</v>
      </c>
      <c r="B11014">
        <v>44</v>
      </c>
      <c r="C11014">
        <v>0</v>
      </c>
      <c r="D11014">
        <v>0</v>
      </c>
      <c r="E11014">
        <v>0</v>
      </c>
      <c r="F11014">
        <v>-29.2088</v>
      </c>
    </row>
    <row r="11015" spans="1:6" x14ac:dyDescent="0.25">
      <c r="A11015">
        <v>11014</v>
      </c>
      <c r="B11015">
        <v>45</v>
      </c>
      <c r="C11015">
        <v>0</v>
      </c>
      <c r="D11015">
        <v>0</v>
      </c>
      <c r="E11015">
        <v>0</v>
      </c>
      <c r="F11015">
        <v>517.19299999999998</v>
      </c>
    </row>
    <row r="11016" spans="1:6" x14ac:dyDescent="0.25">
      <c r="A11016">
        <v>11015</v>
      </c>
      <c r="B11016">
        <v>46</v>
      </c>
      <c r="C11016">
        <v>0</v>
      </c>
      <c r="D11016">
        <v>0</v>
      </c>
      <c r="E11016">
        <v>0</v>
      </c>
      <c r="F11016">
        <v>0</v>
      </c>
    </row>
    <row r="11017" spans="1:6" x14ac:dyDescent="0.25">
      <c r="A11017">
        <v>11016</v>
      </c>
      <c r="B11017">
        <v>2</v>
      </c>
      <c r="C11017">
        <v>0</v>
      </c>
      <c r="D11017">
        <v>0</v>
      </c>
      <c r="E11017">
        <v>0</v>
      </c>
      <c r="F11017">
        <v>244.404</v>
      </c>
    </row>
    <row r="11018" spans="1:6" x14ac:dyDescent="0.25">
      <c r="A11018">
        <v>11017</v>
      </c>
      <c r="B11018">
        <v>10</v>
      </c>
      <c r="C11018">
        <v>1</v>
      </c>
      <c r="D11018">
        <v>0</v>
      </c>
      <c r="E11018">
        <v>0</v>
      </c>
      <c r="F11018">
        <v>4819</v>
      </c>
    </row>
    <row r="11019" spans="1:6" x14ac:dyDescent="0.25">
      <c r="A11019">
        <v>11018</v>
      </c>
      <c r="B11019">
        <v>13</v>
      </c>
      <c r="C11019">
        <v>0</v>
      </c>
      <c r="D11019">
        <v>0</v>
      </c>
      <c r="E11019">
        <v>0</v>
      </c>
      <c r="F11019">
        <v>1609</v>
      </c>
    </row>
    <row r="11020" spans="1:6" x14ac:dyDescent="0.25">
      <c r="A11020">
        <v>11019</v>
      </c>
      <c r="B11020">
        <v>41</v>
      </c>
      <c r="C11020">
        <v>0</v>
      </c>
      <c r="D11020">
        <v>0</v>
      </c>
      <c r="E11020">
        <v>0</v>
      </c>
      <c r="F11020">
        <v>1</v>
      </c>
    </row>
    <row r="11021" spans="1:6" x14ac:dyDescent="0.25">
      <c r="A11021">
        <v>11020</v>
      </c>
      <c r="B11021">
        <v>42</v>
      </c>
      <c r="C11021">
        <v>0</v>
      </c>
      <c r="D11021">
        <v>0</v>
      </c>
      <c r="E11021">
        <v>0</v>
      </c>
      <c r="F11021">
        <v>0.2</v>
      </c>
    </row>
    <row r="11022" spans="1:6" x14ac:dyDescent="0.25">
      <c r="A11022">
        <v>11021</v>
      </c>
      <c r="B11022">
        <v>43</v>
      </c>
      <c r="C11022">
        <v>0</v>
      </c>
      <c r="D11022">
        <v>0</v>
      </c>
      <c r="E11022">
        <v>0</v>
      </c>
      <c r="F11022">
        <v>0</v>
      </c>
    </row>
    <row r="11023" spans="1:6" x14ac:dyDescent="0.25">
      <c r="A11023">
        <v>11022</v>
      </c>
      <c r="B11023">
        <v>44</v>
      </c>
      <c r="C11023">
        <v>0</v>
      </c>
      <c r="D11023">
        <v>0</v>
      </c>
      <c r="E11023">
        <v>0</v>
      </c>
      <c r="F11023">
        <v>-28.995000000000001</v>
      </c>
    </row>
    <row r="11024" spans="1:6" x14ac:dyDescent="0.25">
      <c r="A11024">
        <v>11023</v>
      </c>
      <c r="B11024">
        <v>45</v>
      </c>
      <c r="C11024">
        <v>0</v>
      </c>
      <c r="D11024">
        <v>0</v>
      </c>
      <c r="E11024">
        <v>0</v>
      </c>
      <c r="F11024">
        <v>517.17399999999998</v>
      </c>
    </row>
    <row r="11025" spans="1:6" x14ac:dyDescent="0.25">
      <c r="A11025">
        <v>11024</v>
      </c>
      <c r="B11025" t="s">
        <v>0</v>
      </c>
      <c r="C11025">
        <v>107</v>
      </c>
      <c r="D11025">
        <v>3496</v>
      </c>
      <c r="E11025">
        <v>80398971</v>
      </c>
    </row>
    <row r="11026" spans="1:6" x14ac:dyDescent="0.25">
      <c r="A11026">
        <v>11025</v>
      </c>
      <c r="B11026">
        <v>46</v>
      </c>
      <c r="C11026">
        <v>0</v>
      </c>
      <c r="D11026">
        <v>0</v>
      </c>
      <c r="E11026">
        <v>0</v>
      </c>
      <c r="F11026">
        <v>0</v>
      </c>
    </row>
    <row r="11027" spans="1:6" x14ac:dyDescent="0.25">
      <c r="A11027">
        <v>11026</v>
      </c>
      <c r="B11027">
        <v>2</v>
      </c>
      <c r="C11027">
        <v>0</v>
      </c>
      <c r="D11027">
        <v>0</v>
      </c>
      <c r="E11027">
        <v>0</v>
      </c>
      <c r="F11027">
        <v>244.375</v>
      </c>
    </row>
    <row r="11028" spans="1:6" x14ac:dyDescent="0.25">
      <c r="A11028">
        <v>11027</v>
      </c>
      <c r="B11028" t="s">
        <v>0</v>
      </c>
      <c r="C11028">
        <v>108</v>
      </c>
      <c r="D11028">
        <v>3496</v>
      </c>
      <c r="E11028">
        <v>80399107</v>
      </c>
    </row>
    <row r="11029" spans="1:6" x14ac:dyDescent="0.25">
      <c r="A11029">
        <v>11028</v>
      </c>
      <c r="B11029">
        <v>10</v>
      </c>
      <c r="C11029">
        <v>1</v>
      </c>
      <c r="D11029">
        <v>0</v>
      </c>
      <c r="E11029">
        <v>0</v>
      </c>
      <c r="F11029">
        <v>4820</v>
      </c>
    </row>
    <row r="11030" spans="1:6" x14ac:dyDescent="0.25">
      <c r="A11030">
        <v>11029</v>
      </c>
      <c r="B11030">
        <v>13</v>
      </c>
      <c r="C11030">
        <v>0</v>
      </c>
      <c r="D11030">
        <v>0</v>
      </c>
      <c r="E11030">
        <v>0</v>
      </c>
      <c r="F11030">
        <v>1609</v>
      </c>
    </row>
    <row r="11031" spans="1:6" x14ac:dyDescent="0.25">
      <c r="A11031">
        <v>11030</v>
      </c>
      <c r="B11031" t="s">
        <v>0</v>
      </c>
      <c r="C11031">
        <v>109</v>
      </c>
      <c r="D11031">
        <v>3496</v>
      </c>
      <c r="E11031">
        <v>80399242</v>
      </c>
    </row>
    <row r="11032" spans="1:6" x14ac:dyDescent="0.25">
      <c r="A11032">
        <v>11031</v>
      </c>
      <c r="B11032">
        <v>41</v>
      </c>
      <c r="C11032">
        <v>0</v>
      </c>
      <c r="D11032">
        <v>0</v>
      </c>
      <c r="E11032">
        <v>0</v>
      </c>
      <c r="F11032">
        <v>1</v>
      </c>
    </row>
    <row r="11033" spans="1:6" x14ac:dyDescent="0.25">
      <c r="A11033">
        <v>11032</v>
      </c>
      <c r="B11033">
        <v>42</v>
      </c>
      <c r="C11033">
        <v>0</v>
      </c>
      <c r="D11033">
        <v>0</v>
      </c>
      <c r="E11033">
        <v>0</v>
      </c>
      <c r="F11033">
        <v>0.2</v>
      </c>
    </row>
    <row r="11034" spans="1:6" x14ac:dyDescent="0.25">
      <c r="A11034">
        <v>11033</v>
      </c>
      <c r="B11034" t="s">
        <v>0</v>
      </c>
      <c r="C11034">
        <v>110</v>
      </c>
      <c r="D11034">
        <v>3496</v>
      </c>
      <c r="E11034">
        <v>80399378</v>
      </c>
    </row>
    <row r="11035" spans="1:6" x14ac:dyDescent="0.25">
      <c r="A11035">
        <v>11034</v>
      </c>
      <c r="B11035">
        <v>43</v>
      </c>
      <c r="C11035">
        <v>0</v>
      </c>
      <c r="D11035">
        <v>0</v>
      </c>
      <c r="E11035">
        <v>0</v>
      </c>
      <c r="F11035">
        <v>0</v>
      </c>
    </row>
    <row r="11036" spans="1:6" x14ac:dyDescent="0.25">
      <c r="A11036">
        <v>11035</v>
      </c>
      <c r="B11036">
        <v>44</v>
      </c>
      <c r="C11036">
        <v>0</v>
      </c>
      <c r="D11036">
        <v>0</v>
      </c>
      <c r="E11036">
        <v>0</v>
      </c>
      <c r="F11036">
        <v>-28.844899999999999</v>
      </c>
    </row>
    <row r="11037" spans="1:6" x14ac:dyDescent="0.25">
      <c r="A11037">
        <v>11036</v>
      </c>
      <c r="B11037" t="s">
        <v>0</v>
      </c>
      <c r="C11037">
        <v>111</v>
      </c>
      <c r="D11037">
        <v>3496</v>
      </c>
      <c r="E11037">
        <v>80399514</v>
      </c>
    </row>
    <row r="11038" spans="1:6" x14ac:dyDescent="0.25">
      <c r="A11038">
        <v>11037</v>
      </c>
      <c r="B11038">
        <v>45</v>
      </c>
      <c r="C11038">
        <v>0</v>
      </c>
      <c r="D11038">
        <v>0</v>
      </c>
      <c r="E11038">
        <v>0</v>
      </c>
      <c r="F11038">
        <v>517.15099999999995</v>
      </c>
    </row>
    <row r="11039" spans="1:6" x14ac:dyDescent="0.25">
      <c r="A11039">
        <v>11038</v>
      </c>
      <c r="B11039">
        <v>46</v>
      </c>
      <c r="C11039">
        <v>0</v>
      </c>
      <c r="D11039">
        <v>0</v>
      </c>
      <c r="E11039">
        <v>0</v>
      </c>
      <c r="F11039">
        <v>0</v>
      </c>
    </row>
    <row r="11040" spans="1:6" x14ac:dyDescent="0.25">
      <c r="A11040">
        <v>11039</v>
      </c>
      <c r="B11040" t="s">
        <v>0</v>
      </c>
      <c r="C11040">
        <v>112</v>
      </c>
      <c r="D11040">
        <v>3496</v>
      </c>
      <c r="E11040">
        <v>80399650</v>
      </c>
    </row>
    <row r="11041" spans="1:6" x14ac:dyDescent="0.25">
      <c r="A11041">
        <v>11040</v>
      </c>
      <c r="B11041">
        <v>2</v>
      </c>
      <c r="C11041">
        <v>0</v>
      </c>
      <c r="D11041">
        <v>0</v>
      </c>
      <c r="E11041">
        <v>0</v>
      </c>
      <c r="F11041">
        <v>244.346</v>
      </c>
    </row>
    <row r="11042" spans="1:6" x14ac:dyDescent="0.25">
      <c r="A11042">
        <v>11041</v>
      </c>
      <c r="B11042">
        <v>10</v>
      </c>
      <c r="C11042">
        <v>1</v>
      </c>
      <c r="D11042">
        <v>0</v>
      </c>
      <c r="E11042">
        <v>0</v>
      </c>
      <c r="F11042">
        <v>4822</v>
      </c>
    </row>
    <row r="11043" spans="1:6" x14ac:dyDescent="0.25">
      <c r="A11043">
        <v>11042</v>
      </c>
      <c r="B11043" t="s">
        <v>0</v>
      </c>
      <c r="C11043">
        <v>113</v>
      </c>
      <c r="D11043">
        <v>3496</v>
      </c>
      <c r="E11043">
        <v>80399786</v>
      </c>
    </row>
    <row r="11044" spans="1:6" x14ac:dyDescent="0.25">
      <c r="A11044">
        <v>11043</v>
      </c>
      <c r="B11044">
        <v>13</v>
      </c>
      <c r="C11044">
        <v>0</v>
      </c>
      <c r="D11044">
        <v>0</v>
      </c>
      <c r="E11044">
        <v>0</v>
      </c>
      <c r="F11044">
        <v>1609</v>
      </c>
    </row>
    <row r="11045" spans="1:6" x14ac:dyDescent="0.25">
      <c r="A11045">
        <v>11044</v>
      </c>
      <c r="B11045">
        <v>41</v>
      </c>
      <c r="C11045">
        <v>0</v>
      </c>
      <c r="D11045">
        <v>0</v>
      </c>
      <c r="E11045">
        <v>0</v>
      </c>
      <c r="F11045">
        <v>1</v>
      </c>
    </row>
    <row r="11046" spans="1:6" x14ac:dyDescent="0.25">
      <c r="A11046">
        <v>11045</v>
      </c>
      <c r="B11046" t="s">
        <v>0</v>
      </c>
      <c r="C11046">
        <v>114</v>
      </c>
      <c r="D11046">
        <v>3496</v>
      </c>
      <c r="E11046">
        <v>80399922</v>
      </c>
    </row>
    <row r="11047" spans="1:6" x14ac:dyDescent="0.25">
      <c r="A11047">
        <v>11046</v>
      </c>
      <c r="B11047">
        <v>43</v>
      </c>
      <c r="C11047">
        <v>0</v>
      </c>
      <c r="D11047">
        <v>0</v>
      </c>
      <c r="E11047">
        <v>0</v>
      </c>
      <c r="F11047">
        <v>0</v>
      </c>
    </row>
    <row r="11048" spans="1:6" x14ac:dyDescent="0.25">
      <c r="A11048">
        <v>11047</v>
      </c>
      <c r="B11048" t="s">
        <v>0</v>
      </c>
      <c r="C11048">
        <v>115</v>
      </c>
      <c r="D11048">
        <v>3496</v>
      </c>
      <c r="E11048">
        <v>80400058</v>
      </c>
    </row>
    <row r="11049" spans="1:6" x14ac:dyDescent="0.25">
      <c r="A11049">
        <v>11048</v>
      </c>
      <c r="B11049">
        <v>45</v>
      </c>
      <c r="C11049">
        <v>0</v>
      </c>
      <c r="D11049">
        <v>0</v>
      </c>
      <c r="E11049">
        <v>0</v>
      </c>
      <c r="F11049">
        <v>517.13199999999995</v>
      </c>
    </row>
    <row r="11050" spans="1:6" x14ac:dyDescent="0.25">
      <c r="A11050">
        <v>11049</v>
      </c>
      <c r="B11050" t="s">
        <v>0</v>
      </c>
      <c r="C11050">
        <v>116</v>
      </c>
      <c r="D11050">
        <v>3496</v>
      </c>
      <c r="E11050">
        <v>80400194</v>
      </c>
    </row>
    <row r="11051" spans="1:6" x14ac:dyDescent="0.25">
      <c r="A11051">
        <v>11050</v>
      </c>
      <c r="B11051">
        <v>2</v>
      </c>
      <c r="C11051">
        <v>0</v>
      </c>
      <c r="D11051">
        <v>0</v>
      </c>
      <c r="E11051">
        <v>0</v>
      </c>
      <c r="F11051">
        <v>244.328</v>
      </c>
    </row>
    <row r="11052" spans="1:6" x14ac:dyDescent="0.25">
      <c r="A11052">
        <v>11051</v>
      </c>
      <c r="B11052" t="s">
        <v>0</v>
      </c>
      <c r="C11052">
        <v>117</v>
      </c>
      <c r="D11052">
        <v>3496</v>
      </c>
      <c r="E11052">
        <v>80400330</v>
      </c>
    </row>
    <row r="11053" spans="1:6" x14ac:dyDescent="0.25">
      <c r="A11053">
        <v>11052</v>
      </c>
      <c r="B11053">
        <v>13</v>
      </c>
      <c r="C11053">
        <v>0</v>
      </c>
      <c r="D11053">
        <v>0</v>
      </c>
      <c r="E11053">
        <v>0</v>
      </c>
      <c r="F11053">
        <v>1609</v>
      </c>
    </row>
    <row r="11054" spans="1:6" x14ac:dyDescent="0.25">
      <c r="A11054">
        <v>11053</v>
      </c>
      <c r="B11054" t="s">
        <v>0</v>
      </c>
      <c r="C11054">
        <v>118</v>
      </c>
      <c r="D11054">
        <v>3496</v>
      </c>
      <c r="E11054">
        <v>80400466</v>
      </c>
    </row>
    <row r="11055" spans="1:6" x14ac:dyDescent="0.25">
      <c r="A11055">
        <v>11054</v>
      </c>
      <c r="B11055">
        <v>42</v>
      </c>
      <c r="C11055">
        <v>0</v>
      </c>
      <c r="D11055">
        <v>0</v>
      </c>
      <c r="E11055">
        <v>0</v>
      </c>
      <c r="F11055">
        <v>0.2</v>
      </c>
    </row>
    <row r="11056" spans="1:6" x14ac:dyDescent="0.25">
      <c r="A11056">
        <v>11055</v>
      </c>
      <c r="B11056" t="s">
        <v>0</v>
      </c>
      <c r="C11056">
        <v>119</v>
      </c>
      <c r="D11056">
        <v>3496</v>
      </c>
      <c r="E11056">
        <v>80400602</v>
      </c>
    </row>
    <row r="11057" spans="1:6" x14ac:dyDescent="0.25">
      <c r="A11057">
        <v>11056</v>
      </c>
      <c r="B11057">
        <v>44</v>
      </c>
      <c r="C11057">
        <v>0</v>
      </c>
      <c r="D11057">
        <v>0</v>
      </c>
      <c r="E11057">
        <v>0</v>
      </c>
      <c r="F11057">
        <v>-28.479399999999998</v>
      </c>
    </row>
    <row r="11058" spans="1:6" x14ac:dyDescent="0.25">
      <c r="A11058">
        <v>11057</v>
      </c>
      <c r="B11058" t="s">
        <v>0</v>
      </c>
      <c r="C11058">
        <v>120</v>
      </c>
      <c r="D11058">
        <v>3496</v>
      </c>
      <c r="E11058">
        <v>80400738</v>
      </c>
    </row>
    <row r="11059" spans="1:6" x14ac:dyDescent="0.25">
      <c r="A11059">
        <v>11058</v>
      </c>
      <c r="B11059">
        <v>46</v>
      </c>
      <c r="C11059">
        <v>0</v>
      </c>
      <c r="D11059">
        <v>0</v>
      </c>
      <c r="E11059">
        <v>0</v>
      </c>
      <c r="F11059">
        <v>0</v>
      </c>
    </row>
    <row r="11060" spans="1:6" x14ac:dyDescent="0.25">
      <c r="A11060">
        <v>11059</v>
      </c>
      <c r="B11060" t="s">
        <v>0</v>
      </c>
      <c r="C11060">
        <v>121</v>
      </c>
      <c r="D11060">
        <v>3496</v>
      </c>
      <c r="E11060">
        <v>80400874</v>
      </c>
    </row>
    <row r="11061" spans="1:6" x14ac:dyDescent="0.25">
      <c r="A11061">
        <v>11060</v>
      </c>
      <c r="B11061">
        <v>10</v>
      </c>
      <c r="C11061">
        <v>1</v>
      </c>
      <c r="D11061">
        <v>0</v>
      </c>
      <c r="E11061">
        <v>0</v>
      </c>
      <c r="F11061">
        <v>4824</v>
      </c>
    </row>
    <row r="11062" spans="1:6" x14ac:dyDescent="0.25">
      <c r="A11062">
        <v>11061</v>
      </c>
      <c r="B11062">
        <v>13</v>
      </c>
      <c r="C11062">
        <v>0</v>
      </c>
      <c r="D11062">
        <v>0</v>
      </c>
      <c r="E11062">
        <v>0</v>
      </c>
      <c r="F11062">
        <v>1609</v>
      </c>
    </row>
    <row r="11063" spans="1:6" x14ac:dyDescent="0.25">
      <c r="A11063">
        <v>11062</v>
      </c>
      <c r="B11063">
        <v>41</v>
      </c>
      <c r="C11063">
        <v>0</v>
      </c>
      <c r="D11063">
        <v>0</v>
      </c>
      <c r="E11063">
        <v>0</v>
      </c>
      <c r="F11063">
        <v>1</v>
      </c>
    </row>
    <row r="11064" spans="1:6" x14ac:dyDescent="0.25">
      <c r="A11064">
        <v>11063</v>
      </c>
      <c r="B11064">
        <v>42</v>
      </c>
      <c r="C11064">
        <v>0</v>
      </c>
      <c r="D11064">
        <v>0</v>
      </c>
      <c r="E11064">
        <v>0</v>
      </c>
      <c r="F11064">
        <v>0.2</v>
      </c>
    </row>
    <row r="11065" spans="1:6" x14ac:dyDescent="0.25">
      <c r="A11065">
        <v>11064</v>
      </c>
      <c r="B11065">
        <v>43</v>
      </c>
      <c r="C11065">
        <v>0</v>
      </c>
      <c r="D11065">
        <v>0</v>
      </c>
      <c r="E11065">
        <v>0</v>
      </c>
      <c r="F11065">
        <v>0</v>
      </c>
    </row>
    <row r="11066" spans="1:6" x14ac:dyDescent="0.25">
      <c r="A11066">
        <v>11065</v>
      </c>
      <c r="B11066">
        <v>44</v>
      </c>
      <c r="C11066">
        <v>0</v>
      </c>
      <c r="D11066">
        <v>0</v>
      </c>
      <c r="E11066">
        <v>0</v>
      </c>
      <c r="F11066">
        <v>-28.3414</v>
      </c>
    </row>
    <row r="11067" spans="1:6" x14ac:dyDescent="0.25">
      <c r="A11067">
        <v>11066</v>
      </c>
      <c r="B11067">
        <v>45</v>
      </c>
      <c r="C11067">
        <v>0</v>
      </c>
      <c r="D11067">
        <v>0</v>
      </c>
      <c r="E11067">
        <v>0</v>
      </c>
      <c r="F11067">
        <v>517.09</v>
      </c>
    </row>
    <row r="11068" spans="1:6" x14ac:dyDescent="0.25">
      <c r="A11068">
        <v>11067</v>
      </c>
      <c r="B11068">
        <v>46</v>
      </c>
      <c r="C11068">
        <v>0</v>
      </c>
      <c r="D11068">
        <v>0</v>
      </c>
      <c r="E11068">
        <v>0</v>
      </c>
      <c r="F11068">
        <v>0</v>
      </c>
    </row>
    <row r="11069" spans="1:6" x14ac:dyDescent="0.25">
      <c r="A11069">
        <v>11068</v>
      </c>
      <c r="B11069">
        <v>2</v>
      </c>
      <c r="C11069">
        <v>0</v>
      </c>
      <c r="D11069">
        <v>0</v>
      </c>
      <c r="E11069">
        <v>0</v>
      </c>
      <c r="F11069">
        <v>244.27099999999999</v>
      </c>
    </row>
    <row r="11070" spans="1:6" x14ac:dyDescent="0.25">
      <c r="A11070">
        <v>11069</v>
      </c>
      <c r="B11070">
        <v>10</v>
      </c>
      <c r="C11070">
        <v>1</v>
      </c>
      <c r="D11070">
        <v>0</v>
      </c>
      <c r="E11070">
        <v>0</v>
      </c>
      <c r="F11070">
        <v>4826</v>
      </c>
    </row>
    <row r="11071" spans="1:6" x14ac:dyDescent="0.25">
      <c r="A11071">
        <v>11070</v>
      </c>
      <c r="B11071">
        <v>13</v>
      </c>
      <c r="C11071">
        <v>0</v>
      </c>
      <c r="D11071">
        <v>0</v>
      </c>
      <c r="E11071">
        <v>0</v>
      </c>
      <c r="F11071">
        <v>1609</v>
      </c>
    </row>
    <row r="11072" spans="1:6" x14ac:dyDescent="0.25">
      <c r="A11072">
        <v>11071</v>
      </c>
      <c r="B11072">
        <v>41</v>
      </c>
      <c r="C11072">
        <v>0</v>
      </c>
      <c r="D11072">
        <v>0</v>
      </c>
      <c r="E11072">
        <v>0</v>
      </c>
      <c r="F11072">
        <v>1</v>
      </c>
    </row>
    <row r="11073" spans="1:6" x14ac:dyDescent="0.25">
      <c r="A11073">
        <v>11072</v>
      </c>
      <c r="B11073">
        <v>42</v>
      </c>
      <c r="C11073">
        <v>0</v>
      </c>
      <c r="D11073">
        <v>0</v>
      </c>
      <c r="E11073">
        <v>0</v>
      </c>
      <c r="F11073">
        <v>0.2</v>
      </c>
    </row>
    <row r="11074" spans="1:6" x14ac:dyDescent="0.25">
      <c r="A11074">
        <v>11073</v>
      </c>
      <c r="B11074">
        <v>43</v>
      </c>
      <c r="C11074">
        <v>0</v>
      </c>
      <c r="D11074">
        <v>0</v>
      </c>
      <c r="E11074">
        <v>0</v>
      </c>
      <c r="F11074">
        <v>0</v>
      </c>
    </row>
    <row r="11075" spans="1:6" x14ac:dyDescent="0.25">
      <c r="A11075">
        <v>11074</v>
      </c>
      <c r="B11075">
        <v>44</v>
      </c>
      <c r="C11075">
        <v>0</v>
      </c>
      <c r="D11075">
        <v>0</v>
      </c>
      <c r="E11075">
        <v>0</v>
      </c>
      <c r="F11075">
        <v>-28.080200000000001</v>
      </c>
    </row>
    <row r="11076" spans="1:6" x14ac:dyDescent="0.25">
      <c r="A11076">
        <v>11075</v>
      </c>
      <c r="B11076">
        <v>45</v>
      </c>
      <c r="C11076">
        <v>0</v>
      </c>
      <c r="D11076">
        <v>0</v>
      </c>
      <c r="E11076">
        <v>0</v>
      </c>
      <c r="F11076">
        <v>517.07100000000003</v>
      </c>
    </row>
    <row r="11077" spans="1:6" x14ac:dyDescent="0.25">
      <c r="A11077">
        <v>11076</v>
      </c>
      <c r="B11077">
        <v>46</v>
      </c>
      <c r="C11077">
        <v>0</v>
      </c>
      <c r="D11077">
        <v>0</v>
      </c>
      <c r="E11077">
        <v>0</v>
      </c>
      <c r="F11077">
        <v>0</v>
      </c>
    </row>
    <row r="11078" spans="1:6" x14ac:dyDescent="0.25">
      <c r="A11078">
        <v>11077</v>
      </c>
      <c r="B11078">
        <v>2</v>
      </c>
      <c r="C11078">
        <v>0</v>
      </c>
      <c r="D11078">
        <v>0</v>
      </c>
      <c r="E11078">
        <v>0</v>
      </c>
      <c r="F11078">
        <v>244.20099999999999</v>
      </c>
    </row>
    <row r="11079" spans="1:6" x14ac:dyDescent="0.25">
      <c r="A11079">
        <v>11078</v>
      </c>
      <c r="B11079" t="s">
        <v>0</v>
      </c>
      <c r="C11079">
        <v>130</v>
      </c>
      <c r="D11079">
        <v>3496</v>
      </c>
      <c r="E11079">
        <v>80402099</v>
      </c>
    </row>
    <row r="11080" spans="1:6" x14ac:dyDescent="0.25">
      <c r="A11080">
        <v>11079</v>
      </c>
      <c r="B11080">
        <v>10</v>
      </c>
      <c r="C11080">
        <v>1</v>
      </c>
      <c r="D11080">
        <v>0</v>
      </c>
      <c r="E11080">
        <v>0</v>
      </c>
      <c r="F11080">
        <v>4828</v>
      </c>
    </row>
    <row r="11081" spans="1:6" x14ac:dyDescent="0.25">
      <c r="A11081">
        <v>11080</v>
      </c>
      <c r="B11081">
        <v>13</v>
      </c>
      <c r="C11081">
        <v>0</v>
      </c>
      <c r="D11081">
        <v>0</v>
      </c>
      <c r="E11081">
        <v>0</v>
      </c>
      <c r="F11081">
        <v>1609</v>
      </c>
    </row>
    <row r="11082" spans="1:6" x14ac:dyDescent="0.25">
      <c r="A11082">
        <v>11081</v>
      </c>
      <c r="B11082" t="s">
        <v>0</v>
      </c>
      <c r="C11082">
        <v>131</v>
      </c>
      <c r="D11082">
        <v>3496</v>
      </c>
      <c r="E11082">
        <v>80402236</v>
      </c>
    </row>
    <row r="11083" spans="1:6" x14ac:dyDescent="0.25">
      <c r="A11083">
        <v>11082</v>
      </c>
      <c r="B11083">
        <v>41</v>
      </c>
      <c r="C11083">
        <v>0</v>
      </c>
      <c r="D11083">
        <v>0</v>
      </c>
      <c r="E11083">
        <v>0</v>
      </c>
      <c r="F11083">
        <v>1</v>
      </c>
    </row>
    <row r="11084" spans="1:6" x14ac:dyDescent="0.25">
      <c r="A11084">
        <v>11083</v>
      </c>
      <c r="B11084">
        <v>42</v>
      </c>
      <c r="C11084">
        <v>0</v>
      </c>
      <c r="D11084">
        <v>0</v>
      </c>
      <c r="E11084">
        <v>0</v>
      </c>
      <c r="F11084">
        <v>0.2</v>
      </c>
    </row>
    <row r="11085" spans="1:6" x14ac:dyDescent="0.25">
      <c r="A11085">
        <v>11084</v>
      </c>
      <c r="B11085" t="s">
        <v>0</v>
      </c>
      <c r="C11085">
        <v>132</v>
      </c>
      <c r="D11085">
        <v>3496</v>
      </c>
      <c r="E11085">
        <v>80402372</v>
      </c>
    </row>
    <row r="11086" spans="1:6" x14ac:dyDescent="0.25">
      <c r="A11086">
        <v>11085</v>
      </c>
      <c r="B11086">
        <v>43</v>
      </c>
      <c r="C11086">
        <v>0</v>
      </c>
      <c r="D11086">
        <v>0</v>
      </c>
      <c r="E11086">
        <v>0</v>
      </c>
      <c r="F11086">
        <v>0</v>
      </c>
    </row>
    <row r="11087" spans="1:6" x14ac:dyDescent="0.25">
      <c r="A11087">
        <v>11086</v>
      </c>
      <c r="B11087">
        <v>44</v>
      </c>
      <c r="C11087">
        <v>0</v>
      </c>
      <c r="D11087">
        <v>0</v>
      </c>
      <c r="E11087">
        <v>0</v>
      </c>
      <c r="F11087">
        <v>-27.894500000000001</v>
      </c>
    </row>
    <row r="11088" spans="1:6" x14ac:dyDescent="0.25">
      <c r="A11088">
        <v>11087</v>
      </c>
      <c r="B11088" t="s">
        <v>0</v>
      </c>
      <c r="C11088">
        <v>133</v>
      </c>
      <c r="D11088">
        <v>3496</v>
      </c>
      <c r="E11088">
        <v>80402508</v>
      </c>
    </row>
    <row r="11089" spans="1:6" x14ac:dyDescent="0.25">
      <c r="A11089">
        <v>11088</v>
      </c>
      <c r="B11089">
        <v>45</v>
      </c>
      <c r="C11089">
        <v>0</v>
      </c>
      <c r="D11089">
        <v>0</v>
      </c>
      <c r="E11089">
        <v>0</v>
      </c>
      <c r="F11089">
        <v>517.04899999999998</v>
      </c>
    </row>
    <row r="11090" spans="1:6" x14ac:dyDescent="0.25">
      <c r="A11090">
        <v>11089</v>
      </c>
      <c r="B11090">
        <v>46</v>
      </c>
      <c r="C11090">
        <v>0</v>
      </c>
      <c r="D11090">
        <v>0</v>
      </c>
      <c r="E11090">
        <v>0</v>
      </c>
      <c r="F11090">
        <v>0</v>
      </c>
    </row>
    <row r="11091" spans="1:6" x14ac:dyDescent="0.25">
      <c r="A11091">
        <v>11090</v>
      </c>
      <c r="B11091" t="s">
        <v>0</v>
      </c>
      <c r="C11091">
        <v>134</v>
      </c>
      <c r="D11091">
        <v>3496</v>
      </c>
      <c r="E11091">
        <v>80402644</v>
      </c>
    </row>
    <row r="11092" spans="1:6" x14ac:dyDescent="0.25">
      <c r="A11092">
        <v>11091</v>
      </c>
      <c r="B11092">
        <v>2</v>
      </c>
      <c r="C11092">
        <v>0</v>
      </c>
      <c r="D11092">
        <v>0</v>
      </c>
      <c r="E11092">
        <v>0</v>
      </c>
      <c r="F11092">
        <v>244.13</v>
      </c>
    </row>
    <row r="11093" spans="1:6" x14ac:dyDescent="0.25">
      <c r="A11093">
        <v>11092</v>
      </c>
      <c r="B11093">
        <v>10</v>
      </c>
      <c r="C11093">
        <v>1</v>
      </c>
      <c r="D11093">
        <v>0</v>
      </c>
      <c r="E11093">
        <v>0</v>
      </c>
      <c r="F11093">
        <v>4831</v>
      </c>
    </row>
    <row r="11094" spans="1:6" x14ac:dyDescent="0.25">
      <c r="A11094">
        <v>11093</v>
      </c>
      <c r="B11094" t="s">
        <v>0</v>
      </c>
      <c r="C11094">
        <v>135</v>
      </c>
      <c r="D11094">
        <v>3496</v>
      </c>
      <c r="E11094">
        <v>80402781</v>
      </c>
    </row>
    <row r="11095" spans="1:6" x14ac:dyDescent="0.25">
      <c r="A11095">
        <v>11094</v>
      </c>
      <c r="B11095">
        <v>13</v>
      </c>
      <c r="C11095">
        <v>0</v>
      </c>
      <c r="D11095">
        <v>0</v>
      </c>
      <c r="E11095">
        <v>0</v>
      </c>
      <c r="F11095">
        <v>1609</v>
      </c>
    </row>
    <row r="11096" spans="1:6" x14ac:dyDescent="0.25">
      <c r="A11096">
        <v>11095</v>
      </c>
      <c r="B11096">
        <v>41</v>
      </c>
      <c r="C11096">
        <v>0</v>
      </c>
      <c r="D11096">
        <v>0</v>
      </c>
      <c r="E11096">
        <v>0</v>
      </c>
      <c r="F11096">
        <v>1</v>
      </c>
    </row>
    <row r="11097" spans="1:6" x14ac:dyDescent="0.25">
      <c r="A11097">
        <v>11096</v>
      </c>
      <c r="B11097" t="s">
        <v>0</v>
      </c>
      <c r="C11097">
        <v>136</v>
      </c>
      <c r="D11097">
        <v>3496</v>
      </c>
      <c r="E11097">
        <v>80402917</v>
      </c>
    </row>
    <row r="11098" spans="1:6" x14ac:dyDescent="0.25">
      <c r="A11098">
        <v>11097</v>
      </c>
      <c r="B11098">
        <v>42</v>
      </c>
      <c r="C11098">
        <v>0</v>
      </c>
      <c r="D11098">
        <v>0</v>
      </c>
      <c r="E11098">
        <v>0</v>
      </c>
      <c r="F11098">
        <v>0.2</v>
      </c>
    </row>
    <row r="11099" spans="1:6" x14ac:dyDescent="0.25">
      <c r="A11099">
        <v>11098</v>
      </c>
      <c r="B11099">
        <v>43</v>
      </c>
      <c r="C11099">
        <v>0</v>
      </c>
      <c r="D11099">
        <v>0</v>
      </c>
      <c r="E11099">
        <v>0</v>
      </c>
      <c r="F11099">
        <v>0</v>
      </c>
    </row>
    <row r="11100" spans="1:6" x14ac:dyDescent="0.25">
      <c r="A11100">
        <v>11099</v>
      </c>
      <c r="B11100" t="s">
        <v>0</v>
      </c>
      <c r="C11100">
        <v>137</v>
      </c>
      <c r="D11100">
        <v>3496</v>
      </c>
      <c r="E11100">
        <v>80403053</v>
      </c>
    </row>
    <row r="11101" spans="1:6" x14ac:dyDescent="0.25">
      <c r="A11101">
        <v>11100</v>
      </c>
      <c r="B11101">
        <v>44</v>
      </c>
      <c r="C11101">
        <v>0</v>
      </c>
      <c r="D11101">
        <v>0</v>
      </c>
      <c r="E11101">
        <v>0</v>
      </c>
      <c r="F11101">
        <v>-27.659199999999998</v>
      </c>
    </row>
    <row r="11102" spans="1:6" x14ac:dyDescent="0.25">
      <c r="A11102">
        <v>11101</v>
      </c>
      <c r="B11102">
        <v>45</v>
      </c>
      <c r="C11102">
        <v>0</v>
      </c>
      <c r="D11102">
        <v>0</v>
      </c>
      <c r="E11102">
        <v>0</v>
      </c>
      <c r="F11102">
        <v>517.03</v>
      </c>
    </row>
    <row r="11103" spans="1:6" x14ac:dyDescent="0.25">
      <c r="A11103">
        <v>11102</v>
      </c>
      <c r="B11103" t="s">
        <v>0</v>
      </c>
      <c r="C11103">
        <v>138</v>
      </c>
      <c r="D11103">
        <v>3496</v>
      </c>
      <c r="E11103">
        <v>80403189</v>
      </c>
    </row>
    <row r="11104" spans="1:6" x14ac:dyDescent="0.25">
      <c r="A11104">
        <v>11103</v>
      </c>
      <c r="B11104">
        <v>2</v>
      </c>
      <c r="C11104">
        <v>0</v>
      </c>
      <c r="D11104">
        <v>0</v>
      </c>
      <c r="E11104">
        <v>0</v>
      </c>
      <c r="F11104">
        <v>244.08600000000001</v>
      </c>
    </row>
    <row r="11105" spans="1:6" x14ac:dyDescent="0.25">
      <c r="A11105">
        <v>11104</v>
      </c>
      <c r="B11105" t="s">
        <v>0</v>
      </c>
      <c r="C11105">
        <v>139</v>
      </c>
      <c r="D11105">
        <v>3496</v>
      </c>
      <c r="E11105">
        <v>80403325</v>
      </c>
    </row>
    <row r="11106" spans="1:6" x14ac:dyDescent="0.25">
      <c r="A11106">
        <v>11105</v>
      </c>
      <c r="B11106">
        <v>13</v>
      </c>
      <c r="C11106">
        <v>0</v>
      </c>
      <c r="D11106">
        <v>0</v>
      </c>
      <c r="E11106">
        <v>0</v>
      </c>
      <c r="F11106">
        <v>1609</v>
      </c>
    </row>
    <row r="11107" spans="1:6" x14ac:dyDescent="0.25">
      <c r="A11107">
        <v>11106</v>
      </c>
      <c r="B11107" t="s">
        <v>0</v>
      </c>
      <c r="C11107">
        <v>140</v>
      </c>
      <c r="D11107">
        <v>3496</v>
      </c>
      <c r="E11107">
        <v>80403461</v>
      </c>
    </row>
    <row r="11108" spans="1:6" x14ac:dyDescent="0.25">
      <c r="A11108">
        <v>11107</v>
      </c>
      <c r="B11108">
        <v>42</v>
      </c>
      <c r="C11108">
        <v>0</v>
      </c>
      <c r="D11108">
        <v>0</v>
      </c>
      <c r="E11108">
        <v>0</v>
      </c>
      <c r="F11108">
        <v>0.2</v>
      </c>
    </row>
    <row r="11109" spans="1:6" x14ac:dyDescent="0.25">
      <c r="A11109">
        <v>11108</v>
      </c>
      <c r="B11109" t="s">
        <v>0</v>
      </c>
      <c r="C11109">
        <v>141</v>
      </c>
      <c r="D11109">
        <v>3496</v>
      </c>
      <c r="E11109">
        <v>80403597</v>
      </c>
    </row>
    <row r="11110" spans="1:6" x14ac:dyDescent="0.25">
      <c r="A11110">
        <v>11109</v>
      </c>
      <c r="B11110">
        <v>44</v>
      </c>
      <c r="C11110">
        <v>0</v>
      </c>
      <c r="D11110">
        <v>0</v>
      </c>
      <c r="E11110">
        <v>0</v>
      </c>
      <c r="F11110">
        <v>-27.495899999999999</v>
      </c>
    </row>
    <row r="11111" spans="1:6" x14ac:dyDescent="0.25">
      <c r="A11111">
        <v>11110</v>
      </c>
      <c r="B11111" t="s">
        <v>0</v>
      </c>
      <c r="C11111">
        <v>142</v>
      </c>
      <c r="D11111">
        <v>3496</v>
      </c>
      <c r="E11111">
        <v>80403734</v>
      </c>
    </row>
    <row r="11112" spans="1:6" x14ac:dyDescent="0.25">
      <c r="A11112">
        <v>11111</v>
      </c>
      <c r="B11112">
        <v>46</v>
      </c>
      <c r="C11112">
        <v>0</v>
      </c>
      <c r="D11112">
        <v>0</v>
      </c>
      <c r="E11112">
        <v>0</v>
      </c>
      <c r="F11112">
        <v>0</v>
      </c>
    </row>
    <row r="11113" spans="1:6" x14ac:dyDescent="0.25">
      <c r="A11113">
        <v>11112</v>
      </c>
      <c r="B11113" t="s">
        <v>0</v>
      </c>
      <c r="C11113">
        <v>143</v>
      </c>
      <c r="D11113">
        <v>3496</v>
      </c>
      <c r="E11113">
        <v>80403870</v>
      </c>
    </row>
    <row r="11114" spans="1:6" x14ac:dyDescent="0.25">
      <c r="A11114">
        <v>11113</v>
      </c>
      <c r="B11114">
        <v>10</v>
      </c>
      <c r="C11114">
        <v>1</v>
      </c>
      <c r="D11114">
        <v>0</v>
      </c>
      <c r="E11114">
        <v>0</v>
      </c>
      <c r="F11114">
        <v>4835</v>
      </c>
    </row>
    <row r="11115" spans="1:6" x14ac:dyDescent="0.25">
      <c r="A11115">
        <v>11114</v>
      </c>
      <c r="B11115" t="s">
        <v>0</v>
      </c>
      <c r="C11115">
        <v>144</v>
      </c>
      <c r="D11115">
        <v>3496</v>
      </c>
      <c r="E11115">
        <v>80404006</v>
      </c>
    </row>
    <row r="11116" spans="1:6" x14ac:dyDescent="0.25">
      <c r="A11116">
        <v>11115</v>
      </c>
      <c r="B11116">
        <v>41</v>
      </c>
      <c r="C11116">
        <v>0</v>
      </c>
      <c r="D11116">
        <v>0</v>
      </c>
      <c r="E11116">
        <v>0</v>
      </c>
      <c r="F11116">
        <v>1</v>
      </c>
    </row>
    <row r="11117" spans="1:6" x14ac:dyDescent="0.25">
      <c r="A11117">
        <v>11116</v>
      </c>
      <c r="B11117" t="s">
        <v>0</v>
      </c>
      <c r="C11117">
        <v>145</v>
      </c>
      <c r="D11117">
        <v>3496</v>
      </c>
      <c r="E11117">
        <v>80404142</v>
      </c>
    </row>
    <row r="11118" spans="1:6" x14ac:dyDescent="0.25">
      <c r="A11118">
        <v>11117</v>
      </c>
      <c r="B11118">
        <v>43</v>
      </c>
      <c r="C11118">
        <v>0</v>
      </c>
      <c r="D11118">
        <v>0</v>
      </c>
      <c r="E11118">
        <v>0</v>
      </c>
      <c r="F11118">
        <v>0</v>
      </c>
    </row>
    <row r="11119" spans="1:6" x14ac:dyDescent="0.25">
      <c r="A11119">
        <v>11118</v>
      </c>
      <c r="B11119">
        <v>44</v>
      </c>
      <c r="C11119">
        <v>0</v>
      </c>
      <c r="D11119">
        <v>0</v>
      </c>
      <c r="E11119">
        <v>0</v>
      </c>
      <c r="F11119">
        <v>-27.314699999999998</v>
      </c>
    </row>
    <row r="11120" spans="1:6" x14ac:dyDescent="0.25">
      <c r="A11120">
        <v>11119</v>
      </c>
      <c r="B11120">
        <v>45</v>
      </c>
      <c r="C11120">
        <v>0</v>
      </c>
      <c r="D11120">
        <v>0</v>
      </c>
      <c r="E11120">
        <v>0</v>
      </c>
      <c r="F11120">
        <v>516.99</v>
      </c>
    </row>
    <row r="11121" spans="1:6" x14ac:dyDescent="0.25">
      <c r="A11121">
        <v>11120</v>
      </c>
      <c r="B11121">
        <v>46</v>
      </c>
      <c r="C11121">
        <v>0</v>
      </c>
      <c r="D11121">
        <v>0</v>
      </c>
      <c r="E11121">
        <v>0</v>
      </c>
      <c r="F11121">
        <v>0</v>
      </c>
    </row>
    <row r="11122" spans="1:6" x14ac:dyDescent="0.25">
      <c r="A11122">
        <v>11121</v>
      </c>
      <c r="B11122">
        <v>2</v>
      </c>
      <c r="C11122">
        <v>0</v>
      </c>
      <c r="D11122">
        <v>0</v>
      </c>
      <c r="E11122">
        <v>0</v>
      </c>
      <c r="F11122">
        <v>244.01300000000001</v>
      </c>
    </row>
    <row r="11123" spans="1:6" x14ac:dyDescent="0.25">
      <c r="A11123">
        <v>11122</v>
      </c>
      <c r="B11123">
        <v>10</v>
      </c>
      <c r="C11123">
        <v>1</v>
      </c>
      <c r="D11123">
        <v>0</v>
      </c>
      <c r="E11123">
        <v>0</v>
      </c>
      <c r="F11123">
        <v>4836</v>
      </c>
    </row>
    <row r="11124" spans="1:6" x14ac:dyDescent="0.25">
      <c r="A11124">
        <v>11123</v>
      </c>
      <c r="B11124">
        <v>13</v>
      </c>
      <c r="C11124">
        <v>0</v>
      </c>
      <c r="D11124">
        <v>0</v>
      </c>
      <c r="E11124">
        <v>0</v>
      </c>
      <c r="F11124">
        <v>1609</v>
      </c>
    </row>
    <row r="11125" spans="1:6" x14ac:dyDescent="0.25">
      <c r="A11125">
        <v>11124</v>
      </c>
      <c r="B11125">
        <v>41</v>
      </c>
      <c r="C11125">
        <v>0</v>
      </c>
      <c r="D11125">
        <v>0</v>
      </c>
      <c r="E11125">
        <v>0</v>
      </c>
      <c r="F11125">
        <v>1</v>
      </c>
    </row>
    <row r="11126" spans="1:6" x14ac:dyDescent="0.25">
      <c r="A11126">
        <v>11125</v>
      </c>
      <c r="B11126">
        <v>42</v>
      </c>
      <c r="C11126">
        <v>0</v>
      </c>
      <c r="D11126">
        <v>0</v>
      </c>
      <c r="E11126">
        <v>0</v>
      </c>
      <c r="F11126">
        <v>0.2</v>
      </c>
    </row>
    <row r="11127" spans="1:6" x14ac:dyDescent="0.25">
      <c r="A11127">
        <v>11126</v>
      </c>
      <c r="B11127">
        <v>43</v>
      </c>
      <c r="C11127">
        <v>0</v>
      </c>
      <c r="D11127">
        <v>0</v>
      </c>
      <c r="E11127">
        <v>0</v>
      </c>
      <c r="F11127">
        <v>0</v>
      </c>
    </row>
    <row r="11128" spans="1:6" x14ac:dyDescent="0.25">
      <c r="A11128">
        <v>11127</v>
      </c>
      <c r="B11128">
        <v>44</v>
      </c>
      <c r="C11128">
        <v>0</v>
      </c>
      <c r="D11128">
        <v>0</v>
      </c>
      <c r="E11128">
        <v>0</v>
      </c>
      <c r="F11128">
        <v>-27.1051</v>
      </c>
    </row>
    <row r="11129" spans="1:6" x14ac:dyDescent="0.25">
      <c r="A11129">
        <v>11128</v>
      </c>
      <c r="B11129">
        <v>45</v>
      </c>
      <c r="C11129">
        <v>0</v>
      </c>
      <c r="D11129">
        <v>0</v>
      </c>
      <c r="E11129">
        <v>0</v>
      </c>
      <c r="F11129">
        <v>516.97199999999998</v>
      </c>
    </row>
    <row r="11130" spans="1:6" x14ac:dyDescent="0.25">
      <c r="A11130">
        <v>11129</v>
      </c>
      <c r="B11130">
        <v>46</v>
      </c>
      <c r="C11130">
        <v>0</v>
      </c>
      <c r="D11130">
        <v>0</v>
      </c>
      <c r="E11130">
        <v>0</v>
      </c>
      <c r="F11130">
        <v>0</v>
      </c>
    </row>
    <row r="11131" spans="1:6" x14ac:dyDescent="0.25">
      <c r="A11131">
        <v>11130</v>
      </c>
      <c r="B11131">
        <v>2</v>
      </c>
      <c r="C11131">
        <v>0</v>
      </c>
      <c r="D11131">
        <v>0</v>
      </c>
      <c r="E11131">
        <v>0</v>
      </c>
      <c r="F11131">
        <v>243.99</v>
      </c>
    </row>
    <row r="11132" spans="1:6" x14ac:dyDescent="0.25">
      <c r="A11132">
        <v>11131</v>
      </c>
      <c r="B11132">
        <v>10</v>
      </c>
      <c r="C11132">
        <v>1</v>
      </c>
      <c r="D11132">
        <v>0</v>
      </c>
      <c r="E11132">
        <v>0</v>
      </c>
      <c r="F11132">
        <v>4837</v>
      </c>
    </row>
    <row r="11133" spans="1:6" x14ac:dyDescent="0.25">
      <c r="A11133">
        <v>11132</v>
      </c>
      <c r="B11133">
        <v>13</v>
      </c>
      <c r="C11133">
        <v>0</v>
      </c>
      <c r="D11133">
        <v>0</v>
      </c>
      <c r="E11133">
        <v>0</v>
      </c>
      <c r="F11133">
        <v>1609</v>
      </c>
    </row>
    <row r="11134" spans="1:6" x14ac:dyDescent="0.25">
      <c r="A11134">
        <v>11133</v>
      </c>
      <c r="B11134">
        <v>41</v>
      </c>
      <c r="C11134">
        <v>0</v>
      </c>
      <c r="D11134">
        <v>0</v>
      </c>
      <c r="E11134">
        <v>0</v>
      </c>
      <c r="F11134">
        <v>1</v>
      </c>
    </row>
    <row r="11135" spans="1:6" x14ac:dyDescent="0.25">
      <c r="A11135">
        <v>11134</v>
      </c>
      <c r="B11135">
        <v>42</v>
      </c>
      <c r="C11135">
        <v>0</v>
      </c>
      <c r="D11135">
        <v>0</v>
      </c>
      <c r="E11135">
        <v>0</v>
      </c>
      <c r="F11135">
        <v>0.2</v>
      </c>
    </row>
    <row r="11136" spans="1:6" x14ac:dyDescent="0.25">
      <c r="A11136">
        <v>11135</v>
      </c>
      <c r="B11136" t="s">
        <v>0</v>
      </c>
      <c r="C11136">
        <v>154</v>
      </c>
      <c r="D11136">
        <v>3496</v>
      </c>
      <c r="E11136">
        <v>80405368</v>
      </c>
    </row>
    <row r="11137" spans="1:6" x14ac:dyDescent="0.25">
      <c r="A11137">
        <v>11136</v>
      </c>
      <c r="B11137">
        <v>43</v>
      </c>
      <c r="C11137">
        <v>0</v>
      </c>
      <c r="D11137">
        <v>0</v>
      </c>
      <c r="E11137">
        <v>0</v>
      </c>
      <c r="F11137">
        <v>0</v>
      </c>
    </row>
    <row r="11138" spans="1:6" x14ac:dyDescent="0.25">
      <c r="A11138">
        <v>11137</v>
      </c>
      <c r="B11138">
        <v>44</v>
      </c>
      <c r="C11138">
        <v>0</v>
      </c>
      <c r="D11138">
        <v>0</v>
      </c>
      <c r="E11138">
        <v>0</v>
      </c>
      <c r="F11138">
        <v>-26.964200000000002</v>
      </c>
    </row>
    <row r="11139" spans="1:6" x14ac:dyDescent="0.25">
      <c r="A11139">
        <v>11138</v>
      </c>
      <c r="B11139" t="s">
        <v>0</v>
      </c>
      <c r="C11139">
        <v>155</v>
      </c>
      <c r="D11139">
        <v>3496</v>
      </c>
      <c r="E11139">
        <v>80405504</v>
      </c>
    </row>
    <row r="11140" spans="1:6" x14ac:dyDescent="0.25">
      <c r="A11140">
        <v>11139</v>
      </c>
      <c r="B11140">
        <v>45</v>
      </c>
      <c r="C11140">
        <v>0</v>
      </c>
      <c r="D11140">
        <v>0</v>
      </c>
      <c r="E11140">
        <v>0</v>
      </c>
      <c r="F11140">
        <v>516.95000000000005</v>
      </c>
    </row>
    <row r="11141" spans="1:6" x14ac:dyDescent="0.25">
      <c r="A11141">
        <v>11140</v>
      </c>
      <c r="B11141">
        <v>46</v>
      </c>
      <c r="C11141">
        <v>0</v>
      </c>
      <c r="D11141">
        <v>0</v>
      </c>
      <c r="E11141">
        <v>0</v>
      </c>
      <c r="F11141">
        <v>0</v>
      </c>
    </row>
    <row r="11142" spans="1:6" x14ac:dyDescent="0.25">
      <c r="A11142">
        <v>11141</v>
      </c>
      <c r="B11142" t="s">
        <v>0</v>
      </c>
      <c r="C11142">
        <v>156</v>
      </c>
      <c r="D11142">
        <v>3496</v>
      </c>
      <c r="E11142">
        <v>80405640</v>
      </c>
    </row>
    <row r="11143" spans="1:6" x14ac:dyDescent="0.25">
      <c r="A11143">
        <v>11142</v>
      </c>
      <c r="B11143">
        <v>2</v>
      </c>
      <c r="C11143">
        <v>0</v>
      </c>
      <c r="D11143">
        <v>0</v>
      </c>
      <c r="E11143">
        <v>0</v>
      </c>
      <c r="F11143">
        <v>243.96700000000001</v>
      </c>
    </row>
    <row r="11144" spans="1:6" x14ac:dyDescent="0.25">
      <c r="A11144">
        <v>11143</v>
      </c>
      <c r="B11144">
        <v>10</v>
      </c>
      <c r="C11144">
        <v>1</v>
      </c>
      <c r="D11144">
        <v>0</v>
      </c>
      <c r="E11144">
        <v>0</v>
      </c>
      <c r="F11144">
        <v>4839</v>
      </c>
    </row>
    <row r="11145" spans="1:6" x14ac:dyDescent="0.25">
      <c r="A11145">
        <v>11144</v>
      </c>
      <c r="B11145" t="s">
        <v>0</v>
      </c>
      <c r="C11145">
        <v>157</v>
      </c>
      <c r="D11145">
        <v>3496</v>
      </c>
      <c r="E11145">
        <v>80405777</v>
      </c>
    </row>
    <row r="11146" spans="1:6" x14ac:dyDescent="0.25">
      <c r="A11146">
        <v>11145</v>
      </c>
      <c r="B11146">
        <v>13</v>
      </c>
      <c r="C11146">
        <v>0</v>
      </c>
      <c r="D11146">
        <v>0</v>
      </c>
      <c r="E11146">
        <v>0</v>
      </c>
      <c r="F11146">
        <v>1609</v>
      </c>
    </row>
    <row r="11147" spans="1:6" x14ac:dyDescent="0.25">
      <c r="A11147">
        <v>11146</v>
      </c>
      <c r="B11147">
        <v>41</v>
      </c>
      <c r="C11147">
        <v>0</v>
      </c>
      <c r="D11147">
        <v>0</v>
      </c>
      <c r="E11147">
        <v>0</v>
      </c>
      <c r="F11147">
        <v>1</v>
      </c>
    </row>
    <row r="11148" spans="1:6" x14ac:dyDescent="0.25">
      <c r="A11148">
        <v>11147</v>
      </c>
      <c r="B11148" t="s">
        <v>0</v>
      </c>
      <c r="C11148">
        <v>158</v>
      </c>
      <c r="D11148">
        <v>3496</v>
      </c>
      <c r="E11148">
        <v>80405913</v>
      </c>
    </row>
    <row r="11149" spans="1:6" x14ac:dyDescent="0.25">
      <c r="A11149">
        <v>11148</v>
      </c>
      <c r="B11149">
        <v>42</v>
      </c>
      <c r="C11149">
        <v>0</v>
      </c>
      <c r="D11149">
        <v>0</v>
      </c>
      <c r="E11149">
        <v>0</v>
      </c>
      <c r="F11149">
        <v>0.2</v>
      </c>
    </row>
    <row r="11150" spans="1:6" x14ac:dyDescent="0.25">
      <c r="A11150">
        <v>11149</v>
      </c>
      <c r="B11150">
        <v>43</v>
      </c>
      <c r="C11150">
        <v>0</v>
      </c>
      <c r="D11150">
        <v>0</v>
      </c>
      <c r="E11150">
        <v>0</v>
      </c>
      <c r="F11150">
        <v>0</v>
      </c>
    </row>
    <row r="11151" spans="1:6" x14ac:dyDescent="0.25">
      <c r="A11151">
        <v>11150</v>
      </c>
      <c r="B11151" t="s">
        <v>0</v>
      </c>
      <c r="C11151">
        <v>159</v>
      </c>
      <c r="D11151">
        <v>3496</v>
      </c>
      <c r="E11151">
        <v>80406049</v>
      </c>
    </row>
    <row r="11152" spans="1:6" x14ac:dyDescent="0.25">
      <c r="A11152">
        <v>11151</v>
      </c>
      <c r="B11152">
        <v>44</v>
      </c>
      <c r="C11152">
        <v>0</v>
      </c>
      <c r="D11152">
        <v>0</v>
      </c>
      <c r="E11152">
        <v>0</v>
      </c>
      <c r="F11152">
        <v>-26.769600000000001</v>
      </c>
    </row>
    <row r="11153" spans="1:6" x14ac:dyDescent="0.25">
      <c r="A11153">
        <v>11152</v>
      </c>
      <c r="B11153">
        <v>45</v>
      </c>
      <c r="C11153">
        <v>0</v>
      </c>
      <c r="D11153">
        <v>0</v>
      </c>
      <c r="E11153">
        <v>0</v>
      </c>
      <c r="F11153">
        <v>516.93200000000002</v>
      </c>
    </row>
    <row r="11154" spans="1:6" x14ac:dyDescent="0.25">
      <c r="A11154">
        <v>11153</v>
      </c>
      <c r="B11154" t="s">
        <v>0</v>
      </c>
      <c r="C11154">
        <v>160</v>
      </c>
      <c r="D11154">
        <v>3496</v>
      </c>
      <c r="E11154">
        <v>80406185</v>
      </c>
    </row>
    <row r="11155" spans="1:6" x14ac:dyDescent="0.25">
      <c r="A11155">
        <v>11154</v>
      </c>
      <c r="B11155">
        <v>46</v>
      </c>
      <c r="C11155">
        <v>0</v>
      </c>
      <c r="D11155">
        <v>0</v>
      </c>
      <c r="E11155">
        <v>0</v>
      </c>
      <c r="F11155">
        <v>0</v>
      </c>
    </row>
    <row r="11156" spans="1:6" x14ac:dyDescent="0.25">
      <c r="A11156">
        <v>11155</v>
      </c>
      <c r="B11156">
        <v>2</v>
      </c>
      <c r="C11156">
        <v>0</v>
      </c>
      <c r="D11156">
        <v>0</v>
      </c>
      <c r="E11156">
        <v>0</v>
      </c>
      <c r="F11156">
        <v>243.953</v>
      </c>
    </row>
    <row r="11157" spans="1:6" x14ac:dyDescent="0.25">
      <c r="A11157">
        <v>11156</v>
      </c>
      <c r="B11157" t="s">
        <v>0</v>
      </c>
      <c r="C11157">
        <v>161</v>
      </c>
      <c r="D11157">
        <v>3496</v>
      </c>
      <c r="E11157">
        <v>80406321</v>
      </c>
    </row>
    <row r="11158" spans="1:6" x14ac:dyDescent="0.25">
      <c r="A11158">
        <v>11157</v>
      </c>
      <c r="B11158">
        <v>10</v>
      </c>
      <c r="C11158">
        <v>1</v>
      </c>
      <c r="D11158">
        <v>0</v>
      </c>
      <c r="E11158">
        <v>0</v>
      </c>
      <c r="F11158">
        <v>4840</v>
      </c>
    </row>
    <row r="11159" spans="1:6" x14ac:dyDescent="0.25">
      <c r="A11159">
        <v>11158</v>
      </c>
      <c r="B11159">
        <v>13</v>
      </c>
      <c r="C11159">
        <v>0</v>
      </c>
      <c r="D11159">
        <v>0</v>
      </c>
      <c r="E11159">
        <v>0</v>
      </c>
      <c r="F11159">
        <v>1609</v>
      </c>
    </row>
    <row r="11160" spans="1:6" x14ac:dyDescent="0.25">
      <c r="A11160">
        <v>11159</v>
      </c>
      <c r="B11160" t="s">
        <v>0</v>
      </c>
      <c r="C11160">
        <v>162</v>
      </c>
      <c r="D11160">
        <v>3496</v>
      </c>
      <c r="E11160">
        <v>80406457</v>
      </c>
    </row>
    <row r="11161" spans="1:6" x14ac:dyDescent="0.25">
      <c r="A11161">
        <v>11160</v>
      </c>
      <c r="B11161">
        <v>42</v>
      </c>
      <c r="C11161">
        <v>0</v>
      </c>
      <c r="D11161">
        <v>0</v>
      </c>
      <c r="E11161">
        <v>0</v>
      </c>
      <c r="F11161">
        <v>0.2</v>
      </c>
    </row>
    <row r="11162" spans="1:6" x14ac:dyDescent="0.25">
      <c r="A11162">
        <v>11161</v>
      </c>
      <c r="B11162" t="s">
        <v>0</v>
      </c>
      <c r="C11162">
        <v>163</v>
      </c>
      <c r="D11162">
        <v>3496</v>
      </c>
      <c r="E11162">
        <v>80406593</v>
      </c>
    </row>
    <row r="11163" spans="1:6" x14ac:dyDescent="0.25">
      <c r="A11163">
        <v>11162</v>
      </c>
      <c r="B11163">
        <v>44</v>
      </c>
      <c r="C11163">
        <v>0</v>
      </c>
      <c r="D11163">
        <v>0</v>
      </c>
      <c r="E11163">
        <v>0</v>
      </c>
      <c r="F11163">
        <v>-26.632300000000001</v>
      </c>
    </row>
    <row r="11164" spans="1:6" x14ac:dyDescent="0.25">
      <c r="A11164">
        <v>11163</v>
      </c>
      <c r="B11164" t="s">
        <v>0</v>
      </c>
      <c r="C11164">
        <v>164</v>
      </c>
      <c r="D11164">
        <v>3496</v>
      </c>
      <c r="E11164">
        <v>80406729</v>
      </c>
    </row>
    <row r="11165" spans="1:6" x14ac:dyDescent="0.25">
      <c r="A11165">
        <v>11164</v>
      </c>
      <c r="B11165">
        <v>46</v>
      </c>
      <c r="C11165">
        <v>0</v>
      </c>
      <c r="D11165">
        <v>0</v>
      </c>
      <c r="E11165">
        <v>0</v>
      </c>
      <c r="F11165">
        <v>0</v>
      </c>
    </row>
    <row r="11166" spans="1:6" x14ac:dyDescent="0.25">
      <c r="A11166">
        <v>11165</v>
      </c>
      <c r="B11166" t="s">
        <v>0</v>
      </c>
      <c r="C11166">
        <v>165</v>
      </c>
      <c r="D11166">
        <v>3496</v>
      </c>
      <c r="E11166">
        <v>80406866</v>
      </c>
    </row>
    <row r="11167" spans="1:6" x14ac:dyDescent="0.25">
      <c r="A11167">
        <v>11166</v>
      </c>
      <c r="B11167">
        <v>10</v>
      </c>
      <c r="C11167">
        <v>1</v>
      </c>
      <c r="D11167">
        <v>0</v>
      </c>
      <c r="E11167">
        <v>0</v>
      </c>
      <c r="F11167">
        <v>4842</v>
      </c>
    </row>
    <row r="11168" spans="1:6" x14ac:dyDescent="0.25">
      <c r="A11168">
        <v>11167</v>
      </c>
      <c r="B11168" t="s">
        <v>0</v>
      </c>
      <c r="C11168">
        <v>166</v>
      </c>
      <c r="D11168">
        <v>3496</v>
      </c>
      <c r="E11168">
        <v>80407003</v>
      </c>
    </row>
    <row r="11169" spans="1:6" x14ac:dyDescent="0.25">
      <c r="A11169">
        <v>11168</v>
      </c>
      <c r="B11169">
        <v>41</v>
      </c>
      <c r="C11169">
        <v>0</v>
      </c>
      <c r="D11169">
        <v>0</v>
      </c>
      <c r="E11169">
        <v>0</v>
      </c>
      <c r="F11169">
        <v>1</v>
      </c>
    </row>
    <row r="11170" spans="1:6" x14ac:dyDescent="0.25">
      <c r="A11170">
        <v>11169</v>
      </c>
      <c r="B11170" t="s">
        <v>0</v>
      </c>
      <c r="C11170">
        <v>167</v>
      </c>
      <c r="D11170">
        <v>3496</v>
      </c>
      <c r="E11170">
        <v>80407140</v>
      </c>
    </row>
    <row r="11171" spans="1:6" x14ac:dyDescent="0.25">
      <c r="A11171">
        <v>11170</v>
      </c>
      <c r="B11171">
        <v>43</v>
      </c>
      <c r="C11171">
        <v>0</v>
      </c>
      <c r="D11171">
        <v>0</v>
      </c>
      <c r="E11171">
        <v>0</v>
      </c>
      <c r="F11171">
        <v>0</v>
      </c>
    </row>
    <row r="11172" spans="1:6" x14ac:dyDescent="0.25">
      <c r="A11172">
        <v>11171</v>
      </c>
      <c r="B11172" t="s">
        <v>0</v>
      </c>
      <c r="C11172">
        <v>168</v>
      </c>
      <c r="D11172">
        <v>3496</v>
      </c>
      <c r="E11172">
        <v>80407277</v>
      </c>
    </row>
    <row r="11173" spans="1:6" x14ac:dyDescent="0.25">
      <c r="A11173">
        <v>11172</v>
      </c>
      <c r="B11173">
        <v>45</v>
      </c>
      <c r="C11173">
        <v>0</v>
      </c>
      <c r="D11173">
        <v>0</v>
      </c>
      <c r="E11173">
        <v>0</v>
      </c>
      <c r="F11173">
        <v>516.89300000000003</v>
      </c>
    </row>
    <row r="11174" spans="1:6" x14ac:dyDescent="0.25">
      <c r="A11174">
        <v>11173</v>
      </c>
      <c r="B11174">
        <v>46</v>
      </c>
      <c r="C11174">
        <v>0</v>
      </c>
      <c r="D11174">
        <v>0</v>
      </c>
      <c r="E11174">
        <v>0</v>
      </c>
      <c r="F11174">
        <v>0</v>
      </c>
    </row>
    <row r="11175" spans="1:6" x14ac:dyDescent="0.25">
      <c r="A11175">
        <v>11174</v>
      </c>
      <c r="B11175">
        <v>2</v>
      </c>
      <c r="C11175">
        <v>0</v>
      </c>
      <c r="D11175">
        <v>0</v>
      </c>
      <c r="E11175">
        <v>0</v>
      </c>
      <c r="F11175">
        <v>243.84200000000001</v>
      </c>
    </row>
    <row r="11176" spans="1:6" x14ac:dyDescent="0.25">
      <c r="A11176">
        <v>11175</v>
      </c>
      <c r="B11176">
        <v>10</v>
      </c>
      <c r="C11176">
        <v>1</v>
      </c>
      <c r="D11176">
        <v>0</v>
      </c>
      <c r="E11176">
        <v>0</v>
      </c>
      <c r="F11176">
        <v>4844</v>
      </c>
    </row>
    <row r="11177" spans="1:6" x14ac:dyDescent="0.25">
      <c r="A11177">
        <v>11176</v>
      </c>
      <c r="B11177">
        <v>13</v>
      </c>
      <c r="C11177">
        <v>0</v>
      </c>
      <c r="D11177">
        <v>0</v>
      </c>
      <c r="E11177">
        <v>0</v>
      </c>
      <c r="F11177">
        <v>1609</v>
      </c>
    </row>
    <row r="11178" spans="1:6" x14ac:dyDescent="0.25">
      <c r="A11178">
        <v>11177</v>
      </c>
      <c r="B11178">
        <v>41</v>
      </c>
      <c r="C11178">
        <v>0</v>
      </c>
      <c r="D11178">
        <v>0</v>
      </c>
      <c r="E11178">
        <v>0</v>
      </c>
      <c r="F11178">
        <v>1</v>
      </c>
    </row>
    <row r="11179" spans="1:6" x14ac:dyDescent="0.25">
      <c r="A11179">
        <v>11178</v>
      </c>
      <c r="B11179">
        <v>42</v>
      </c>
      <c r="C11179">
        <v>0</v>
      </c>
      <c r="D11179">
        <v>0</v>
      </c>
      <c r="E11179">
        <v>0</v>
      </c>
      <c r="F11179">
        <v>0.2</v>
      </c>
    </row>
    <row r="11180" spans="1:6" x14ac:dyDescent="0.25">
      <c r="A11180">
        <v>11179</v>
      </c>
      <c r="B11180">
        <v>43</v>
      </c>
      <c r="C11180">
        <v>0</v>
      </c>
      <c r="D11180">
        <v>0</v>
      </c>
      <c r="E11180">
        <v>0</v>
      </c>
      <c r="F11180">
        <v>0</v>
      </c>
    </row>
    <row r="11181" spans="1:6" x14ac:dyDescent="0.25">
      <c r="A11181">
        <v>11180</v>
      </c>
      <c r="B11181">
        <v>44</v>
      </c>
      <c r="C11181">
        <v>0</v>
      </c>
      <c r="D11181">
        <v>0</v>
      </c>
      <c r="E11181">
        <v>0</v>
      </c>
      <c r="F11181">
        <v>-26.160799999999998</v>
      </c>
    </row>
    <row r="11182" spans="1:6" x14ac:dyDescent="0.25">
      <c r="A11182">
        <v>11181</v>
      </c>
      <c r="B11182">
        <v>45</v>
      </c>
      <c r="C11182">
        <v>0</v>
      </c>
      <c r="D11182">
        <v>0</v>
      </c>
      <c r="E11182">
        <v>0</v>
      </c>
      <c r="F11182">
        <v>516.87599999999998</v>
      </c>
    </row>
    <row r="11183" spans="1:6" x14ac:dyDescent="0.25">
      <c r="A11183">
        <v>11182</v>
      </c>
      <c r="B11183">
        <v>46</v>
      </c>
      <c r="C11183">
        <v>0</v>
      </c>
      <c r="D11183">
        <v>0</v>
      </c>
      <c r="E11183">
        <v>0</v>
      </c>
      <c r="F11183">
        <v>0</v>
      </c>
    </row>
    <row r="11184" spans="1:6" x14ac:dyDescent="0.25">
      <c r="A11184">
        <v>11183</v>
      </c>
      <c r="B11184">
        <v>2</v>
      </c>
      <c r="C11184">
        <v>0</v>
      </c>
      <c r="D11184">
        <v>0</v>
      </c>
      <c r="E11184">
        <v>0</v>
      </c>
      <c r="F11184">
        <v>243.773</v>
      </c>
    </row>
    <row r="11185" spans="1:6" x14ac:dyDescent="0.25">
      <c r="A11185">
        <v>11184</v>
      </c>
      <c r="B11185">
        <v>10</v>
      </c>
      <c r="C11185">
        <v>1</v>
      </c>
      <c r="D11185">
        <v>0</v>
      </c>
      <c r="E11185">
        <v>0</v>
      </c>
      <c r="F11185">
        <v>4847</v>
      </c>
    </row>
    <row r="11186" spans="1:6" x14ac:dyDescent="0.25">
      <c r="A11186">
        <v>11185</v>
      </c>
      <c r="B11186">
        <v>13</v>
      </c>
      <c r="C11186">
        <v>0</v>
      </c>
      <c r="D11186">
        <v>0</v>
      </c>
      <c r="E11186">
        <v>0</v>
      </c>
      <c r="F11186">
        <v>1609</v>
      </c>
    </row>
    <row r="11187" spans="1:6" x14ac:dyDescent="0.25">
      <c r="A11187">
        <v>11186</v>
      </c>
      <c r="B11187">
        <v>41</v>
      </c>
      <c r="C11187">
        <v>0</v>
      </c>
      <c r="D11187">
        <v>0</v>
      </c>
      <c r="E11187">
        <v>0</v>
      </c>
      <c r="F11187">
        <v>1</v>
      </c>
    </row>
    <row r="11188" spans="1:6" x14ac:dyDescent="0.25">
      <c r="A11188">
        <v>11187</v>
      </c>
      <c r="B11188">
        <v>42</v>
      </c>
      <c r="C11188">
        <v>0</v>
      </c>
      <c r="D11188">
        <v>0</v>
      </c>
      <c r="E11188">
        <v>0</v>
      </c>
      <c r="F11188">
        <v>0.2</v>
      </c>
    </row>
    <row r="11189" spans="1:6" x14ac:dyDescent="0.25">
      <c r="A11189">
        <v>11188</v>
      </c>
      <c r="B11189">
        <v>43</v>
      </c>
      <c r="C11189">
        <v>0</v>
      </c>
      <c r="D11189">
        <v>0</v>
      </c>
      <c r="E11189">
        <v>0</v>
      </c>
      <c r="F11189">
        <v>0</v>
      </c>
    </row>
    <row r="11190" spans="1:6" x14ac:dyDescent="0.25">
      <c r="A11190">
        <v>11189</v>
      </c>
      <c r="B11190">
        <v>44</v>
      </c>
      <c r="C11190">
        <v>0</v>
      </c>
      <c r="D11190">
        <v>0</v>
      </c>
      <c r="E11190">
        <v>0</v>
      </c>
      <c r="F11190">
        <v>-25.9877</v>
      </c>
    </row>
    <row r="11191" spans="1:6" x14ac:dyDescent="0.25">
      <c r="A11191">
        <v>11190</v>
      </c>
      <c r="B11191" t="s">
        <v>0</v>
      </c>
      <c r="C11191">
        <v>177</v>
      </c>
      <c r="D11191">
        <v>3496</v>
      </c>
      <c r="E11191">
        <v>80408501</v>
      </c>
    </row>
    <row r="11192" spans="1:6" x14ac:dyDescent="0.25">
      <c r="A11192">
        <v>11191</v>
      </c>
      <c r="B11192">
        <v>45</v>
      </c>
      <c r="C11192">
        <v>0</v>
      </c>
      <c r="D11192">
        <v>0</v>
      </c>
      <c r="E11192">
        <v>0</v>
      </c>
      <c r="F11192">
        <v>516.85400000000004</v>
      </c>
    </row>
    <row r="11193" spans="1:6" x14ac:dyDescent="0.25">
      <c r="A11193">
        <v>11192</v>
      </c>
      <c r="B11193">
        <v>46</v>
      </c>
      <c r="C11193">
        <v>0</v>
      </c>
      <c r="D11193">
        <v>0</v>
      </c>
      <c r="E11193">
        <v>0</v>
      </c>
      <c r="F11193">
        <v>0</v>
      </c>
    </row>
    <row r="11194" spans="1:6" x14ac:dyDescent="0.25">
      <c r="A11194">
        <v>11193</v>
      </c>
      <c r="B11194" t="s">
        <v>0</v>
      </c>
      <c r="C11194">
        <v>178</v>
      </c>
      <c r="D11194">
        <v>3496</v>
      </c>
      <c r="E11194">
        <v>80408638</v>
      </c>
    </row>
    <row r="11195" spans="1:6" x14ac:dyDescent="0.25">
      <c r="A11195">
        <v>11194</v>
      </c>
      <c r="B11195">
        <v>2</v>
      </c>
      <c r="C11195">
        <v>0</v>
      </c>
      <c r="D11195">
        <v>0</v>
      </c>
      <c r="E11195">
        <v>0</v>
      </c>
      <c r="F11195">
        <v>243.72800000000001</v>
      </c>
    </row>
    <row r="11196" spans="1:6" x14ac:dyDescent="0.25">
      <c r="A11196">
        <v>11195</v>
      </c>
      <c r="B11196">
        <v>10</v>
      </c>
      <c r="C11196">
        <v>1</v>
      </c>
      <c r="D11196">
        <v>0</v>
      </c>
      <c r="E11196">
        <v>0</v>
      </c>
      <c r="F11196">
        <v>4849</v>
      </c>
    </row>
    <row r="11197" spans="1:6" x14ac:dyDescent="0.25">
      <c r="A11197">
        <v>11196</v>
      </c>
      <c r="B11197">
        <v>13</v>
      </c>
      <c r="C11197">
        <v>0</v>
      </c>
      <c r="D11197">
        <v>0</v>
      </c>
      <c r="E11197">
        <v>0</v>
      </c>
      <c r="F11197">
        <v>1609</v>
      </c>
    </row>
    <row r="11198" spans="1:6" x14ac:dyDescent="0.25">
      <c r="A11198">
        <v>11197</v>
      </c>
      <c r="B11198">
        <v>41</v>
      </c>
      <c r="C11198">
        <v>0</v>
      </c>
      <c r="D11198">
        <v>0</v>
      </c>
      <c r="E11198">
        <v>0</v>
      </c>
      <c r="F11198">
        <v>1</v>
      </c>
    </row>
    <row r="11199" spans="1:6" x14ac:dyDescent="0.25">
      <c r="A11199">
        <v>11198</v>
      </c>
      <c r="B11199" t="s">
        <v>0</v>
      </c>
      <c r="C11199">
        <v>0</v>
      </c>
      <c r="D11199">
        <v>3497</v>
      </c>
      <c r="E11199">
        <v>80408912</v>
      </c>
    </row>
    <row r="11200" spans="1:6" x14ac:dyDescent="0.25">
      <c r="A11200">
        <v>11199</v>
      </c>
      <c r="B11200">
        <v>42</v>
      </c>
      <c r="C11200">
        <v>0</v>
      </c>
      <c r="D11200">
        <v>0</v>
      </c>
      <c r="E11200">
        <v>0</v>
      </c>
      <c r="F11200">
        <v>0.2</v>
      </c>
    </row>
    <row r="11201" spans="1:6" x14ac:dyDescent="0.25">
      <c r="A11201">
        <v>11200</v>
      </c>
      <c r="B11201">
        <v>43</v>
      </c>
      <c r="C11201">
        <v>0</v>
      </c>
      <c r="D11201">
        <v>0</v>
      </c>
      <c r="E11201">
        <v>0</v>
      </c>
      <c r="F11201">
        <v>0</v>
      </c>
    </row>
    <row r="11202" spans="1:6" x14ac:dyDescent="0.25">
      <c r="A11202">
        <v>11201</v>
      </c>
      <c r="B11202" t="s">
        <v>0</v>
      </c>
      <c r="C11202">
        <v>1</v>
      </c>
      <c r="D11202">
        <v>3497</v>
      </c>
      <c r="E11202">
        <v>80409049</v>
      </c>
    </row>
    <row r="11203" spans="1:6" x14ac:dyDescent="0.25">
      <c r="A11203">
        <v>11202</v>
      </c>
      <c r="B11203">
        <v>44</v>
      </c>
      <c r="C11203">
        <v>0</v>
      </c>
      <c r="D11203">
        <v>0</v>
      </c>
      <c r="E11203">
        <v>0</v>
      </c>
      <c r="F11203">
        <v>-25.782</v>
      </c>
    </row>
    <row r="11204" spans="1:6" x14ac:dyDescent="0.25">
      <c r="A11204">
        <v>11203</v>
      </c>
      <c r="B11204">
        <v>45</v>
      </c>
      <c r="C11204">
        <v>0</v>
      </c>
      <c r="D11204">
        <v>0</v>
      </c>
      <c r="E11204">
        <v>0</v>
      </c>
      <c r="F11204">
        <v>516.846</v>
      </c>
    </row>
    <row r="11205" spans="1:6" x14ac:dyDescent="0.25">
      <c r="A11205">
        <v>11204</v>
      </c>
      <c r="B11205" t="s">
        <v>0</v>
      </c>
      <c r="C11205">
        <v>2</v>
      </c>
      <c r="D11205">
        <v>3497</v>
      </c>
      <c r="E11205">
        <v>80409186</v>
      </c>
    </row>
    <row r="11206" spans="1:6" x14ac:dyDescent="0.25">
      <c r="A11206">
        <v>11205</v>
      </c>
      <c r="B11206">
        <v>46</v>
      </c>
      <c r="C11206">
        <v>0</v>
      </c>
      <c r="D11206">
        <v>0</v>
      </c>
      <c r="E11206">
        <v>0</v>
      </c>
      <c r="F11206">
        <v>0</v>
      </c>
    </row>
    <row r="11207" spans="1:6" x14ac:dyDescent="0.25">
      <c r="A11207">
        <v>11206</v>
      </c>
      <c r="B11207">
        <v>2</v>
      </c>
      <c r="C11207">
        <v>0</v>
      </c>
      <c r="D11207">
        <v>0</v>
      </c>
      <c r="E11207">
        <v>0</v>
      </c>
      <c r="F11207">
        <v>243.709</v>
      </c>
    </row>
    <row r="11208" spans="1:6" x14ac:dyDescent="0.25">
      <c r="A11208">
        <v>11207</v>
      </c>
      <c r="B11208" t="s">
        <v>0</v>
      </c>
      <c r="C11208">
        <v>3</v>
      </c>
      <c r="D11208">
        <v>3497</v>
      </c>
      <c r="E11208">
        <v>80409323</v>
      </c>
    </row>
    <row r="11209" spans="1:6" x14ac:dyDescent="0.25">
      <c r="A11209">
        <v>11208</v>
      </c>
      <c r="B11209">
        <v>10</v>
      </c>
      <c r="C11209">
        <v>1</v>
      </c>
      <c r="D11209">
        <v>0</v>
      </c>
      <c r="E11209">
        <v>0</v>
      </c>
      <c r="F11209">
        <v>4850</v>
      </c>
    </row>
    <row r="11210" spans="1:6" x14ac:dyDescent="0.25">
      <c r="A11210">
        <v>11209</v>
      </c>
      <c r="B11210">
        <v>13</v>
      </c>
      <c r="C11210">
        <v>0</v>
      </c>
      <c r="D11210">
        <v>0</v>
      </c>
      <c r="E11210">
        <v>0</v>
      </c>
      <c r="F11210">
        <v>1609</v>
      </c>
    </row>
    <row r="11211" spans="1:6" x14ac:dyDescent="0.25">
      <c r="A11211">
        <v>11210</v>
      </c>
      <c r="B11211" t="s">
        <v>0</v>
      </c>
      <c r="C11211">
        <v>4</v>
      </c>
      <c r="D11211">
        <v>3497</v>
      </c>
      <c r="E11211">
        <v>80409459</v>
      </c>
    </row>
    <row r="11212" spans="1:6" x14ac:dyDescent="0.25">
      <c r="A11212">
        <v>11211</v>
      </c>
      <c r="B11212">
        <v>42</v>
      </c>
      <c r="C11212">
        <v>0</v>
      </c>
      <c r="D11212">
        <v>0</v>
      </c>
      <c r="E11212">
        <v>0</v>
      </c>
      <c r="F11212">
        <v>0.2</v>
      </c>
    </row>
    <row r="11213" spans="1:6" x14ac:dyDescent="0.25">
      <c r="A11213">
        <v>11212</v>
      </c>
      <c r="B11213" t="s">
        <v>0</v>
      </c>
      <c r="C11213">
        <v>5</v>
      </c>
      <c r="D11213">
        <v>3497</v>
      </c>
      <c r="E11213">
        <v>80409595</v>
      </c>
    </row>
    <row r="11214" spans="1:6" x14ac:dyDescent="0.25">
      <c r="A11214">
        <v>11213</v>
      </c>
      <c r="B11214">
        <v>44</v>
      </c>
      <c r="C11214">
        <v>0</v>
      </c>
      <c r="D11214">
        <v>0</v>
      </c>
      <c r="E11214">
        <v>0</v>
      </c>
      <c r="F11214">
        <v>-25.622800000000002</v>
      </c>
    </row>
    <row r="11215" spans="1:6" x14ac:dyDescent="0.25">
      <c r="A11215">
        <v>11214</v>
      </c>
      <c r="B11215" t="s">
        <v>0</v>
      </c>
      <c r="C11215">
        <v>6</v>
      </c>
      <c r="D11215">
        <v>3497</v>
      </c>
      <c r="E11215">
        <v>80409731</v>
      </c>
    </row>
    <row r="11216" spans="1:6" x14ac:dyDescent="0.25">
      <c r="A11216">
        <v>11215</v>
      </c>
      <c r="B11216">
        <v>46</v>
      </c>
      <c r="C11216">
        <v>0</v>
      </c>
      <c r="D11216">
        <v>0</v>
      </c>
      <c r="E11216">
        <v>0</v>
      </c>
      <c r="F11216">
        <v>0</v>
      </c>
    </row>
    <row r="11217" spans="1:6" x14ac:dyDescent="0.25">
      <c r="A11217">
        <v>11216</v>
      </c>
      <c r="B11217" t="s">
        <v>0</v>
      </c>
      <c r="C11217">
        <v>7</v>
      </c>
      <c r="D11217">
        <v>3497</v>
      </c>
      <c r="E11217">
        <v>80409867</v>
      </c>
    </row>
    <row r="11218" spans="1:6" x14ac:dyDescent="0.25">
      <c r="A11218">
        <v>11217</v>
      </c>
      <c r="B11218">
        <v>10</v>
      </c>
      <c r="C11218">
        <v>1</v>
      </c>
      <c r="D11218">
        <v>0</v>
      </c>
      <c r="E11218">
        <v>0</v>
      </c>
      <c r="F11218">
        <v>4852</v>
      </c>
    </row>
    <row r="11219" spans="1:6" x14ac:dyDescent="0.25">
      <c r="A11219">
        <v>11218</v>
      </c>
      <c r="B11219" t="s">
        <v>0</v>
      </c>
      <c r="C11219">
        <v>8</v>
      </c>
      <c r="D11219">
        <v>3497</v>
      </c>
      <c r="E11219">
        <v>80410003</v>
      </c>
    </row>
    <row r="11220" spans="1:6" x14ac:dyDescent="0.25">
      <c r="A11220">
        <v>11219</v>
      </c>
      <c r="B11220">
        <v>41</v>
      </c>
      <c r="C11220">
        <v>0</v>
      </c>
      <c r="D11220">
        <v>0</v>
      </c>
      <c r="E11220">
        <v>0</v>
      </c>
      <c r="F11220">
        <v>1</v>
      </c>
    </row>
    <row r="11221" spans="1:6" x14ac:dyDescent="0.25">
      <c r="A11221">
        <v>11220</v>
      </c>
      <c r="B11221" t="s">
        <v>0</v>
      </c>
      <c r="C11221">
        <v>9</v>
      </c>
      <c r="D11221">
        <v>3497</v>
      </c>
      <c r="E11221">
        <v>80410139</v>
      </c>
    </row>
    <row r="11222" spans="1:6" x14ac:dyDescent="0.25">
      <c r="A11222">
        <v>11221</v>
      </c>
      <c r="B11222">
        <v>43</v>
      </c>
      <c r="C11222">
        <v>0</v>
      </c>
      <c r="D11222">
        <v>0</v>
      </c>
      <c r="E11222">
        <v>0</v>
      </c>
      <c r="F11222">
        <v>0</v>
      </c>
    </row>
    <row r="11223" spans="1:6" x14ac:dyDescent="0.25">
      <c r="A11223">
        <v>11222</v>
      </c>
      <c r="B11223" t="s">
        <v>0</v>
      </c>
      <c r="C11223">
        <v>10</v>
      </c>
      <c r="D11223">
        <v>3497</v>
      </c>
      <c r="E11223">
        <v>80410275</v>
      </c>
    </row>
    <row r="11224" spans="1:6" x14ac:dyDescent="0.25">
      <c r="A11224">
        <v>11223</v>
      </c>
      <c r="B11224">
        <v>45</v>
      </c>
      <c r="C11224">
        <v>0</v>
      </c>
      <c r="D11224">
        <v>0</v>
      </c>
      <c r="E11224">
        <v>0</v>
      </c>
      <c r="F11224">
        <v>516.80799999999999</v>
      </c>
    </row>
    <row r="11225" spans="1:6" x14ac:dyDescent="0.25">
      <c r="A11225">
        <v>11224</v>
      </c>
      <c r="B11225">
        <v>46</v>
      </c>
      <c r="C11225">
        <v>0</v>
      </c>
      <c r="D11225">
        <v>0</v>
      </c>
      <c r="E11225">
        <v>0</v>
      </c>
      <c r="F11225">
        <v>0</v>
      </c>
    </row>
    <row r="11226" spans="1:6" x14ac:dyDescent="0.25">
      <c r="A11226">
        <v>11225</v>
      </c>
      <c r="B11226">
        <v>2</v>
      </c>
      <c r="C11226">
        <v>0</v>
      </c>
      <c r="D11226">
        <v>0</v>
      </c>
      <c r="E11226">
        <v>0</v>
      </c>
      <c r="F11226">
        <v>243.64400000000001</v>
      </c>
    </row>
    <row r="11227" spans="1:6" x14ac:dyDescent="0.25">
      <c r="A11227">
        <v>11226</v>
      </c>
      <c r="B11227">
        <v>10</v>
      </c>
      <c r="C11227">
        <v>1</v>
      </c>
      <c r="D11227">
        <v>0</v>
      </c>
      <c r="E11227">
        <v>0</v>
      </c>
      <c r="F11227">
        <v>4853</v>
      </c>
    </row>
    <row r="11228" spans="1:6" x14ac:dyDescent="0.25">
      <c r="A11228">
        <v>11227</v>
      </c>
      <c r="B11228">
        <v>13</v>
      </c>
      <c r="C11228">
        <v>0</v>
      </c>
      <c r="D11228">
        <v>0</v>
      </c>
      <c r="E11228">
        <v>0</v>
      </c>
      <c r="F11228">
        <v>1609</v>
      </c>
    </row>
    <row r="11229" spans="1:6" x14ac:dyDescent="0.25">
      <c r="A11229">
        <v>11228</v>
      </c>
      <c r="B11229">
        <v>41</v>
      </c>
      <c r="C11229">
        <v>0</v>
      </c>
      <c r="D11229">
        <v>0</v>
      </c>
      <c r="E11229">
        <v>0</v>
      </c>
      <c r="F11229">
        <v>1</v>
      </c>
    </row>
    <row r="11230" spans="1:6" x14ac:dyDescent="0.25">
      <c r="A11230">
        <v>11229</v>
      </c>
      <c r="B11230">
        <v>42</v>
      </c>
      <c r="C11230">
        <v>0</v>
      </c>
      <c r="D11230">
        <v>0</v>
      </c>
      <c r="E11230">
        <v>0</v>
      </c>
      <c r="F11230">
        <v>0.2</v>
      </c>
    </row>
    <row r="11231" spans="1:6" x14ac:dyDescent="0.25">
      <c r="A11231">
        <v>11230</v>
      </c>
      <c r="B11231">
        <v>43</v>
      </c>
      <c r="C11231">
        <v>0</v>
      </c>
      <c r="D11231">
        <v>0</v>
      </c>
      <c r="E11231">
        <v>0</v>
      </c>
      <c r="F11231">
        <v>0</v>
      </c>
    </row>
    <row r="11232" spans="1:6" x14ac:dyDescent="0.25">
      <c r="A11232">
        <v>11231</v>
      </c>
      <c r="B11232">
        <v>44</v>
      </c>
      <c r="C11232">
        <v>0</v>
      </c>
      <c r="D11232">
        <v>0</v>
      </c>
      <c r="E11232">
        <v>0</v>
      </c>
      <c r="F11232">
        <v>-25.241900000000001</v>
      </c>
    </row>
    <row r="11233" spans="1:6" x14ac:dyDescent="0.25">
      <c r="A11233">
        <v>11232</v>
      </c>
      <c r="B11233">
        <v>45</v>
      </c>
      <c r="C11233">
        <v>0</v>
      </c>
      <c r="D11233">
        <v>0</v>
      </c>
      <c r="E11233">
        <v>0</v>
      </c>
      <c r="F11233">
        <v>516.79200000000003</v>
      </c>
    </row>
    <row r="11234" spans="1:6" x14ac:dyDescent="0.25">
      <c r="A11234">
        <v>11233</v>
      </c>
      <c r="B11234">
        <v>46</v>
      </c>
      <c r="C11234">
        <v>0</v>
      </c>
      <c r="D11234">
        <v>0</v>
      </c>
      <c r="E11234">
        <v>0</v>
      </c>
      <c r="F11234">
        <v>0</v>
      </c>
    </row>
    <row r="11235" spans="1:6" x14ac:dyDescent="0.25">
      <c r="A11235">
        <v>11234</v>
      </c>
      <c r="B11235">
        <v>2</v>
      </c>
      <c r="C11235">
        <v>0</v>
      </c>
      <c r="D11235">
        <v>0</v>
      </c>
      <c r="E11235">
        <v>0</v>
      </c>
      <c r="F11235">
        <v>243.62299999999999</v>
      </c>
    </row>
    <row r="11236" spans="1:6" x14ac:dyDescent="0.25">
      <c r="A11236">
        <v>11235</v>
      </c>
      <c r="B11236">
        <v>10</v>
      </c>
      <c r="C11236">
        <v>1</v>
      </c>
      <c r="D11236">
        <v>0</v>
      </c>
      <c r="E11236">
        <v>0</v>
      </c>
      <c r="F11236">
        <v>4854</v>
      </c>
    </row>
    <row r="11237" spans="1:6" x14ac:dyDescent="0.25">
      <c r="A11237">
        <v>11236</v>
      </c>
      <c r="B11237">
        <v>13</v>
      </c>
      <c r="C11237">
        <v>0</v>
      </c>
      <c r="D11237">
        <v>0</v>
      </c>
      <c r="E11237">
        <v>0</v>
      </c>
      <c r="F11237">
        <v>1609</v>
      </c>
    </row>
    <row r="11238" spans="1:6" x14ac:dyDescent="0.25">
      <c r="A11238">
        <v>11237</v>
      </c>
      <c r="B11238">
        <v>41</v>
      </c>
      <c r="C11238">
        <v>0</v>
      </c>
      <c r="D11238">
        <v>0</v>
      </c>
      <c r="E11238">
        <v>0</v>
      </c>
      <c r="F11238">
        <v>1</v>
      </c>
    </row>
    <row r="11239" spans="1:6" x14ac:dyDescent="0.25">
      <c r="A11239">
        <v>11238</v>
      </c>
      <c r="B11239">
        <v>42</v>
      </c>
      <c r="C11239">
        <v>0</v>
      </c>
      <c r="D11239">
        <v>0</v>
      </c>
      <c r="E11239">
        <v>0</v>
      </c>
      <c r="F11239">
        <v>0.2</v>
      </c>
    </row>
    <row r="11240" spans="1:6" x14ac:dyDescent="0.25">
      <c r="A11240">
        <v>11239</v>
      </c>
      <c r="B11240">
        <v>43</v>
      </c>
      <c r="C11240">
        <v>0</v>
      </c>
      <c r="D11240">
        <v>0</v>
      </c>
      <c r="E11240">
        <v>0</v>
      </c>
      <c r="F11240">
        <v>0</v>
      </c>
    </row>
    <row r="11241" spans="1:6" x14ac:dyDescent="0.25">
      <c r="A11241">
        <v>11240</v>
      </c>
      <c r="B11241">
        <v>44</v>
      </c>
      <c r="C11241">
        <v>0</v>
      </c>
      <c r="D11241">
        <v>0</v>
      </c>
      <c r="E11241">
        <v>0</v>
      </c>
      <c r="F11241">
        <v>-25.099299999999999</v>
      </c>
    </row>
    <row r="11242" spans="1:6" x14ac:dyDescent="0.25">
      <c r="A11242">
        <v>11241</v>
      </c>
      <c r="B11242" t="s">
        <v>0</v>
      </c>
      <c r="C11242">
        <v>19</v>
      </c>
      <c r="D11242">
        <v>3497</v>
      </c>
      <c r="E11242">
        <v>80411503</v>
      </c>
    </row>
    <row r="11243" spans="1:6" x14ac:dyDescent="0.25">
      <c r="A11243">
        <v>11242</v>
      </c>
      <c r="B11243">
        <v>45</v>
      </c>
      <c r="C11243">
        <v>0</v>
      </c>
      <c r="D11243">
        <v>0</v>
      </c>
      <c r="E11243">
        <v>0</v>
      </c>
      <c r="F11243">
        <v>516.77099999999996</v>
      </c>
    </row>
    <row r="11244" spans="1:6" x14ac:dyDescent="0.25">
      <c r="A11244">
        <v>11243</v>
      </c>
      <c r="B11244">
        <v>46</v>
      </c>
      <c r="C11244">
        <v>0</v>
      </c>
      <c r="D11244">
        <v>0</v>
      </c>
      <c r="E11244">
        <v>0</v>
      </c>
      <c r="F11244">
        <v>0</v>
      </c>
    </row>
    <row r="11245" spans="1:6" x14ac:dyDescent="0.25">
      <c r="A11245">
        <v>11244</v>
      </c>
      <c r="B11245" t="s">
        <v>0</v>
      </c>
      <c r="C11245">
        <v>20</v>
      </c>
      <c r="D11245">
        <v>3497</v>
      </c>
      <c r="E11245">
        <v>80411639</v>
      </c>
    </row>
    <row r="11246" spans="1:6" x14ac:dyDescent="0.25">
      <c r="A11246">
        <v>11245</v>
      </c>
      <c r="B11246">
        <v>2</v>
      </c>
      <c r="C11246">
        <v>0</v>
      </c>
      <c r="D11246">
        <v>0</v>
      </c>
      <c r="E11246">
        <v>0</v>
      </c>
      <c r="F11246">
        <v>243.60300000000001</v>
      </c>
    </row>
    <row r="11247" spans="1:6" x14ac:dyDescent="0.25">
      <c r="A11247">
        <v>11246</v>
      </c>
      <c r="B11247">
        <v>10</v>
      </c>
      <c r="C11247">
        <v>1</v>
      </c>
      <c r="D11247">
        <v>0</v>
      </c>
      <c r="E11247">
        <v>0</v>
      </c>
      <c r="F11247">
        <v>4856</v>
      </c>
    </row>
    <row r="11248" spans="1:6" x14ac:dyDescent="0.25">
      <c r="A11248">
        <v>11247</v>
      </c>
      <c r="B11248" t="s">
        <v>0</v>
      </c>
      <c r="C11248">
        <v>21</v>
      </c>
      <c r="D11248">
        <v>3497</v>
      </c>
      <c r="E11248">
        <v>80411775</v>
      </c>
    </row>
    <row r="11249" spans="1:6" x14ac:dyDescent="0.25">
      <c r="A11249">
        <v>11248</v>
      </c>
      <c r="B11249">
        <v>13</v>
      </c>
      <c r="C11249">
        <v>0</v>
      </c>
      <c r="D11249">
        <v>0</v>
      </c>
      <c r="E11249">
        <v>0</v>
      </c>
      <c r="F11249">
        <v>1609</v>
      </c>
    </row>
    <row r="11250" spans="1:6" x14ac:dyDescent="0.25">
      <c r="A11250">
        <v>11249</v>
      </c>
      <c r="B11250">
        <v>41</v>
      </c>
      <c r="C11250">
        <v>0</v>
      </c>
      <c r="D11250">
        <v>0</v>
      </c>
      <c r="E11250">
        <v>0</v>
      </c>
      <c r="F11250">
        <v>1</v>
      </c>
    </row>
    <row r="11251" spans="1:6" x14ac:dyDescent="0.25">
      <c r="A11251">
        <v>11250</v>
      </c>
      <c r="B11251" t="s">
        <v>0</v>
      </c>
      <c r="C11251">
        <v>22</v>
      </c>
      <c r="D11251">
        <v>3497</v>
      </c>
      <c r="E11251">
        <v>80411911</v>
      </c>
    </row>
    <row r="11252" spans="1:6" x14ac:dyDescent="0.25">
      <c r="A11252">
        <v>11251</v>
      </c>
      <c r="B11252">
        <v>42</v>
      </c>
      <c r="C11252">
        <v>0</v>
      </c>
      <c r="D11252">
        <v>0</v>
      </c>
      <c r="E11252">
        <v>0</v>
      </c>
      <c r="F11252">
        <v>0.2</v>
      </c>
    </row>
    <row r="11253" spans="1:6" x14ac:dyDescent="0.25">
      <c r="A11253">
        <v>11252</v>
      </c>
      <c r="B11253">
        <v>43</v>
      </c>
      <c r="C11253">
        <v>0</v>
      </c>
      <c r="D11253">
        <v>0</v>
      </c>
      <c r="E11253">
        <v>0</v>
      </c>
      <c r="F11253">
        <v>0</v>
      </c>
    </row>
    <row r="11254" spans="1:6" x14ac:dyDescent="0.25">
      <c r="A11254">
        <v>11253</v>
      </c>
      <c r="B11254" t="s">
        <v>0</v>
      </c>
      <c r="C11254">
        <v>23</v>
      </c>
      <c r="D11254">
        <v>3497</v>
      </c>
      <c r="E11254">
        <v>80412047</v>
      </c>
    </row>
    <row r="11255" spans="1:6" x14ac:dyDescent="0.25">
      <c r="A11255">
        <v>11254</v>
      </c>
      <c r="B11255">
        <v>44</v>
      </c>
      <c r="C11255">
        <v>0</v>
      </c>
      <c r="D11255">
        <v>0</v>
      </c>
      <c r="E11255">
        <v>0</v>
      </c>
      <c r="F11255">
        <v>-24.9068</v>
      </c>
    </row>
    <row r="11256" spans="1:6" x14ac:dyDescent="0.25">
      <c r="A11256">
        <v>11255</v>
      </c>
      <c r="B11256">
        <v>45</v>
      </c>
      <c r="C11256">
        <v>0</v>
      </c>
      <c r="D11256">
        <v>0</v>
      </c>
      <c r="E11256">
        <v>0</v>
      </c>
      <c r="F11256">
        <v>516.755</v>
      </c>
    </row>
    <row r="11257" spans="1:6" x14ac:dyDescent="0.25">
      <c r="A11257">
        <v>11256</v>
      </c>
      <c r="B11257" t="s">
        <v>0</v>
      </c>
      <c r="C11257">
        <v>24</v>
      </c>
      <c r="D11257">
        <v>3497</v>
      </c>
      <c r="E11257">
        <v>80412183</v>
      </c>
    </row>
    <row r="11258" spans="1:6" x14ac:dyDescent="0.25">
      <c r="A11258">
        <v>11257</v>
      </c>
      <c r="B11258">
        <v>46</v>
      </c>
      <c r="C11258">
        <v>0</v>
      </c>
      <c r="D11258">
        <v>0</v>
      </c>
      <c r="E11258">
        <v>0</v>
      </c>
      <c r="F11258">
        <v>0</v>
      </c>
    </row>
    <row r="11259" spans="1:6" x14ac:dyDescent="0.25">
      <c r="A11259">
        <v>11258</v>
      </c>
      <c r="B11259">
        <v>2</v>
      </c>
      <c r="C11259">
        <v>0</v>
      </c>
      <c r="D11259">
        <v>0</v>
      </c>
      <c r="E11259">
        <v>0</v>
      </c>
      <c r="F11259">
        <v>243.59</v>
      </c>
    </row>
    <row r="11260" spans="1:6" x14ac:dyDescent="0.25">
      <c r="A11260">
        <v>11259</v>
      </c>
      <c r="B11260" t="s">
        <v>0</v>
      </c>
      <c r="C11260">
        <v>25</v>
      </c>
      <c r="D11260">
        <v>3497</v>
      </c>
      <c r="E11260">
        <v>80412319</v>
      </c>
    </row>
    <row r="11261" spans="1:6" x14ac:dyDescent="0.25">
      <c r="A11261">
        <v>11260</v>
      </c>
      <c r="B11261">
        <v>13</v>
      </c>
      <c r="C11261">
        <v>0</v>
      </c>
      <c r="D11261">
        <v>0</v>
      </c>
      <c r="E11261">
        <v>0</v>
      </c>
      <c r="F11261">
        <v>1609</v>
      </c>
    </row>
    <row r="11262" spans="1:6" x14ac:dyDescent="0.25">
      <c r="A11262">
        <v>11261</v>
      </c>
      <c r="B11262" t="s">
        <v>0</v>
      </c>
      <c r="C11262">
        <v>26</v>
      </c>
      <c r="D11262">
        <v>3497</v>
      </c>
      <c r="E11262">
        <v>80412455</v>
      </c>
    </row>
    <row r="11263" spans="1:6" x14ac:dyDescent="0.25">
      <c r="A11263">
        <v>11262</v>
      </c>
      <c r="B11263">
        <v>42</v>
      </c>
      <c r="C11263">
        <v>0</v>
      </c>
      <c r="D11263">
        <v>0</v>
      </c>
      <c r="E11263">
        <v>0</v>
      </c>
      <c r="F11263">
        <v>0.2</v>
      </c>
    </row>
    <row r="11264" spans="1:6" x14ac:dyDescent="0.25">
      <c r="A11264">
        <v>11263</v>
      </c>
      <c r="B11264" t="s">
        <v>0</v>
      </c>
      <c r="C11264">
        <v>27</v>
      </c>
      <c r="D11264">
        <v>3497</v>
      </c>
      <c r="E11264">
        <v>80412591</v>
      </c>
    </row>
    <row r="11265" spans="1:6" x14ac:dyDescent="0.25">
      <c r="A11265">
        <v>11264</v>
      </c>
      <c r="B11265">
        <v>44</v>
      </c>
      <c r="C11265">
        <v>0</v>
      </c>
      <c r="D11265">
        <v>0</v>
      </c>
      <c r="E11265">
        <v>0</v>
      </c>
      <c r="F11265">
        <v>-24.728000000000002</v>
      </c>
    </row>
    <row r="11266" spans="1:6" x14ac:dyDescent="0.25">
      <c r="A11266">
        <v>11265</v>
      </c>
      <c r="B11266" t="s">
        <v>0</v>
      </c>
      <c r="C11266">
        <v>28</v>
      </c>
      <c r="D11266">
        <v>3497</v>
      </c>
      <c r="E11266">
        <v>80412727</v>
      </c>
    </row>
    <row r="11267" spans="1:6" x14ac:dyDescent="0.25">
      <c r="A11267">
        <v>11266</v>
      </c>
      <c r="B11267">
        <v>46</v>
      </c>
      <c r="C11267">
        <v>0</v>
      </c>
      <c r="D11267">
        <v>0</v>
      </c>
      <c r="E11267">
        <v>0</v>
      </c>
      <c r="F11267">
        <v>0</v>
      </c>
    </row>
    <row r="11268" spans="1:6" x14ac:dyDescent="0.25">
      <c r="A11268">
        <v>11267</v>
      </c>
      <c r="B11268" t="s">
        <v>0</v>
      </c>
      <c r="C11268">
        <v>29</v>
      </c>
      <c r="D11268">
        <v>3497</v>
      </c>
      <c r="E11268">
        <v>80412864</v>
      </c>
    </row>
    <row r="11269" spans="1:6" x14ac:dyDescent="0.25">
      <c r="A11269">
        <v>11268</v>
      </c>
      <c r="B11269">
        <v>10</v>
      </c>
      <c r="C11269">
        <v>1</v>
      </c>
      <c r="D11269">
        <v>0</v>
      </c>
      <c r="E11269">
        <v>0</v>
      </c>
      <c r="F11269">
        <v>4860</v>
      </c>
    </row>
    <row r="11270" spans="1:6" x14ac:dyDescent="0.25">
      <c r="A11270">
        <v>11269</v>
      </c>
      <c r="B11270" t="s">
        <v>0</v>
      </c>
      <c r="C11270">
        <v>30</v>
      </c>
      <c r="D11270">
        <v>3497</v>
      </c>
      <c r="E11270">
        <v>80413001</v>
      </c>
    </row>
    <row r="11271" spans="1:6" x14ac:dyDescent="0.25">
      <c r="A11271">
        <v>11270</v>
      </c>
      <c r="B11271">
        <v>41</v>
      </c>
      <c r="C11271">
        <v>0</v>
      </c>
      <c r="D11271">
        <v>0</v>
      </c>
      <c r="E11271">
        <v>0</v>
      </c>
      <c r="F11271">
        <v>1</v>
      </c>
    </row>
    <row r="11272" spans="1:6" x14ac:dyDescent="0.25">
      <c r="A11272">
        <v>11271</v>
      </c>
      <c r="B11272" t="s">
        <v>0</v>
      </c>
      <c r="C11272">
        <v>31</v>
      </c>
      <c r="D11272">
        <v>3497</v>
      </c>
      <c r="E11272">
        <v>80413138</v>
      </c>
    </row>
    <row r="11273" spans="1:6" x14ac:dyDescent="0.25">
      <c r="A11273">
        <v>11272</v>
      </c>
      <c r="B11273">
        <v>43</v>
      </c>
      <c r="C11273">
        <v>0</v>
      </c>
      <c r="D11273">
        <v>0</v>
      </c>
      <c r="E11273">
        <v>0</v>
      </c>
      <c r="F11273">
        <v>0</v>
      </c>
    </row>
    <row r="11274" spans="1:6" x14ac:dyDescent="0.25">
      <c r="A11274">
        <v>11273</v>
      </c>
      <c r="B11274">
        <v>44</v>
      </c>
      <c r="C11274">
        <v>0</v>
      </c>
      <c r="D11274">
        <v>0</v>
      </c>
      <c r="E11274">
        <v>0</v>
      </c>
      <c r="F11274">
        <v>-24.510899999999999</v>
      </c>
    </row>
    <row r="11275" spans="1:6" x14ac:dyDescent="0.25">
      <c r="A11275">
        <v>11274</v>
      </c>
      <c r="B11275">
        <v>45</v>
      </c>
      <c r="C11275">
        <v>0</v>
      </c>
      <c r="D11275">
        <v>0</v>
      </c>
      <c r="E11275">
        <v>0</v>
      </c>
      <c r="F11275">
        <v>516.71799999999996</v>
      </c>
    </row>
    <row r="11276" spans="1:6" x14ac:dyDescent="0.25">
      <c r="A11276">
        <v>11275</v>
      </c>
      <c r="B11276">
        <v>46</v>
      </c>
      <c r="C11276">
        <v>0</v>
      </c>
      <c r="D11276">
        <v>0</v>
      </c>
      <c r="E11276">
        <v>0</v>
      </c>
      <c r="F11276">
        <v>0</v>
      </c>
    </row>
    <row r="11277" spans="1:6" x14ac:dyDescent="0.25">
      <c r="A11277">
        <v>11276</v>
      </c>
      <c r="B11277">
        <v>2</v>
      </c>
      <c r="C11277">
        <v>0</v>
      </c>
      <c r="D11277">
        <v>0</v>
      </c>
      <c r="E11277">
        <v>0</v>
      </c>
      <c r="F11277">
        <v>243.44300000000001</v>
      </c>
    </row>
    <row r="11278" spans="1:6" x14ac:dyDescent="0.25">
      <c r="A11278">
        <v>11277</v>
      </c>
      <c r="B11278">
        <v>10</v>
      </c>
      <c r="C11278">
        <v>1</v>
      </c>
      <c r="D11278">
        <v>0</v>
      </c>
      <c r="E11278">
        <v>0</v>
      </c>
      <c r="F11278">
        <v>4862</v>
      </c>
    </row>
    <row r="11279" spans="1:6" x14ac:dyDescent="0.25">
      <c r="A11279">
        <v>11278</v>
      </c>
      <c r="B11279">
        <v>13</v>
      </c>
      <c r="C11279">
        <v>0</v>
      </c>
      <c r="D11279">
        <v>0</v>
      </c>
      <c r="E11279">
        <v>0</v>
      </c>
      <c r="F11279">
        <v>1609</v>
      </c>
    </row>
    <row r="11280" spans="1:6" x14ac:dyDescent="0.25">
      <c r="A11280">
        <v>11279</v>
      </c>
      <c r="B11280">
        <v>41</v>
      </c>
      <c r="C11280">
        <v>0</v>
      </c>
      <c r="D11280">
        <v>0</v>
      </c>
      <c r="E11280">
        <v>0</v>
      </c>
      <c r="F11280">
        <v>1</v>
      </c>
    </row>
    <row r="11281" spans="1:6" x14ac:dyDescent="0.25">
      <c r="A11281">
        <v>11280</v>
      </c>
      <c r="B11281">
        <v>42</v>
      </c>
      <c r="C11281">
        <v>0</v>
      </c>
      <c r="D11281">
        <v>0</v>
      </c>
      <c r="E11281">
        <v>0</v>
      </c>
      <c r="F11281">
        <v>0.2</v>
      </c>
    </row>
    <row r="11282" spans="1:6" x14ac:dyDescent="0.25">
      <c r="A11282">
        <v>11281</v>
      </c>
      <c r="B11282">
        <v>43</v>
      </c>
      <c r="C11282">
        <v>0</v>
      </c>
      <c r="D11282">
        <v>0</v>
      </c>
      <c r="E11282">
        <v>0</v>
      </c>
      <c r="F11282">
        <v>0</v>
      </c>
    </row>
    <row r="11283" spans="1:6" x14ac:dyDescent="0.25">
      <c r="A11283">
        <v>11282</v>
      </c>
      <c r="B11283">
        <v>44</v>
      </c>
      <c r="C11283">
        <v>0</v>
      </c>
      <c r="D11283">
        <v>0</v>
      </c>
      <c r="E11283">
        <v>0</v>
      </c>
      <c r="F11283">
        <v>-24.267600000000002</v>
      </c>
    </row>
    <row r="11284" spans="1:6" x14ac:dyDescent="0.25">
      <c r="A11284">
        <v>11283</v>
      </c>
      <c r="B11284">
        <v>45</v>
      </c>
      <c r="C11284">
        <v>0</v>
      </c>
      <c r="D11284">
        <v>0</v>
      </c>
      <c r="E11284">
        <v>0</v>
      </c>
      <c r="F11284">
        <v>516.702</v>
      </c>
    </row>
    <row r="11285" spans="1:6" x14ac:dyDescent="0.25">
      <c r="A11285">
        <v>11284</v>
      </c>
      <c r="B11285">
        <v>46</v>
      </c>
      <c r="C11285">
        <v>0</v>
      </c>
      <c r="D11285">
        <v>0</v>
      </c>
      <c r="E11285">
        <v>0</v>
      </c>
      <c r="F11285">
        <v>0</v>
      </c>
    </row>
    <row r="11286" spans="1:6" x14ac:dyDescent="0.25">
      <c r="A11286">
        <v>11285</v>
      </c>
      <c r="B11286">
        <v>2</v>
      </c>
      <c r="C11286">
        <v>0</v>
      </c>
      <c r="D11286">
        <v>0</v>
      </c>
      <c r="E11286">
        <v>0</v>
      </c>
      <c r="F11286">
        <v>243.39099999999999</v>
      </c>
    </row>
    <row r="11287" spans="1:6" x14ac:dyDescent="0.25">
      <c r="A11287">
        <v>11286</v>
      </c>
      <c r="B11287">
        <v>10</v>
      </c>
      <c r="C11287">
        <v>1</v>
      </c>
      <c r="D11287">
        <v>0</v>
      </c>
      <c r="E11287">
        <v>0</v>
      </c>
      <c r="F11287">
        <v>4864</v>
      </c>
    </row>
    <row r="11288" spans="1:6" x14ac:dyDescent="0.25">
      <c r="A11288">
        <v>11287</v>
      </c>
      <c r="B11288">
        <v>13</v>
      </c>
      <c r="C11288">
        <v>0</v>
      </c>
      <c r="D11288">
        <v>0</v>
      </c>
      <c r="E11288">
        <v>0</v>
      </c>
      <c r="F11288">
        <v>1609</v>
      </c>
    </row>
    <row r="11289" spans="1:6" x14ac:dyDescent="0.25">
      <c r="A11289">
        <v>11288</v>
      </c>
      <c r="B11289" t="s">
        <v>0</v>
      </c>
      <c r="C11289">
        <v>39</v>
      </c>
      <c r="D11289">
        <v>3497</v>
      </c>
      <c r="E11289">
        <v>80414232</v>
      </c>
    </row>
    <row r="11290" spans="1:6" x14ac:dyDescent="0.25">
      <c r="A11290">
        <v>11289</v>
      </c>
      <c r="B11290">
        <v>41</v>
      </c>
      <c r="C11290">
        <v>0</v>
      </c>
      <c r="D11290">
        <v>0</v>
      </c>
      <c r="E11290">
        <v>0</v>
      </c>
      <c r="F11290">
        <v>1</v>
      </c>
    </row>
    <row r="11291" spans="1:6" x14ac:dyDescent="0.25">
      <c r="A11291">
        <v>11290</v>
      </c>
      <c r="B11291">
        <v>42</v>
      </c>
      <c r="C11291">
        <v>0</v>
      </c>
      <c r="D11291">
        <v>0</v>
      </c>
      <c r="E11291">
        <v>0</v>
      </c>
      <c r="F11291">
        <v>0.2</v>
      </c>
    </row>
    <row r="11292" spans="1:6" x14ac:dyDescent="0.25">
      <c r="A11292">
        <v>11291</v>
      </c>
      <c r="B11292" t="s">
        <v>0</v>
      </c>
      <c r="C11292">
        <v>40</v>
      </c>
      <c r="D11292">
        <v>3497</v>
      </c>
      <c r="E11292">
        <v>80414368</v>
      </c>
    </row>
    <row r="11293" spans="1:6" x14ac:dyDescent="0.25">
      <c r="A11293">
        <v>11292</v>
      </c>
      <c r="B11293">
        <v>43</v>
      </c>
      <c r="C11293">
        <v>0</v>
      </c>
      <c r="D11293">
        <v>0</v>
      </c>
      <c r="E11293">
        <v>0</v>
      </c>
      <c r="F11293">
        <v>0</v>
      </c>
    </row>
    <row r="11294" spans="1:6" x14ac:dyDescent="0.25">
      <c r="A11294">
        <v>11293</v>
      </c>
      <c r="B11294">
        <v>44</v>
      </c>
      <c r="C11294">
        <v>0</v>
      </c>
      <c r="D11294">
        <v>0</v>
      </c>
      <c r="E11294">
        <v>0</v>
      </c>
      <c r="F11294">
        <v>-24.1023</v>
      </c>
    </row>
    <row r="11295" spans="1:6" x14ac:dyDescent="0.25">
      <c r="A11295">
        <v>11294</v>
      </c>
      <c r="B11295" t="s">
        <v>0</v>
      </c>
      <c r="C11295">
        <v>41</v>
      </c>
      <c r="D11295">
        <v>3497</v>
      </c>
      <c r="E11295">
        <v>80414504</v>
      </c>
    </row>
    <row r="11296" spans="1:6" x14ac:dyDescent="0.25">
      <c r="A11296">
        <v>11295</v>
      </c>
      <c r="B11296">
        <v>45</v>
      </c>
      <c r="C11296">
        <v>0</v>
      </c>
      <c r="D11296">
        <v>0</v>
      </c>
      <c r="E11296">
        <v>0</v>
      </c>
      <c r="F11296">
        <v>516.68200000000002</v>
      </c>
    </row>
    <row r="11297" spans="1:6" x14ac:dyDescent="0.25">
      <c r="A11297">
        <v>11296</v>
      </c>
      <c r="B11297">
        <v>46</v>
      </c>
      <c r="C11297">
        <v>0</v>
      </c>
      <c r="D11297">
        <v>0</v>
      </c>
      <c r="E11297">
        <v>0</v>
      </c>
      <c r="F11297">
        <v>0</v>
      </c>
    </row>
    <row r="11298" spans="1:6" x14ac:dyDescent="0.25">
      <c r="A11298">
        <v>11297</v>
      </c>
      <c r="B11298" t="s">
        <v>0</v>
      </c>
      <c r="C11298">
        <v>42</v>
      </c>
      <c r="D11298">
        <v>3497</v>
      </c>
      <c r="E11298">
        <v>80414640</v>
      </c>
    </row>
    <row r="11299" spans="1:6" x14ac:dyDescent="0.25">
      <c r="A11299">
        <v>11298</v>
      </c>
      <c r="B11299">
        <v>2</v>
      </c>
      <c r="C11299">
        <v>0</v>
      </c>
      <c r="D11299">
        <v>0</v>
      </c>
      <c r="E11299">
        <v>0</v>
      </c>
      <c r="F11299">
        <v>243.345</v>
      </c>
    </row>
    <row r="11300" spans="1:6" x14ac:dyDescent="0.25">
      <c r="A11300">
        <v>11299</v>
      </c>
      <c r="B11300">
        <v>10</v>
      </c>
      <c r="C11300">
        <v>1</v>
      </c>
      <c r="D11300">
        <v>0</v>
      </c>
      <c r="E11300">
        <v>0</v>
      </c>
      <c r="F11300">
        <v>4866</v>
      </c>
    </row>
    <row r="11301" spans="1:6" x14ac:dyDescent="0.25">
      <c r="A11301">
        <v>11300</v>
      </c>
      <c r="B11301" t="s">
        <v>0</v>
      </c>
      <c r="C11301">
        <v>43</v>
      </c>
      <c r="D11301">
        <v>3497</v>
      </c>
      <c r="E11301">
        <v>80414776</v>
      </c>
    </row>
    <row r="11302" spans="1:6" x14ac:dyDescent="0.25">
      <c r="A11302">
        <v>11301</v>
      </c>
      <c r="B11302">
        <v>13</v>
      </c>
      <c r="C11302">
        <v>0</v>
      </c>
      <c r="D11302">
        <v>0</v>
      </c>
      <c r="E11302">
        <v>0</v>
      </c>
      <c r="F11302">
        <v>1609</v>
      </c>
    </row>
    <row r="11303" spans="1:6" x14ac:dyDescent="0.25">
      <c r="A11303">
        <v>11302</v>
      </c>
      <c r="B11303">
        <v>41</v>
      </c>
      <c r="C11303">
        <v>0</v>
      </c>
      <c r="D11303">
        <v>0</v>
      </c>
      <c r="E11303">
        <v>0</v>
      </c>
      <c r="F11303">
        <v>1</v>
      </c>
    </row>
    <row r="11304" spans="1:6" x14ac:dyDescent="0.25">
      <c r="A11304">
        <v>11303</v>
      </c>
      <c r="B11304" t="s">
        <v>0</v>
      </c>
      <c r="C11304">
        <v>44</v>
      </c>
      <c r="D11304">
        <v>3497</v>
      </c>
      <c r="E11304">
        <v>80414913</v>
      </c>
    </row>
    <row r="11305" spans="1:6" x14ac:dyDescent="0.25">
      <c r="A11305">
        <v>11304</v>
      </c>
      <c r="B11305">
        <v>42</v>
      </c>
      <c r="C11305">
        <v>0</v>
      </c>
      <c r="D11305">
        <v>0</v>
      </c>
      <c r="E11305">
        <v>0</v>
      </c>
      <c r="F11305">
        <v>0.2</v>
      </c>
    </row>
    <row r="11306" spans="1:6" x14ac:dyDescent="0.25">
      <c r="A11306">
        <v>11305</v>
      </c>
      <c r="B11306">
        <v>43</v>
      </c>
      <c r="C11306">
        <v>0</v>
      </c>
      <c r="D11306">
        <v>0</v>
      </c>
      <c r="E11306">
        <v>0</v>
      </c>
      <c r="F11306">
        <v>0</v>
      </c>
    </row>
    <row r="11307" spans="1:6" x14ac:dyDescent="0.25">
      <c r="A11307">
        <v>11306</v>
      </c>
      <c r="B11307" t="s">
        <v>0</v>
      </c>
      <c r="C11307">
        <v>45</v>
      </c>
      <c r="D11307">
        <v>3497</v>
      </c>
      <c r="E11307">
        <v>80415050</v>
      </c>
    </row>
    <row r="11308" spans="1:6" x14ac:dyDescent="0.25">
      <c r="A11308">
        <v>11307</v>
      </c>
      <c r="B11308">
        <v>45</v>
      </c>
      <c r="C11308">
        <v>0</v>
      </c>
      <c r="D11308">
        <v>0</v>
      </c>
      <c r="E11308">
        <v>0</v>
      </c>
      <c r="F11308">
        <v>516.66600000000005</v>
      </c>
    </row>
    <row r="11309" spans="1:6" x14ac:dyDescent="0.25">
      <c r="A11309">
        <v>11308</v>
      </c>
      <c r="B11309" t="s">
        <v>0</v>
      </c>
      <c r="C11309">
        <v>46</v>
      </c>
      <c r="D11309">
        <v>3497</v>
      </c>
      <c r="E11309">
        <v>80415187</v>
      </c>
    </row>
    <row r="11310" spans="1:6" x14ac:dyDescent="0.25">
      <c r="A11310">
        <v>11309</v>
      </c>
      <c r="B11310">
        <v>2</v>
      </c>
      <c r="C11310">
        <v>0</v>
      </c>
      <c r="D11310">
        <v>0</v>
      </c>
      <c r="E11310">
        <v>0</v>
      </c>
      <c r="F11310">
        <v>243.31399999999999</v>
      </c>
    </row>
    <row r="11311" spans="1:6" x14ac:dyDescent="0.25">
      <c r="A11311">
        <v>11310</v>
      </c>
      <c r="B11311" t="s">
        <v>0</v>
      </c>
      <c r="C11311">
        <v>47</v>
      </c>
      <c r="D11311">
        <v>3497</v>
      </c>
      <c r="E11311">
        <v>80415324</v>
      </c>
    </row>
    <row r="11312" spans="1:6" x14ac:dyDescent="0.25">
      <c r="A11312">
        <v>11311</v>
      </c>
      <c r="B11312">
        <v>13</v>
      </c>
      <c r="C11312">
        <v>0</v>
      </c>
      <c r="D11312">
        <v>0</v>
      </c>
      <c r="E11312">
        <v>0</v>
      </c>
      <c r="F11312">
        <v>1609</v>
      </c>
    </row>
    <row r="11313" spans="1:6" x14ac:dyDescent="0.25">
      <c r="A11313">
        <v>11312</v>
      </c>
      <c r="B11313" t="s">
        <v>0</v>
      </c>
      <c r="C11313">
        <v>48</v>
      </c>
      <c r="D11313">
        <v>3497</v>
      </c>
      <c r="E11313">
        <v>80415460</v>
      </c>
    </row>
    <row r="11314" spans="1:6" x14ac:dyDescent="0.25">
      <c r="A11314">
        <v>11313</v>
      </c>
      <c r="B11314">
        <v>42</v>
      </c>
      <c r="C11314">
        <v>0</v>
      </c>
      <c r="D11314">
        <v>0</v>
      </c>
      <c r="E11314">
        <v>0</v>
      </c>
      <c r="F11314">
        <v>0.2</v>
      </c>
    </row>
    <row r="11315" spans="1:6" x14ac:dyDescent="0.25">
      <c r="A11315">
        <v>11314</v>
      </c>
      <c r="B11315" t="s">
        <v>0</v>
      </c>
      <c r="C11315">
        <v>49</v>
      </c>
      <c r="D11315">
        <v>3497</v>
      </c>
      <c r="E11315">
        <v>80415596</v>
      </c>
    </row>
    <row r="11316" spans="1:6" x14ac:dyDescent="0.25">
      <c r="A11316">
        <v>11315</v>
      </c>
      <c r="B11316">
        <v>44</v>
      </c>
      <c r="C11316">
        <v>0</v>
      </c>
      <c r="D11316">
        <v>0</v>
      </c>
      <c r="E11316">
        <v>0</v>
      </c>
      <c r="F11316">
        <v>-23.733799999999999</v>
      </c>
    </row>
    <row r="11317" spans="1:6" x14ac:dyDescent="0.25">
      <c r="A11317">
        <v>11316</v>
      </c>
      <c r="B11317" t="s">
        <v>0</v>
      </c>
      <c r="C11317">
        <v>50</v>
      </c>
      <c r="D11317">
        <v>3497</v>
      </c>
      <c r="E11317">
        <v>80415732</v>
      </c>
    </row>
    <row r="11318" spans="1:6" x14ac:dyDescent="0.25">
      <c r="A11318">
        <v>11317</v>
      </c>
      <c r="B11318">
        <v>46</v>
      </c>
      <c r="C11318">
        <v>0</v>
      </c>
      <c r="D11318">
        <v>0</v>
      </c>
      <c r="E11318">
        <v>0</v>
      </c>
      <c r="F11318">
        <v>0</v>
      </c>
    </row>
    <row r="11319" spans="1:6" x14ac:dyDescent="0.25">
      <c r="A11319">
        <v>11318</v>
      </c>
      <c r="B11319" t="s">
        <v>0</v>
      </c>
      <c r="C11319">
        <v>51</v>
      </c>
      <c r="D11319">
        <v>3497</v>
      </c>
      <c r="E11319">
        <v>80415868</v>
      </c>
    </row>
    <row r="11320" spans="1:6" x14ac:dyDescent="0.25">
      <c r="A11320">
        <v>11319</v>
      </c>
      <c r="B11320">
        <v>2</v>
      </c>
      <c r="C11320">
        <v>0</v>
      </c>
      <c r="D11320">
        <v>0</v>
      </c>
      <c r="E11320">
        <v>0</v>
      </c>
      <c r="F11320">
        <v>243.28299999999999</v>
      </c>
    </row>
    <row r="11321" spans="1:6" x14ac:dyDescent="0.25">
      <c r="A11321">
        <v>11320</v>
      </c>
      <c r="B11321">
        <v>10</v>
      </c>
      <c r="C11321">
        <v>1</v>
      </c>
      <c r="D11321">
        <v>0</v>
      </c>
      <c r="E11321">
        <v>0</v>
      </c>
      <c r="F11321">
        <v>4869</v>
      </c>
    </row>
    <row r="11322" spans="1:6" x14ac:dyDescent="0.25">
      <c r="A11322">
        <v>11321</v>
      </c>
      <c r="B11322">
        <v>13</v>
      </c>
      <c r="C11322">
        <v>0</v>
      </c>
      <c r="D11322">
        <v>0</v>
      </c>
      <c r="E11322">
        <v>0</v>
      </c>
      <c r="F11322">
        <v>1609</v>
      </c>
    </row>
    <row r="11323" spans="1:6" x14ac:dyDescent="0.25">
      <c r="A11323">
        <v>11322</v>
      </c>
      <c r="B11323">
        <v>41</v>
      </c>
      <c r="C11323">
        <v>0</v>
      </c>
      <c r="D11323">
        <v>0</v>
      </c>
      <c r="E11323">
        <v>0</v>
      </c>
      <c r="F11323">
        <v>1</v>
      </c>
    </row>
    <row r="11324" spans="1:6" x14ac:dyDescent="0.25">
      <c r="A11324">
        <v>11323</v>
      </c>
      <c r="B11324">
        <v>42</v>
      </c>
      <c r="C11324">
        <v>0</v>
      </c>
      <c r="D11324">
        <v>0</v>
      </c>
      <c r="E11324">
        <v>0</v>
      </c>
      <c r="F11324">
        <v>0.2</v>
      </c>
    </row>
    <row r="11325" spans="1:6" x14ac:dyDescent="0.25">
      <c r="A11325">
        <v>11324</v>
      </c>
      <c r="B11325">
        <v>43</v>
      </c>
      <c r="C11325">
        <v>0</v>
      </c>
      <c r="D11325">
        <v>0</v>
      </c>
      <c r="E11325">
        <v>0</v>
      </c>
      <c r="F11325">
        <v>0</v>
      </c>
    </row>
    <row r="11326" spans="1:6" x14ac:dyDescent="0.25">
      <c r="A11326">
        <v>11325</v>
      </c>
      <c r="B11326">
        <v>44</v>
      </c>
      <c r="C11326">
        <v>0</v>
      </c>
      <c r="D11326">
        <v>0</v>
      </c>
      <c r="E11326">
        <v>0</v>
      </c>
      <c r="F11326">
        <v>-23.532299999999999</v>
      </c>
    </row>
    <row r="11327" spans="1:6" x14ac:dyDescent="0.25">
      <c r="A11327">
        <v>11326</v>
      </c>
      <c r="B11327">
        <v>45</v>
      </c>
      <c r="C11327">
        <v>0</v>
      </c>
      <c r="D11327">
        <v>0</v>
      </c>
      <c r="E11327">
        <v>0</v>
      </c>
      <c r="F11327">
        <v>516.63099999999997</v>
      </c>
    </row>
    <row r="11328" spans="1:6" x14ac:dyDescent="0.25">
      <c r="A11328">
        <v>11327</v>
      </c>
      <c r="B11328">
        <v>46</v>
      </c>
      <c r="C11328">
        <v>0</v>
      </c>
      <c r="D11328">
        <v>0</v>
      </c>
      <c r="E11328">
        <v>0</v>
      </c>
      <c r="F11328">
        <v>0</v>
      </c>
    </row>
    <row r="11329" spans="1:6" x14ac:dyDescent="0.25">
      <c r="A11329">
        <v>11328</v>
      </c>
      <c r="B11329">
        <v>2</v>
      </c>
      <c r="C11329">
        <v>0</v>
      </c>
      <c r="D11329">
        <v>0</v>
      </c>
      <c r="E11329">
        <v>0</v>
      </c>
      <c r="F11329">
        <v>243.25899999999999</v>
      </c>
    </row>
    <row r="11330" spans="1:6" x14ac:dyDescent="0.25">
      <c r="A11330">
        <v>11329</v>
      </c>
      <c r="B11330">
        <v>10</v>
      </c>
      <c r="C11330">
        <v>1</v>
      </c>
      <c r="D11330">
        <v>0</v>
      </c>
      <c r="E11330">
        <v>0</v>
      </c>
      <c r="F11330">
        <v>4871</v>
      </c>
    </row>
    <row r="11331" spans="1:6" x14ac:dyDescent="0.25">
      <c r="A11331">
        <v>11330</v>
      </c>
      <c r="B11331">
        <v>13</v>
      </c>
      <c r="C11331">
        <v>0</v>
      </c>
      <c r="D11331">
        <v>0</v>
      </c>
      <c r="E11331">
        <v>0</v>
      </c>
      <c r="F11331">
        <v>1609</v>
      </c>
    </row>
    <row r="11332" spans="1:6" x14ac:dyDescent="0.25">
      <c r="A11332">
        <v>11331</v>
      </c>
      <c r="B11332">
        <v>41</v>
      </c>
      <c r="C11332">
        <v>0</v>
      </c>
      <c r="D11332">
        <v>0</v>
      </c>
      <c r="E11332">
        <v>0</v>
      </c>
      <c r="F11332">
        <v>1</v>
      </c>
    </row>
    <row r="11333" spans="1:6" x14ac:dyDescent="0.25">
      <c r="A11333">
        <v>11332</v>
      </c>
      <c r="B11333">
        <v>42</v>
      </c>
      <c r="C11333">
        <v>0</v>
      </c>
      <c r="D11333">
        <v>0</v>
      </c>
      <c r="E11333">
        <v>0</v>
      </c>
      <c r="F11333">
        <v>0.2</v>
      </c>
    </row>
    <row r="11334" spans="1:6" x14ac:dyDescent="0.25">
      <c r="A11334">
        <v>11333</v>
      </c>
      <c r="B11334">
        <v>43</v>
      </c>
      <c r="C11334">
        <v>0</v>
      </c>
      <c r="D11334">
        <v>0</v>
      </c>
      <c r="E11334">
        <v>0</v>
      </c>
      <c r="F11334">
        <v>0</v>
      </c>
    </row>
    <row r="11335" spans="1:6" x14ac:dyDescent="0.25">
      <c r="A11335">
        <v>11334</v>
      </c>
      <c r="B11335">
        <v>44</v>
      </c>
      <c r="C11335">
        <v>0</v>
      </c>
      <c r="D11335">
        <v>0</v>
      </c>
      <c r="E11335">
        <v>0</v>
      </c>
      <c r="F11335">
        <v>-23.3658</v>
      </c>
    </row>
    <row r="11336" spans="1:6" x14ac:dyDescent="0.25">
      <c r="A11336">
        <v>11335</v>
      </c>
      <c r="B11336" t="s">
        <v>0</v>
      </c>
      <c r="C11336">
        <v>59</v>
      </c>
      <c r="D11336">
        <v>3497</v>
      </c>
      <c r="E11336">
        <v>80416961</v>
      </c>
    </row>
    <row r="11337" spans="1:6" x14ac:dyDescent="0.25">
      <c r="A11337">
        <v>11336</v>
      </c>
      <c r="B11337">
        <v>45</v>
      </c>
      <c r="C11337">
        <v>0</v>
      </c>
      <c r="D11337">
        <v>0</v>
      </c>
      <c r="E11337">
        <v>0</v>
      </c>
      <c r="F11337">
        <v>516.61199999999997</v>
      </c>
    </row>
    <row r="11338" spans="1:6" x14ac:dyDescent="0.25">
      <c r="A11338">
        <v>11337</v>
      </c>
      <c r="B11338">
        <v>46</v>
      </c>
      <c r="C11338">
        <v>0</v>
      </c>
      <c r="D11338">
        <v>0</v>
      </c>
      <c r="E11338">
        <v>0</v>
      </c>
      <c r="F11338">
        <v>0</v>
      </c>
    </row>
    <row r="11339" spans="1:6" x14ac:dyDescent="0.25">
      <c r="A11339">
        <v>11338</v>
      </c>
      <c r="B11339" t="s">
        <v>0</v>
      </c>
      <c r="C11339">
        <v>60</v>
      </c>
      <c r="D11339">
        <v>3497</v>
      </c>
      <c r="E11339">
        <v>80417098</v>
      </c>
    </row>
    <row r="11340" spans="1:6" x14ac:dyDescent="0.25">
      <c r="A11340">
        <v>11339</v>
      </c>
      <c r="B11340">
        <v>2</v>
      </c>
      <c r="C11340">
        <v>0</v>
      </c>
      <c r="D11340">
        <v>0</v>
      </c>
      <c r="E11340">
        <v>0</v>
      </c>
      <c r="F11340">
        <v>243.244</v>
      </c>
    </row>
    <row r="11341" spans="1:6" x14ac:dyDescent="0.25">
      <c r="A11341">
        <v>11340</v>
      </c>
      <c r="B11341">
        <v>10</v>
      </c>
      <c r="C11341">
        <v>1</v>
      </c>
      <c r="D11341">
        <v>0</v>
      </c>
      <c r="E11341">
        <v>0</v>
      </c>
      <c r="F11341">
        <v>4872</v>
      </c>
    </row>
    <row r="11342" spans="1:6" x14ac:dyDescent="0.25">
      <c r="A11342">
        <v>11341</v>
      </c>
      <c r="B11342" t="s">
        <v>0</v>
      </c>
      <c r="C11342">
        <v>61</v>
      </c>
      <c r="D11342">
        <v>3497</v>
      </c>
      <c r="E11342">
        <v>80417235</v>
      </c>
    </row>
    <row r="11343" spans="1:6" x14ac:dyDescent="0.25">
      <c r="A11343">
        <v>11342</v>
      </c>
      <c r="B11343">
        <v>13</v>
      </c>
      <c r="C11343">
        <v>0</v>
      </c>
      <c r="D11343">
        <v>0</v>
      </c>
      <c r="E11343">
        <v>0</v>
      </c>
      <c r="F11343">
        <v>1609</v>
      </c>
    </row>
    <row r="11344" spans="1:6" x14ac:dyDescent="0.25">
      <c r="A11344">
        <v>11343</v>
      </c>
      <c r="B11344">
        <v>41</v>
      </c>
      <c r="C11344">
        <v>0</v>
      </c>
      <c r="D11344">
        <v>0</v>
      </c>
      <c r="E11344">
        <v>0</v>
      </c>
      <c r="F11344">
        <v>1</v>
      </c>
    </row>
    <row r="11345" spans="1:6" x14ac:dyDescent="0.25">
      <c r="A11345">
        <v>11344</v>
      </c>
      <c r="B11345" t="s">
        <v>0</v>
      </c>
      <c r="C11345">
        <v>62</v>
      </c>
      <c r="D11345">
        <v>3497</v>
      </c>
      <c r="E11345">
        <v>80417372</v>
      </c>
    </row>
    <row r="11346" spans="1:6" x14ac:dyDescent="0.25">
      <c r="A11346">
        <v>11345</v>
      </c>
      <c r="B11346">
        <v>42</v>
      </c>
      <c r="C11346">
        <v>0</v>
      </c>
      <c r="D11346">
        <v>0</v>
      </c>
      <c r="E11346">
        <v>0</v>
      </c>
      <c r="F11346">
        <v>0.2</v>
      </c>
    </row>
    <row r="11347" spans="1:6" x14ac:dyDescent="0.25">
      <c r="A11347">
        <v>11346</v>
      </c>
      <c r="B11347">
        <v>43</v>
      </c>
      <c r="C11347">
        <v>0</v>
      </c>
      <c r="D11347">
        <v>0</v>
      </c>
      <c r="E11347">
        <v>0</v>
      </c>
      <c r="F11347">
        <v>0</v>
      </c>
    </row>
    <row r="11348" spans="1:6" x14ac:dyDescent="0.25">
      <c r="A11348">
        <v>11347</v>
      </c>
      <c r="B11348" t="s">
        <v>0</v>
      </c>
      <c r="C11348">
        <v>63</v>
      </c>
      <c r="D11348">
        <v>3497</v>
      </c>
      <c r="E11348">
        <v>80417508</v>
      </c>
    </row>
    <row r="11349" spans="1:6" x14ac:dyDescent="0.25">
      <c r="A11349">
        <v>11348</v>
      </c>
      <c r="B11349">
        <v>44</v>
      </c>
      <c r="C11349">
        <v>0</v>
      </c>
      <c r="D11349">
        <v>0</v>
      </c>
      <c r="E11349">
        <v>0</v>
      </c>
      <c r="F11349">
        <v>-23.174800000000001</v>
      </c>
    </row>
    <row r="11350" spans="1:6" x14ac:dyDescent="0.25">
      <c r="A11350">
        <v>11349</v>
      </c>
      <c r="B11350">
        <v>45</v>
      </c>
      <c r="C11350">
        <v>0</v>
      </c>
      <c r="D11350">
        <v>0</v>
      </c>
      <c r="E11350">
        <v>0</v>
      </c>
      <c r="F11350">
        <v>516.59699999999998</v>
      </c>
    </row>
    <row r="11351" spans="1:6" x14ac:dyDescent="0.25">
      <c r="A11351">
        <v>11350</v>
      </c>
      <c r="B11351" t="s">
        <v>0</v>
      </c>
      <c r="C11351">
        <v>64</v>
      </c>
      <c r="D11351">
        <v>3497</v>
      </c>
      <c r="E11351">
        <v>80417644</v>
      </c>
    </row>
    <row r="11352" spans="1:6" x14ac:dyDescent="0.25">
      <c r="A11352">
        <v>11351</v>
      </c>
      <c r="B11352">
        <v>46</v>
      </c>
      <c r="C11352">
        <v>0</v>
      </c>
      <c r="D11352">
        <v>0</v>
      </c>
      <c r="E11352">
        <v>0</v>
      </c>
      <c r="F11352">
        <v>0</v>
      </c>
    </row>
    <row r="11353" spans="1:6" x14ac:dyDescent="0.25">
      <c r="A11353">
        <v>11352</v>
      </c>
      <c r="B11353">
        <v>2</v>
      </c>
      <c r="C11353">
        <v>0</v>
      </c>
      <c r="D11353">
        <v>0</v>
      </c>
      <c r="E11353">
        <v>0</v>
      </c>
      <c r="F11353">
        <v>243.233</v>
      </c>
    </row>
    <row r="11354" spans="1:6" x14ac:dyDescent="0.25">
      <c r="A11354">
        <v>11353</v>
      </c>
      <c r="B11354" t="s">
        <v>0</v>
      </c>
      <c r="C11354">
        <v>65</v>
      </c>
      <c r="D11354">
        <v>3497</v>
      </c>
      <c r="E11354">
        <v>80417780</v>
      </c>
    </row>
    <row r="11355" spans="1:6" x14ac:dyDescent="0.25">
      <c r="A11355">
        <v>11354</v>
      </c>
      <c r="B11355">
        <v>13</v>
      </c>
      <c r="C11355">
        <v>0</v>
      </c>
      <c r="D11355">
        <v>0</v>
      </c>
      <c r="E11355">
        <v>0</v>
      </c>
      <c r="F11355">
        <v>1609</v>
      </c>
    </row>
    <row r="11356" spans="1:6" x14ac:dyDescent="0.25">
      <c r="A11356">
        <v>11355</v>
      </c>
      <c r="B11356" t="s">
        <v>0</v>
      </c>
      <c r="C11356">
        <v>66</v>
      </c>
      <c r="D11356">
        <v>3497</v>
      </c>
      <c r="E11356">
        <v>80417916</v>
      </c>
    </row>
    <row r="11357" spans="1:6" x14ac:dyDescent="0.25">
      <c r="A11357">
        <v>11356</v>
      </c>
      <c r="B11357">
        <v>42</v>
      </c>
      <c r="C11357">
        <v>0</v>
      </c>
      <c r="D11357">
        <v>0</v>
      </c>
      <c r="E11357">
        <v>0</v>
      </c>
      <c r="F11357">
        <v>0.2</v>
      </c>
    </row>
    <row r="11358" spans="1:6" x14ac:dyDescent="0.25">
      <c r="A11358">
        <v>11357</v>
      </c>
      <c r="B11358" t="s">
        <v>0</v>
      </c>
      <c r="C11358">
        <v>67</v>
      </c>
      <c r="D11358">
        <v>3497</v>
      </c>
      <c r="E11358">
        <v>80418053</v>
      </c>
    </row>
    <row r="11359" spans="1:6" x14ac:dyDescent="0.25">
      <c r="A11359">
        <v>11358</v>
      </c>
      <c r="B11359">
        <v>44</v>
      </c>
      <c r="C11359">
        <v>0</v>
      </c>
      <c r="D11359">
        <v>0</v>
      </c>
      <c r="E11359">
        <v>0</v>
      </c>
      <c r="F11359">
        <v>-23.0303</v>
      </c>
    </row>
    <row r="11360" spans="1:6" x14ac:dyDescent="0.25">
      <c r="A11360">
        <v>11359</v>
      </c>
      <c r="B11360" t="s">
        <v>0</v>
      </c>
      <c r="C11360">
        <v>68</v>
      </c>
      <c r="D11360">
        <v>3497</v>
      </c>
      <c r="E11360">
        <v>80418190</v>
      </c>
    </row>
    <row r="11361" spans="1:6" x14ac:dyDescent="0.25">
      <c r="A11361">
        <v>11360</v>
      </c>
      <c r="B11361">
        <v>46</v>
      </c>
      <c r="C11361">
        <v>0</v>
      </c>
      <c r="D11361">
        <v>0</v>
      </c>
      <c r="E11361">
        <v>0</v>
      </c>
      <c r="F11361">
        <v>0</v>
      </c>
    </row>
    <row r="11362" spans="1:6" x14ac:dyDescent="0.25">
      <c r="A11362">
        <v>11361</v>
      </c>
      <c r="B11362" t="s">
        <v>0</v>
      </c>
      <c r="C11362">
        <v>69</v>
      </c>
      <c r="D11362">
        <v>3497</v>
      </c>
      <c r="E11362">
        <v>80418326</v>
      </c>
    </row>
    <row r="11363" spans="1:6" x14ac:dyDescent="0.25">
      <c r="A11363">
        <v>11362</v>
      </c>
      <c r="B11363">
        <v>10</v>
      </c>
      <c r="C11363">
        <v>1</v>
      </c>
      <c r="D11363">
        <v>0</v>
      </c>
      <c r="E11363">
        <v>0</v>
      </c>
      <c r="F11363">
        <v>4875</v>
      </c>
    </row>
    <row r="11364" spans="1:6" x14ac:dyDescent="0.25">
      <c r="A11364">
        <v>11363</v>
      </c>
      <c r="B11364" t="s">
        <v>0</v>
      </c>
      <c r="C11364">
        <v>70</v>
      </c>
      <c r="D11364">
        <v>3497</v>
      </c>
      <c r="E11364">
        <v>80418463</v>
      </c>
    </row>
    <row r="11365" spans="1:6" x14ac:dyDescent="0.25">
      <c r="A11365">
        <v>11364</v>
      </c>
      <c r="B11365">
        <v>41</v>
      </c>
      <c r="C11365">
        <v>0</v>
      </c>
      <c r="D11365">
        <v>0</v>
      </c>
      <c r="E11365">
        <v>0</v>
      </c>
      <c r="F11365">
        <v>1</v>
      </c>
    </row>
    <row r="11366" spans="1:6" x14ac:dyDescent="0.25">
      <c r="A11366">
        <v>11365</v>
      </c>
      <c r="B11366" t="s">
        <v>0</v>
      </c>
      <c r="C11366">
        <v>71</v>
      </c>
      <c r="D11366">
        <v>3497</v>
      </c>
      <c r="E11366">
        <v>80418600</v>
      </c>
    </row>
    <row r="11367" spans="1:6" x14ac:dyDescent="0.25">
      <c r="A11367">
        <v>11366</v>
      </c>
      <c r="B11367">
        <v>43</v>
      </c>
      <c r="C11367">
        <v>0</v>
      </c>
      <c r="D11367">
        <v>0</v>
      </c>
      <c r="E11367">
        <v>0</v>
      </c>
      <c r="F11367">
        <v>0</v>
      </c>
    </row>
    <row r="11368" spans="1:6" x14ac:dyDescent="0.25">
      <c r="A11368">
        <v>11367</v>
      </c>
      <c r="B11368">
        <v>44</v>
      </c>
      <c r="C11368">
        <v>0</v>
      </c>
      <c r="D11368">
        <v>0</v>
      </c>
      <c r="E11368">
        <v>0</v>
      </c>
      <c r="F11368">
        <v>-22.807400000000001</v>
      </c>
    </row>
    <row r="11369" spans="1:6" x14ac:dyDescent="0.25">
      <c r="A11369">
        <v>11368</v>
      </c>
      <c r="B11369">
        <v>45</v>
      </c>
      <c r="C11369">
        <v>0</v>
      </c>
      <c r="D11369">
        <v>0</v>
      </c>
      <c r="E11369">
        <v>0</v>
      </c>
      <c r="F11369">
        <v>516.56299999999999</v>
      </c>
    </row>
    <row r="11370" spans="1:6" x14ac:dyDescent="0.25">
      <c r="A11370">
        <v>11369</v>
      </c>
      <c r="B11370">
        <v>46</v>
      </c>
      <c r="C11370">
        <v>0</v>
      </c>
      <c r="D11370">
        <v>0</v>
      </c>
      <c r="E11370">
        <v>0</v>
      </c>
      <c r="F11370">
        <v>0</v>
      </c>
    </row>
    <row r="11371" spans="1:6" x14ac:dyDescent="0.25">
      <c r="A11371">
        <v>11370</v>
      </c>
      <c r="B11371">
        <v>2</v>
      </c>
      <c r="C11371">
        <v>0</v>
      </c>
      <c r="D11371">
        <v>0</v>
      </c>
      <c r="E11371">
        <v>0</v>
      </c>
      <c r="F11371">
        <v>243.11199999999999</v>
      </c>
    </row>
    <row r="11372" spans="1:6" x14ac:dyDescent="0.25">
      <c r="A11372">
        <v>11371</v>
      </c>
      <c r="B11372">
        <v>10</v>
      </c>
      <c r="C11372">
        <v>1</v>
      </c>
      <c r="D11372">
        <v>0</v>
      </c>
      <c r="E11372">
        <v>0</v>
      </c>
      <c r="F11372">
        <v>4877</v>
      </c>
    </row>
    <row r="11373" spans="1:6" x14ac:dyDescent="0.25">
      <c r="A11373">
        <v>11372</v>
      </c>
      <c r="B11373">
        <v>13</v>
      </c>
      <c r="C11373">
        <v>0</v>
      </c>
      <c r="D11373">
        <v>0</v>
      </c>
      <c r="E11373">
        <v>0</v>
      </c>
      <c r="F11373">
        <v>1609</v>
      </c>
    </row>
    <row r="11374" spans="1:6" x14ac:dyDescent="0.25">
      <c r="A11374">
        <v>11373</v>
      </c>
      <c r="B11374">
        <v>41</v>
      </c>
      <c r="C11374">
        <v>0</v>
      </c>
      <c r="D11374">
        <v>0</v>
      </c>
      <c r="E11374">
        <v>0</v>
      </c>
      <c r="F11374">
        <v>1</v>
      </c>
    </row>
    <row r="11375" spans="1:6" x14ac:dyDescent="0.25">
      <c r="A11375">
        <v>11374</v>
      </c>
      <c r="B11375">
        <v>42</v>
      </c>
      <c r="C11375">
        <v>0</v>
      </c>
      <c r="D11375">
        <v>0</v>
      </c>
      <c r="E11375">
        <v>0</v>
      </c>
      <c r="F11375">
        <v>0.2</v>
      </c>
    </row>
    <row r="11376" spans="1:6" x14ac:dyDescent="0.25">
      <c r="A11376">
        <v>11375</v>
      </c>
      <c r="B11376">
        <v>43</v>
      </c>
      <c r="C11376">
        <v>0</v>
      </c>
      <c r="D11376">
        <v>0</v>
      </c>
      <c r="E11376">
        <v>0</v>
      </c>
      <c r="F11376">
        <v>0</v>
      </c>
    </row>
    <row r="11377" spans="1:6" x14ac:dyDescent="0.25">
      <c r="A11377">
        <v>11376</v>
      </c>
      <c r="B11377">
        <v>44</v>
      </c>
      <c r="C11377">
        <v>0</v>
      </c>
      <c r="D11377">
        <v>0</v>
      </c>
      <c r="E11377">
        <v>0</v>
      </c>
      <c r="F11377">
        <v>-22.585000000000001</v>
      </c>
    </row>
    <row r="11378" spans="1:6" x14ac:dyDescent="0.25">
      <c r="A11378">
        <v>11377</v>
      </c>
      <c r="B11378">
        <v>45</v>
      </c>
      <c r="C11378">
        <v>0</v>
      </c>
      <c r="D11378">
        <v>0</v>
      </c>
      <c r="E11378">
        <v>0</v>
      </c>
      <c r="F11378">
        <v>516.548</v>
      </c>
    </row>
    <row r="11379" spans="1:6" x14ac:dyDescent="0.25">
      <c r="A11379">
        <v>11378</v>
      </c>
      <c r="B11379">
        <v>46</v>
      </c>
      <c r="C11379">
        <v>0</v>
      </c>
      <c r="D11379">
        <v>0</v>
      </c>
      <c r="E11379">
        <v>0</v>
      </c>
      <c r="F11379">
        <v>0</v>
      </c>
    </row>
    <row r="11380" spans="1:6" x14ac:dyDescent="0.25">
      <c r="A11380">
        <v>11379</v>
      </c>
      <c r="B11380">
        <v>2</v>
      </c>
      <c r="C11380">
        <v>0</v>
      </c>
      <c r="D11380">
        <v>0</v>
      </c>
      <c r="E11380">
        <v>0</v>
      </c>
      <c r="F11380">
        <v>243.05799999999999</v>
      </c>
    </row>
    <row r="11381" spans="1:6" x14ac:dyDescent="0.25">
      <c r="A11381">
        <v>11380</v>
      </c>
      <c r="B11381" t="s">
        <v>0</v>
      </c>
      <c r="C11381">
        <v>78</v>
      </c>
      <c r="D11381">
        <v>3497</v>
      </c>
      <c r="E11381">
        <v>80419556</v>
      </c>
    </row>
    <row r="11382" spans="1:6" x14ac:dyDescent="0.25">
      <c r="A11382">
        <v>11381</v>
      </c>
      <c r="B11382">
        <v>10</v>
      </c>
      <c r="C11382">
        <v>1</v>
      </c>
      <c r="D11382">
        <v>0</v>
      </c>
      <c r="E11382">
        <v>0</v>
      </c>
      <c r="F11382">
        <v>4880</v>
      </c>
    </row>
    <row r="11383" spans="1:6" x14ac:dyDescent="0.25">
      <c r="A11383">
        <v>11382</v>
      </c>
      <c r="B11383">
        <v>13</v>
      </c>
      <c r="C11383">
        <v>0</v>
      </c>
      <c r="D11383">
        <v>0</v>
      </c>
      <c r="E11383">
        <v>0</v>
      </c>
      <c r="F11383">
        <v>1609</v>
      </c>
    </row>
    <row r="11384" spans="1:6" x14ac:dyDescent="0.25">
      <c r="A11384">
        <v>11383</v>
      </c>
      <c r="B11384" t="s">
        <v>0</v>
      </c>
      <c r="C11384">
        <v>79</v>
      </c>
      <c r="D11384">
        <v>3497</v>
      </c>
      <c r="E11384">
        <v>80419693</v>
      </c>
    </row>
    <row r="11385" spans="1:6" x14ac:dyDescent="0.25">
      <c r="A11385">
        <v>11384</v>
      </c>
      <c r="B11385">
        <v>41</v>
      </c>
      <c r="C11385">
        <v>0</v>
      </c>
      <c r="D11385">
        <v>0</v>
      </c>
      <c r="E11385">
        <v>0</v>
      </c>
      <c r="F11385">
        <v>1</v>
      </c>
    </row>
    <row r="11386" spans="1:6" x14ac:dyDescent="0.25">
      <c r="A11386">
        <v>11385</v>
      </c>
      <c r="B11386">
        <v>42</v>
      </c>
      <c r="C11386">
        <v>0</v>
      </c>
      <c r="D11386">
        <v>0</v>
      </c>
      <c r="E11386">
        <v>0</v>
      </c>
      <c r="F11386">
        <v>0.2</v>
      </c>
    </row>
    <row r="11387" spans="1:6" x14ac:dyDescent="0.25">
      <c r="A11387">
        <v>11386</v>
      </c>
      <c r="B11387" t="s">
        <v>0</v>
      </c>
      <c r="C11387">
        <v>80</v>
      </c>
      <c r="D11387">
        <v>3497</v>
      </c>
      <c r="E11387">
        <v>80419830</v>
      </c>
    </row>
    <row r="11388" spans="1:6" x14ac:dyDescent="0.25">
      <c r="A11388">
        <v>11387</v>
      </c>
      <c r="B11388">
        <v>43</v>
      </c>
      <c r="C11388">
        <v>0</v>
      </c>
      <c r="D11388">
        <v>0</v>
      </c>
      <c r="E11388">
        <v>0</v>
      </c>
      <c r="F11388">
        <v>0</v>
      </c>
    </row>
    <row r="11389" spans="1:6" x14ac:dyDescent="0.25">
      <c r="A11389">
        <v>11388</v>
      </c>
      <c r="B11389">
        <v>44</v>
      </c>
      <c r="C11389">
        <v>0</v>
      </c>
      <c r="D11389">
        <v>0</v>
      </c>
      <c r="E11389">
        <v>0</v>
      </c>
      <c r="F11389">
        <v>-22.389299999999999</v>
      </c>
    </row>
    <row r="11390" spans="1:6" x14ac:dyDescent="0.25">
      <c r="A11390">
        <v>11389</v>
      </c>
      <c r="B11390" t="s">
        <v>0</v>
      </c>
      <c r="C11390">
        <v>81</v>
      </c>
      <c r="D11390">
        <v>3497</v>
      </c>
      <c r="E11390">
        <v>80419966</v>
      </c>
    </row>
    <row r="11391" spans="1:6" x14ac:dyDescent="0.25">
      <c r="A11391">
        <v>11390</v>
      </c>
      <c r="B11391">
        <v>45</v>
      </c>
      <c r="C11391">
        <v>0</v>
      </c>
      <c r="D11391">
        <v>0</v>
      </c>
      <c r="E11391">
        <v>0</v>
      </c>
      <c r="F11391">
        <v>516.529</v>
      </c>
    </row>
    <row r="11392" spans="1:6" x14ac:dyDescent="0.25">
      <c r="A11392">
        <v>11391</v>
      </c>
      <c r="B11392">
        <v>46</v>
      </c>
      <c r="C11392">
        <v>0</v>
      </c>
      <c r="D11392">
        <v>0</v>
      </c>
      <c r="E11392">
        <v>0</v>
      </c>
      <c r="F11392">
        <v>0</v>
      </c>
    </row>
    <row r="11393" spans="1:6" x14ac:dyDescent="0.25">
      <c r="A11393">
        <v>11392</v>
      </c>
      <c r="B11393" t="s">
        <v>0</v>
      </c>
      <c r="C11393">
        <v>82</v>
      </c>
      <c r="D11393">
        <v>3497</v>
      </c>
      <c r="E11393">
        <v>80420103</v>
      </c>
    </row>
    <row r="11394" spans="1:6" x14ac:dyDescent="0.25">
      <c r="A11394">
        <v>11393</v>
      </c>
      <c r="B11394">
        <v>2</v>
      </c>
      <c r="C11394">
        <v>0</v>
      </c>
      <c r="D11394">
        <v>0</v>
      </c>
      <c r="E11394">
        <v>0</v>
      </c>
      <c r="F11394">
        <v>243.005</v>
      </c>
    </row>
    <row r="11395" spans="1:6" x14ac:dyDescent="0.25">
      <c r="A11395">
        <v>11394</v>
      </c>
      <c r="B11395">
        <v>10</v>
      </c>
      <c r="C11395">
        <v>1</v>
      </c>
      <c r="D11395">
        <v>0</v>
      </c>
      <c r="E11395">
        <v>0</v>
      </c>
      <c r="F11395">
        <v>4882</v>
      </c>
    </row>
    <row r="11396" spans="1:6" x14ac:dyDescent="0.25">
      <c r="A11396">
        <v>11395</v>
      </c>
      <c r="B11396" t="s">
        <v>0</v>
      </c>
      <c r="C11396">
        <v>83</v>
      </c>
      <c r="D11396">
        <v>3497</v>
      </c>
      <c r="E11396">
        <v>80420240</v>
      </c>
    </row>
    <row r="11397" spans="1:6" x14ac:dyDescent="0.25">
      <c r="A11397">
        <v>11396</v>
      </c>
      <c r="B11397">
        <v>41</v>
      </c>
      <c r="C11397">
        <v>0</v>
      </c>
      <c r="D11397">
        <v>0</v>
      </c>
      <c r="E11397">
        <v>0</v>
      </c>
      <c r="F11397">
        <v>1</v>
      </c>
    </row>
    <row r="11398" spans="1:6" x14ac:dyDescent="0.25">
      <c r="A11398">
        <v>11397</v>
      </c>
      <c r="B11398" t="s">
        <v>0</v>
      </c>
      <c r="C11398">
        <v>84</v>
      </c>
      <c r="D11398">
        <v>3497</v>
      </c>
      <c r="E11398">
        <v>80420377</v>
      </c>
    </row>
    <row r="11399" spans="1:6" x14ac:dyDescent="0.25">
      <c r="A11399">
        <v>11398</v>
      </c>
      <c r="B11399">
        <v>43</v>
      </c>
      <c r="C11399">
        <v>0</v>
      </c>
      <c r="D11399">
        <v>0</v>
      </c>
      <c r="E11399">
        <v>0</v>
      </c>
      <c r="F11399">
        <v>0</v>
      </c>
    </row>
    <row r="11400" spans="1:6" x14ac:dyDescent="0.25">
      <c r="A11400">
        <v>11399</v>
      </c>
      <c r="B11400" t="s">
        <v>0</v>
      </c>
      <c r="C11400">
        <v>85</v>
      </c>
      <c r="D11400">
        <v>3497</v>
      </c>
      <c r="E11400">
        <v>80420514</v>
      </c>
    </row>
    <row r="11401" spans="1:6" x14ac:dyDescent="0.25">
      <c r="A11401">
        <v>11400</v>
      </c>
      <c r="B11401">
        <v>45</v>
      </c>
      <c r="C11401">
        <v>0</v>
      </c>
      <c r="D11401">
        <v>0</v>
      </c>
      <c r="E11401">
        <v>0</v>
      </c>
      <c r="F11401">
        <v>516.51499999999999</v>
      </c>
    </row>
    <row r="11402" spans="1:6" x14ac:dyDescent="0.25">
      <c r="A11402">
        <v>11401</v>
      </c>
      <c r="B11402" t="s">
        <v>0</v>
      </c>
      <c r="C11402">
        <v>86</v>
      </c>
      <c r="D11402">
        <v>3497</v>
      </c>
      <c r="E11402">
        <v>80420651</v>
      </c>
    </row>
    <row r="11403" spans="1:6" x14ac:dyDescent="0.25">
      <c r="A11403">
        <v>11402</v>
      </c>
      <c r="B11403">
        <v>2</v>
      </c>
      <c r="C11403">
        <v>0</v>
      </c>
      <c r="D11403">
        <v>0</v>
      </c>
      <c r="E11403">
        <v>0</v>
      </c>
      <c r="F11403">
        <v>242.97200000000001</v>
      </c>
    </row>
    <row r="11404" spans="1:6" x14ac:dyDescent="0.25">
      <c r="A11404">
        <v>11403</v>
      </c>
      <c r="B11404" t="s">
        <v>0</v>
      </c>
      <c r="C11404">
        <v>87</v>
      </c>
      <c r="D11404">
        <v>3497</v>
      </c>
      <c r="E11404">
        <v>80420788</v>
      </c>
    </row>
    <row r="11405" spans="1:6" x14ac:dyDescent="0.25">
      <c r="A11405">
        <v>11404</v>
      </c>
      <c r="B11405">
        <v>13</v>
      </c>
      <c r="C11405">
        <v>0</v>
      </c>
      <c r="D11405">
        <v>0</v>
      </c>
      <c r="E11405">
        <v>0</v>
      </c>
      <c r="F11405">
        <v>1609</v>
      </c>
    </row>
    <row r="11406" spans="1:6" x14ac:dyDescent="0.25">
      <c r="A11406">
        <v>11405</v>
      </c>
      <c r="B11406" t="s">
        <v>0</v>
      </c>
      <c r="C11406">
        <v>88</v>
      </c>
      <c r="D11406">
        <v>3497</v>
      </c>
      <c r="E11406">
        <v>80420925</v>
      </c>
    </row>
    <row r="11407" spans="1:6" x14ac:dyDescent="0.25">
      <c r="A11407">
        <v>11406</v>
      </c>
      <c r="B11407">
        <v>42</v>
      </c>
      <c r="C11407">
        <v>0</v>
      </c>
      <c r="D11407">
        <v>0</v>
      </c>
      <c r="E11407">
        <v>0</v>
      </c>
      <c r="F11407">
        <v>0.2</v>
      </c>
    </row>
    <row r="11408" spans="1:6" x14ac:dyDescent="0.25">
      <c r="A11408">
        <v>11407</v>
      </c>
      <c r="B11408" t="s">
        <v>0</v>
      </c>
      <c r="C11408">
        <v>89</v>
      </c>
      <c r="D11408">
        <v>3497</v>
      </c>
      <c r="E11408">
        <v>80421062</v>
      </c>
    </row>
    <row r="11409" spans="1:6" x14ac:dyDescent="0.25">
      <c r="A11409">
        <v>11408</v>
      </c>
      <c r="B11409">
        <v>44</v>
      </c>
      <c r="C11409">
        <v>0</v>
      </c>
      <c r="D11409">
        <v>0</v>
      </c>
      <c r="E11409">
        <v>0</v>
      </c>
      <c r="F11409">
        <v>-22.014800000000001</v>
      </c>
    </row>
    <row r="11410" spans="1:6" x14ac:dyDescent="0.25">
      <c r="A11410">
        <v>11409</v>
      </c>
      <c r="B11410">
        <v>45</v>
      </c>
      <c r="C11410">
        <v>0</v>
      </c>
      <c r="D11410">
        <v>0</v>
      </c>
      <c r="E11410">
        <v>0</v>
      </c>
      <c r="F11410">
        <v>516.5</v>
      </c>
    </row>
    <row r="11411" spans="1:6" x14ac:dyDescent="0.25">
      <c r="A11411">
        <v>11410</v>
      </c>
      <c r="B11411">
        <v>46</v>
      </c>
      <c r="C11411">
        <v>0</v>
      </c>
      <c r="D11411">
        <v>0</v>
      </c>
      <c r="E11411">
        <v>0</v>
      </c>
      <c r="F11411">
        <v>0</v>
      </c>
    </row>
    <row r="11412" spans="1:6" x14ac:dyDescent="0.25">
      <c r="A11412">
        <v>11411</v>
      </c>
      <c r="B11412">
        <v>2</v>
      </c>
      <c r="C11412">
        <v>0</v>
      </c>
      <c r="D11412">
        <v>0</v>
      </c>
      <c r="E11412">
        <v>0</v>
      </c>
      <c r="F11412">
        <v>242.94399999999999</v>
      </c>
    </row>
    <row r="11413" spans="1:6" x14ac:dyDescent="0.25">
      <c r="A11413">
        <v>11412</v>
      </c>
      <c r="B11413">
        <v>10</v>
      </c>
      <c r="C11413">
        <v>1</v>
      </c>
      <c r="D11413">
        <v>0</v>
      </c>
      <c r="E11413">
        <v>0</v>
      </c>
      <c r="F11413">
        <v>4885</v>
      </c>
    </row>
    <row r="11414" spans="1:6" x14ac:dyDescent="0.25">
      <c r="A11414">
        <v>11413</v>
      </c>
      <c r="B11414">
        <v>13</v>
      </c>
      <c r="C11414">
        <v>0</v>
      </c>
      <c r="D11414">
        <v>0</v>
      </c>
      <c r="E11414">
        <v>0</v>
      </c>
      <c r="F11414">
        <v>1609</v>
      </c>
    </row>
    <row r="11415" spans="1:6" x14ac:dyDescent="0.25">
      <c r="A11415">
        <v>11414</v>
      </c>
      <c r="B11415">
        <v>41</v>
      </c>
      <c r="C11415">
        <v>0</v>
      </c>
      <c r="D11415">
        <v>0</v>
      </c>
      <c r="E11415">
        <v>0</v>
      </c>
      <c r="F11415">
        <v>1</v>
      </c>
    </row>
    <row r="11416" spans="1:6" x14ac:dyDescent="0.25">
      <c r="A11416">
        <v>11415</v>
      </c>
      <c r="B11416">
        <v>42</v>
      </c>
      <c r="C11416">
        <v>0</v>
      </c>
      <c r="D11416">
        <v>0</v>
      </c>
      <c r="E11416">
        <v>0</v>
      </c>
      <c r="F11416">
        <v>0.2</v>
      </c>
    </row>
    <row r="11417" spans="1:6" x14ac:dyDescent="0.25">
      <c r="A11417">
        <v>11416</v>
      </c>
      <c r="B11417">
        <v>43</v>
      </c>
      <c r="C11417">
        <v>0</v>
      </c>
      <c r="D11417">
        <v>0</v>
      </c>
      <c r="E11417">
        <v>0</v>
      </c>
      <c r="F11417">
        <v>0</v>
      </c>
    </row>
    <row r="11418" spans="1:6" x14ac:dyDescent="0.25">
      <c r="A11418">
        <v>11417</v>
      </c>
      <c r="B11418">
        <v>44</v>
      </c>
      <c r="C11418">
        <v>0</v>
      </c>
      <c r="D11418">
        <v>0</v>
      </c>
      <c r="E11418">
        <v>0</v>
      </c>
      <c r="F11418">
        <v>-21.841200000000001</v>
      </c>
    </row>
    <row r="11419" spans="1:6" x14ac:dyDescent="0.25">
      <c r="A11419">
        <v>11418</v>
      </c>
      <c r="B11419">
        <v>45</v>
      </c>
      <c r="C11419">
        <v>0</v>
      </c>
      <c r="D11419">
        <v>0</v>
      </c>
      <c r="E11419">
        <v>0</v>
      </c>
      <c r="F11419">
        <v>516.48199999999997</v>
      </c>
    </row>
    <row r="11420" spans="1:6" x14ac:dyDescent="0.25">
      <c r="A11420">
        <v>11419</v>
      </c>
      <c r="B11420">
        <v>46</v>
      </c>
      <c r="C11420">
        <v>0</v>
      </c>
      <c r="D11420">
        <v>0</v>
      </c>
      <c r="E11420">
        <v>0</v>
      </c>
      <c r="F11420">
        <v>0</v>
      </c>
    </row>
    <row r="11421" spans="1:6" x14ac:dyDescent="0.25">
      <c r="A11421">
        <v>11420</v>
      </c>
      <c r="B11421">
        <v>2</v>
      </c>
      <c r="C11421">
        <v>0</v>
      </c>
      <c r="D11421">
        <v>0</v>
      </c>
      <c r="E11421">
        <v>0</v>
      </c>
      <c r="F11421">
        <v>242.917</v>
      </c>
    </row>
    <row r="11422" spans="1:6" x14ac:dyDescent="0.25">
      <c r="A11422">
        <v>11421</v>
      </c>
      <c r="B11422">
        <v>10</v>
      </c>
      <c r="C11422">
        <v>1</v>
      </c>
      <c r="D11422">
        <v>0</v>
      </c>
      <c r="E11422">
        <v>0</v>
      </c>
      <c r="F11422">
        <v>4886</v>
      </c>
    </row>
    <row r="11423" spans="1:6" x14ac:dyDescent="0.25">
      <c r="A11423">
        <v>11422</v>
      </c>
      <c r="B11423" t="s">
        <v>0</v>
      </c>
      <c r="C11423">
        <v>96</v>
      </c>
      <c r="D11423">
        <v>3497</v>
      </c>
      <c r="E11423">
        <v>80422020</v>
      </c>
    </row>
    <row r="11424" spans="1:6" x14ac:dyDescent="0.25">
      <c r="A11424">
        <v>11423</v>
      </c>
      <c r="B11424">
        <v>13</v>
      </c>
      <c r="C11424">
        <v>0</v>
      </c>
      <c r="D11424">
        <v>0</v>
      </c>
      <c r="E11424">
        <v>0</v>
      </c>
      <c r="F11424">
        <v>1609</v>
      </c>
    </row>
    <row r="11425" spans="1:6" x14ac:dyDescent="0.25">
      <c r="A11425">
        <v>11424</v>
      </c>
      <c r="B11425">
        <v>41</v>
      </c>
      <c r="C11425">
        <v>0</v>
      </c>
      <c r="D11425">
        <v>0</v>
      </c>
      <c r="E11425">
        <v>0</v>
      </c>
      <c r="F11425">
        <v>1</v>
      </c>
    </row>
    <row r="11426" spans="1:6" x14ac:dyDescent="0.25">
      <c r="A11426">
        <v>11425</v>
      </c>
      <c r="B11426" t="s">
        <v>0</v>
      </c>
      <c r="C11426">
        <v>97</v>
      </c>
      <c r="D11426">
        <v>3497</v>
      </c>
      <c r="E11426">
        <v>80422157</v>
      </c>
    </row>
    <row r="11427" spans="1:6" x14ac:dyDescent="0.25">
      <c r="A11427">
        <v>11426</v>
      </c>
      <c r="B11427">
        <v>42</v>
      </c>
      <c r="C11427">
        <v>0</v>
      </c>
      <c r="D11427">
        <v>0</v>
      </c>
      <c r="E11427">
        <v>0</v>
      </c>
      <c r="F11427">
        <v>0.2</v>
      </c>
    </row>
    <row r="11428" spans="1:6" x14ac:dyDescent="0.25">
      <c r="A11428">
        <v>11427</v>
      </c>
      <c r="B11428">
        <v>43</v>
      </c>
      <c r="C11428">
        <v>0</v>
      </c>
      <c r="D11428">
        <v>0</v>
      </c>
      <c r="E11428">
        <v>0</v>
      </c>
      <c r="F11428">
        <v>0</v>
      </c>
    </row>
    <row r="11429" spans="1:6" x14ac:dyDescent="0.25">
      <c r="A11429">
        <v>11428</v>
      </c>
      <c r="B11429" t="s">
        <v>0</v>
      </c>
      <c r="C11429">
        <v>98</v>
      </c>
      <c r="D11429">
        <v>3497</v>
      </c>
      <c r="E11429">
        <v>80422294</v>
      </c>
    </row>
    <row r="11430" spans="1:6" x14ac:dyDescent="0.25">
      <c r="A11430">
        <v>11429</v>
      </c>
      <c r="B11430">
        <v>44</v>
      </c>
      <c r="C11430">
        <v>0</v>
      </c>
      <c r="D11430">
        <v>0</v>
      </c>
      <c r="E11430">
        <v>0</v>
      </c>
      <c r="F11430">
        <v>-21.667899999999999</v>
      </c>
    </row>
    <row r="11431" spans="1:6" x14ac:dyDescent="0.25">
      <c r="A11431">
        <v>11430</v>
      </c>
      <c r="B11431">
        <v>45</v>
      </c>
      <c r="C11431">
        <v>0</v>
      </c>
      <c r="D11431">
        <v>0</v>
      </c>
      <c r="E11431">
        <v>0</v>
      </c>
      <c r="F11431">
        <v>516.46799999999996</v>
      </c>
    </row>
    <row r="11432" spans="1:6" x14ac:dyDescent="0.25">
      <c r="A11432">
        <v>11431</v>
      </c>
      <c r="B11432" t="s">
        <v>0</v>
      </c>
      <c r="C11432">
        <v>99</v>
      </c>
      <c r="D11432">
        <v>3497</v>
      </c>
      <c r="E11432">
        <v>80422431</v>
      </c>
    </row>
    <row r="11433" spans="1:6" x14ac:dyDescent="0.25">
      <c r="A11433">
        <v>11432</v>
      </c>
      <c r="B11433">
        <v>46</v>
      </c>
      <c r="C11433">
        <v>0</v>
      </c>
      <c r="D11433">
        <v>0</v>
      </c>
      <c r="E11433">
        <v>0</v>
      </c>
      <c r="F11433">
        <v>0</v>
      </c>
    </row>
    <row r="11434" spans="1:6" x14ac:dyDescent="0.25">
      <c r="A11434">
        <v>11433</v>
      </c>
      <c r="B11434">
        <v>2</v>
      </c>
      <c r="C11434">
        <v>0</v>
      </c>
      <c r="D11434">
        <v>0</v>
      </c>
      <c r="E11434">
        <v>0</v>
      </c>
      <c r="F11434">
        <v>242.899</v>
      </c>
    </row>
    <row r="11435" spans="1:6" x14ac:dyDescent="0.25">
      <c r="A11435">
        <v>11434</v>
      </c>
      <c r="B11435" t="s">
        <v>0</v>
      </c>
      <c r="C11435">
        <v>100</v>
      </c>
      <c r="D11435">
        <v>3497</v>
      </c>
      <c r="E11435">
        <v>80422568</v>
      </c>
    </row>
    <row r="11436" spans="1:6" x14ac:dyDescent="0.25">
      <c r="A11436">
        <v>11435</v>
      </c>
      <c r="B11436">
        <v>10</v>
      </c>
      <c r="C11436">
        <v>1</v>
      </c>
      <c r="D11436">
        <v>0</v>
      </c>
      <c r="E11436">
        <v>0</v>
      </c>
      <c r="F11436">
        <v>4887</v>
      </c>
    </row>
    <row r="11437" spans="1:6" x14ac:dyDescent="0.25">
      <c r="A11437">
        <v>11436</v>
      </c>
      <c r="B11437">
        <v>13</v>
      </c>
      <c r="C11437">
        <v>0</v>
      </c>
      <c r="D11437">
        <v>0</v>
      </c>
      <c r="E11437">
        <v>0</v>
      </c>
      <c r="F11437">
        <v>1609</v>
      </c>
    </row>
    <row r="11438" spans="1:6" x14ac:dyDescent="0.25">
      <c r="A11438">
        <v>11437</v>
      </c>
      <c r="B11438" t="s">
        <v>0</v>
      </c>
      <c r="C11438">
        <v>101</v>
      </c>
      <c r="D11438">
        <v>3497</v>
      </c>
      <c r="E11438">
        <v>80422705</v>
      </c>
    </row>
    <row r="11439" spans="1:6" x14ac:dyDescent="0.25">
      <c r="A11439">
        <v>11438</v>
      </c>
      <c r="B11439">
        <v>41</v>
      </c>
      <c r="C11439">
        <v>0</v>
      </c>
      <c r="D11439">
        <v>0</v>
      </c>
      <c r="E11439">
        <v>0</v>
      </c>
      <c r="F11439">
        <v>1</v>
      </c>
    </row>
    <row r="11440" spans="1:6" x14ac:dyDescent="0.25">
      <c r="A11440">
        <v>11439</v>
      </c>
      <c r="B11440">
        <v>42</v>
      </c>
      <c r="C11440">
        <v>0</v>
      </c>
      <c r="D11440">
        <v>0</v>
      </c>
      <c r="E11440">
        <v>0</v>
      </c>
      <c r="F11440">
        <v>0.2</v>
      </c>
    </row>
    <row r="11441" spans="1:6" x14ac:dyDescent="0.25">
      <c r="A11441">
        <v>11440</v>
      </c>
      <c r="B11441" t="s">
        <v>0</v>
      </c>
      <c r="C11441">
        <v>102</v>
      </c>
      <c r="D11441">
        <v>3497</v>
      </c>
      <c r="E11441">
        <v>80422842</v>
      </c>
    </row>
    <row r="11442" spans="1:6" x14ac:dyDescent="0.25">
      <c r="A11442">
        <v>11441</v>
      </c>
      <c r="B11442">
        <v>44</v>
      </c>
      <c r="C11442">
        <v>0</v>
      </c>
      <c r="D11442">
        <v>0</v>
      </c>
      <c r="E11442">
        <v>0</v>
      </c>
      <c r="F11442">
        <v>-21.503799999999998</v>
      </c>
    </row>
    <row r="11443" spans="1:6" x14ac:dyDescent="0.25">
      <c r="A11443">
        <v>11442</v>
      </c>
      <c r="B11443" t="s">
        <v>0</v>
      </c>
      <c r="C11443">
        <v>103</v>
      </c>
      <c r="D11443">
        <v>3497</v>
      </c>
      <c r="E11443">
        <v>80422979</v>
      </c>
    </row>
    <row r="11444" spans="1:6" x14ac:dyDescent="0.25">
      <c r="A11444">
        <v>11443</v>
      </c>
      <c r="B11444">
        <v>46</v>
      </c>
      <c r="C11444">
        <v>0</v>
      </c>
      <c r="D11444">
        <v>0</v>
      </c>
      <c r="E11444">
        <v>0</v>
      </c>
      <c r="F11444">
        <v>0</v>
      </c>
    </row>
    <row r="11445" spans="1:6" x14ac:dyDescent="0.25">
      <c r="A11445">
        <v>11444</v>
      </c>
      <c r="B11445" t="s">
        <v>0</v>
      </c>
      <c r="C11445">
        <v>104</v>
      </c>
      <c r="D11445">
        <v>3497</v>
      </c>
      <c r="E11445">
        <v>80423116</v>
      </c>
    </row>
    <row r="11446" spans="1:6" x14ac:dyDescent="0.25">
      <c r="A11446">
        <v>11445</v>
      </c>
      <c r="B11446">
        <v>10</v>
      </c>
      <c r="C11446">
        <v>1</v>
      </c>
      <c r="D11446">
        <v>0</v>
      </c>
      <c r="E11446">
        <v>0</v>
      </c>
      <c r="F11446">
        <v>4889</v>
      </c>
    </row>
    <row r="11447" spans="1:6" x14ac:dyDescent="0.25">
      <c r="A11447">
        <v>11446</v>
      </c>
      <c r="B11447" t="s">
        <v>0</v>
      </c>
      <c r="C11447">
        <v>105</v>
      </c>
      <c r="D11447">
        <v>3497</v>
      </c>
      <c r="E11447">
        <v>80423252</v>
      </c>
    </row>
    <row r="11448" spans="1:6" x14ac:dyDescent="0.25">
      <c r="A11448">
        <v>11447</v>
      </c>
      <c r="B11448">
        <v>41</v>
      </c>
      <c r="C11448">
        <v>0</v>
      </c>
      <c r="D11448">
        <v>0</v>
      </c>
      <c r="E11448">
        <v>0</v>
      </c>
      <c r="F11448">
        <v>1</v>
      </c>
    </row>
    <row r="11449" spans="1:6" x14ac:dyDescent="0.25">
      <c r="A11449">
        <v>11448</v>
      </c>
      <c r="B11449" t="s">
        <v>0</v>
      </c>
      <c r="C11449">
        <v>106</v>
      </c>
      <c r="D11449">
        <v>3497</v>
      </c>
      <c r="E11449">
        <v>80423389</v>
      </c>
    </row>
    <row r="11450" spans="1:6" x14ac:dyDescent="0.25">
      <c r="A11450">
        <v>11449</v>
      </c>
      <c r="B11450">
        <v>43</v>
      </c>
      <c r="C11450">
        <v>0</v>
      </c>
      <c r="D11450">
        <v>0</v>
      </c>
      <c r="E11450">
        <v>0</v>
      </c>
      <c r="F11450">
        <v>0</v>
      </c>
    </row>
    <row r="11451" spans="1:6" x14ac:dyDescent="0.25">
      <c r="A11451">
        <v>11450</v>
      </c>
      <c r="B11451" t="s">
        <v>0</v>
      </c>
      <c r="C11451">
        <v>107</v>
      </c>
      <c r="D11451">
        <v>3497</v>
      </c>
      <c r="E11451">
        <v>80423526</v>
      </c>
    </row>
    <row r="11452" spans="1:6" x14ac:dyDescent="0.25">
      <c r="A11452">
        <v>11451</v>
      </c>
      <c r="B11452">
        <v>45</v>
      </c>
      <c r="C11452">
        <v>0</v>
      </c>
      <c r="D11452">
        <v>0</v>
      </c>
      <c r="E11452">
        <v>0</v>
      </c>
      <c r="F11452">
        <v>516.43600000000004</v>
      </c>
    </row>
    <row r="11453" spans="1:6" x14ac:dyDescent="0.25">
      <c r="A11453">
        <v>11452</v>
      </c>
      <c r="B11453" t="s">
        <v>0</v>
      </c>
      <c r="C11453">
        <v>108</v>
      </c>
      <c r="D11453">
        <v>3497</v>
      </c>
      <c r="E11453">
        <v>80423663</v>
      </c>
    </row>
    <row r="11454" spans="1:6" x14ac:dyDescent="0.25">
      <c r="A11454">
        <v>11453</v>
      </c>
      <c r="B11454">
        <v>2</v>
      </c>
      <c r="C11454">
        <v>0</v>
      </c>
      <c r="D11454">
        <v>0</v>
      </c>
      <c r="E11454">
        <v>0</v>
      </c>
      <c r="F11454">
        <v>242.87200000000001</v>
      </c>
    </row>
    <row r="11455" spans="1:6" x14ac:dyDescent="0.25">
      <c r="A11455">
        <v>11454</v>
      </c>
      <c r="B11455">
        <v>10</v>
      </c>
      <c r="C11455">
        <v>1</v>
      </c>
      <c r="D11455">
        <v>0</v>
      </c>
      <c r="E11455">
        <v>0</v>
      </c>
      <c r="F11455">
        <v>4890</v>
      </c>
    </row>
    <row r="11456" spans="1:6" x14ac:dyDescent="0.25">
      <c r="A11456">
        <v>11455</v>
      </c>
      <c r="B11456">
        <v>13</v>
      </c>
      <c r="C11456">
        <v>0</v>
      </c>
      <c r="D11456">
        <v>0</v>
      </c>
      <c r="E11456">
        <v>0</v>
      </c>
      <c r="F11456">
        <v>1609</v>
      </c>
    </row>
    <row r="11457" spans="1:6" x14ac:dyDescent="0.25">
      <c r="A11457">
        <v>11456</v>
      </c>
      <c r="B11457">
        <v>41</v>
      </c>
      <c r="C11457">
        <v>0</v>
      </c>
      <c r="D11457">
        <v>0</v>
      </c>
      <c r="E11457">
        <v>0</v>
      </c>
      <c r="F11457">
        <v>1</v>
      </c>
    </row>
    <row r="11458" spans="1:6" x14ac:dyDescent="0.25">
      <c r="A11458">
        <v>11457</v>
      </c>
      <c r="B11458">
        <v>42</v>
      </c>
      <c r="C11458">
        <v>0</v>
      </c>
      <c r="D11458">
        <v>0</v>
      </c>
      <c r="E11458">
        <v>0</v>
      </c>
      <c r="F11458">
        <v>0.2</v>
      </c>
    </row>
    <row r="11459" spans="1:6" x14ac:dyDescent="0.25">
      <c r="A11459">
        <v>11458</v>
      </c>
      <c r="B11459">
        <v>43</v>
      </c>
      <c r="C11459">
        <v>0</v>
      </c>
      <c r="D11459">
        <v>0</v>
      </c>
      <c r="E11459">
        <v>0</v>
      </c>
      <c r="F11459">
        <v>0</v>
      </c>
    </row>
    <row r="11460" spans="1:6" x14ac:dyDescent="0.25">
      <c r="A11460">
        <v>11459</v>
      </c>
      <c r="B11460">
        <v>44</v>
      </c>
      <c r="C11460">
        <v>0</v>
      </c>
      <c r="D11460">
        <v>0</v>
      </c>
      <c r="E11460">
        <v>0</v>
      </c>
      <c r="F11460">
        <v>-21.150099999999998</v>
      </c>
    </row>
    <row r="11461" spans="1:6" x14ac:dyDescent="0.25">
      <c r="A11461">
        <v>11460</v>
      </c>
      <c r="B11461">
        <v>45</v>
      </c>
      <c r="C11461">
        <v>0</v>
      </c>
      <c r="D11461">
        <v>0</v>
      </c>
      <c r="E11461">
        <v>0</v>
      </c>
      <c r="F11461">
        <v>516.42200000000003</v>
      </c>
    </row>
    <row r="11462" spans="1:6" x14ac:dyDescent="0.25">
      <c r="A11462">
        <v>11461</v>
      </c>
      <c r="B11462">
        <v>46</v>
      </c>
      <c r="C11462">
        <v>0</v>
      </c>
      <c r="D11462">
        <v>0</v>
      </c>
      <c r="E11462">
        <v>0</v>
      </c>
      <c r="F11462">
        <v>0</v>
      </c>
    </row>
    <row r="11463" spans="1:6" x14ac:dyDescent="0.25">
      <c r="A11463">
        <v>11462</v>
      </c>
      <c r="B11463">
        <v>2</v>
      </c>
      <c r="C11463">
        <v>0</v>
      </c>
      <c r="D11463">
        <v>0</v>
      </c>
      <c r="E11463">
        <v>0</v>
      </c>
      <c r="F11463">
        <v>242.82</v>
      </c>
    </row>
    <row r="11464" spans="1:6" x14ac:dyDescent="0.25">
      <c r="A11464">
        <v>11463</v>
      </c>
      <c r="B11464">
        <v>10</v>
      </c>
      <c r="C11464">
        <v>1</v>
      </c>
      <c r="D11464">
        <v>0</v>
      </c>
      <c r="E11464">
        <v>0</v>
      </c>
      <c r="F11464">
        <v>4892</v>
      </c>
    </row>
    <row r="11465" spans="1:6" x14ac:dyDescent="0.25">
      <c r="A11465">
        <v>11464</v>
      </c>
      <c r="B11465">
        <v>13</v>
      </c>
      <c r="C11465">
        <v>0</v>
      </c>
      <c r="D11465">
        <v>0</v>
      </c>
      <c r="E11465">
        <v>0</v>
      </c>
      <c r="F11465">
        <v>1609</v>
      </c>
    </row>
    <row r="11466" spans="1:6" x14ac:dyDescent="0.25">
      <c r="A11466">
        <v>11465</v>
      </c>
      <c r="B11466">
        <v>41</v>
      </c>
      <c r="C11466">
        <v>0</v>
      </c>
      <c r="D11466">
        <v>0</v>
      </c>
      <c r="E11466">
        <v>0</v>
      </c>
      <c r="F11466">
        <v>1</v>
      </c>
    </row>
    <row r="11467" spans="1:6" x14ac:dyDescent="0.25">
      <c r="A11467">
        <v>11466</v>
      </c>
      <c r="B11467">
        <v>42</v>
      </c>
      <c r="C11467">
        <v>0</v>
      </c>
      <c r="D11467">
        <v>0</v>
      </c>
      <c r="E11467">
        <v>0</v>
      </c>
      <c r="F11467">
        <v>0.2</v>
      </c>
    </row>
    <row r="11468" spans="1:6" x14ac:dyDescent="0.25">
      <c r="A11468">
        <v>11467</v>
      </c>
      <c r="B11468" t="s">
        <v>0</v>
      </c>
      <c r="C11468">
        <v>115</v>
      </c>
      <c r="D11468">
        <v>3497</v>
      </c>
      <c r="E11468">
        <v>80424622</v>
      </c>
    </row>
    <row r="11469" spans="1:6" x14ac:dyDescent="0.25">
      <c r="A11469">
        <v>11468</v>
      </c>
      <c r="B11469">
        <v>43</v>
      </c>
      <c r="C11469">
        <v>0</v>
      </c>
      <c r="D11469">
        <v>0</v>
      </c>
      <c r="E11469">
        <v>0</v>
      </c>
      <c r="F11469">
        <v>0</v>
      </c>
    </row>
    <row r="11470" spans="1:6" x14ac:dyDescent="0.25">
      <c r="A11470">
        <v>11469</v>
      </c>
      <c r="B11470">
        <v>44</v>
      </c>
      <c r="C11470">
        <v>0</v>
      </c>
      <c r="D11470">
        <v>0</v>
      </c>
      <c r="E11470">
        <v>0</v>
      </c>
      <c r="F11470">
        <v>-20.935199999999998</v>
      </c>
    </row>
    <row r="11471" spans="1:6" x14ac:dyDescent="0.25">
      <c r="A11471">
        <v>11470</v>
      </c>
      <c r="B11471" t="s">
        <v>0</v>
      </c>
      <c r="C11471">
        <v>116</v>
      </c>
      <c r="D11471">
        <v>3497</v>
      </c>
      <c r="E11471">
        <v>80424759</v>
      </c>
    </row>
    <row r="11472" spans="1:6" x14ac:dyDescent="0.25">
      <c r="A11472">
        <v>11471</v>
      </c>
      <c r="B11472">
        <v>45</v>
      </c>
      <c r="C11472">
        <v>0</v>
      </c>
      <c r="D11472">
        <v>0</v>
      </c>
      <c r="E11472">
        <v>0</v>
      </c>
      <c r="F11472">
        <v>516.40499999999997</v>
      </c>
    </row>
    <row r="11473" spans="1:6" x14ac:dyDescent="0.25">
      <c r="A11473">
        <v>11472</v>
      </c>
      <c r="B11473">
        <v>46</v>
      </c>
      <c r="C11473">
        <v>0</v>
      </c>
      <c r="D11473">
        <v>0</v>
      </c>
      <c r="E11473">
        <v>0</v>
      </c>
      <c r="F11473">
        <v>0</v>
      </c>
    </row>
    <row r="11474" spans="1:6" x14ac:dyDescent="0.25">
      <c r="A11474">
        <v>11473</v>
      </c>
      <c r="B11474" t="s">
        <v>0</v>
      </c>
      <c r="C11474">
        <v>117</v>
      </c>
      <c r="D11474">
        <v>3497</v>
      </c>
      <c r="E11474">
        <v>80424896</v>
      </c>
    </row>
    <row r="11475" spans="1:6" x14ac:dyDescent="0.25">
      <c r="A11475">
        <v>11474</v>
      </c>
      <c r="B11475">
        <v>2</v>
      </c>
      <c r="C11475">
        <v>0</v>
      </c>
      <c r="D11475">
        <v>0</v>
      </c>
      <c r="E11475">
        <v>0</v>
      </c>
      <c r="F11475">
        <v>242.74100000000001</v>
      </c>
    </row>
    <row r="11476" spans="1:6" x14ac:dyDescent="0.25">
      <c r="A11476">
        <v>11475</v>
      </c>
      <c r="B11476">
        <v>10</v>
      </c>
      <c r="C11476">
        <v>1</v>
      </c>
      <c r="D11476">
        <v>0</v>
      </c>
      <c r="E11476">
        <v>0</v>
      </c>
      <c r="F11476">
        <v>4895</v>
      </c>
    </row>
    <row r="11477" spans="1:6" x14ac:dyDescent="0.25">
      <c r="A11477">
        <v>11476</v>
      </c>
      <c r="B11477" t="s">
        <v>0</v>
      </c>
      <c r="C11477">
        <v>118</v>
      </c>
      <c r="D11477">
        <v>3497</v>
      </c>
      <c r="E11477">
        <v>80425033</v>
      </c>
    </row>
    <row r="11478" spans="1:6" x14ac:dyDescent="0.25">
      <c r="A11478">
        <v>11477</v>
      </c>
      <c r="B11478">
        <v>13</v>
      </c>
      <c r="C11478">
        <v>0</v>
      </c>
      <c r="D11478">
        <v>0</v>
      </c>
      <c r="E11478">
        <v>0</v>
      </c>
      <c r="F11478">
        <v>1609</v>
      </c>
    </row>
    <row r="11479" spans="1:6" x14ac:dyDescent="0.25">
      <c r="A11479">
        <v>11478</v>
      </c>
      <c r="B11479">
        <v>41</v>
      </c>
      <c r="C11479">
        <v>0</v>
      </c>
      <c r="D11479">
        <v>0</v>
      </c>
      <c r="E11479">
        <v>0</v>
      </c>
      <c r="F11479">
        <v>1</v>
      </c>
    </row>
    <row r="11480" spans="1:6" x14ac:dyDescent="0.25">
      <c r="A11480">
        <v>11479</v>
      </c>
      <c r="B11480" t="s">
        <v>0</v>
      </c>
      <c r="C11480">
        <v>119</v>
      </c>
      <c r="D11480">
        <v>3497</v>
      </c>
      <c r="E11480">
        <v>80425170</v>
      </c>
    </row>
    <row r="11481" spans="1:6" x14ac:dyDescent="0.25">
      <c r="A11481">
        <v>11480</v>
      </c>
      <c r="B11481">
        <v>42</v>
      </c>
      <c r="C11481">
        <v>0</v>
      </c>
      <c r="D11481">
        <v>0</v>
      </c>
      <c r="E11481">
        <v>0</v>
      </c>
      <c r="F11481">
        <v>0.2</v>
      </c>
    </row>
    <row r="11482" spans="1:6" x14ac:dyDescent="0.25">
      <c r="A11482">
        <v>11481</v>
      </c>
      <c r="B11482">
        <v>43</v>
      </c>
      <c r="C11482">
        <v>0</v>
      </c>
      <c r="D11482">
        <v>0</v>
      </c>
      <c r="E11482">
        <v>0</v>
      </c>
      <c r="F11482">
        <v>0</v>
      </c>
    </row>
    <row r="11483" spans="1:6" x14ac:dyDescent="0.25">
      <c r="A11483">
        <v>11482</v>
      </c>
      <c r="B11483" t="s">
        <v>0</v>
      </c>
      <c r="C11483">
        <v>120</v>
      </c>
      <c r="D11483">
        <v>3497</v>
      </c>
      <c r="E11483">
        <v>80425307</v>
      </c>
    </row>
    <row r="11484" spans="1:6" x14ac:dyDescent="0.25">
      <c r="A11484">
        <v>11483</v>
      </c>
      <c r="B11484">
        <v>45</v>
      </c>
      <c r="C11484">
        <v>0</v>
      </c>
      <c r="D11484">
        <v>0</v>
      </c>
      <c r="E11484">
        <v>0</v>
      </c>
      <c r="F11484">
        <v>516.39099999999996</v>
      </c>
    </row>
    <row r="11485" spans="1:6" x14ac:dyDescent="0.25">
      <c r="A11485">
        <v>11484</v>
      </c>
      <c r="B11485" t="s">
        <v>0</v>
      </c>
      <c r="C11485">
        <v>121</v>
      </c>
      <c r="D11485">
        <v>3497</v>
      </c>
      <c r="E11485">
        <v>80425444</v>
      </c>
    </row>
    <row r="11486" spans="1:6" x14ac:dyDescent="0.25">
      <c r="A11486">
        <v>11485</v>
      </c>
      <c r="B11486">
        <v>2</v>
      </c>
      <c r="C11486">
        <v>0</v>
      </c>
      <c r="D11486">
        <v>0</v>
      </c>
      <c r="E11486">
        <v>0</v>
      </c>
      <c r="F11486">
        <v>242.691</v>
      </c>
    </row>
    <row r="11487" spans="1:6" x14ac:dyDescent="0.25">
      <c r="A11487">
        <v>11486</v>
      </c>
      <c r="B11487" t="s">
        <v>0</v>
      </c>
      <c r="C11487">
        <v>122</v>
      </c>
      <c r="D11487">
        <v>3497</v>
      </c>
      <c r="E11487">
        <v>80425581</v>
      </c>
    </row>
    <row r="11488" spans="1:6" x14ac:dyDescent="0.25">
      <c r="A11488">
        <v>11487</v>
      </c>
      <c r="B11488">
        <v>13</v>
      </c>
      <c r="C11488">
        <v>0</v>
      </c>
      <c r="D11488">
        <v>0</v>
      </c>
      <c r="E11488">
        <v>0</v>
      </c>
      <c r="F11488">
        <v>1609</v>
      </c>
    </row>
    <row r="11489" spans="1:6" x14ac:dyDescent="0.25">
      <c r="A11489">
        <v>11488</v>
      </c>
      <c r="B11489" t="s">
        <v>0</v>
      </c>
      <c r="C11489">
        <v>123</v>
      </c>
      <c r="D11489">
        <v>3497</v>
      </c>
      <c r="E11489">
        <v>80425718</v>
      </c>
    </row>
    <row r="11490" spans="1:6" x14ac:dyDescent="0.25">
      <c r="A11490">
        <v>11489</v>
      </c>
      <c r="B11490">
        <v>42</v>
      </c>
      <c r="C11490">
        <v>0</v>
      </c>
      <c r="D11490">
        <v>0</v>
      </c>
      <c r="E11490">
        <v>0</v>
      </c>
      <c r="F11490">
        <v>0.2</v>
      </c>
    </row>
    <row r="11491" spans="1:6" x14ac:dyDescent="0.25">
      <c r="A11491">
        <v>11490</v>
      </c>
      <c r="B11491" t="s">
        <v>0</v>
      </c>
      <c r="C11491">
        <v>124</v>
      </c>
      <c r="D11491">
        <v>3497</v>
      </c>
      <c r="E11491">
        <v>80425855</v>
      </c>
    </row>
    <row r="11492" spans="1:6" x14ac:dyDescent="0.25">
      <c r="A11492">
        <v>11491</v>
      </c>
      <c r="B11492">
        <v>44</v>
      </c>
      <c r="C11492">
        <v>0</v>
      </c>
      <c r="D11492">
        <v>0</v>
      </c>
      <c r="E11492">
        <v>0</v>
      </c>
      <c r="F11492">
        <v>-20.524000000000001</v>
      </c>
    </row>
    <row r="11493" spans="1:6" x14ac:dyDescent="0.25">
      <c r="A11493">
        <v>11492</v>
      </c>
      <c r="B11493" t="s">
        <v>0</v>
      </c>
      <c r="C11493">
        <v>125</v>
      </c>
      <c r="D11493">
        <v>3497</v>
      </c>
      <c r="E11493">
        <v>80425992</v>
      </c>
    </row>
    <row r="11494" spans="1:6" x14ac:dyDescent="0.25">
      <c r="A11494">
        <v>11493</v>
      </c>
      <c r="B11494">
        <v>46</v>
      </c>
      <c r="C11494">
        <v>0</v>
      </c>
      <c r="D11494">
        <v>0</v>
      </c>
      <c r="E11494">
        <v>0</v>
      </c>
      <c r="F11494">
        <v>0</v>
      </c>
    </row>
    <row r="11495" spans="1:6" x14ac:dyDescent="0.25">
      <c r="A11495">
        <v>11494</v>
      </c>
      <c r="B11495">
        <v>2</v>
      </c>
      <c r="C11495">
        <v>0</v>
      </c>
      <c r="D11495">
        <v>0</v>
      </c>
      <c r="E11495">
        <v>0</v>
      </c>
      <c r="F11495">
        <v>242.65</v>
      </c>
    </row>
    <row r="11496" spans="1:6" x14ac:dyDescent="0.25">
      <c r="A11496">
        <v>11495</v>
      </c>
      <c r="B11496">
        <v>10</v>
      </c>
      <c r="C11496">
        <v>1</v>
      </c>
      <c r="D11496">
        <v>0</v>
      </c>
      <c r="E11496">
        <v>0</v>
      </c>
      <c r="F11496">
        <v>4899</v>
      </c>
    </row>
    <row r="11497" spans="1:6" x14ac:dyDescent="0.25">
      <c r="A11497">
        <v>11496</v>
      </c>
      <c r="B11497">
        <v>13</v>
      </c>
      <c r="C11497">
        <v>0</v>
      </c>
      <c r="D11497">
        <v>0</v>
      </c>
      <c r="E11497">
        <v>0</v>
      </c>
      <c r="F11497">
        <v>1609</v>
      </c>
    </row>
    <row r="11498" spans="1:6" x14ac:dyDescent="0.25">
      <c r="A11498">
        <v>11497</v>
      </c>
      <c r="B11498">
        <v>41</v>
      </c>
      <c r="C11498">
        <v>0</v>
      </c>
      <c r="D11498">
        <v>0</v>
      </c>
      <c r="E11498">
        <v>0</v>
      </c>
      <c r="F11498">
        <v>1</v>
      </c>
    </row>
    <row r="11499" spans="1:6" x14ac:dyDescent="0.25">
      <c r="A11499">
        <v>11498</v>
      </c>
      <c r="B11499">
        <v>42</v>
      </c>
      <c r="C11499">
        <v>0</v>
      </c>
      <c r="D11499">
        <v>0</v>
      </c>
      <c r="E11499">
        <v>0</v>
      </c>
      <c r="F11499">
        <v>0.2</v>
      </c>
    </row>
    <row r="11500" spans="1:6" x14ac:dyDescent="0.25">
      <c r="A11500">
        <v>11499</v>
      </c>
      <c r="B11500">
        <v>43</v>
      </c>
      <c r="C11500">
        <v>0</v>
      </c>
      <c r="D11500">
        <v>0</v>
      </c>
      <c r="E11500">
        <v>0</v>
      </c>
      <c r="F11500">
        <v>0</v>
      </c>
    </row>
    <row r="11501" spans="1:6" x14ac:dyDescent="0.25">
      <c r="A11501">
        <v>11500</v>
      </c>
      <c r="B11501">
        <v>44</v>
      </c>
      <c r="C11501">
        <v>0</v>
      </c>
      <c r="D11501">
        <v>0</v>
      </c>
      <c r="E11501">
        <v>0</v>
      </c>
      <c r="F11501">
        <v>-20.336400000000001</v>
      </c>
    </row>
    <row r="11502" spans="1:6" x14ac:dyDescent="0.25">
      <c r="A11502">
        <v>11501</v>
      </c>
      <c r="B11502">
        <v>45</v>
      </c>
      <c r="C11502">
        <v>0</v>
      </c>
      <c r="D11502">
        <v>0</v>
      </c>
      <c r="E11502">
        <v>0</v>
      </c>
      <c r="F11502">
        <v>516.36099999999999</v>
      </c>
    </row>
    <row r="11503" spans="1:6" x14ac:dyDescent="0.25">
      <c r="A11503">
        <v>11502</v>
      </c>
      <c r="B11503">
        <v>46</v>
      </c>
      <c r="C11503">
        <v>0</v>
      </c>
      <c r="D11503">
        <v>0</v>
      </c>
      <c r="E11503">
        <v>0</v>
      </c>
      <c r="F11503">
        <v>0</v>
      </c>
    </row>
    <row r="11504" spans="1:6" x14ac:dyDescent="0.25">
      <c r="A11504">
        <v>11503</v>
      </c>
      <c r="B11504">
        <v>2</v>
      </c>
      <c r="C11504">
        <v>0</v>
      </c>
      <c r="D11504">
        <v>0</v>
      </c>
      <c r="E11504">
        <v>0</v>
      </c>
      <c r="F11504">
        <v>242.60900000000001</v>
      </c>
    </row>
    <row r="11505" spans="1:6" x14ac:dyDescent="0.25">
      <c r="A11505">
        <v>11504</v>
      </c>
      <c r="B11505">
        <v>10</v>
      </c>
      <c r="C11505">
        <v>1</v>
      </c>
      <c r="D11505">
        <v>0</v>
      </c>
      <c r="E11505">
        <v>0</v>
      </c>
      <c r="F11505">
        <v>4900</v>
      </c>
    </row>
    <row r="11506" spans="1:6" x14ac:dyDescent="0.25">
      <c r="A11506">
        <v>11505</v>
      </c>
      <c r="B11506">
        <v>13</v>
      </c>
      <c r="C11506">
        <v>0</v>
      </c>
      <c r="D11506">
        <v>0</v>
      </c>
      <c r="E11506">
        <v>0</v>
      </c>
      <c r="F11506">
        <v>1609</v>
      </c>
    </row>
    <row r="11507" spans="1:6" x14ac:dyDescent="0.25">
      <c r="A11507">
        <v>11506</v>
      </c>
      <c r="B11507">
        <v>41</v>
      </c>
      <c r="C11507">
        <v>0</v>
      </c>
      <c r="D11507">
        <v>0</v>
      </c>
      <c r="E11507">
        <v>0</v>
      </c>
      <c r="F11507">
        <v>1</v>
      </c>
    </row>
    <row r="11508" spans="1:6" x14ac:dyDescent="0.25">
      <c r="A11508">
        <v>11507</v>
      </c>
      <c r="B11508" t="s">
        <v>0</v>
      </c>
      <c r="C11508">
        <v>132</v>
      </c>
      <c r="D11508">
        <v>3497</v>
      </c>
      <c r="E11508">
        <v>80426951</v>
      </c>
    </row>
    <row r="11509" spans="1:6" x14ac:dyDescent="0.25">
      <c r="A11509">
        <v>11508</v>
      </c>
      <c r="B11509">
        <v>42</v>
      </c>
      <c r="C11509">
        <v>0</v>
      </c>
      <c r="D11509">
        <v>0</v>
      </c>
      <c r="E11509">
        <v>0</v>
      </c>
      <c r="F11509">
        <v>0.2</v>
      </c>
    </row>
    <row r="11510" spans="1:6" x14ac:dyDescent="0.25">
      <c r="A11510">
        <v>11509</v>
      </c>
      <c r="B11510">
        <v>43</v>
      </c>
      <c r="C11510">
        <v>0</v>
      </c>
      <c r="D11510">
        <v>0</v>
      </c>
      <c r="E11510">
        <v>0</v>
      </c>
      <c r="F11510">
        <v>0</v>
      </c>
    </row>
    <row r="11511" spans="1:6" x14ac:dyDescent="0.25">
      <c r="A11511">
        <v>11510</v>
      </c>
      <c r="B11511" t="s">
        <v>0</v>
      </c>
      <c r="C11511">
        <v>133</v>
      </c>
      <c r="D11511">
        <v>3497</v>
      </c>
      <c r="E11511">
        <v>80427088</v>
      </c>
    </row>
    <row r="11512" spans="1:6" x14ac:dyDescent="0.25">
      <c r="A11512">
        <v>11511</v>
      </c>
      <c r="B11512">
        <v>44</v>
      </c>
      <c r="C11512">
        <v>0</v>
      </c>
      <c r="D11512">
        <v>0</v>
      </c>
      <c r="E11512">
        <v>0</v>
      </c>
      <c r="F11512">
        <v>-20.1541</v>
      </c>
    </row>
    <row r="11513" spans="1:6" x14ac:dyDescent="0.25">
      <c r="A11513">
        <v>11512</v>
      </c>
      <c r="B11513">
        <v>45</v>
      </c>
      <c r="C11513">
        <v>0</v>
      </c>
      <c r="D11513">
        <v>0</v>
      </c>
      <c r="E11513">
        <v>0</v>
      </c>
      <c r="F11513">
        <v>516.34699999999998</v>
      </c>
    </row>
    <row r="11514" spans="1:6" x14ac:dyDescent="0.25">
      <c r="A11514">
        <v>11513</v>
      </c>
      <c r="B11514" t="s">
        <v>0</v>
      </c>
      <c r="C11514">
        <v>134</v>
      </c>
      <c r="D11514">
        <v>3497</v>
      </c>
      <c r="E11514">
        <v>80427225</v>
      </c>
    </row>
    <row r="11515" spans="1:6" x14ac:dyDescent="0.25">
      <c r="A11515">
        <v>11514</v>
      </c>
      <c r="B11515">
        <v>46</v>
      </c>
      <c r="C11515">
        <v>0</v>
      </c>
      <c r="D11515">
        <v>0</v>
      </c>
      <c r="E11515">
        <v>0</v>
      </c>
      <c r="F11515">
        <v>0</v>
      </c>
    </row>
    <row r="11516" spans="1:6" x14ac:dyDescent="0.25">
      <c r="A11516">
        <v>11515</v>
      </c>
      <c r="B11516">
        <v>2</v>
      </c>
      <c r="C11516">
        <v>0</v>
      </c>
      <c r="D11516">
        <v>0</v>
      </c>
      <c r="E11516">
        <v>0</v>
      </c>
      <c r="F11516">
        <v>242.583</v>
      </c>
    </row>
    <row r="11517" spans="1:6" x14ac:dyDescent="0.25">
      <c r="A11517">
        <v>11516</v>
      </c>
      <c r="B11517" t="s">
        <v>0</v>
      </c>
      <c r="C11517">
        <v>135</v>
      </c>
      <c r="D11517">
        <v>3497</v>
      </c>
      <c r="E11517">
        <v>80427362</v>
      </c>
    </row>
    <row r="11518" spans="1:6" x14ac:dyDescent="0.25">
      <c r="A11518">
        <v>11517</v>
      </c>
      <c r="B11518">
        <v>10</v>
      </c>
      <c r="C11518">
        <v>1</v>
      </c>
      <c r="D11518">
        <v>0</v>
      </c>
      <c r="E11518">
        <v>0</v>
      </c>
      <c r="F11518">
        <v>4902</v>
      </c>
    </row>
    <row r="11519" spans="1:6" x14ac:dyDescent="0.25">
      <c r="A11519">
        <v>11518</v>
      </c>
      <c r="B11519">
        <v>13</v>
      </c>
      <c r="C11519">
        <v>0</v>
      </c>
      <c r="D11519">
        <v>0</v>
      </c>
      <c r="E11519">
        <v>0</v>
      </c>
      <c r="F11519">
        <v>1609</v>
      </c>
    </row>
    <row r="11520" spans="1:6" x14ac:dyDescent="0.25">
      <c r="A11520">
        <v>11519</v>
      </c>
      <c r="B11520" t="s">
        <v>0</v>
      </c>
      <c r="C11520">
        <v>136</v>
      </c>
      <c r="D11520">
        <v>3497</v>
      </c>
      <c r="E11520">
        <v>80427499</v>
      </c>
    </row>
    <row r="11521" spans="1:6" x14ac:dyDescent="0.25">
      <c r="A11521">
        <v>11520</v>
      </c>
      <c r="B11521">
        <v>41</v>
      </c>
      <c r="C11521">
        <v>0</v>
      </c>
      <c r="D11521">
        <v>0</v>
      </c>
      <c r="E11521">
        <v>0</v>
      </c>
      <c r="F11521">
        <v>1</v>
      </c>
    </row>
    <row r="11522" spans="1:6" x14ac:dyDescent="0.25">
      <c r="A11522">
        <v>11521</v>
      </c>
      <c r="B11522">
        <v>42</v>
      </c>
      <c r="C11522">
        <v>0</v>
      </c>
      <c r="D11522">
        <v>0</v>
      </c>
      <c r="E11522">
        <v>0</v>
      </c>
      <c r="F11522">
        <v>0.2</v>
      </c>
    </row>
    <row r="11523" spans="1:6" x14ac:dyDescent="0.25">
      <c r="A11523">
        <v>11522</v>
      </c>
      <c r="B11523" t="s">
        <v>0</v>
      </c>
      <c r="C11523">
        <v>137</v>
      </c>
      <c r="D11523">
        <v>3497</v>
      </c>
      <c r="E11523">
        <v>80427636</v>
      </c>
    </row>
    <row r="11524" spans="1:6" x14ac:dyDescent="0.25">
      <c r="A11524">
        <v>11523</v>
      </c>
      <c r="B11524">
        <v>43</v>
      </c>
      <c r="C11524">
        <v>0</v>
      </c>
      <c r="D11524">
        <v>0</v>
      </c>
      <c r="E11524">
        <v>0</v>
      </c>
      <c r="F11524">
        <v>0</v>
      </c>
    </row>
    <row r="11525" spans="1:6" x14ac:dyDescent="0.25">
      <c r="A11525">
        <v>11524</v>
      </c>
      <c r="B11525">
        <v>44</v>
      </c>
      <c r="C11525">
        <v>0</v>
      </c>
      <c r="D11525">
        <v>0</v>
      </c>
      <c r="E11525">
        <v>0</v>
      </c>
      <c r="F11525">
        <v>-19.9819</v>
      </c>
    </row>
    <row r="11526" spans="1:6" x14ac:dyDescent="0.25">
      <c r="A11526">
        <v>11525</v>
      </c>
      <c r="B11526" t="s">
        <v>0</v>
      </c>
      <c r="C11526">
        <v>138</v>
      </c>
      <c r="D11526">
        <v>3497</v>
      </c>
      <c r="E11526">
        <v>80427773</v>
      </c>
    </row>
    <row r="11527" spans="1:6" x14ac:dyDescent="0.25">
      <c r="A11527">
        <v>11526</v>
      </c>
      <c r="B11527">
        <v>46</v>
      </c>
      <c r="C11527">
        <v>0</v>
      </c>
      <c r="D11527">
        <v>0</v>
      </c>
      <c r="E11527">
        <v>0</v>
      </c>
      <c r="F11527">
        <v>0</v>
      </c>
    </row>
    <row r="11528" spans="1:6" x14ac:dyDescent="0.25">
      <c r="A11528">
        <v>11527</v>
      </c>
      <c r="B11528" t="s">
        <v>0</v>
      </c>
      <c r="C11528">
        <v>139</v>
      </c>
      <c r="D11528">
        <v>3497</v>
      </c>
      <c r="E11528">
        <v>80427910</v>
      </c>
    </row>
    <row r="11529" spans="1:6" x14ac:dyDescent="0.25">
      <c r="A11529">
        <v>11528</v>
      </c>
      <c r="B11529">
        <v>10</v>
      </c>
      <c r="C11529">
        <v>1</v>
      </c>
      <c r="D11529">
        <v>0</v>
      </c>
      <c r="E11529">
        <v>0</v>
      </c>
      <c r="F11529">
        <v>4903</v>
      </c>
    </row>
    <row r="11530" spans="1:6" x14ac:dyDescent="0.25">
      <c r="A11530">
        <v>11529</v>
      </c>
      <c r="B11530" t="s">
        <v>0</v>
      </c>
      <c r="C11530">
        <v>140</v>
      </c>
      <c r="D11530">
        <v>3497</v>
      </c>
      <c r="E11530">
        <v>80428047</v>
      </c>
    </row>
    <row r="11531" spans="1:6" x14ac:dyDescent="0.25">
      <c r="A11531">
        <v>11530</v>
      </c>
      <c r="B11531">
        <v>41</v>
      </c>
      <c r="C11531">
        <v>0</v>
      </c>
      <c r="D11531">
        <v>0</v>
      </c>
      <c r="E11531">
        <v>0</v>
      </c>
      <c r="F11531">
        <v>1</v>
      </c>
    </row>
    <row r="11532" spans="1:6" x14ac:dyDescent="0.25">
      <c r="A11532">
        <v>11531</v>
      </c>
      <c r="B11532" t="s">
        <v>0</v>
      </c>
      <c r="C11532">
        <v>141</v>
      </c>
      <c r="D11532">
        <v>3497</v>
      </c>
      <c r="E11532">
        <v>80428184</v>
      </c>
    </row>
    <row r="11533" spans="1:6" x14ac:dyDescent="0.25">
      <c r="A11533">
        <v>11532</v>
      </c>
      <c r="B11533">
        <v>43</v>
      </c>
      <c r="C11533">
        <v>0</v>
      </c>
      <c r="D11533">
        <v>0</v>
      </c>
      <c r="E11533">
        <v>0</v>
      </c>
      <c r="F11533">
        <v>0</v>
      </c>
    </row>
    <row r="11534" spans="1:6" x14ac:dyDescent="0.25">
      <c r="A11534">
        <v>11533</v>
      </c>
      <c r="B11534" t="s">
        <v>0</v>
      </c>
      <c r="C11534">
        <v>142</v>
      </c>
      <c r="D11534">
        <v>3497</v>
      </c>
      <c r="E11534">
        <v>80428321</v>
      </c>
    </row>
    <row r="11535" spans="1:6" x14ac:dyDescent="0.25">
      <c r="A11535">
        <v>11534</v>
      </c>
      <c r="B11535">
        <v>45</v>
      </c>
      <c r="C11535">
        <v>0</v>
      </c>
      <c r="D11535">
        <v>0</v>
      </c>
      <c r="E11535">
        <v>0</v>
      </c>
      <c r="F11535">
        <v>516.31799999999998</v>
      </c>
    </row>
    <row r="11536" spans="1:6" x14ac:dyDescent="0.25">
      <c r="A11536">
        <v>11535</v>
      </c>
      <c r="B11536" t="s">
        <v>0</v>
      </c>
      <c r="C11536">
        <v>143</v>
      </c>
      <c r="D11536">
        <v>3497</v>
      </c>
      <c r="E11536">
        <v>80428458</v>
      </c>
    </row>
    <row r="11537" spans="1:6" x14ac:dyDescent="0.25">
      <c r="A11537">
        <v>11536</v>
      </c>
      <c r="B11537">
        <v>2</v>
      </c>
      <c r="C11537">
        <v>0</v>
      </c>
      <c r="D11537">
        <v>0</v>
      </c>
      <c r="E11537">
        <v>0</v>
      </c>
      <c r="F11537">
        <v>242.541</v>
      </c>
    </row>
    <row r="11538" spans="1:6" x14ac:dyDescent="0.25">
      <c r="A11538">
        <v>11537</v>
      </c>
      <c r="B11538">
        <v>10</v>
      </c>
      <c r="C11538">
        <v>1</v>
      </c>
      <c r="D11538">
        <v>0</v>
      </c>
      <c r="E11538">
        <v>0</v>
      </c>
      <c r="F11538">
        <v>4904</v>
      </c>
    </row>
    <row r="11539" spans="1:6" x14ac:dyDescent="0.25">
      <c r="A11539">
        <v>11538</v>
      </c>
      <c r="B11539">
        <v>13</v>
      </c>
      <c r="C11539">
        <v>0</v>
      </c>
      <c r="D11539">
        <v>0</v>
      </c>
      <c r="E11539">
        <v>0</v>
      </c>
      <c r="F11539">
        <v>1609</v>
      </c>
    </row>
    <row r="11540" spans="1:6" x14ac:dyDescent="0.25">
      <c r="A11540">
        <v>11539</v>
      </c>
      <c r="B11540">
        <v>41</v>
      </c>
      <c r="C11540">
        <v>0</v>
      </c>
      <c r="D11540">
        <v>0</v>
      </c>
      <c r="E11540">
        <v>0</v>
      </c>
      <c r="F11540">
        <v>1</v>
      </c>
    </row>
    <row r="11541" spans="1:6" x14ac:dyDescent="0.25">
      <c r="A11541">
        <v>11540</v>
      </c>
      <c r="B11541">
        <v>42</v>
      </c>
      <c r="C11541">
        <v>0</v>
      </c>
      <c r="D11541">
        <v>0</v>
      </c>
      <c r="E11541">
        <v>0</v>
      </c>
      <c r="F11541">
        <v>0.2</v>
      </c>
    </row>
    <row r="11542" spans="1:6" x14ac:dyDescent="0.25">
      <c r="A11542">
        <v>11541</v>
      </c>
      <c r="B11542">
        <v>43</v>
      </c>
      <c r="C11542">
        <v>0</v>
      </c>
      <c r="D11542">
        <v>0</v>
      </c>
      <c r="E11542">
        <v>0</v>
      </c>
      <c r="F11542">
        <v>0</v>
      </c>
    </row>
    <row r="11543" spans="1:6" x14ac:dyDescent="0.25">
      <c r="A11543">
        <v>11542</v>
      </c>
      <c r="B11543">
        <v>44</v>
      </c>
      <c r="C11543">
        <v>0</v>
      </c>
      <c r="D11543">
        <v>0</v>
      </c>
      <c r="E11543">
        <v>0</v>
      </c>
      <c r="F11543">
        <v>-19.6462</v>
      </c>
    </row>
    <row r="11544" spans="1:6" x14ac:dyDescent="0.25">
      <c r="A11544">
        <v>11543</v>
      </c>
      <c r="B11544">
        <v>45</v>
      </c>
      <c r="C11544">
        <v>0</v>
      </c>
      <c r="D11544">
        <v>0</v>
      </c>
      <c r="E11544">
        <v>0</v>
      </c>
      <c r="F11544">
        <v>516.30499999999995</v>
      </c>
    </row>
    <row r="11545" spans="1:6" x14ac:dyDescent="0.25">
      <c r="A11545">
        <v>11544</v>
      </c>
      <c r="B11545">
        <v>46</v>
      </c>
      <c r="C11545">
        <v>0</v>
      </c>
      <c r="D11545">
        <v>0</v>
      </c>
      <c r="E11545">
        <v>0</v>
      </c>
      <c r="F11545">
        <v>0</v>
      </c>
    </row>
    <row r="11546" spans="1:6" x14ac:dyDescent="0.25">
      <c r="A11546">
        <v>11545</v>
      </c>
      <c r="B11546">
        <v>2</v>
      </c>
      <c r="C11546">
        <v>0</v>
      </c>
      <c r="D11546">
        <v>0</v>
      </c>
      <c r="E11546">
        <v>0</v>
      </c>
      <c r="F11546">
        <v>242.52799999999999</v>
      </c>
    </row>
    <row r="11547" spans="1:6" x14ac:dyDescent="0.25">
      <c r="A11547">
        <v>11546</v>
      </c>
      <c r="B11547">
        <v>10</v>
      </c>
      <c r="C11547">
        <v>1</v>
      </c>
      <c r="D11547">
        <v>0</v>
      </c>
      <c r="E11547">
        <v>0</v>
      </c>
      <c r="F11547">
        <v>4906</v>
      </c>
    </row>
    <row r="11548" spans="1:6" x14ac:dyDescent="0.25">
      <c r="A11548">
        <v>11547</v>
      </c>
      <c r="B11548">
        <v>13</v>
      </c>
      <c r="C11548">
        <v>0</v>
      </c>
      <c r="D11548">
        <v>0</v>
      </c>
      <c r="E11548">
        <v>0</v>
      </c>
      <c r="F11548">
        <v>1609</v>
      </c>
    </row>
    <row r="11549" spans="1:6" x14ac:dyDescent="0.25">
      <c r="A11549">
        <v>11548</v>
      </c>
      <c r="B11549">
        <v>41</v>
      </c>
      <c r="C11549">
        <v>0</v>
      </c>
      <c r="D11549">
        <v>0</v>
      </c>
      <c r="E11549">
        <v>0</v>
      </c>
      <c r="F11549">
        <v>1</v>
      </c>
    </row>
    <row r="11550" spans="1:6" x14ac:dyDescent="0.25">
      <c r="A11550">
        <v>11549</v>
      </c>
      <c r="B11550">
        <v>42</v>
      </c>
      <c r="C11550">
        <v>0</v>
      </c>
      <c r="D11550">
        <v>0</v>
      </c>
      <c r="E11550">
        <v>0</v>
      </c>
      <c r="F11550">
        <v>0.2</v>
      </c>
    </row>
    <row r="11551" spans="1:6" x14ac:dyDescent="0.25">
      <c r="A11551">
        <v>11550</v>
      </c>
      <c r="B11551" t="s">
        <v>0</v>
      </c>
      <c r="C11551">
        <v>150</v>
      </c>
      <c r="D11551">
        <v>3497</v>
      </c>
      <c r="E11551">
        <v>80429417</v>
      </c>
    </row>
    <row r="11552" spans="1:6" x14ac:dyDescent="0.25">
      <c r="A11552">
        <v>11551</v>
      </c>
      <c r="B11552">
        <v>43</v>
      </c>
      <c r="C11552">
        <v>0</v>
      </c>
      <c r="D11552">
        <v>0</v>
      </c>
      <c r="E11552">
        <v>0</v>
      </c>
      <c r="F11552">
        <v>0</v>
      </c>
    </row>
    <row r="11553" spans="1:6" x14ac:dyDescent="0.25">
      <c r="A11553">
        <v>11552</v>
      </c>
      <c r="B11553">
        <v>44</v>
      </c>
      <c r="C11553">
        <v>0</v>
      </c>
      <c r="D11553">
        <v>0</v>
      </c>
      <c r="E11553">
        <v>0</v>
      </c>
      <c r="F11553">
        <v>-19.484999999999999</v>
      </c>
    </row>
    <row r="11554" spans="1:6" x14ac:dyDescent="0.25">
      <c r="A11554">
        <v>11553</v>
      </c>
      <c r="B11554" t="s">
        <v>0</v>
      </c>
      <c r="C11554">
        <v>151</v>
      </c>
      <c r="D11554">
        <v>3497</v>
      </c>
      <c r="E11554">
        <v>80429554</v>
      </c>
    </row>
    <row r="11555" spans="1:6" x14ac:dyDescent="0.25">
      <c r="A11555">
        <v>11554</v>
      </c>
      <c r="B11555">
        <v>45</v>
      </c>
      <c r="C11555">
        <v>0</v>
      </c>
      <c r="D11555">
        <v>0</v>
      </c>
      <c r="E11555">
        <v>0</v>
      </c>
      <c r="F11555">
        <v>516.28899999999999</v>
      </c>
    </row>
    <row r="11556" spans="1:6" x14ac:dyDescent="0.25">
      <c r="A11556">
        <v>11555</v>
      </c>
      <c r="B11556">
        <v>46</v>
      </c>
      <c r="C11556">
        <v>0</v>
      </c>
      <c r="D11556">
        <v>0</v>
      </c>
      <c r="E11556">
        <v>0</v>
      </c>
      <c r="F11556">
        <v>0</v>
      </c>
    </row>
    <row r="11557" spans="1:6" x14ac:dyDescent="0.25">
      <c r="A11557">
        <v>11556</v>
      </c>
      <c r="B11557" t="s">
        <v>0</v>
      </c>
      <c r="C11557">
        <v>152</v>
      </c>
      <c r="D11557">
        <v>3497</v>
      </c>
      <c r="E11557">
        <v>80429691</v>
      </c>
    </row>
    <row r="11558" spans="1:6" x14ac:dyDescent="0.25">
      <c r="A11558">
        <v>11557</v>
      </c>
      <c r="B11558">
        <v>2</v>
      </c>
      <c r="C11558">
        <v>0</v>
      </c>
      <c r="D11558">
        <v>0</v>
      </c>
      <c r="E11558">
        <v>0</v>
      </c>
      <c r="F11558">
        <v>242.51499999999999</v>
      </c>
    </row>
    <row r="11559" spans="1:6" x14ac:dyDescent="0.25">
      <c r="A11559">
        <v>11558</v>
      </c>
      <c r="B11559">
        <v>10</v>
      </c>
      <c r="C11559">
        <v>1</v>
      </c>
      <c r="D11559">
        <v>0</v>
      </c>
      <c r="E11559">
        <v>0</v>
      </c>
      <c r="F11559">
        <v>4907</v>
      </c>
    </row>
    <row r="11560" spans="1:6" x14ac:dyDescent="0.25">
      <c r="A11560">
        <v>11559</v>
      </c>
      <c r="B11560" t="s">
        <v>0</v>
      </c>
      <c r="C11560">
        <v>153</v>
      </c>
      <c r="D11560">
        <v>3497</v>
      </c>
      <c r="E11560">
        <v>80429828</v>
      </c>
    </row>
    <row r="11561" spans="1:6" x14ac:dyDescent="0.25">
      <c r="A11561">
        <v>11560</v>
      </c>
      <c r="B11561">
        <v>13</v>
      </c>
      <c r="C11561">
        <v>0</v>
      </c>
      <c r="D11561">
        <v>0</v>
      </c>
      <c r="E11561">
        <v>0</v>
      </c>
      <c r="F11561">
        <v>1609</v>
      </c>
    </row>
    <row r="11562" spans="1:6" x14ac:dyDescent="0.25">
      <c r="A11562">
        <v>11561</v>
      </c>
      <c r="B11562">
        <v>41</v>
      </c>
      <c r="C11562">
        <v>0</v>
      </c>
      <c r="D11562">
        <v>0</v>
      </c>
      <c r="E11562">
        <v>0</v>
      </c>
      <c r="F11562">
        <v>1</v>
      </c>
    </row>
    <row r="11563" spans="1:6" x14ac:dyDescent="0.25">
      <c r="A11563">
        <v>11562</v>
      </c>
      <c r="B11563" t="s">
        <v>0</v>
      </c>
      <c r="C11563">
        <v>154</v>
      </c>
      <c r="D11563">
        <v>3497</v>
      </c>
      <c r="E11563">
        <v>80429965</v>
      </c>
    </row>
    <row r="11564" spans="1:6" x14ac:dyDescent="0.25">
      <c r="A11564">
        <v>11563</v>
      </c>
      <c r="B11564">
        <v>42</v>
      </c>
      <c r="C11564">
        <v>0</v>
      </c>
      <c r="D11564">
        <v>0</v>
      </c>
      <c r="E11564">
        <v>0</v>
      </c>
      <c r="F11564">
        <v>0.2</v>
      </c>
    </row>
    <row r="11565" spans="1:6" x14ac:dyDescent="0.25">
      <c r="A11565">
        <v>11564</v>
      </c>
      <c r="B11565">
        <v>43</v>
      </c>
      <c r="C11565">
        <v>0</v>
      </c>
      <c r="D11565">
        <v>0</v>
      </c>
      <c r="E11565">
        <v>0</v>
      </c>
      <c r="F11565">
        <v>0</v>
      </c>
    </row>
    <row r="11566" spans="1:6" x14ac:dyDescent="0.25">
      <c r="A11566">
        <v>11565</v>
      </c>
      <c r="B11566" t="s">
        <v>0</v>
      </c>
      <c r="C11566">
        <v>155</v>
      </c>
      <c r="D11566">
        <v>3497</v>
      </c>
      <c r="E11566">
        <v>80430102</v>
      </c>
    </row>
    <row r="11567" spans="1:6" x14ac:dyDescent="0.25">
      <c r="A11567">
        <v>11566</v>
      </c>
      <c r="B11567">
        <v>44</v>
      </c>
      <c r="C11567">
        <v>0</v>
      </c>
      <c r="D11567">
        <v>0</v>
      </c>
      <c r="E11567">
        <v>0</v>
      </c>
      <c r="F11567">
        <v>-19.264800000000001</v>
      </c>
    </row>
    <row r="11568" spans="1:6" x14ac:dyDescent="0.25">
      <c r="A11568">
        <v>11567</v>
      </c>
      <c r="B11568">
        <v>45</v>
      </c>
      <c r="C11568">
        <v>0</v>
      </c>
      <c r="D11568">
        <v>0</v>
      </c>
      <c r="E11568">
        <v>0</v>
      </c>
      <c r="F11568">
        <v>516.27599999999995</v>
      </c>
    </row>
    <row r="11569" spans="1:6" x14ac:dyDescent="0.25">
      <c r="A11569">
        <v>11568</v>
      </c>
      <c r="B11569" t="s">
        <v>0</v>
      </c>
      <c r="C11569">
        <v>156</v>
      </c>
      <c r="D11569">
        <v>3497</v>
      </c>
      <c r="E11569">
        <v>80430239</v>
      </c>
    </row>
    <row r="11570" spans="1:6" x14ac:dyDescent="0.25">
      <c r="A11570">
        <v>11569</v>
      </c>
      <c r="B11570">
        <v>2</v>
      </c>
      <c r="C11570">
        <v>0</v>
      </c>
      <c r="D11570">
        <v>0</v>
      </c>
      <c r="E11570">
        <v>0</v>
      </c>
      <c r="F11570">
        <v>242.45699999999999</v>
      </c>
    </row>
    <row r="11571" spans="1:6" x14ac:dyDescent="0.25">
      <c r="A11571">
        <v>11570</v>
      </c>
      <c r="B11571" t="s">
        <v>0</v>
      </c>
      <c r="C11571">
        <v>157</v>
      </c>
      <c r="D11571">
        <v>3497</v>
      </c>
      <c r="E11571">
        <v>80430376</v>
      </c>
    </row>
    <row r="11572" spans="1:6" x14ac:dyDescent="0.25">
      <c r="A11572">
        <v>11571</v>
      </c>
      <c r="B11572">
        <v>13</v>
      </c>
      <c r="C11572">
        <v>0</v>
      </c>
      <c r="D11572">
        <v>0</v>
      </c>
      <c r="E11572">
        <v>0</v>
      </c>
      <c r="F11572">
        <v>1609</v>
      </c>
    </row>
    <row r="11573" spans="1:6" x14ac:dyDescent="0.25">
      <c r="A11573">
        <v>11572</v>
      </c>
      <c r="B11573" t="s">
        <v>0</v>
      </c>
      <c r="C11573">
        <v>158</v>
      </c>
      <c r="D11573">
        <v>3497</v>
      </c>
      <c r="E11573">
        <v>80430513</v>
      </c>
    </row>
    <row r="11574" spans="1:6" x14ac:dyDescent="0.25">
      <c r="A11574">
        <v>11573</v>
      </c>
      <c r="B11574">
        <v>42</v>
      </c>
      <c r="C11574">
        <v>0</v>
      </c>
      <c r="D11574">
        <v>0</v>
      </c>
      <c r="E11574">
        <v>0</v>
      </c>
      <c r="F11574">
        <v>0.2</v>
      </c>
    </row>
    <row r="11575" spans="1:6" x14ac:dyDescent="0.25">
      <c r="A11575">
        <v>11574</v>
      </c>
      <c r="B11575" t="s">
        <v>0</v>
      </c>
      <c r="C11575">
        <v>159</v>
      </c>
      <c r="D11575">
        <v>3497</v>
      </c>
      <c r="E11575">
        <v>80430650</v>
      </c>
    </row>
    <row r="11576" spans="1:6" x14ac:dyDescent="0.25">
      <c r="A11576">
        <v>11575</v>
      </c>
      <c r="B11576">
        <v>44</v>
      </c>
      <c r="C11576">
        <v>0</v>
      </c>
      <c r="D11576">
        <v>0</v>
      </c>
      <c r="E11576">
        <v>0</v>
      </c>
      <c r="F11576">
        <v>-19.073499999999999</v>
      </c>
    </row>
    <row r="11577" spans="1:6" x14ac:dyDescent="0.25">
      <c r="A11577">
        <v>11576</v>
      </c>
      <c r="B11577" t="s">
        <v>0</v>
      </c>
      <c r="C11577">
        <v>160</v>
      </c>
      <c r="D11577">
        <v>3497</v>
      </c>
      <c r="E11577">
        <v>80430787</v>
      </c>
    </row>
    <row r="11578" spans="1:6" x14ac:dyDescent="0.25">
      <c r="A11578">
        <v>11577</v>
      </c>
      <c r="B11578">
        <v>46</v>
      </c>
      <c r="C11578">
        <v>0</v>
      </c>
      <c r="D11578">
        <v>0</v>
      </c>
      <c r="E11578">
        <v>0</v>
      </c>
      <c r="F11578">
        <v>0</v>
      </c>
    </row>
    <row r="11579" spans="1:6" x14ac:dyDescent="0.25">
      <c r="A11579">
        <v>11578</v>
      </c>
      <c r="B11579">
        <v>2</v>
      </c>
      <c r="C11579">
        <v>0</v>
      </c>
      <c r="D11579">
        <v>0</v>
      </c>
      <c r="E11579">
        <v>0</v>
      </c>
      <c r="F11579">
        <v>242.39400000000001</v>
      </c>
    </row>
    <row r="11580" spans="1:6" x14ac:dyDescent="0.25">
      <c r="A11580">
        <v>11579</v>
      </c>
      <c r="B11580">
        <v>10</v>
      </c>
      <c r="C11580">
        <v>1</v>
      </c>
      <c r="D11580">
        <v>0</v>
      </c>
      <c r="E11580">
        <v>0</v>
      </c>
      <c r="F11580">
        <v>4912</v>
      </c>
    </row>
    <row r="11581" spans="1:6" x14ac:dyDescent="0.25">
      <c r="A11581">
        <v>11580</v>
      </c>
      <c r="B11581">
        <v>13</v>
      </c>
      <c r="C11581">
        <v>0</v>
      </c>
      <c r="D11581">
        <v>0</v>
      </c>
      <c r="E11581">
        <v>0</v>
      </c>
      <c r="F11581">
        <v>1610</v>
      </c>
    </row>
    <row r="11582" spans="1:6" x14ac:dyDescent="0.25">
      <c r="A11582">
        <v>11581</v>
      </c>
      <c r="B11582">
        <v>41</v>
      </c>
      <c r="C11582">
        <v>0</v>
      </c>
      <c r="D11582">
        <v>0</v>
      </c>
      <c r="E11582">
        <v>0</v>
      </c>
      <c r="F11582">
        <v>1</v>
      </c>
    </row>
    <row r="11583" spans="1:6" x14ac:dyDescent="0.25">
      <c r="A11583">
        <v>11582</v>
      </c>
      <c r="B11583">
        <v>42</v>
      </c>
      <c r="C11583">
        <v>0</v>
      </c>
      <c r="D11583">
        <v>0</v>
      </c>
      <c r="E11583">
        <v>0</v>
      </c>
      <c r="F11583">
        <v>0.2</v>
      </c>
    </row>
    <row r="11584" spans="1:6" x14ac:dyDescent="0.25">
      <c r="A11584">
        <v>11583</v>
      </c>
      <c r="B11584">
        <v>43</v>
      </c>
      <c r="C11584">
        <v>0</v>
      </c>
      <c r="D11584">
        <v>0</v>
      </c>
      <c r="E11584">
        <v>0</v>
      </c>
      <c r="F11584">
        <v>0</v>
      </c>
    </row>
    <row r="11585" spans="1:6" x14ac:dyDescent="0.25">
      <c r="A11585">
        <v>11584</v>
      </c>
      <c r="B11585">
        <v>44</v>
      </c>
      <c r="C11585">
        <v>0</v>
      </c>
      <c r="D11585">
        <v>0</v>
      </c>
      <c r="E11585">
        <v>0</v>
      </c>
      <c r="F11585">
        <v>-18.894600000000001</v>
      </c>
    </row>
    <row r="11586" spans="1:6" x14ac:dyDescent="0.25">
      <c r="A11586">
        <v>11585</v>
      </c>
      <c r="B11586">
        <v>45</v>
      </c>
      <c r="C11586">
        <v>0</v>
      </c>
      <c r="D11586">
        <v>0</v>
      </c>
      <c r="E11586">
        <v>0</v>
      </c>
      <c r="F11586">
        <v>516.24699999999996</v>
      </c>
    </row>
    <row r="11587" spans="1:6" x14ac:dyDescent="0.25">
      <c r="A11587">
        <v>11586</v>
      </c>
      <c r="B11587">
        <v>46</v>
      </c>
      <c r="C11587">
        <v>0</v>
      </c>
      <c r="D11587">
        <v>0</v>
      </c>
      <c r="E11587">
        <v>0</v>
      </c>
      <c r="F11587">
        <v>0</v>
      </c>
    </row>
    <row r="11588" spans="1:6" x14ac:dyDescent="0.25">
      <c r="A11588">
        <v>11587</v>
      </c>
      <c r="B11588">
        <v>2</v>
      </c>
      <c r="C11588">
        <v>0</v>
      </c>
      <c r="D11588">
        <v>0</v>
      </c>
      <c r="E11588">
        <v>0</v>
      </c>
      <c r="F11588">
        <v>242.33199999999999</v>
      </c>
    </row>
    <row r="11589" spans="1:6" x14ac:dyDescent="0.25">
      <c r="A11589">
        <v>11588</v>
      </c>
      <c r="B11589">
        <v>10</v>
      </c>
      <c r="C11589">
        <v>1</v>
      </c>
      <c r="D11589">
        <v>0</v>
      </c>
      <c r="E11589">
        <v>0</v>
      </c>
      <c r="F11589">
        <v>4914</v>
      </c>
    </row>
    <row r="11590" spans="1:6" x14ac:dyDescent="0.25">
      <c r="A11590">
        <v>11589</v>
      </c>
      <c r="B11590">
        <v>13</v>
      </c>
      <c r="C11590">
        <v>0</v>
      </c>
      <c r="D11590">
        <v>0</v>
      </c>
      <c r="E11590">
        <v>0</v>
      </c>
      <c r="F11590">
        <v>1610</v>
      </c>
    </row>
    <row r="11591" spans="1:6" x14ac:dyDescent="0.25">
      <c r="A11591">
        <v>11590</v>
      </c>
      <c r="B11591">
        <v>41</v>
      </c>
      <c r="C11591">
        <v>0</v>
      </c>
      <c r="D11591">
        <v>0</v>
      </c>
      <c r="E11591">
        <v>0</v>
      </c>
      <c r="F11591">
        <v>1</v>
      </c>
    </row>
    <row r="11592" spans="1:6" x14ac:dyDescent="0.25">
      <c r="A11592">
        <v>11591</v>
      </c>
      <c r="B11592" t="s">
        <v>0</v>
      </c>
      <c r="C11592">
        <v>167</v>
      </c>
      <c r="D11592">
        <v>3497</v>
      </c>
      <c r="E11592">
        <v>80431748</v>
      </c>
    </row>
    <row r="11593" spans="1:6" x14ac:dyDescent="0.25">
      <c r="A11593">
        <v>11592</v>
      </c>
      <c r="B11593">
        <v>42</v>
      </c>
      <c r="C11593">
        <v>0</v>
      </c>
      <c r="D11593">
        <v>0</v>
      </c>
      <c r="E11593">
        <v>0</v>
      </c>
      <c r="F11593">
        <v>0.2</v>
      </c>
    </row>
    <row r="11594" spans="1:6" x14ac:dyDescent="0.25">
      <c r="A11594">
        <v>11593</v>
      </c>
      <c r="B11594">
        <v>43</v>
      </c>
      <c r="C11594">
        <v>0</v>
      </c>
      <c r="D11594">
        <v>0</v>
      </c>
      <c r="E11594">
        <v>0</v>
      </c>
      <c r="F11594">
        <v>0</v>
      </c>
    </row>
    <row r="11595" spans="1:6" x14ac:dyDescent="0.25">
      <c r="A11595">
        <v>11594</v>
      </c>
      <c r="B11595" t="s">
        <v>0</v>
      </c>
      <c r="C11595">
        <v>168</v>
      </c>
      <c r="D11595">
        <v>3497</v>
      </c>
      <c r="E11595">
        <v>80431885</v>
      </c>
    </row>
    <row r="11596" spans="1:6" x14ac:dyDescent="0.25">
      <c r="A11596">
        <v>11595</v>
      </c>
      <c r="B11596">
        <v>44</v>
      </c>
      <c r="C11596">
        <v>0</v>
      </c>
      <c r="D11596">
        <v>0</v>
      </c>
      <c r="E11596">
        <v>0</v>
      </c>
      <c r="F11596">
        <v>-18.666399999999999</v>
      </c>
    </row>
    <row r="11597" spans="1:6" x14ac:dyDescent="0.25">
      <c r="A11597">
        <v>11596</v>
      </c>
      <c r="B11597">
        <v>45</v>
      </c>
      <c r="C11597">
        <v>0</v>
      </c>
      <c r="D11597">
        <v>0</v>
      </c>
      <c r="E11597">
        <v>0</v>
      </c>
      <c r="F11597">
        <v>516.23500000000001</v>
      </c>
    </row>
    <row r="11598" spans="1:6" x14ac:dyDescent="0.25">
      <c r="A11598">
        <v>11597</v>
      </c>
      <c r="B11598" t="s">
        <v>0</v>
      </c>
      <c r="C11598">
        <v>169</v>
      </c>
      <c r="D11598">
        <v>3497</v>
      </c>
      <c r="E11598">
        <v>80432022</v>
      </c>
    </row>
    <row r="11599" spans="1:6" x14ac:dyDescent="0.25">
      <c r="A11599">
        <v>11598</v>
      </c>
      <c r="B11599">
        <v>46</v>
      </c>
      <c r="C11599">
        <v>0</v>
      </c>
      <c r="D11599">
        <v>0</v>
      </c>
      <c r="E11599">
        <v>0</v>
      </c>
      <c r="F11599">
        <v>0</v>
      </c>
    </row>
    <row r="11600" spans="1:6" x14ac:dyDescent="0.25">
      <c r="A11600">
        <v>11599</v>
      </c>
      <c r="B11600">
        <v>2</v>
      </c>
      <c r="C11600">
        <v>0</v>
      </c>
      <c r="D11600">
        <v>0</v>
      </c>
      <c r="E11600">
        <v>0</v>
      </c>
      <c r="F11600">
        <v>242.292</v>
      </c>
    </row>
    <row r="11601" spans="1:6" x14ac:dyDescent="0.25">
      <c r="A11601">
        <v>11600</v>
      </c>
      <c r="B11601" t="s">
        <v>0</v>
      </c>
      <c r="C11601">
        <v>170</v>
      </c>
      <c r="D11601">
        <v>3497</v>
      </c>
      <c r="E11601">
        <v>80432159</v>
      </c>
    </row>
    <row r="11602" spans="1:6" x14ac:dyDescent="0.25">
      <c r="A11602">
        <v>11601</v>
      </c>
      <c r="B11602">
        <v>10</v>
      </c>
      <c r="C11602">
        <v>1</v>
      </c>
      <c r="D11602">
        <v>0</v>
      </c>
      <c r="E11602">
        <v>0</v>
      </c>
      <c r="F11602">
        <v>4916</v>
      </c>
    </row>
    <row r="11603" spans="1:6" x14ac:dyDescent="0.25">
      <c r="A11603">
        <v>11602</v>
      </c>
      <c r="B11603">
        <v>13</v>
      </c>
      <c r="C11603">
        <v>0</v>
      </c>
      <c r="D11603">
        <v>0</v>
      </c>
      <c r="E11603">
        <v>0</v>
      </c>
      <c r="F11603">
        <v>1610</v>
      </c>
    </row>
    <row r="11604" spans="1:6" x14ac:dyDescent="0.25">
      <c r="A11604">
        <v>11603</v>
      </c>
      <c r="B11604" t="s">
        <v>0</v>
      </c>
      <c r="C11604">
        <v>171</v>
      </c>
      <c r="D11604">
        <v>3497</v>
      </c>
      <c r="E11604">
        <v>80432296</v>
      </c>
    </row>
    <row r="11605" spans="1:6" x14ac:dyDescent="0.25">
      <c r="A11605">
        <v>11604</v>
      </c>
      <c r="B11605">
        <v>41</v>
      </c>
      <c r="C11605">
        <v>0</v>
      </c>
      <c r="D11605">
        <v>0</v>
      </c>
      <c r="E11605">
        <v>0</v>
      </c>
      <c r="F11605">
        <v>1</v>
      </c>
    </row>
    <row r="11606" spans="1:6" x14ac:dyDescent="0.25">
      <c r="A11606">
        <v>11605</v>
      </c>
      <c r="B11606">
        <v>42</v>
      </c>
      <c r="C11606">
        <v>0</v>
      </c>
      <c r="D11606">
        <v>0</v>
      </c>
      <c r="E11606">
        <v>0</v>
      </c>
      <c r="F11606">
        <v>0.2</v>
      </c>
    </row>
    <row r="11607" spans="1:6" x14ac:dyDescent="0.25">
      <c r="A11607">
        <v>11606</v>
      </c>
      <c r="B11607" t="s">
        <v>0</v>
      </c>
      <c r="C11607">
        <v>172</v>
      </c>
      <c r="D11607">
        <v>3497</v>
      </c>
      <c r="E11607">
        <v>80432434</v>
      </c>
    </row>
    <row r="11608" spans="1:6" x14ac:dyDescent="0.25">
      <c r="A11608">
        <v>11607</v>
      </c>
      <c r="B11608">
        <v>44</v>
      </c>
      <c r="C11608">
        <v>0</v>
      </c>
      <c r="D11608">
        <v>0</v>
      </c>
      <c r="E11608">
        <v>0</v>
      </c>
      <c r="F11608">
        <v>-18.482299999999999</v>
      </c>
    </row>
    <row r="11609" spans="1:6" x14ac:dyDescent="0.25">
      <c r="A11609">
        <v>11608</v>
      </c>
      <c r="B11609" t="s">
        <v>0</v>
      </c>
      <c r="C11609">
        <v>173</v>
      </c>
      <c r="D11609">
        <v>3497</v>
      </c>
      <c r="E11609">
        <v>80432571</v>
      </c>
    </row>
    <row r="11610" spans="1:6" x14ac:dyDescent="0.25">
      <c r="A11610">
        <v>11609</v>
      </c>
      <c r="B11610">
        <v>46</v>
      </c>
      <c r="C11610">
        <v>0</v>
      </c>
      <c r="D11610">
        <v>0</v>
      </c>
      <c r="E11610">
        <v>0</v>
      </c>
      <c r="F11610">
        <v>0</v>
      </c>
    </row>
    <row r="11611" spans="1:6" x14ac:dyDescent="0.25">
      <c r="A11611">
        <v>11610</v>
      </c>
      <c r="B11611" t="s">
        <v>0</v>
      </c>
      <c r="C11611">
        <v>174</v>
      </c>
      <c r="D11611">
        <v>3497</v>
      </c>
      <c r="E11611">
        <v>80432708</v>
      </c>
    </row>
    <row r="11612" spans="1:6" x14ac:dyDescent="0.25">
      <c r="A11612">
        <v>11611</v>
      </c>
      <c r="B11612">
        <v>10</v>
      </c>
      <c r="C11612">
        <v>1</v>
      </c>
      <c r="D11612">
        <v>0</v>
      </c>
      <c r="E11612">
        <v>0</v>
      </c>
      <c r="F11612">
        <v>4918</v>
      </c>
    </row>
    <row r="11613" spans="1:6" x14ac:dyDescent="0.25">
      <c r="A11613">
        <v>11612</v>
      </c>
      <c r="B11613" t="s">
        <v>0</v>
      </c>
      <c r="C11613">
        <v>175</v>
      </c>
      <c r="D11613">
        <v>3497</v>
      </c>
      <c r="E11613">
        <v>80432845</v>
      </c>
    </row>
    <row r="11614" spans="1:6" x14ac:dyDescent="0.25">
      <c r="A11614">
        <v>11613</v>
      </c>
      <c r="B11614">
        <v>41</v>
      </c>
      <c r="C11614">
        <v>0</v>
      </c>
      <c r="D11614">
        <v>0</v>
      </c>
      <c r="E11614">
        <v>0</v>
      </c>
      <c r="F11614">
        <v>1</v>
      </c>
    </row>
    <row r="11615" spans="1:6" x14ac:dyDescent="0.25">
      <c r="A11615">
        <v>11614</v>
      </c>
      <c r="B11615" t="s">
        <v>0</v>
      </c>
      <c r="C11615">
        <v>176</v>
      </c>
      <c r="D11615">
        <v>3497</v>
      </c>
      <c r="E11615">
        <v>80432983</v>
      </c>
    </row>
    <row r="11616" spans="1:6" x14ac:dyDescent="0.25">
      <c r="A11616">
        <v>11615</v>
      </c>
      <c r="B11616">
        <v>43</v>
      </c>
      <c r="C11616">
        <v>0</v>
      </c>
      <c r="D11616">
        <v>0</v>
      </c>
      <c r="E11616">
        <v>0</v>
      </c>
      <c r="F11616">
        <v>0</v>
      </c>
    </row>
    <row r="11617" spans="1:6" x14ac:dyDescent="0.25">
      <c r="A11617">
        <v>11616</v>
      </c>
      <c r="B11617" t="s">
        <v>0</v>
      </c>
      <c r="C11617">
        <v>177</v>
      </c>
      <c r="D11617">
        <v>3497</v>
      </c>
      <c r="E11617">
        <v>80433120</v>
      </c>
    </row>
    <row r="11618" spans="1:6" x14ac:dyDescent="0.25">
      <c r="A11618">
        <v>11617</v>
      </c>
      <c r="B11618">
        <v>45</v>
      </c>
      <c r="C11618">
        <v>0</v>
      </c>
      <c r="D11618">
        <v>0</v>
      </c>
      <c r="E11618">
        <v>0</v>
      </c>
      <c r="F11618">
        <v>516.20799999999997</v>
      </c>
    </row>
    <row r="11619" spans="1:6" x14ac:dyDescent="0.25">
      <c r="A11619">
        <v>11618</v>
      </c>
      <c r="B11619">
        <v>46</v>
      </c>
      <c r="C11619">
        <v>0</v>
      </c>
      <c r="D11619">
        <v>0</v>
      </c>
      <c r="E11619">
        <v>0</v>
      </c>
      <c r="F11619">
        <v>0</v>
      </c>
    </row>
    <row r="11620" spans="1:6" x14ac:dyDescent="0.25">
      <c r="A11620">
        <v>11619</v>
      </c>
      <c r="B11620">
        <v>2</v>
      </c>
      <c r="C11620">
        <v>0</v>
      </c>
      <c r="D11620">
        <v>0</v>
      </c>
      <c r="E11620">
        <v>0</v>
      </c>
      <c r="F11620">
        <v>242.22800000000001</v>
      </c>
    </row>
    <row r="11621" spans="1:6" x14ac:dyDescent="0.25">
      <c r="A11621">
        <v>11620</v>
      </c>
      <c r="B11621">
        <v>10</v>
      </c>
      <c r="C11621">
        <v>1</v>
      </c>
      <c r="D11621">
        <v>0</v>
      </c>
      <c r="E11621">
        <v>0</v>
      </c>
      <c r="F11621">
        <v>4919</v>
      </c>
    </row>
    <row r="11622" spans="1:6" x14ac:dyDescent="0.25">
      <c r="A11622">
        <v>11621</v>
      </c>
      <c r="B11622">
        <v>13</v>
      </c>
      <c r="C11622">
        <v>0</v>
      </c>
      <c r="D11622">
        <v>0</v>
      </c>
      <c r="E11622">
        <v>0</v>
      </c>
      <c r="F11622">
        <v>1610</v>
      </c>
    </row>
    <row r="11623" spans="1:6" x14ac:dyDescent="0.25">
      <c r="A11623">
        <v>11622</v>
      </c>
      <c r="B11623">
        <v>41</v>
      </c>
      <c r="C11623">
        <v>0</v>
      </c>
      <c r="D11623">
        <v>0</v>
      </c>
      <c r="E11623">
        <v>0</v>
      </c>
      <c r="F11623">
        <v>1</v>
      </c>
    </row>
    <row r="11624" spans="1:6" x14ac:dyDescent="0.25">
      <c r="A11624">
        <v>11623</v>
      </c>
      <c r="B11624">
        <v>42</v>
      </c>
      <c r="C11624">
        <v>0</v>
      </c>
      <c r="D11624">
        <v>0</v>
      </c>
      <c r="E11624">
        <v>0</v>
      </c>
      <c r="F11624">
        <v>0.2</v>
      </c>
    </row>
    <row r="11625" spans="1:6" x14ac:dyDescent="0.25">
      <c r="A11625">
        <v>11624</v>
      </c>
      <c r="B11625">
        <v>43</v>
      </c>
      <c r="C11625">
        <v>0</v>
      </c>
      <c r="D11625">
        <v>0</v>
      </c>
      <c r="E11625">
        <v>0</v>
      </c>
      <c r="F11625">
        <v>0</v>
      </c>
    </row>
    <row r="11626" spans="1:6" x14ac:dyDescent="0.25">
      <c r="A11626">
        <v>11625</v>
      </c>
      <c r="B11626">
        <v>44</v>
      </c>
      <c r="C11626">
        <v>0</v>
      </c>
      <c r="D11626">
        <v>0</v>
      </c>
      <c r="E11626">
        <v>0</v>
      </c>
      <c r="F11626">
        <v>-18.1416</v>
      </c>
    </row>
    <row r="11627" spans="1:6" x14ac:dyDescent="0.25">
      <c r="A11627">
        <v>11626</v>
      </c>
      <c r="B11627">
        <v>45</v>
      </c>
      <c r="C11627">
        <v>0</v>
      </c>
      <c r="D11627">
        <v>0</v>
      </c>
      <c r="E11627">
        <v>0</v>
      </c>
      <c r="F11627">
        <v>516.202</v>
      </c>
    </row>
    <row r="11628" spans="1:6" x14ac:dyDescent="0.25">
      <c r="A11628">
        <v>11627</v>
      </c>
      <c r="B11628">
        <v>46</v>
      </c>
      <c r="C11628">
        <v>0</v>
      </c>
      <c r="D11628">
        <v>0</v>
      </c>
      <c r="E11628">
        <v>0</v>
      </c>
      <c r="F11628">
        <v>0</v>
      </c>
    </row>
    <row r="11629" spans="1:6" x14ac:dyDescent="0.25">
      <c r="A11629">
        <v>11628</v>
      </c>
      <c r="B11629">
        <v>2</v>
      </c>
      <c r="C11629">
        <v>0</v>
      </c>
      <c r="D11629">
        <v>0</v>
      </c>
      <c r="E11629">
        <v>0</v>
      </c>
      <c r="F11629">
        <v>242.221</v>
      </c>
    </row>
    <row r="11630" spans="1:6" x14ac:dyDescent="0.25">
      <c r="A11630">
        <v>11629</v>
      </c>
      <c r="B11630" t="s">
        <v>0</v>
      </c>
      <c r="C11630">
        <v>3</v>
      </c>
      <c r="D11630">
        <v>3498</v>
      </c>
      <c r="E11630">
        <v>80433944</v>
      </c>
    </row>
    <row r="11631" spans="1:6" x14ac:dyDescent="0.25">
      <c r="A11631">
        <v>11630</v>
      </c>
      <c r="B11631">
        <v>10</v>
      </c>
      <c r="C11631">
        <v>1</v>
      </c>
      <c r="D11631">
        <v>0</v>
      </c>
      <c r="E11631">
        <v>0</v>
      </c>
      <c r="F11631">
        <v>4920</v>
      </c>
    </row>
    <row r="11632" spans="1:6" x14ac:dyDescent="0.25">
      <c r="A11632">
        <v>11631</v>
      </c>
      <c r="B11632">
        <v>13</v>
      </c>
      <c r="C11632">
        <v>0</v>
      </c>
      <c r="D11632">
        <v>0</v>
      </c>
      <c r="E11632">
        <v>0</v>
      </c>
      <c r="F11632">
        <v>1610</v>
      </c>
    </row>
    <row r="11633" spans="1:6" x14ac:dyDescent="0.25">
      <c r="A11633">
        <v>11632</v>
      </c>
      <c r="B11633" t="s">
        <v>0</v>
      </c>
      <c r="C11633">
        <v>4</v>
      </c>
      <c r="D11633">
        <v>3498</v>
      </c>
      <c r="E11633">
        <v>80434081</v>
      </c>
    </row>
    <row r="11634" spans="1:6" x14ac:dyDescent="0.25">
      <c r="A11634">
        <v>11633</v>
      </c>
      <c r="B11634">
        <v>41</v>
      </c>
      <c r="C11634">
        <v>0</v>
      </c>
      <c r="D11634">
        <v>0</v>
      </c>
      <c r="E11634">
        <v>0</v>
      </c>
      <c r="F11634">
        <v>1</v>
      </c>
    </row>
    <row r="11635" spans="1:6" x14ac:dyDescent="0.25">
      <c r="A11635">
        <v>11634</v>
      </c>
      <c r="B11635">
        <v>42</v>
      </c>
      <c r="C11635">
        <v>0</v>
      </c>
      <c r="D11635">
        <v>0</v>
      </c>
      <c r="E11635">
        <v>0</v>
      </c>
      <c r="F11635">
        <v>0.2</v>
      </c>
    </row>
    <row r="11636" spans="1:6" x14ac:dyDescent="0.25">
      <c r="A11636">
        <v>11635</v>
      </c>
      <c r="B11636" t="s">
        <v>0</v>
      </c>
      <c r="C11636">
        <v>5</v>
      </c>
      <c r="D11636">
        <v>3498</v>
      </c>
      <c r="E11636">
        <v>80434218</v>
      </c>
    </row>
    <row r="11637" spans="1:6" x14ac:dyDescent="0.25">
      <c r="A11637">
        <v>11636</v>
      </c>
      <c r="B11637">
        <v>43</v>
      </c>
      <c r="C11637">
        <v>0</v>
      </c>
      <c r="D11637">
        <v>0</v>
      </c>
      <c r="E11637">
        <v>0</v>
      </c>
      <c r="F11637">
        <v>0</v>
      </c>
    </row>
    <row r="11638" spans="1:6" x14ac:dyDescent="0.25">
      <c r="A11638">
        <v>11637</v>
      </c>
      <c r="B11638">
        <v>44</v>
      </c>
      <c r="C11638">
        <v>0</v>
      </c>
      <c r="D11638">
        <v>0</v>
      </c>
      <c r="E11638">
        <v>0</v>
      </c>
      <c r="F11638">
        <v>-17.971499999999999</v>
      </c>
    </row>
    <row r="11639" spans="1:6" x14ac:dyDescent="0.25">
      <c r="A11639">
        <v>11638</v>
      </c>
      <c r="B11639" t="s">
        <v>0</v>
      </c>
      <c r="C11639">
        <v>6</v>
      </c>
      <c r="D11639">
        <v>3498</v>
      </c>
      <c r="E11639">
        <v>80434355</v>
      </c>
    </row>
    <row r="11640" spans="1:6" x14ac:dyDescent="0.25">
      <c r="A11640">
        <v>11639</v>
      </c>
      <c r="B11640">
        <v>45</v>
      </c>
      <c r="C11640">
        <v>0</v>
      </c>
      <c r="D11640">
        <v>0</v>
      </c>
      <c r="E11640">
        <v>0</v>
      </c>
      <c r="F11640">
        <v>516.18700000000001</v>
      </c>
    </row>
    <row r="11641" spans="1:6" x14ac:dyDescent="0.25">
      <c r="A11641">
        <v>11640</v>
      </c>
      <c r="B11641">
        <v>46</v>
      </c>
      <c r="C11641">
        <v>0</v>
      </c>
      <c r="D11641">
        <v>0</v>
      </c>
      <c r="E11641">
        <v>0</v>
      </c>
      <c r="F11641">
        <v>0</v>
      </c>
    </row>
    <row r="11642" spans="1:6" x14ac:dyDescent="0.25">
      <c r="A11642">
        <v>11641</v>
      </c>
      <c r="B11642" t="s">
        <v>0</v>
      </c>
      <c r="C11642">
        <v>7</v>
      </c>
      <c r="D11642">
        <v>3498</v>
      </c>
      <c r="E11642">
        <v>80434493</v>
      </c>
    </row>
    <row r="11643" spans="1:6" x14ac:dyDescent="0.25">
      <c r="A11643">
        <v>11642</v>
      </c>
      <c r="B11643">
        <v>2</v>
      </c>
      <c r="C11643">
        <v>0</v>
      </c>
      <c r="D11643">
        <v>0</v>
      </c>
      <c r="E11643">
        <v>0</v>
      </c>
      <c r="F11643">
        <v>242.19800000000001</v>
      </c>
    </row>
    <row r="11644" spans="1:6" x14ac:dyDescent="0.25">
      <c r="A11644">
        <v>11643</v>
      </c>
      <c r="B11644">
        <v>10</v>
      </c>
      <c r="C11644">
        <v>1</v>
      </c>
      <c r="D11644">
        <v>0</v>
      </c>
      <c r="E11644">
        <v>0</v>
      </c>
      <c r="F11644">
        <v>4921</v>
      </c>
    </row>
    <row r="11645" spans="1:6" x14ac:dyDescent="0.25">
      <c r="A11645">
        <v>11644</v>
      </c>
      <c r="B11645" t="s">
        <v>0</v>
      </c>
      <c r="C11645">
        <v>8</v>
      </c>
      <c r="D11645">
        <v>3498</v>
      </c>
      <c r="E11645">
        <v>80434630</v>
      </c>
    </row>
    <row r="11646" spans="1:6" x14ac:dyDescent="0.25">
      <c r="A11646">
        <v>11645</v>
      </c>
      <c r="B11646">
        <v>41</v>
      </c>
      <c r="C11646">
        <v>0</v>
      </c>
      <c r="D11646">
        <v>0</v>
      </c>
      <c r="E11646">
        <v>0</v>
      </c>
      <c r="F11646">
        <v>1</v>
      </c>
    </row>
    <row r="11647" spans="1:6" x14ac:dyDescent="0.25">
      <c r="A11647">
        <v>11646</v>
      </c>
      <c r="B11647" t="s">
        <v>0</v>
      </c>
      <c r="C11647">
        <v>9</v>
      </c>
      <c r="D11647">
        <v>3498</v>
      </c>
      <c r="E11647">
        <v>80434767</v>
      </c>
    </row>
    <row r="11648" spans="1:6" x14ac:dyDescent="0.25">
      <c r="A11648">
        <v>11647</v>
      </c>
      <c r="B11648">
        <v>43</v>
      </c>
      <c r="C11648">
        <v>0</v>
      </c>
      <c r="D11648">
        <v>0</v>
      </c>
      <c r="E11648">
        <v>0</v>
      </c>
      <c r="F11648">
        <v>0</v>
      </c>
    </row>
    <row r="11649" spans="1:6" x14ac:dyDescent="0.25">
      <c r="A11649">
        <v>11648</v>
      </c>
      <c r="B11649" t="s">
        <v>0</v>
      </c>
      <c r="C11649">
        <v>10</v>
      </c>
      <c r="D11649">
        <v>3498</v>
      </c>
      <c r="E11649">
        <v>80434904</v>
      </c>
    </row>
    <row r="11650" spans="1:6" x14ac:dyDescent="0.25">
      <c r="A11650">
        <v>11649</v>
      </c>
      <c r="B11650">
        <v>45</v>
      </c>
      <c r="C11650">
        <v>0</v>
      </c>
      <c r="D11650">
        <v>0</v>
      </c>
      <c r="E11650">
        <v>0</v>
      </c>
      <c r="F11650">
        <v>516.17499999999995</v>
      </c>
    </row>
    <row r="11651" spans="1:6" x14ac:dyDescent="0.25">
      <c r="A11651">
        <v>11650</v>
      </c>
      <c r="B11651" t="s">
        <v>0</v>
      </c>
      <c r="C11651">
        <v>11</v>
      </c>
      <c r="D11651">
        <v>3498</v>
      </c>
      <c r="E11651">
        <v>80435041</v>
      </c>
    </row>
    <row r="11652" spans="1:6" x14ac:dyDescent="0.25">
      <c r="A11652">
        <v>11651</v>
      </c>
      <c r="B11652">
        <v>2</v>
      </c>
      <c r="C11652">
        <v>0</v>
      </c>
      <c r="D11652">
        <v>0</v>
      </c>
      <c r="E11652">
        <v>0</v>
      </c>
      <c r="F11652">
        <v>242.18100000000001</v>
      </c>
    </row>
    <row r="11653" spans="1:6" x14ac:dyDescent="0.25">
      <c r="A11653">
        <v>11652</v>
      </c>
      <c r="B11653" t="s">
        <v>0</v>
      </c>
      <c r="C11653">
        <v>12</v>
      </c>
      <c r="D11653">
        <v>3498</v>
      </c>
      <c r="E11653">
        <v>80435178</v>
      </c>
    </row>
    <row r="11654" spans="1:6" x14ac:dyDescent="0.25">
      <c r="A11654">
        <v>11653</v>
      </c>
      <c r="B11654">
        <v>13</v>
      </c>
      <c r="C11654">
        <v>0</v>
      </c>
      <c r="D11654">
        <v>0</v>
      </c>
      <c r="E11654">
        <v>0</v>
      </c>
      <c r="F11654">
        <v>1610</v>
      </c>
    </row>
    <row r="11655" spans="1:6" x14ac:dyDescent="0.25">
      <c r="A11655">
        <v>11654</v>
      </c>
      <c r="B11655" t="s">
        <v>0</v>
      </c>
      <c r="C11655">
        <v>13</v>
      </c>
      <c r="D11655">
        <v>3498</v>
      </c>
      <c r="E11655">
        <v>80435315</v>
      </c>
    </row>
    <row r="11656" spans="1:6" x14ac:dyDescent="0.25">
      <c r="A11656">
        <v>11655</v>
      </c>
      <c r="B11656">
        <v>42</v>
      </c>
      <c r="C11656">
        <v>0</v>
      </c>
      <c r="D11656">
        <v>0</v>
      </c>
      <c r="E11656">
        <v>0</v>
      </c>
      <c r="F11656">
        <v>0.2</v>
      </c>
    </row>
    <row r="11657" spans="1:6" x14ac:dyDescent="0.25">
      <c r="A11657">
        <v>11656</v>
      </c>
      <c r="B11657">
        <v>43</v>
      </c>
      <c r="C11657">
        <v>0</v>
      </c>
      <c r="D11657">
        <v>0</v>
      </c>
      <c r="E11657">
        <v>0</v>
      </c>
      <c r="F11657">
        <v>0</v>
      </c>
    </row>
    <row r="11658" spans="1:6" x14ac:dyDescent="0.25">
      <c r="A11658">
        <v>11657</v>
      </c>
      <c r="B11658">
        <v>44</v>
      </c>
      <c r="C11658">
        <v>0</v>
      </c>
      <c r="D11658">
        <v>0</v>
      </c>
      <c r="E11658">
        <v>0</v>
      </c>
      <c r="F11658">
        <v>-17.6388</v>
      </c>
    </row>
    <row r="11659" spans="1:6" x14ac:dyDescent="0.25">
      <c r="A11659">
        <v>11658</v>
      </c>
      <c r="B11659">
        <v>45</v>
      </c>
      <c r="C11659">
        <v>0</v>
      </c>
      <c r="D11659">
        <v>0</v>
      </c>
      <c r="E11659">
        <v>0</v>
      </c>
      <c r="F11659">
        <v>516.16300000000001</v>
      </c>
    </row>
    <row r="11660" spans="1:6" x14ac:dyDescent="0.25">
      <c r="A11660">
        <v>11659</v>
      </c>
      <c r="B11660">
        <v>46</v>
      </c>
      <c r="C11660">
        <v>0</v>
      </c>
      <c r="D11660">
        <v>0</v>
      </c>
      <c r="E11660">
        <v>0</v>
      </c>
      <c r="F11660">
        <v>0</v>
      </c>
    </row>
    <row r="11661" spans="1:6" x14ac:dyDescent="0.25">
      <c r="A11661">
        <v>11660</v>
      </c>
      <c r="B11661">
        <v>2</v>
      </c>
      <c r="C11661">
        <v>0</v>
      </c>
      <c r="D11661">
        <v>0</v>
      </c>
      <c r="E11661">
        <v>0</v>
      </c>
      <c r="F11661">
        <v>242.17099999999999</v>
      </c>
    </row>
    <row r="11662" spans="1:6" x14ac:dyDescent="0.25">
      <c r="A11662">
        <v>11661</v>
      </c>
      <c r="B11662">
        <v>10</v>
      </c>
      <c r="C11662">
        <v>1</v>
      </c>
      <c r="D11662">
        <v>0</v>
      </c>
      <c r="E11662">
        <v>0</v>
      </c>
      <c r="F11662">
        <v>4924</v>
      </c>
    </row>
    <row r="11663" spans="1:6" x14ac:dyDescent="0.25">
      <c r="A11663">
        <v>11662</v>
      </c>
      <c r="B11663">
        <v>13</v>
      </c>
      <c r="C11663">
        <v>0</v>
      </c>
      <c r="D11663">
        <v>0</v>
      </c>
      <c r="E11663">
        <v>0</v>
      </c>
      <c r="F11663">
        <v>1610</v>
      </c>
    </row>
    <row r="11664" spans="1:6" x14ac:dyDescent="0.25">
      <c r="A11664">
        <v>11663</v>
      </c>
      <c r="B11664">
        <v>41</v>
      </c>
      <c r="C11664">
        <v>0</v>
      </c>
      <c r="D11664">
        <v>0</v>
      </c>
      <c r="E11664">
        <v>0</v>
      </c>
      <c r="F11664">
        <v>1</v>
      </c>
    </row>
    <row r="11665" spans="1:6" x14ac:dyDescent="0.25">
      <c r="A11665">
        <v>11664</v>
      </c>
      <c r="B11665">
        <v>42</v>
      </c>
      <c r="C11665">
        <v>0</v>
      </c>
      <c r="D11665">
        <v>0</v>
      </c>
      <c r="E11665">
        <v>0</v>
      </c>
      <c r="F11665">
        <v>0.2</v>
      </c>
    </row>
    <row r="11666" spans="1:6" x14ac:dyDescent="0.25">
      <c r="A11666">
        <v>11665</v>
      </c>
      <c r="B11666">
        <v>43</v>
      </c>
      <c r="C11666">
        <v>0</v>
      </c>
      <c r="D11666">
        <v>0</v>
      </c>
      <c r="E11666">
        <v>0</v>
      </c>
      <c r="F11666">
        <v>0</v>
      </c>
    </row>
    <row r="11667" spans="1:6" x14ac:dyDescent="0.25">
      <c r="A11667">
        <v>11666</v>
      </c>
      <c r="B11667">
        <v>44</v>
      </c>
      <c r="C11667">
        <v>0</v>
      </c>
      <c r="D11667">
        <v>0</v>
      </c>
      <c r="E11667">
        <v>0</v>
      </c>
      <c r="F11667">
        <v>-17.4786</v>
      </c>
    </row>
    <row r="11668" spans="1:6" x14ac:dyDescent="0.25">
      <c r="A11668">
        <v>11667</v>
      </c>
      <c r="B11668">
        <v>45</v>
      </c>
      <c r="C11668">
        <v>0</v>
      </c>
      <c r="D11668">
        <v>0</v>
      </c>
      <c r="E11668">
        <v>0</v>
      </c>
      <c r="F11668">
        <v>516.149</v>
      </c>
    </row>
    <row r="11669" spans="1:6" x14ac:dyDescent="0.25">
      <c r="A11669">
        <v>11668</v>
      </c>
      <c r="B11669">
        <v>46</v>
      </c>
      <c r="C11669">
        <v>0</v>
      </c>
      <c r="D11669">
        <v>0</v>
      </c>
      <c r="E11669">
        <v>0</v>
      </c>
      <c r="F11669">
        <v>0</v>
      </c>
    </row>
    <row r="11670" spans="1:6" x14ac:dyDescent="0.25">
      <c r="A11670">
        <v>11669</v>
      </c>
      <c r="B11670" t="s">
        <v>0</v>
      </c>
      <c r="C11670">
        <v>20</v>
      </c>
      <c r="D11670">
        <v>3498</v>
      </c>
      <c r="E11670">
        <v>80436275</v>
      </c>
    </row>
    <row r="11671" spans="1:6" x14ac:dyDescent="0.25">
      <c r="A11671">
        <v>11670</v>
      </c>
      <c r="B11671">
        <v>2</v>
      </c>
      <c r="C11671">
        <v>0</v>
      </c>
      <c r="D11671">
        <v>0</v>
      </c>
      <c r="E11671">
        <v>0</v>
      </c>
      <c r="F11671">
        <v>242.15899999999999</v>
      </c>
    </row>
    <row r="11672" spans="1:6" x14ac:dyDescent="0.25">
      <c r="A11672">
        <v>11671</v>
      </c>
      <c r="B11672">
        <v>10</v>
      </c>
      <c r="C11672">
        <v>1</v>
      </c>
      <c r="D11672">
        <v>0</v>
      </c>
      <c r="E11672">
        <v>0</v>
      </c>
      <c r="F11672">
        <v>4925</v>
      </c>
    </row>
    <row r="11673" spans="1:6" x14ac:dyDescent="0.25">
      <c r="A11673">
        <v>11672</v>
      </c>
      <c r="B11673" t="s">
        <v>0</v>
      </c>
      <c r="C11673">
        <v>21</v>
      </c>
      <c r="D11673">
        <v>3498</v>
      </c>
      <c r="E11673">
        <v>80436412</v>
      </c>
    </row>
    <row r="11674" spans="1:6" x14ac:dyDescent="0.25">
      <c r="A11674">
        <v>11673</v>
      </c>
      <c r="B11674">
        <v>13</v>
      </c>
      <c r="C11674">
        <v>0</v>
      </c>
      <c r="D11674">
        <v>0</v>
      </c>
      <c r="E11674">
        <v>0</v>
      </c>
      <c r="F11674">
        <v>1610</v>
      </c>
    </row>
    <row r="11675" spans="1:6" x14ac:dyDescent="0.25">
      <c r="A11675">
        <v>11674</v>
      </c>
      <c r="B11675">
        <v>41</v>
      </c>
      <c r="C11675">
        <v>0</v>
      </c>
      <c r="D11675">
        <v>0</v>
      </c>
      <c r="E11675">
        <v>0</v>
      </c>
      <c r="F11675">
        <v>1</v>
      </c>
    </row>
    <row r="11676" spans="1:6" x14ac:dyDescent="0.25">
      <c r="A11676">
        <v>11675</v>
      </c>
      <c r="B11676" t="s">
        <v>0</v>
      </c>
      <c r="C11676">
        <v>22</v>
      </c>
      <c r="D11676">
        <v>3498</v>
      </c>
      <c r="E11676">
        <v>80436550</v>
      </c>
    </row>
    <row r="11677" spans="1:6" x14ac:dyDescent="0.25">
      <c r="A11677">
        <v>11676</v>
      </c>
      <c r="B11677">
        <v>42</v>
      </c>
      <c r="C11677">
        <v>0</v>
      </c>
      <c r="D11677">
        <v>0</v>
      </c>
      <c r="E11677">
        <v>0</v>
      </c>
      <c r="F11677">
        <v>0.2</v>
      </c>
    </row>
    <row r="11678" spans="1:6" x14ac:dyDescent="0.25">
      <c r="A11678">
        <v>11677</v>
      </c>
      <c r="B11678">
        <v>43</v>
      </c>
      <c r="C11678">
        <v>0</v>
      </c>
      <c r="D11678">
        <v>0</v>
      </c>
      <c r="E11678">
        <v>0</v>
      </c>
      <c r="F11678">
        <v>0</v>
      </c>
    </row>
    <row r="11679" spans="1:6" x14ac:dyDescent="0.25">
      <c r="A11679">
        <v>11678</v>
      </c>
      <c r="B11679" t="s">
        <v>0</v>
      </c>
      <c r="C11679">
        <v>23</v>
      </c>
      <c r="D11679">
        <v>3498</v>
      </c>
      <c r="E11679">
        <v>80436687</v>
      </c>
    </row>
    <row r="11680" spans="1:6" x14ac:dyDescent="0.25">
      <c r="A11680">
        <v>11679</v>
      </c>
      <c r="B11680">
        <v>44</v>
      </c>
      <c r="C11680">
        <v>0</v>
      </c>
      <c r="D11680">
        <v>0</v>
      </c>
      <c r="E11680">
        <v>0</v>
      </c>
      <c r="F11680">
        <v>-17.3123</v>
      </c>
    </row>
    <row r="11681" spans="1:6" x14ac:dyDescent="0.25">
      <c r="A11681">
        <v>11680</v>
      </c>
      <c r="B11681">
        <v>45</v>
      </c>
      <c r="C11681">
        <v>0</v>
      </c>
      <c r="D11681">
        <v>0</v>
      </c>
      <c r="E11681">
        <v>0</v>
      </c>
      <c r="F11681">
        <v>516.13699999999994</v>
      </c>
    </row>
    <row r="11682" spans="1:6" x14ac:dyDescent="0.25">
      <c r="A11682">
        <v>11681</v>
      </c>
      <c r="B11682" t="s">
        <v>0</v>
      </c>
      <c r="C11682">
        <v>24</v>
      </c>
      <c r="D11682">
        <v>3498</v>
      </c>
      <c r="E11682">
        <v>80436824</v>
      </c>
    </row>
    <row r="11683" spans="1:6" x14ac:dyDescent="0.25">
      <c r="A11683">
        <v>11682</v>
      </c>
      <c r="B11683">
        <v>46</v>
      </c>
      <c r="C11683">
        <v>0</v>
      </c>
      <c r="D11683">
        <v>0</v>
      </c>
      <c r="E11683">
        <v>0</v>
      </c>
      <c r="F11683">
        <v>0</v>
      </c>
    </row>
    <row r="11684" spans="1:6" x14ac:dyDescent="0.25">
      <c r="A11684">
        <v>11683</v>
      </c>
      <c r="B11684">
        <v>2</v>
      </c>
      <c r="C11684">
        <v>0</v>
      </c>
      <c r="D11684">
        <v>0</v>
      </c>
      <c r="E11684">
        <v>0</v>
      </c>
      <c r="F11684">
        <v>242.15100000000001</v>
      </c>
    </row>
    <row r="11685" spans="1:6" x14ac:dyDescent="0.25">
      <c r="A11685">
        <v>11684</v>
      </c>
      <c r="B11685" t="s">
        <v>0</v>
      </c>
      <c r="C11685">
        <v>25</v>
      </c>
      <c r="D11685">
        <v>3498</v>
      </c>
      <c r="E11685">
        <v>80436961</v>
      </c>
    </row>
    <row r="11686" spans="1:6" x14ac:dyDescent="0.25">
      <c r="A11686">
        <v>11685</v>
      </c>
      <c r="B11686">
        <v>10</v>
      </c>
      <c r="C11686">
        <v>1</v>
      </c>
      <c r="D11686">
        <v>0</v>
      </c>
      <c r="E11686">
        <v>0</v>
      </c>
      <c r="F11686">
        <v>4926</v>
      </c>
    </row>
    <row r="11687" spans="1:6" x14ac:dyDescent="0.25">
      <c r="A11687">
        <v>11686</v>
      </c>
      <c r="B11687">
        <v>13</v>
      </c>
      <c r="C11687">
        <v>0</v>
      </c>
      <c r="D11687">
        <v>0</v>
      </c>
      <c r="E11687">
        <v>0</v>
      </c>
      <c r="F11687">
        <v>1610</v>
      </c>
    </row>
    <row r="11688" spans="1:6" x14ac:dyDescent="0.25">
      <c r="A11688">
        <v>11687</v>
      </c>
      <c r="B11688" t="s">
        <v>0</v>
      </c>
      <c r="C11688">
        <v>26</v>
      </c>
      <c r="D11688">
        <v>3498</v>
      </c>
      <c r="E11688">
        <v>80437098</v>
      </c>
    </row>
    <row r="11689" spans="1:6" x14ac:dyDescent="0.25">
      <c r="A11689">
        <v>11688</v>
      </c>
      <c r="B11689">
        <v>42</v>
      </c>
      <c r="C11689">
        <v>0</v>
      </c>
      <c r="D11689">
        <v>0</v>
      </c>
      <c r="E11689">
        <v>0</v>
      </c>
      <c r="F11689">
        <v>0.2</v>
      </c>
    </row>
    <row r="11690" spans="1:6" x14ac:dyDescent="0.25">
      <c r="A11690">
        <v>11689</v>
      </c>
      <c r="B11690" t="s">
        <v>0</v>
      </c>
      <c r="C11690">
        <v>27</v>
      </c>
      <c r="D11690">
        <v>3498</v>
      </c>
      <c r="E11690">
        <v>80437235</v>
      </c>
    </row>
    <row r="11691" spans="1:6" x14ac:dyDescent="0.25">
      <c r="A11691">
        <v>11690</v>
      </c>
      <c r="B11691">
        <v>44</v>
      </c>
      <c r="C11691">
        <v>0</v>
      </c>
      <c r="D11691">
        <v>0</v>
      </c>
      <c r="E11691">
        <v>0</v>
      </c>
      <c r="F11691">
        <v>-17.162099999999999</v>
      </c>
    </row>
    <row r="11692" spans="1:6" x14ac:dyDescent="0.25">
      <c r="A11692">
        <v>11691</v>
      </c>
      <c r="B11692" t="s">
        <v>0</v>
      </c>
      <c r="C11692">
        <v>28</v>
      </c>
      <c r="D11692">
        <v>3498</v>
      </c>
      <c r="E11692">
        <v>80437372</v>
      </c>
    </row>
    <row r="11693" spans="1:6" x14ac:dyDescent="0.25">
      <c r="A11693">
        <v>11692</v>
      </c>
      <c r="B11693">
        <v>46</v>
      </c>
      <c r="C11693">
        <v>0</v>
      </c>
      <c r="D11693">
        <v>0</v>
      </c>
      <c r="E11693">
        <v>0</v>
      </c>
      <c r="F11693">
        <v>0</v>
      </c>
    </row>
    <row r="11694" spans="1:6" x14ac:dyDescent="0.25">
      <c r="A11694">
        <v>11693</v>
      </c>
      <c r="B11694" t="s">
        <v>0</v>
      </c>
      <c r="C11694">
        <v>29</v>
      </c>
      <c r="D11694">
        <v>3498</v>
      </c>
      <c r="E11694">
        <v>80437509</v>
      </c>
    </row>
    <row r="11695" spans="1:6" x14ac:dyDescent="0.25">
      <c r="A11695">
        <v>11694</v>
      </c>
      <c r="B11695">
        <v>10</v>
      </c>
      <c r="C11695">
        <v>1</v>
      </c>
      <c r="D11695">
        <v>0</v>
      </c>
      <c r="E11695">
        <v>0</v>
      </c>
      <c r="F11695">
        <v>4927</v>
      </c>
    </row>
    <row r="11696" spans="1:6" x14ac:dyDescent="0.25">
      <c r="A11696">
        <v>11695</v>
      </c>
      <c r="B11696" t="s">
        <v>0</v>
      </c>
      <c r="C11696">
        <v>30</v>
      </c>
      <c r="D11696">
        <v>3498</v>
      </c>
      <c r="E11696">
        <v>80437647</v>
      </c>
    </row>
    <row r="11697" spans="1:6" x14ac:dyDescent="0.25">
      <c r="A11697">
        <v>11696</v>
      </c>
      <c r="B11697">
        <v>41</v>
      </c>
      <c r="C11697">
        <v>0</v>
      </c>
      <c r="D11697">
        <v>0</v>
      </c>
      <c r="E11697">
        <v>0</v>
      </c>
      <c r="F11697">
        <v>1</v>
      </c>
    </row>
    <row r="11698" spans="1:6" x14ac:dyDescent="0.25">
      <c r="A11698">
        <v>11697</v>
      </c>
      <c r="B11698">
        <v>42</v>
      </c>
      <c r="C11698">
        <v>0</v>
      </c>
      <c r="D11698">
        <v>0</v>
      </c>
      <c r="E11698">
        <v>0</v>
      </c>
      <c r="F11698">
        <v>0.2</v>
      </c>
    </row>
    <row r="11699" spans="1:6" x14ac:dyDescent="0.25">
      <c r="A11699">
        <v>11698</v>
      </c>
      <c r="B11699">
        <v>43</v>
      </c>
      <c r="C11699">
        <v>0</v>
      </c>
      <c r="D11699">
        <v>0</v>
      </c>
      <c r="E11699">
        <v>0</v>
      </c>
      <c r="F11699">
        <v>0</v>
      </c>
    </row>
    <row r="11700" spans="1:6" x14ac:dyDescent="0.25">
      <c r="A11700">
        <v>11699</v>
      </c>
      <c r="B11700">
        <v>44</v>
      </c>
      <c r="C11700">
        <v>0</v>
      </c>
      <c r="D11700">
        <v>0</v>
      </c>
      <c r="E11700">
        <v>0</v>
      </c>
      <c r="F11700">
        <v>-17.006</v>
      </c>
    </row>
    <row r="11701" spans="1:6" x14ac:dyDescent="0.25">
      <c r="A11701">
        <v>11700</v>
      </c>
      <c r="B11701">
        <v>45</v>
      </c>
      <c r="C11701">
        <v>0</v>
      </c>
      <c r="D11701">
        <v>0</v>
      </c>
      <c r="E11701">
        <v>0</v>
      </c>
      <c r="F11701">
        <v>516.11199999999997</v>
      </c>
    </row>
    <row r="11702" spans="1:6" x14ac:dyDescent="0.25">
      <c r="A11702">
        <v>11701</v>
      </c>
      <c r="B11702">
        <v>46</v>
      </c>
      <c r="C11702">
        <v>0</v>
      </c>
      <c r="D11702">
        <v>0</v>
      </c>
      <c r="E11702">
        <v>0</v>
      </c>
      <c r="F11702">
        <v>0</v>
      </c>
    </row>
    <row r="11703" spans="1:6" x14ac:dyDescent="0.25">
      <c r="A11703">
        <v>11702</v>
      </c>
      <c r="B11703">
        <v>2</v>
      </c>
      <c r="C11703">
        <v>0</v>
      </c>
      <c r="D11703">
        <v>0</v>
      </c>
      <c r="E11703">
        <v>0</v>
      </c>
      <c r="F11703">
        <v>242.08199999999999</v>
      </c>
    </row>
    <row r="11704" spans="1:6" x14ac:dyDescent="0.25">
      <c r="A11704">
        <v>11703</v>
      </c>
      <c r="B11704">
        <v>10</v>
      </c>
      <c r="C11704">
        <v>1</v>
      </c>
      <c r="D11704">
        <v>0</v>
      </c>
      <c r="E11704">
        <v>0</v>
      </c>
      <c r="F11704">
        <v>4929</v>
      </c>
    </row>
    <row r="11705" spans="1:6" x14ac:dyDescent="0.25">
      <c r="A11705">
        <v>11704</v>
      </c>
      <c r="B11705">
        <v>13</v>
      </c>
      <c r="C11705">
        <v>0</v>
      </c>
      <c r="D11705">
        <v>0</v>
      </c>
      <c r="E11705">
        <v>0</v>
      </c>
      <c r="F11705">
        <v>1610</v>
      </c>
    </row>
    <row r="11706" spans="1:6" x14ac:dyDescent="0.25">
      <c r="A11706">
        <v>11705</v>
      </c>
      <c r="B11706">
        <v>41</v>
      </c>
      <c r="C11706">
        <v>0</v>
      </c>
      <c r="D11706">
        <v>0</v>
      </c>
      <c r="E11706">
        <v>0</v>
      </c>
      <c r="F11706">
        <v>1</v>
      </c>
    </row>
    <row r="11707" spans="1:6" x14ac:dyDescent="0.25">
      <c r="A11707">
        <v>11706</v>
      </c>
      <c r="B11707">
        <v>42</v>
      </c>
      <c r="C11707">
        <v>0</v>
      </c>
      <c r="D11707">
        <v>0</v>
      </c>
      <c r="E11707">
        <v>0</v>
      </c>
      <c r="F11707">
        <v>0.2</v>
      </c>
    </row>
    <row r="11708" spans="1:6" x14ac:dyDescent="0.25">
      <c r="A11708">
        <v>11707</v>
      </c>
      <c r="B11708">
        <v>43</v>
      </c>
      <c r="C11708">
        <v>0</v>
      </c>
      <c r="D11708">
        <v>0</v>
      </c>
      <c r="E11708">
        <v>0</v>
      </c>
      <c r="F11708">
        <v>0</v>
      </c>
    </row>
    <row r="11709" spans="1:6" x14ac:dyDescent="0.25">
      <c r="A11709">
        <v>11708</v>
      </c>
      <c r="B11709">
        <v>44</v>
      </c>
      <c r="C11709">
        <v>0</v>
      </c>
      <c r="D11709">
        <v>0</v>
      </c>
      <c r="E11709">
        <v>0</v>
      </c>
      <c r="F11709">
        <v>-16.752199999999998</v>
      </c>
    </row>
    <row r="11710" spans="1:6" x14ac:dyDescent="0.25">
      <c r="A11710">
        <v>11709</v>
      </c>
      <c r="B11710">
        <v>45</v>
      </c>
      <c r="C11710">
        <v>0</v>
      </c>
      <c r="D11710">
        <v>0</v>
      </c>
      <c r="E11710">
        <v>0</v>
      </c>
      <c r="F11710">
        <v>516.101</v>
      </c>
    </row>
    <row r="11711" spans="1:6" x14ac:dyDescent="0.25">
      <c r="A11711">
        <v>11710</v>
      </c>
      <c r="B11711" t="s">
        <v>0</v>
      </c>
      <c r="C11711">
        <v>37</v>
      </c>
      <c r="D11711">
        <v>3498</v>
      </c>
      <c r="E11711">
        <v>80438607</v>
      </c>
    </row>
    <row r="11712" spans="1:6" x14ac:dyDescent="0.25">
      <c r="A11712">
        <v>11711</v>
      </c>
      <c r="B11712">
        <v>46</v>
      </c>
      <c r="C11712">
        <v>0</v>
      </c>
      <c r="D11712">
        <v>0</v>
      </c>
      <c r="E11712">
        <v>0</v>
      </c>
      <c r="F11712">
        <v>0</v>
      </c>
    </row>
    <row r="11713" spans="1:6" x14ac:dyDescent="0.25">
      <c r="A11713">
        <v>11712</v>
      </c>
      <c r="B11713">
        <v>2</v>
      </c>
      <c r="C11713">
        <v>0</v>
      </c>
      <c r="D11713">
        <v>0</v>
      </c>
      <c r="E11713">
        <v>0</v>
      </c>
      <c r="F11713">
        <v>242.023</v>
      </c>
    </row>
    <row r="11714" spans="1:6" x14ac:dyDescent="0.25">
      <c r="A11714">
        <v>11713</v>
      </c>
      <c r="B11714" t="s">
        <v>0</v>
      </c>
      <c r="C11714">
        <v>38</v>
      </c>
      <c r="D11714">
        <v>3498</v>
      </c>
      <c r="E11714">
        <v>80438744</v>
      </c>
    </row>
    <row r="11715" spans="1:6" x14ac:dyDescent="0.25">
      <c r="A11715">
        <v>11714</v>
      </c>
      <c r="B11715">
        <v>10</v>
      </c>
      <c r="C11715">
        <v>1</v>
      </c>
      <c r="D11715">
        <v>0</v>
      </c>
      <c r="E11715">
        <v>0</v>
      </c>
      <c r="F11715">
        <v>4931</v>
      </c>
    </row>
    <row r="11716" spans="1:6" x14ac:dyDescent="0.25">
      <c r="A11716">
        <v>11715</v>
      </c>
      <c r="B11716">
        <v>13</v>
      </c>
      <c r="C11716">
        <v>0</v>
      </c>
      <c r="D11716">
        <v>0</v>
      </c>
      <c r="E11716">
        <v>0</v>
      </c>
      <c r="F11716">
        <v>1610</v>
      </c>
    </row>
    <row r="11717" spans="1:6" x14ac:dyDescent="0.25">
      <c r="A11717">
        <v>11716</v>
      </c>
      <c r="B11717" t="s">
        <v>0</v>
      </c>
      <c r="C11717">
        <v>39</v>
      </c>
      <c r="D11717">
        <v>3498</v>
      </c>
      <c r="E11717">
        <v>80438881</v>
      </c>
    </row>
    <row r="11718" spans="1:6" x14ac:dyDescent="0.25">
      <c r="A11718">
        <v>11717</v>
      </c>
      <c r="B11718">
        <v>41</v>
      </c>
      <c r="C11718">
        <v>0</v>
      </c>
      <c r="D11718">
        <v>0</v>
      </c>
      <c r="E11718">
        <v>0</v>
      </c>
      <c r="F11718">
        <v>1</v>
      </c>
    </row>
    <row r="11719" spans="1:6" x14ac:dyDescent="0.25">
      <c r="A11719">
        <v>11718</v>
      </c>
      <c r="B11719">
        <v>42</v>
      </c>
      <c r="C11719">
        <v>0</v>
      </c>
      <c r="D11719">
        <v>0</v>
      </c>
      <c r="E11719">
        <v>0</v>
      </c>
      <c r="F11719">
        <v>0.2</v>
      </c>
    </row>
    <row r="11720" spans="1:6" x14ac:dyDescent="0.25">
      <c r="A11720">
        <v>11719</v>
      </c>
      <c r="B11720" t="s">
        <v>0</v>
      </c>
      <c r="C11720">
        <v>40</v>
      </c>
      <c r="D11720">
        <v>3498</v>
      </c>
      <c r="E11720">
        <v>80439019</v>
      </c>
    </row>
    <row r="11721" spans="1:6" x14ac:dyDescent="0.25">
      <c r="A11721">
        <v>11720</v>
      </c>
      <c r="B11721">
        <v>43</v>
      </c>
      <c r="C11721">
        <v>0</v>
      </c>
      <c r="D11721">
        <v>0</v>
      </c>
      <c r="E11721">
        <v>0</v>
      </c>
      <c r="F11721">
        <v>0</v>
      </c>
    </row>
    <row r="11722" spans="1:6" x14ac:dyDescent="0.25">
      <c r="A11722">
        <v>11721</v>
      </c>
      <c r="B11722">
        <v>44</v>
      </c>
      <c r="C11722">
        <v>0</v>
      </c>
      <c r="D11722">
        <v>0</v>
      </c>
      <c r="E11722">
        <v>0</v>
      </c>
      <c r="F11722">
        <v>-16.5519</v>
      </c>
    </row>
    <row r="11723" spans="1:6" x14ac:dyDescent="0.25">
      <c r="A11723">
        <v>11722</v>
      </c>
      <c r="B11723" t="s">
        <v>0</v>
      </c>
      <c r="C11723">
        <v>41</v>
      </c>
      <c r="D11723">
        <v>3498</v>
      </c>
      <c r="E11723">
        <v>80439157</v>
      </c>
    </row>
    <row r="11724" spans="1:6" x14ac:dyDescent="0.25">
      <c r="A11724">
        <v>11723</v>
      </c>
      <c r="B11724">
        <v>45</v>
      </c>
      <c r="C11724">
        <v>0</v>
      </c>
      <c r="D11724">
        <v>0</v>
      </c>
      <c r="E11724">
        <v>0</v>
      </c>
      <c r="F11724">
        <v>516.08699999999999</v>
      </c>
    </row>
    <row r="11725" spans="1:6" x14ac:dyDescent="0.25">
      <c r="A11725">
        <v>11724</v>
      </c>
      <c r="B11725">
        <v>46</v>
      </c>
      <c r="C11725">
        <v>0</v>
      </c>
      <c r="D11725">
        <v>0</v>
      </c>
      <c r="E11725">
        <v>0</v>
      </c>
      <c r="F11725">
        <v>0</v>
      </c>
    </row>
    <row r="11726" spans="1:6" x14ac:dyDescent="0.25">
      <c r="A11726">
        <v>11725</v>
      </c>
      <c r="B11726" t="s">
        <v>0</v>
      </c>
      <c r="C11726">
        <v>42</v>
      </c>
      <c r="D11726">
        <v>3498</v>
      </c>
      <c r="E11726">
        <v>80439295</v>
      </c>
    </row>
    <row r="11727" spans="1:6" x14ac:dyDescent="0.25">
      <c r="A11727">
        <v>11726</v>
      </c>
      <c r="B11727">
        <v>10</v>
      </c>
      <c r="C11727">
        <v>1</v>
      </c>
      <c r="D11727">
        <v>0</v>
      </c>
      <c r="E11727">
        <v>0</v>
      </c>
      <c r="F11727">
        <v>4934</v>
      </c>
    </row>
    <row r="11728" spans="1:6" x14ac:dyDescent="0.25">
      <c r="A11728">
        <v>11727</v>
      </c>
      <c r="B11728" t="s">
        <v>0</v>
      </c>
      <c r="C11728">
        <v>43</v>
      </c>
      <c r="D11728">
        <v>3498</v>
      </c>
      <c r="E11728">
        <v>80439433</v>
      </c>
    </row>
    <row r="11729" spans="1:6" x14ac:dyDescent="0.25">
      <c r="A11729">
        <v>11728</v>
      </c>
      <c r="B11729">
        <v>41</v>
      </c>
      <c r="C11729">
        <v>0</v>
      </c>
      <c r="D11729">
        <v>0</v>
      </c>
      <c r="E11729">
        <v>0</v>
      </c>
      <c r="F11729">
        <v>1</v>
      </c>
    </row>
    <row r="11730" spans="1:6" x14ac:dyDescent="0.25">
      <c r="A11730">
        <v>11729</v>
      </c>
      <c r="B11730" t="s">
        <v>0</v>
      </c>
      <c r="C11730">
        <v>44</v>
      </c>
      <c r="D11730">
        <v>3498</v>
      </c>
      <c r="E11730">
        <v>80439571</v>
      </c>
    </row>
    <row r="11731" spans="1:6" x14ac:dyDescent="0.25">
      <c r="A11731">
        <v>11730</v>
      </c>
      <c r="B11731">
        <v>43</v>
      </c>
      <c r="C11731">
        <v>0</v>
      </c>
      <c r="D11731">
        <v>0</v>
      </c>
      <c r="E11731">
        <v>0</v>
      </c>
      <c r="F11731">
        <v>0</v>
      </c>
    </row>
    <row r="11732" spans="1:6" x14ac:dyDescent="0.25">
      <c r="A11732">
        <v>11731</v>
      </c>
      <c r="B11732" t="s">
        <v>0</v>
      </c>
      <c r="C11732">
        <v>45</v>
      </c>
      <c r="D11732">
        <v>3498</v>
      </c>
      <c r="E11732">
        <v>80439708</v>
      </c>
    </row>
    <row r="11733" spans="1:6" x14ac:dyDescent="0.25">
      <c r="A11733">
        <v>11732</v>
      </c>
      <c r="B11733">
        <v>45</v>
      </c>
      <c r="C11733">
        <v>0</v>
      </c>
      <c r="D11733">
        <v>0</v>
      </c>
      <c r="E11733">
        <v>0</v>
      </c>
      <c r="F11733">
        <v>516.07600000000002</v>
      </c>
    </row>
    <row r="11734" spans="1:6" x14ac:dyDescent="0.25">
      <c r="A11734">
        <v>11733</v>
      </c>
      <c r="B11734" t="s">
        <v>0</v>
      </c>
      <c r="C11734">
        <v>46</v>
      </c>
      <c r="D11734">
        <v>3498</v>
      </c>
      <c r="E11734">
        <v>80439845</v>
      </c>
    </row>
    <row r="11735" spans="1:6" x14ac:dyDescent="0.25">
      <c r="A11735">
        <v>11734</v>
      </c>
      <c r="B11735">
        <v>2</v>
      </c>
      <c r="C11735">
        <v>0</v>
      </c>
      <c r="D11735">
        <v>0</v>
      </c>
      <c r="E11735">
        <v>0</v>
      </c>
      <c r="F11735">
        <v>241.928</v>
      </c>
    </row>
    <row r="11736" spans="1:6" x14ac:dyDescent="0.25">
      <c r="A11736">
        <v>11735</v>
      </c>
      <c r="B11736">
        <v>10</v>
      </c>
      <c r="C11736">
        <v>1</v>
      </c>
      <c r="D11736">
        <v>0</v>
      </c>
      <c r="E11736">
        <v>0</v>
      </c>
      <c r="F11736">
        <v>4935</v>
      </c>
    </row>
    <row r="11737" spans="1:6" x14ac:dyDescent="0.25">
      <c r="A11737">
        <v>11736</v>
      </c>
      <c r="B11737">
        <v>13</v>
      </c>
      <c r="C11737">
        <v>0</v>
      </c>
      <c r="D11737">
        <v>0</v>
      </c>
      <c r="E11737">
        <v>0</v>
      </c>
      <c r="F11737">
        <v>1610</v>
      </c>
    </row>
    <row r="11738" spans="1:6" x14ac:dyDescent="0.25">
      <c r="A11738">
        <v>11737</v>
      </c>
      <c r="B11738">
        <v>41</v>
      </c>
      <c r="C11738">
        <v>0</v>
      </c>
      <c r="D11738">
        <v>0</v>
      </c>
      <c r="E11738">
        <v>0</v>
      </c>
      <c r="F11738">
        <v>1</v>
      </c>
    </row>
    <row r="11739" spans="1:6" x14ac:dyDescent="0.25">
      <c r="A11739">
        <v>11738</v>
      </c>
      <c r="B11739">
        <v>42</v>
      </c>
      <c r="C11739">
        <v>0</v>
      </c>
      <c r="D11739">
        <v>0</v>
      </c>
      <c r="E11739">
        <v>0</v>
      </c>
      <c r="F11739">
        <v>0.2</v>
      </c>
    </row>
    <row r="11740" spans="1:6" x14ac:dyDescent="0.25">
      <c r="A11740">
        <v>11739</v>
      </c>
      <c r="B11740">
        <v>43</v>
      </c>
      <c r="C11740">
        <v>0</v>
      </c>
      <c r="D11740">
        <v>0</v>
      </c>
      <c r="E11740">
        <v>0</v>
      </c>
      <c r="F11740">
        <v>0</v>
      </c>
    </row>
    <row r="11741" spans="1:6" x14ac:dyDescent="0.25">
      <c r="A11741">
        <v>11740</v>
      </c>
      <c r="B11741">
        <v>44</v>
      </c>
      <c r="C11741">
        <v>0</v>
      </c>
      <c r="D11741">
        <v>0</v>
      </c>
      <c r="E11741">
        <v>0</v>
      </c>
      <c r="F11741">
        <v>-16.1708</v>
      </c>
    </row>
    <row r="11742" spans="1:6" x14ac:dyDescent="0.25">
      <c r="A11742">
        <v>11741</v>
      </c>
      <c r="B11742">
        <v>45</v>
      </c>
      <c r="C11742">
        <v>0</v>
      </c>
      <c r="D11742">
        <v>0</v>
      </c>
      <c r="E11742">
        <v>0</v>
      </c>
      <c r="F11742">
        <v>516.06500000000005</v>
      </c>
    </row>
    <row r="11743" spans="1:6" x14ac:dyDescent="0.25">
      <c r="A11743">
        <v>11742</v>
      </c>
      <c r="B11743">
        <v>46</v>
      </c>
      <c r="C11743">
        <v>0</v>
      </c>
      <c r="D11743">
        <v>0</v>
      </c>
      <c r="E11743">
        <v>0</v>
      </c>
      <c r="F11743">
        <v>0</v>
      </c>
    </row>
    <row r="11744" spans="1:6" x14ac:dyDescent="0.25">
      <c r="A11744">
        <v>11743</v>
      </c>
      <c r="B11744">
        <v>2</v>
      </c>
      <c r="C11744">
        <v>0</v>
      </c>
      <c r="D11744">
        <v>0</v>
      </c>
      <c r="E11744">
        <v>0</v>
      </c>
      <c r="F11744">
        <v>241.898</v>
      </c>
    </row>
    <row r="11745" spans="1:6" x14ac:dyDescent="0.25">
      <c r="A11745">
        <v>11744</v>
      </c>
      <c r="B11745">
        <v>10</v>
      </c>
      <c r="C11745">
        <v>1</v>
      </c>
      <c r="D11745">
        <v>0</v>
      </c>
      <c r="E11745">
        <v>0</v>
      </c>
      <c r="F11745">
        <v>4937</v>
      </c>
    </row>
    <row r="11746" spans="1:6" x14ac:dyDescent="0.25">
      <c r="A11746">
        <v>11745</v>
      </c>
      <c r="B11746">
        <v>13</v>
      </c>
      <c r="C11746">
        <v>0</v>
      </c>
      <c r="D11746">
        <v>0</v>
      </c>
      <c r="E11746">
        <v>0</v>
      </c>
      <c r="F11746">
        <v>1610</v>
      </c>
    </row>
    <row r="11747" spans="1:6" x14ac:dyDescent="0.25">
      <c r="A11747">
        <v>11746</v>
      </c>
      <c r="B11747">
        <v>41</v>
      </c>
      <c r="C11747">
        <v>0</v>
      </c>
      <c r="D11747">
        <v>0</v>
      </c>
      <c r="E11747">
        <v>0</v>
      </c>
      <c r="F11747">
        <v>1</v>
      </c>
    </row>
    <row r="11748" spans="1:6" x14ac:dyDescent="0.25">
      <c r="A11748">
        <v>11747</v>
      </c>
      <c r="B11748">
        <v>42</v>
      </c>
      <c r="C11748">
        <v>0</v>
      </c>
      <c r="D11748">
        <v>0</v>
      </c>
      <c r="E11748">
        <v>0</v>
      </c>
      <c r="F11748">
        <v>0.2</v>
      </c>
    </row>
    <row r="11749" spans="1:6" x14ac:dyDescent="0.25">
      <c r="A11749">
        <v>11748</v>
      </c>
      <c r="B11749" t="s">
        <v>0</v>
      </c>
      <c r="C11749">
        <v>53</v>
      </c>
      <c r="D11749">
        <v>3498</v>
      </c>
      <c r="E11749">
        <v>80440805</v>
      </c>
    </row>
    <row r="11750" spans="1:6" x14ac:dyDescent="0.25">
      <c r="A11750">
        <v>11749</v>
      </c>
      <c r="B11750">
        <v>43</v>
      </c>
      <c r="C11750">
        <v>0</v>
      </c>
      <c r="D11750">
        <v>0</v>
      </c>
      <c r="E11750">
        <v>0</v>
      </c>
      <c r="F11750">
        <v>0</v>
      </c>
    </row>
    <row r="11751" spans="1:6" x14ac:dyDescent="0.25">
      <c r="A11751">
        <v>11750</v>
      </c>
      <c r="B11751">
        <v>44</v>
      </c>
      <c r="C11751">
        <v>0</v>
      </c>
      <c r="D11751">
        <v>0</v>
      </c>
      <c r="E11751">
        <v>0</v>
      </c>
      <c r="F11751">
        <v>-15.994999999999999</v>
      </c>
    </row>
    <row r="11752" spans="1:6" x14ac:dyDescent="0.25">
      <c r="A11752">
        <v>11751</v>
      </c>
      <c r="B11752" t="s">
        <v>0</v>
      </c>
      <c r="C11752">
        <v>54</v>
      </c>
      <c r="D11752">
        <v>3498</v>
      </c>
      <c r="E11752">
        <v>80440942</v>
      </c>
    </row>
    <row r="11753" spans="1:6" x14ac:dyDescent="0.25">
      <c r="A11753">
        <v>11752</v>
      </c>
      <c r="B11753">
        <v>45</v>
      </c>
      <c r="C11753">
        <v>0</v>
      </c>
      <c r="D11753">
        <v>0</v>
      </c>
      <c r="E11753">
        <v>0</v>
      </c>
      <c r="F11753">
        <v>516.05200000000002</v>
      </c>
    </row>
    <row r="11754" spans="1:6" x14ac:dyDescent="0.25">
      <c r="A11754">
        <v>11753</v>
      </c>
      <c r="B11754">
        <v>46</v>
      </c>
      <c r="C11754">
        <v>0</v>
      </c>
      <c r="D11754">
        <v>0</v>
      </c>
      <c r="E11754">
        <v>0</v>
      </c>
      <c r="F11754">
        <v>0</v>
      </c>
    </row>
    <row r="11755" spans="1:6" x14ac:dyDescent="0.25">
      <c r="A11755">
        <v>11754</v>
      </c>
      <c r="B11755" t="s">
        <v>0</v>
      </c>
      <c r="C11755">
        <v>55</v>
      </c>
      <c r="D11755">
        <v>3498</v>
      </c>
      <c r="E11755">
        <v>80441080</v>
      </c>
    </row>
    <row r="11756" spans="1:6" x14ac:dyDescent="0.25">
      <c r="A11756">
        <v>11755</v>
      </c>
      <c r="B11756">
        <v>2</v>
      </c>
      <c r="C11756">
        <v>0</v>
      </c>
      <c r="D11756">
        <v>0</v>
      </c>
      <c r="E11756">
        <v>0</v>
      </c>
      <c r="F11756">
        <v>241.869</v>
      </c>
    </row>
    <row r="11757" spans="1:6" x14ac:dyDescent="0.25">
      <c r="A11757">
        <v>11756</v>
      </c>
      <c r="B11757">
        <v>10</v>
      </c>
      <c r="C11757">
        <v>1</v>
      </c>
      <c r="D11757">
        <v>0</v>
      </c>
      <c r="E11757">
        <v>0</v>
      </c>
      <c r="F11757">
        <v>4939</v>
      </c>
    </row>
    <row r="11758" spans="1:6" x14ac:dyDescent="0.25">
      <c r="A11758">
        <v>11757</v>
      </c>
      <c r="B11758" t="s">
        <v>0</v>
      </c>
      <c r="C11758">
        <v>56</v>
      </c>
      <c r="D11758">
        <v>3498</v>
      </c>
      <c r="E11758">
        <v>80441218</v>
      </c>
    </row>
    <row r="11759" spans="1:6" x14ac:dyDescent="0.25">
      <c r="A11759">
        <v>11758</v>
      </c>
      <c r="B11759">
        <v>13</v>
      </c>
      <c r="C11759">
        <v>0</v>
      </c>
      <c r="D11759">
        <v>0</v>
      </c>
      <c r="E11759">
        <v>0</v>
      </c>
      <c r="F11759">
        <v>1610</v>
      </c>
    </row>
    <row r="11760" spans="1:6" x14ac:dyDescent="0.25">
      <c r="A11760">
        <v>11759</v>
      </c>
      <c r="B11760">
        <v>41</v>
      </c>
      <c r="C11760">
        <v>0</v>
      </c>
      <c r="D11760">
        <v>0</v>
      </c>
      <c r="E11760">
        <v>0</v>
      </c>
      <c r="F11760">
        <v>1</v>
      </c>
    </row>
    <row r="11761" spans="1:6" x14ac:dyDescent="0.25">
      <c r="A11761">
        <v>11760</v>
      </c>
      <c r="B11761" t="s">
        <v>0</v>
      </c>
      <c r="C11761">
        <v>57</v>
      </c>
      <c r="D11761">
        <v>3498</v>
      </c>
      <c r="E11761">
        <v>80441356</v>
      </c>
    </row>
    <row r="11762" spans="1:6" x14ac:dyDescent="0.25">
      <c r="A11762">
        <v>11761</v>
      </c>
      <c r="B11762">
        <v>43</v>
      </c>
      <c r="C11762">
        <v>0</v>
      </c>
      <c r="D11762">
        <v>0</v>
      </c>
      <c r="E11762">
        <v>0</v>
      </c>
      <c r="F11762">
        <v>0</v>
      </c>
    </row>
    <row r="11763" spans="1:6" x14ac:dyDescent="0.25">
      <c r="A11763">
        <v>11762</v>
      </c>
      <c r="B11763" t="s">
        <v>0</v>
      </c>
      <c r="C11763">
        <v>58</v>
      </c>
      <c r="D11763">
        <v>3498</v>
      </c>
      <c r="E11763">
        <v>80441494</v>
      </c>
    </row>
    <row r="11764" spans="1:6" x14ac:dyDescent="0.25">
      <c r="A11764">
        <v>11763</v>
      </c>
      <c r="B11764">
        <v>45</v>
      </c>
      <c r="C11764">
        <v>0</v>
      </c>
      <c r="D11764">
        <v>0</v>
      </c>
      <c r="E11764">
        <v>0</v>
      </c>
      <c r="F11764">
        <v>516.04200000000003</v>
      </c>
    </row>
    <row r="11765" spans="1:6" x14ac:dyDescent="0.25">
      <c r="A11765">
        <v>11764</v>
      </c>
      <c r="B11765" t="s">
        <v>0</v>
      </c>
      <c r="C11765">
        <v>59</v>
      </c>
      <c r="D11765">
        <v>3498</v>
      </c>
      <c r="E11765">
        <v>80441631</v>
      </c>
    </row>
    <row r="11766" spans="1:6" x14ac:dyDescent="0.25">
      <c r="A11766">
        <v>11765</v>
      </c>
      <c r="B11766">
        <v>2</v>
      </c>
      <c r="C11766">
        <v>0</v>
      </c>
      <c r="D11766">
        <v>0</v>
      </c>
      <c r="E11766">
        <v>0</v>
      </c>
      <c r="F11766">
        <v>241.85</v>
      </c>
    </row>
    <row r="11767" spans="1:6" x14ac:dyDescent="0.25">
      <c r="A11767">
        <v>11766</v>
      </c>
      <c r="B11767" t="s">
        <v>0</v>
      </c>
      <c r="C11767">
        <v>60</v>
      </c>
      <c r="D11767">
        <v>3498</v>
      </c>
      <c r="E11767">
        <v>80441768</v>
      </c>
    </row>
    <row r="11768" spans="1:6" x14ac:dyDescent="0.25">
      <c r="A11768">
        <v>11767</v>
      </c>
      <c r="B11768">
        <v>13</v>
      </c>
      <c r="C11768">
        <v>0</v>
      </c>
      <c r="D11768">
        <v>0</v>
      </c>
      <c r="E11768">
        <v>0</v>
      </c>
      <c r="F11768">
        <v>1610</v>
      </c>
    </row>
    <row r="11769" spans="1:6" x14ac:dyDescent="0.25">
      <c r="A11769">
        <v>11768</v>
      </c>
      <c r="B11769" t="s">
        <v>0</v>
      </c>
      <c r="C11769">
        <v>61</v>
      </c>
      <c r="D11769">
        <v>3498</v>
      </c>
      <c r="E11769">
        <v>80441905</v>
      </c>
    </row>
    <row r="11770" spans="1:6" x14ac:dyDescent="0.25">
      <c r="A11770">
        <v>11769</v>
      </c>
      <c r="B11770">
        <v>42</v>
      </c>
      <c r="C11770">
        <v>0</v>
      </c>
      <c r="D11770">
        <v>0</v>
      </c>
      <c r="E11770">
        <v>0</v>
      </c>
      <c r="F11770">
        <v>0.2</v>
      </c>
    </row>
    <row r="11771" spans="1:6" x14ac:dyDescent="0.25">
      <c r="A11771">
        <v>11770</v>
      </c>
      <c r="B11771" t="s">
        <v>0</v>
      </c>
      <c r="C11771">
        <v>62</v>
      </c>
      <c r="D11771">
        <v>3498</v>
      </c>
      <c r="E11771">
        <v>80442042</v>
      </c>
    </row>
    <row r="11772" spans="1:6" x14ac:dyDescent="0.25">
      <c r="A11772">
        <v>11771</v>
      </c>
      <c r="B11772">
        <v>44</v>
      </c>
      <c r="C11772">
        <v>0</v>
      </c>
      <c r="D11772">
        <v>0</v>
      </c>
      <c r="E11772">
        <v>0</v>
      </c>
      <c r="F11772">
        <v>-15.6534</v>
      </c>
    </row>
    <row r="11773" spans="1:6" x14ac:dyDescent="0.25">
      <c r="A11773">
        <v>11772</v>
      </c>
      <c r="B11773">
        <v>45</v>
      </c>
      <c r="C11773">
        <v>0</v>
      </c>
      <c r="D11773">
        <v>0</v>
      </c>
      <c r="E11773">
        <v>0</v>
      </c>
      <c r="F11773">
        <v>516.03099999999995</v>
      </c>
    </row>
    <row r="11774" spans="1:6" x14ac:dyDescent="0.25">
      <c r="A11774">
        <v>11773</v>
      </c>
      <c r="B11774">
        <v>46</v>
      </c>
      <c r="C11774">
        <v>0</v>
      </c>
      <c r="D11774">
        <v>0</v>
      </c>
      <c r="E11774">
        <v>0</v>
      </c>
      <c r="F11774">
        <v>0</v>
      </c>
    </row>
    <row r="11775" spans="1:6" x14ac:dyDescent="0.25">
      <c r="A11775">
        <v>11774</v>
      </c>
      <c r="B11775">
        <v>2</v>
      </c>
      <c r="C11775">
        <v>0</v>
      </c>
      <c r="D11775">
        <v>0</v>
      </c>
      <c r="E11775">
        <v>0</v>
      </c>
      <c r="F11775">
        <v>241.834</v>
      </c>
    </row>
    <row r="11776" spans="1:6" x14ac:dyDescent="0.25">
      <c r="A11776">
        <v>11775</v>
      </c>
      <c r="B11776">
        <v>10</v>
      </c>
      <c r="C11776">
        <v>1</v>
      </c>
      <c r="D11776">
        <v>0</v>
      </c>
      <c r="E11776">
        <v>0</v>
      </c>
      <c r="F11776">
        <v>4941</v>
      </c>
    </row>
    <row r="11777" spans="1:6" x14ac:dyDescent="0.25">
      <c r="A11777">
        <v>11776</v>
      </c>
      <c r="B11777">
        <v>13</v>
      </c>
      <c r="C11777">
        <v>0</v>
      </c>
      <c r="D11777">
        <v>0</v>
      </c>
      <c r="E11777">
        <v>0</v>
      </c>
      <c r="F11777">
        <v>1610</v>
      </c>
    </row>
    <row r="11778" spans="1:6" x14ac:dyDescent="0.25">
      <c r="A11778">
        <v>11777</v>
      </c>
      <c r="B11778">
        <v>41</v>
      </c>
      <c r="C11778">
        <v>0</v>
      </c>
      <c r="D11778">
        <v>0</v>
      </c>
      <c r="E11778">
        <v>0</v>
      </c>
      <c r="F11778">
        <v>1</v>
      </c>
    </row>
    <row r="11779" spans="1:6" x14ac:dyDescent="0.25">
      <c r="A11779">
        <v>11778</v>
      </c>
      <c r="B11779">
        <v>42</v>
      </c>
      <c r="C11779">
        <v>0</v>
      </c>
      <c r="D11779">
        <v>0</v>
      </c>
      <c r="E11779">
        <v>0</v>
      </c>
      <c r="F11779">
        <v>0.2</v>
      </c>
    </row>
    <row r="11780" spans="1:6" x14ac:dyDescent="0.25">
      <c r="A11780">
        <v>11779</v>
      </c>
      <c r="B11780">
        <v>43</v>
      </c>
      <c r="C11780">
        <v>0</v>
      </c>
      <c r="D11780">
        <v>0</v>
      </c>
      <c r="E11780">
        <v>0</v>
      </c>
      <c r="F11780">
        <v>0</v>
      </c>
    </row>
    <row r="11781" spans="1:6" x14ac:dyDescent="0.25">
      <c r="A11781">
        <v>11780</v>
      </c>
      <c r="B11781">
        <v>44</v>
      </c>
      <c r="C11781">
        <v>0</v>
      </c>
      <c r="D11781">
        <v>0</v>
      </c>
      <c r="E11781">
        <v>0</v>
      </c>
      <c r="F11781">
        <v>-15.5152</v>
      </c>
    </row>
    <row r="11782" spans="1:6" x14ac:dyDescent="0.25">
      <c r="A11782">
        <v>11781</v>
      </c>
      <c r="B11782">
        <v>45</v>
      </c>
      <c r="C11782">
        <v>0</v>
      </c>
      <c r="D11782">
        <v>0</v>
      </c>
      <c r="E11782">
        <v>0</v>
      </c>
      <c r="F11782">
        <v>516.01800000000003</v>
      </c>
    </row>
    <row r="11783" spans="1:6" x14ac:dyDescent="0.25">
      <c r="A11783">
        <v>11782</v>
      </c>
      <c r="B11783">
        <v>46</v>
      </c>
      <c r="C11783">
        <v>0</v>
      </c>
      <c r="D11783">
        <v>0</v>
      </c>
      <c r="E11783">
        <v>0</v>
      </c>
      <c r="F11783">
        <v>0</v>
      </c>
    </row>
    <row r="11784" spans="1:6" x14ac:dyDescent="0.25">
      <c r="A11784">
        <v>11783</v>
      </c>
      <c r="B11784">
        <v>2</v>
      </c>
      <c r="C11784">
        <v>0</v>
      </c>
      <c r="D11784">
        <v>0</v>
      </c>
      <c r="E11784">
        <v>0</v>
      </c>
      <c r="F11784">
        <v>241.81899999999999</v>
      </c>
    </row>
    <row r="11785" spans="1:6" x14ac:dyDescent="0.25">
      <c r="A11785">
        <v>11784</v>
      </c>
      <c r="B11785">
        <v>10</v>
      </c>
      <c r="C11785">
        <v>1</v>
      </c>
      <c r="D11785">
        <v>0</v>
      </c>
      <c r="E11785">
        <v>0</v>
      </c>
      <c r="F11785">
        <v>4942</v>
      </c>
    </row>
    <row r="11786" spans="1:6" x14ac:dyDescent="0.25">
      <c r="A11786">
        <v>11785</v>
      </c>
      <c r="B11786" t="s">
        <v>0</v>
      </c>
      <c r="C11786">
        <v>69</v>
      </c>
      <c r="D11786">
        <v>3498</v>
      </c>
      <c r="E11786">
        <v>80443003</v>
      </c>
    </row>
    <row r="11787" spans="1:6" x14ac:dyDescent="0.25">
      <c r="A11787">
        <v>11786</v>
      </c>
      <c r="B11787">
        <v>13</v>
      </c>
      <c r="C11787">
        <v>0</v>
      </c>
      <c r="D11787">
        <v>0</v>
      </c>
      <c r="E11787">
        <v>0</v>
      </c>
      <c r="F11787">
        <v>1610</v>
      </c>
    </row>
    <row r="11788" spans="1:6" x14ac:dyDescent="0.25">
      <c r="A11788">
        <v>11787</v>
      </c>
      <c r="B11788">
        <v>41</v>
      </c>
      <c r="C11788">
        <v>0</v>
      </c>
      <c r="D11788">
        <v>0</v>
      </c>
      <c r="E11788">
        <v>0</v>
      </c>
      <c r="F11788">
        <v>1</v>
      </c>
    </row>
    <row r="11789" spans="1:6" x14ac:dyDescent="0.25">
      <c r="A11789">
        <v>11788</v>
      </c>
      <c r="B11789" t="s">
        <v>0</v>
      </c>
      <c r="C11789">
        <v>70</v>
      </c>
      <c r="D11789">
        <v>3498</v>
      </c>
      <c r="E11789">
        <v>80443141</v>
      </c>
    </row>
    <row r="11790" spans="1:6" x14ac:dyDescent="0.25">
      <c r="A11790">
        <v>11789</v>
      </c>
      <c r="B11790">
        <v>42</v>
      </c>
      <c r="C11790">
        <v>0</v>
      </c>
      <c r="D11790">
        <v>0</v>
      </c>
      <c r="E11790">
        <v>0</v>
      </c>
      <c r="F11790">
        <v>0.2</v>
      </c>
    </row>
    <row r="11791" spans="1:6" x14ac:dyDescent="0.25">
      <c r="A11791">
        <v>11790</v>
      </c>
      <c r="B11791">
        <v>43</v>
      </c>
      <c r="C11791">
        <v>0</v>
      </c>
      <c r="D11791">
        <v>0</v>
      </c>
      <c r="E11791">
        <v>0</v>
      </c>
      <c r="F11791">
        <v>0</v>
      </c>
    </row>
    <row r="11792" spans="1:6" x14ac:dyDescent="0.25">
      <c r="A11792">
        <v>11791</v>
      </c>
      <c r="B11792" t="s">
        <v>0</v>
      </c>
      <c r="C11792">
        <v>71</v>
      </c>
      <c r="D11792">
        <v>3498</v>
      </c>
      <c r="E11792">
        <v>80443279</v>
      </c>
    </row>
    <row r="11793" spans="1:6" x14ac:dyDescent="0.25">
      <c r="A11793">
        <v>11792</v>
      </c>
      <c r="B11793">
        <v>44</v>
      </c>
      <c r="C11793">
        <v>0</v>
      </c>
      <c r="D11793">
        <v>0</v>
      </c>
      <c r="E11793">
        <v>0</v>
      </c>
      <c r="F11793">
        <v>-15.327199999999999</v>
      </c>
    </row>
    <row r="11794" spans="1:6" x14ac:dyDescent="0.25">
      <c r="A11794">
        <v>11793</v>
      </c>
      <c r="B11794">
        <v>45</v>
      </c>
      <c r="C11794">
        <v>0</v>
      </c>
      <c r="D11794">
        <v>0</v>
      </c>
      <c r="E11794">
        <v>0</v>
      </c>
      <c r="F11794">
        <v>516.00800000000004</v>
      </c>
    </row>
    <row r="11795" spans="1:6" x14ac:dyDescent="0.25">
      <c r="A11795">
        <v>11794</v>
      </c>
      <c r="B11795" t="s">
        <v>0</v>
      </c>
      <c r="C11795">
        <v>72</v>
      </c>
      <c r="D11795">
        <v>3498</v>
      </c>
      <c r="E11795">
        <v>80443417</v>
      </c>
    </row>
    <row r="11796" spans="1:6" x14ac:dyDescent="0.25">
      <c r="A11796">
        <v>11795</v>
      </c>
      <c r="B11796">
        <v>46</v>
      </c>
      <c r="C11796">
        <v>0</v>
      </c>
      <c r="D11796">
        <v>0</v>
      </c>
      <c r="E11796">
        <v>0</v>
      </c>
      <c r="F11796">
        <v>0</v>
      </c>
    </row>
    <row r="11797" spans="1:6" x14ac:dyDescent="0.25">
      <c r="A11797">
        <v>11796</v>
      </c>
      <c r="B11797">
        <v>2</v>
      </c>
      <c r="C11797">
        <v>0</v>
      </c>
      <c r="D11797">
        <v>0</v>
      </c>
      <c r="E11797">
        <v>0</v>
      </c>
      <c r="F11797">
        <v>241.809</v>
      </c>
    </row>
    <row r="11798" spans="1:6" x14ac:dyDescent="0.25">
      <c r="A11798">
        <v>11797</v>
      </c>
      <c r="B11798" t="s">
        <v>0</v>
      </c>
      <c r="C11798">
        <v>73</v>
      </c>
      <c r="D11798">
        <v>3498</v>
      </c>
      <c r="E11798">
        <v>80443555</v>
      </c>
    </row>
    <row r="11799" spans="1:6" x14ac:dyDescent="0.25">
      <c r="A11799">
        <v>11798</v>
      </c>
      <c r="B11799">
        <v>10</v>
      </c>
      <c r="C11799">
        <v>1</v>
      </c>
      <c r="D11799">
        <v>0</v>
      </c>
      <c r="E11799">
        <v>0</v>
      </c>
      <c r="F11799">
        <v>4943</v>
      </c>
    </row>
    <row r="11800" spans="1:6" x14ac:dyDescent="0.25">
      <c r="A11800">
        <v>11799</v>
      </c>
      <c r="B11800">
        <v>13</v>
      </c>
      <c r="C11800">
        <v>0</v>
      </c>
      <c r="D11800">
        <v>0</v>
      </c>
      <c r="E11800">
        <v>0</v>
      </c>
      <c r="F11800">
        <v>1610</v>
      </c>
    </row>
    <row r="11801" spans="1:6" x14ac:dyDescent="0.25">
      <c r="A11801">
        <v>11800</v>
      </c>
      <c r="B11801" t="s">
        <v>0</v>
      </c>
      <c r="C11801">
        <v>74</v>
      </c>
      <c r="D11801">
        <v>3498</v>
      </c>
      <c r="E11801">
        <v>80443692</v>
      </c>
    </row>
    <row r="11802" spans="1:6" x14ac:dyDescent="0.25">
      <c r="A11802">
        <v>11801</v>
      </c>
      <c r="B11802">
        <v>42</v>
      </c>
      <c r="C11802">
        <v>0</v>
      </c>
      <c r="D11802">
        <v>0</v>
      </c>
      <c r="E11802">
        <v>0</v>
      </c>
      <c r="F11802">
        <v>0.2</v>
      </c>
    </row>
    <row r="11803" spans="1:6" x14ac:dyDescent="0.25">
      <c r="A11803">
        <v>11802</v>
      </c>
      <c r="B11803" t="s">
        <v>0</v>
      </c>
      <c r="C11803">
        <v>75</v>
      </c>
      <c r="D11803">
        <v>3498</v>
      </c>
      <c r="E11803">
        <v>80443829</v>
      </c>
    </row>
    <row r="11804" spans="1:6" x14ac:dyDescent="0.25">
      <c r="A11804">
        <v>11803</v>
      </c>
      <c r="B11804">
        <v>44</v>
      </c>
      <c r="C11804">
        <v>0</v>
      </c>
      <c r="D11804">
        <v>0</v>
      </c>
      <c r="E11804">
        <v>0</v>
      </c>
      <c r="F11804">
        <v>-15.1691</v>
      </c>
    </row>
    <row r="11805" spans="1:6" x14ac:dyDescent="0.25">
      <c r="A11805">
        <v>11804</v>
      </c>
      <c r="B11805" t="s">
        <v>0</v>
      </c>
      <c r="C11805">
        <v>76</v>
      </c>
      <c r="D11805">
        <v>3498</v>
      </c>
      <c r="E11805">
        <v>80443966</v>
      </c>
    </row>
    <row r="11806" spans="1:6" x14ac:dyDescent="0.25">
      <c r="A11806">
        <v>11805</v>
      </c>
      <c r="B11806">
        <v>46</v>
      </c>
      <c r="C11806">
        <v>0</v>
      </c>
      <c r="D11806">
        <v>0</v>
      </c>
      <c r="E11806">
        <v>0</v>
      </c>
      <c r="F11806">
        <v>0</v>
      </c>
    </row>
    <row r="11807" spans="1:6" x14ac:dyDescent="0.25">
      <c r="A11807">
        <v>11806</v>
      </c>
      <c r="B11807" t="s">
        <v>0</v>
      </c>
      <c r="C11807">
        <v>77</v>
      </c>
      <c r="D11807">
        <v>3498</v>
      </c>
      <c r="E11807">
        <v>80444103</v>
      </c>
    </row>
    <row r="11808" spans="1:6" x14ac:dyDescent="0.25">
      <c r="A11808">
        <v>11807</v>
      </c>
      <c r="B11808">
        <v>10</v>
      </c>
      <c r="C11808">
        <v>1</v>
      </c>
      <c r="D11808">
        <v>0</v>
      </c>
      <c r="E11808">
        <v>0</v>
      </c>
      <c r="F11808">
        <v>4944</v>
      </c>
    </row>
    <row r="11809" spans="1:6" x14ac:dyDescent="0.25">
      <c r="A11809">
        <v>11808</v>
      </c>
      <c r="B11809" t="s">
        <v>0</v>
      </c>
      <c r="C11809">
        <v>78</v>
      </c>
      <c r="D11809">
        <v>3498</v>
      </c>
      <c r="E11809">
        <v>80444240</v>
      </c>
    </row>
    <row r="11810" spans="1:6" x14ac:dyDescent="0.25">
      <c r="A11810">
        <v>11809</v>
      </c>
      <c r="B11810">
        <v>41</v>
      </c>
      <c r="C11810">
        <v>0</v>
      </c>
      <c r="D11810">
        <v>0</v>
      </c>
      <c r="E11810">
        <v>0</v>
      </c>
      <c r="F11810">
        <v>1</v>
      </c>
    </row>
    <row r="11811" spans="1:6" x14ac:dyDescent="0.25">
      <c r="A11811">
        <v>11810</v>
      </c>
      <c r="B11811">
        <v>42</v>
      </c>
      <c r="C11811">
        <v>0</v>
      </c>
      <c r="D11811">
        <v>0</v>
      </c>
      <c r="E11811">
        <v>0</v>
      </c>
      <c r="F11811">
        <v>0.2</v>
      </c>
    </row>
    <row r="11812" spans="1:6" x14ac:dyDescent="0.25">
      <c r="A11812">
        <v>11811</v>
      </c>
      <c r="B11812">
        <v>43</v>
      </c>
      <c r="C11812">
        <v>0</v>
      </c>
      <c r="D11812">
        <v>0</v>
      </c>
      <c r="E11812">
        <v>0</v>
      </c>
      <c r="F11812">
        <v>0</v>
      </c>
    </row>
    <row r="11813" spans="1:6" x14ac:dyDescent="0.25">
      <c r="A11813">
        <v>11812</v>
      </c>
      <c r="B11813">
        <v>44</v>
      </c>
      <c r="C11813">
        <v>0</v>
      </c>
      <c r="D11813">
        <v>0</v>
      </c>
      <c r="E11813">
        <v>0</v>
      </c>
      <c r="F11813">
        <v>-15.0372</v>
      </c>
    </row>
    <row r="11814" spans="1:6" x14ac:dyDescent="0.25">
      <c r="A11814">
        <v>11813</v>
      </c>
      <c r="B11814">
        <v>45</v>
      </c>
      <c r="C11814">
        <v>0</v>
      </c>
      <c r="D11814">
        <v>0</v>
      </c>
      <c r="E11814">
        <v>0</v>
      </c>
      <c r="F11814">
        <v>515.98599999999999</v>
      </c>
    </row>
    <row r="11815" spans="1:6" x14ac:dyDescent="0.25">
      <c r="A11815">
        <v>11814</v>
      </c>
      <c r="B11815">
        <v>46</v>
      </c>
      <c r="C11815">
        <v>0</v>
      </c>
      <c r="D11815">
        <v>0</v>
      </c>
      <c r="E11815">
        <v>0</v>
      </c>
      <c r="F11815">
        <v>0</v>
      </c>
    </row>
    <row r="11816" spans="1:6" x14ac:dyDescent="0.25">
      <c r="A11816">
        <v>11815</v>
      </c>
      <c r="B11816">
        <v>2</v>
      </c>
      <c r="C11816">
        <v>0</v>
      </c>
      <c r="D11816">
        <v>0</v>
      </c>
      <c r="E11816">
        <v>0</v>
      </c>
      <c r="F11816">
        <v>241.79400000000001</v>
      </c>
    </row>
    <row r="11817" spans="1:6" x14ac:dyDescent="0.25">
      <c r="A11817">
        <v>11816</v>
      </c>
      <c r="B11817">
        <v>10</v>
      </c>
      <c r="C11817">
        <v>1</v>
      </c>
      <c r="D11817">
        <v>0</v>
      </c>
      <c r="E11817">
        <v>0</v>
      </c>
      <c r="F11817">
        <v>4945</v>
      </c>
    </row>
    <row r="11818" spans="1:6" x14ac:dyDescent="0.25">
      <c r="A11818">
        <v>11817</v>
      </c>
      <c r="B11818">
        <v>13</v>
      </c>
      <c r="C11818">
        <v>0</v>
      </c>
      <c r="D11818">
        <v>0</v>
      </c>
      <c r="E11818">
        <v>0</v>
      </c>
      <c r="F11818">
        <v>1610</v>
      </c>
    </row>
    <row r="11819" spans="1:6" x14ac:dyDescent="0.25">
      <c r="A11819">
        <v>11818</v>
      </c>
      <c r="B11819">
        <v>41</v>
      </c>
      <c r="C11819">
        <v>0</v>
      </c>
      <c r="D11819">
        <v>0</v>
      </c>
      <c r="E11819">
        <v>0</v>
      </c>
      <c r="F11819">
        <v>1</v>
      </c>
    </row>
    <row r="11820" spans="1:6" x14ac:dyDescent="0.25">
      <c r="A11820">
        <v>11819</v>
      </c>
      <c r="B11820">
        <v>42</v>
      </c>
      <c r="C11820">
        <v>0</v>
      </c>
      <c r="D11820">
        <v>0</v>
      </c>
      <c r="E11820">
        <v>0</v>
      </c>
      <c r="F11820">
        <v>0.2</v>
      </c>
    </row>
    <row r="11821" spans="1:6" x14ac:dyDescent="0.25">
      <c r="A11821">
        <v>11820</v>
      </c>
      <c r="B11821">
        <v>43</v>
      </c>
      <c r="C11821">
        <v>0</v>
      </c>
      <c r="D11821">
        <v>0</v>
      </c>
      <c r="E11821">
        <v>0</v>
      </c>
      <c r="F11821">
        <v>0</v>
      </c>
    </row>
    <row r="11822" spans="1:6" x14ac:dyDescent="0.25">
      <c r="A11822">
        <v>11821</v>
      </c>
      <c r="B11822">
        <v>44</v>
      </c>
      <c r="C11822">
        <v>0</v>
      </c>
      <c r="D11822">
        <v>0</v>
      </c>
      <c r="E11822">
        <v>0</v>
      </c>
      <c r="F11822">
        <v>-14.855600000000001</v>
      </c>
    </row>
    <row r="11823" spans="1:6" x14ac:dyDescent="0.25">
      <c r="A11823">
        <v>11822</v>
      </c>
      <c r="B11823">
        <v>45</v>
      </c>
      <c r="C11823">
        <v>0</v>
      </c>
      <c r="D11823">
        <v>0</v>
      </c>
      <c r="E11823">
        <v>0</v>
      </c>
      <c r="F11823">
        <v>515.976</v>
      </c>
    </row>
    <row r="11824" spans="1:6" x14ac:dyDescent="0.25">
      <c r="A11824">
        <v>11823</v>
      </c>
      <c r="B11824" t="s">
        <v>0</v>
      </c>
      <c r="C11824">
        <v>85</v>
      </c>
      <c r="D11824">
        <v>3498</v>
      </c>
      <c r="E11824">
        <v>80445204</v>
      </c>
    </row>
    <row r="11825" spans="1:6" x14ac:dyDescent="0.25">
      <c r="A11825">
        <v>11824</v>
      </c>
      <c r="B11825">
        <v>46</v>
      </c>
      <c r="C11825">
        <v>0</v>
      </c>
      <c r="D11825">
        <v>0</v>
      </c>
      <c r="E11825">
        <v>0</v>
      </c>
      <c r="F11825">
        <v>0</v>
      </c>
    </row>
    <row r="11826" spans="1:6" x14ac:dyDescent="0.25">
      <c r="A11826">
        <v>11825</v>
      </c>
      <c r="B11826">
        <v>2</v>
      </c>
      <c r="C11826">
        <v>0</v>
      </c>
      <c r="D11826">
        <v>0</v>
      </c>
      <c r="E11826">
        <v>0</v>
      </c>
      <c r="F11826">
        <v>241.78800000000001</v>
      </c>
    </row>
    <row r="11827" spans="1:6" x14ac:dyDescent="0.25">
      <c r="A11827">
        <v>11826</v>
      </c>
      <c r="B11827" t="s">
        <v>0</v>
      </c>
      <c r="C11827">
        <v>86</v>
      </c>
      <c r="D11827">
        <v>3498</v>
      </c>
      <c r="E11827">
        <v>80445342</v>
      </c>
    </row>
    <row r="11828" spans="1:6" x14ac:dyDescent="0.25">
      <c r="A11828">
        <v>11827</v>
      </c>
      <c r="B11828">
        <v>10</v>
      </c>
      <c r="C11828">
        <v>1</v>
      </c>
      <c r="D11828">
        <v>0</v>
      </c>
      <c r="E11828">
        <v>0</v>
      </c>
      <c r="F11828">
        <v>4946</v>
      </c>
    </row>
    <row r="11829" spans="1:6" x14ac:dyDescent="0.25">
      <c r="A11829">
        <v>11828</v>
      </c>
      <c r="B11829">
        <v>13</v>
      </c>
      <c r="C11829">
        <v>0</v>
      </c>
      <c r="D11829">
        <v>0</v>
      </c>
      <c r="E11829">
        <v>0</v>
      </c>
      <c r="F11829">
        <v>1610</v>
      </c>
    </row>
    <row r="11830" spans="1:6" x14ac:dyDescent="0.25">
      <c r="A11830">
        <v>11829</v>
      </c>
      <c r="B11830" t="s">
        <v>0</v>
      </c>
      <c r="C11830">
        <v>87</v>
      </c>
      <c r="D11830">
        <v>3498</v>
      </c>
      <c r="E11830">
        <v>80445480</v>
      </c>
    </row>
    <row r="11831" spans="1:6" x14ac:dyDescent="0.25">
      <c r="A11831">
        <v>11830</v>
      </c>
      <c r="B11831">
        <v>41</v>
      </c>
      <c r="C11831">
        <v>0</v>
      </c>
      <c r="D11831">
        <v>0</v>
      </c>
      <c r="E11831">
        <v>0</v>
      </c>
      <c r="F11831">
        <v>1</v>
      </c>
    </row>
    <row r="11832" spans="1:6" x14ac:dyDescent="0.25">
      <c r="A11832">
        <v>11831</v>
      </c>
      <c r="B11832">
        <v>42</v>
      </c>
      <c r="C11832">
        <v>0</v>
      </c>
      <c r="D11832">
        <v>0</v>
      </c>
      <c r="E11832">
        <v>0</v>
      </c>
      <c r="F11832">
        <v>0.2</v>
      </c>
    </row>
    <row r="11833" spans="1:6" x14ac:dyDescent="0.25">
      <c r="A11833">
        <v>11832</v>
      </c>
      <c r="B11833" t="s">
        <v>0</v>
      </c>
      <c r="C11833">
        <v>88</v>
      </c>
      <c r="D11833">
        <v>3498</v>
      </c>
      <c r="E11833">
        <v>80445617</v>
      </c>
    </row>
    <row r="11834" spans="1:6" x14ac:dyDescent="0.25">
      <c r="A11834">
        <v>11833</v>
      </c>
      <c r="B11834">
        <v>43</v>
      </c>
      <c r="C11834">
        <v>0</v>
      </c>
      <c r="D11834">
        <v>0</v>
      </c>
      <c r="E11834">
        <v>0</v>
      </c>
      <c r="F11834">
        <v>0</v>
      </c>
    </row>
    <row r="11835" spans="1:6" x14ac:dyDescent="0.25">
      <c r="A11835">
        <v>11834</v>
      </c>
      <c r="B11835">
        <v>44</v>
      </c>
      <c r="C11835">
        <v>0</v>
      </c>
      <c r="D11835">
        <v>0</v>
      </c>
      <c r="E11835">
        <v>0</v>
      </c>
      <c r="F11835">
        <v>-14.7014</v>
      </c>
    </row>
    <row r="11836" spans="1:6" x14ac:dyDescent="0.25">
      <c r="A11836">
        <v>11835</v>
      </c>
      <c r="B11836" t="s">
        <v>0</v>
      </c>
      <c r="C11836">
        <v>89</v>
      </c>
      <c r="D11836">
        <v>3498</v>
      </c>
      <c r="E11836">
        <v>80445754</v>
      </c>
    </row>
    <row r="11837" spans="1:6" x14ac:dyDescent="0.25">
      <c r="A11837">
        <v>11836</v>
      </c>
      <c r="B11837">
        <v>45</v>
      </c>
      <c r="C11837">
        <v>0</v>
      </c>
      <c r="D11837">
        <v>0</v>
      </c>
      <c r="E11837">
        <v>0</v>
      </c>
      <c r="F11837">
        <v>515.96400000000006</v>
      </c>
    </row>
    <row r="11838" spans="1:6" x14ac:dyDescent="0.25">
      <c r="A11838">
        <v>11837</v>
      </c>
      <c r="B11838">
        <v>46</v>
      </c>
      <c r="C11838">
        <v>0</v>
      </c>
      <c r="D11838">
        <v>0</v>
      </c>
      <c r="E11838">
        <v>0</v>
      </c>
      <c r="F11838">
        <v>0</v>
      </c>
    </row>
    <row r="11839" spans="1:6" x14ac:dyDescent="0.25">
      <c r="A11839">
        <v>11838</v>
      </c>
      <c r="B11839" t="s">
        <v>0</v>
      </c>
      <c r="C11839">
        <v>90</v>
      </c>
      <c r="D11839">
        <v>3498</v>
      </c>
      <c r="E11839">
        <v>80445891</v>
      </c>
    </row>
    <row r="11840" spans="1:6" x14ac:dyDescent="0.25">
      <c r="A11840">
        <v>11839</v>
      </c>
      <c r="B11840">
        <v>10</v>
      </c>
      <c r="C11840">
        <v>1</v>
      </c>
      <c r="D11840">
        <v>0</v>
      </c>
      <c r="E11840">
        <v>0</v>
      </c>
      <c r="F11840">
        <v>4947</v>
      </c>
    </row>
    <row r="11841" spans="1:6" x14ac:dyDescent="0.25">
      <c r="A11841">
        <v>11840</v>
      </c>
      <c r="B11841" t="s">
        <v>0</v>
      </c>
      <c r="C11841">
        <v>91</v>
      </c>
      <c r="D11841">
        <v>3498</v>
      </c>
      <c r="E11841">
        <v>80446028</v>
      </c>
    </row>
    <row r="11842" spans="1:6" x14ac:dyDescent="0.25">
      <c r="A11842">
        <v>11841</v>
      </c>
      <c r="B11842">
        <v>41</v>
      </c>
      <c r="C11842">
        <v>0</v>
      </c>
      <c r="D11842">
        <v>0</v>
      </c>
      <c r="E11842">
        <v>0</v>
      </c>
      <c r="F11842">
        <v>1</v>
      </c>
    </row>
    <row r="11843" spans="1:6" x14ac:dyDescent="0.25">
      <c r="A11843">
        <v>11842</v>
      </c>
      <c r="B11843" t="s">
        <v>0</v>
      </c>
      <c r="C11843">
        <v>92</v>
      </c>
      <c r="D11843">
        <v>3498</v>
      </c>
      <c r="E11843">
        <v>80446165</v>
      </c>
    </row>
    <row r="11844" spans="1:6" x14ac:dyDescent="0.25">
      <c r="A11844">
        <v>11843</v>
      </c>
      <c r="B11844">
        <v>43</v>
      </c>
      <c r="C11844">
        <v>0</v>
      </c>
      <c r="D11844">
        <v>0</v>
      </c>
      <c r="E11844">
        <v>0</v>
      </c>
      <c r="F11844">
        <v>0</v>
      </c>
    </row>
    <row r="11845" spans="1:6" x14ac:dyDescent="0.25">
      <c r="A11845">
        <v>11844</v>
      </c>
      <c r="B11845" t="s">
        <v>0</v>
      </c>
      <c r="C11845">
        <v>93</v>
      </c>
      <c r="D11845">
        <v>3498</v>
      </c>
      <c r="E11845">
        <v>80446302</v>
      </c>
    </row>
    <row r="11846" spans="1:6" x14ac:dyDescent="0.25">
      <c r="A11846">
        <v>11845</v>
      </c>
      <c r="B11846">
        <v>45</v>
      </c>
      <c r="C11846">
        <v>0</v>
      </c>
      <c r="D11846">
        <v>0</v>
      </c>
      <c r="E11846">
        <v>0</v>
      </c>
      <c r="F11846">
        <v>515.95399999999995</v>
      </c>
    </row>
    <row r="11847" spans="1:6" x14ac:dyDescent="0.25">
      <c r="A11847">
        <v>11846</v>
      </c>
      <c r="B11847" t="s">
        <v>0</v>
      </c>
      <c r="C11847">
        <v>94</v>
      </c>
      <c r="D11847">
        <v>3498</v>
      </c>
      <c r="E11847">
        <v>80446439</v>
      </c>
    </row>
    <row r="11848" spans="1:6" x14ac:dyDescent="0.25">
      <c r="A11848">
        <v>11847</v>
      </c>
      <c r="B11848">
        <v>2</v>
      </c>
      <c r="C11848">
        <v>0</v>
      </c>
      <c r="D11848">
        <v>0</v>
      </c>
      <c r="E11848">
        <v>0</v>
      </c>
      <c r="F11848">
        <v>241.78100000000001</v>
      </c>
    </row>
    <row r="11849" spans="1:6" x14ac:dyDescent="0.25">
      <c r="A11849">
        <v>11848</v>
      </c>
      <c r="B11849">
        <v>10</v>
      </c>
      <c r="C11849">
        <v>1</v>
      </c>
      <c r="D11849">
        <v>0</v>
      </c>
      <c r="E11849">
        <v>0</v>
      </c>
      <c r="F11849">
        <v>4948</v>
      </c>
    </row>
    <row r="11850" spans="1:6" x14ac:dyDescent="0.25">
      <c r="A11850">
        <v>11849</v>
      </c>
      <c r="B11850">
        <v>13</v>
      </c>
      <c r="C11850">
        <v>0</v>
      </c>
      <c r="D11850">
        <v>0</v>
      </c>
      <c r="E11850">
        <v>0</v>
      </c>
      <c r="F11850">
        <v>1610</v>
      </c>
    </row>
    <row r="11851" spans="1:6" x14ac:dyDescent="0.25">
      <c r="A11851">
        <v>11850</v>
      </c>
      <c r="B11851">
        <v>41</v>
      </c>
      <c r="C11851">
        <v>0</v>
      </c>
      <c r="D11851">
        <v>0</v>
      </c>
      <c r="E11851">
        <v>0</v>
      </c>
      <c r="F11851">
        <v>1</v>
      </c>
    </row>
    <row r="11852" spans="1:6" x14ac:dyDescent="0.25">
      <c r="A11852">
        <v>11851</v>
      </c>
      <c r="B11852">
        <v>42</v>
      </c>
      <c r="C11852">
        <v>0</v>
      </c>
      <c r="D11852">
        <v>0</v>
      </c>
      <c r="E11852">
        <v>0</v>
      </c>
      <c r="F11852">
        <v>0.2</v>
      </c>
    </row>
    <row r="11853" spans="1:6" x14ac:dyDescent="0.25">
      <c r="A11853">
        <v>11852</v>
      </c>
      <c r="B11853">
        <v>43</v>
      </c>
      <c r="C11853">
        <v>0</v>
      </c>
      <c r="D11853">
        <v>0</v>
      </c>
      <c r="E11853">
        <v>0</v>
      </c>
      <c r="F11853">
        <v>0</v>
      </c>
    </row>
    <row r="11854" spans="1:6" x14ac:dyDescent="0.25">
      <c r="A11854">
        <v>11853</v>
      </c>
      <c r="B11854">
        <v>44</v>
      </c>
      <c r="C11854">
        <v>0</v>
      </c>
      <c r="D11854">
        <v>0</v>
      </c>
      <c r="E11854">
        <v>0</v>
      </c>
      <c r="F11854">
        <v>-14.394500000000001</v>
      </c>
    </row>
    <row r="11855" spans="1:6" x14ac:dyDescent="0.25">
      <c r="A11855">
        <v>11854</v>
      </c>
      <c r="B11855">
        <v>45</v>
      </c>
      <c r="C11855">
        <v>0</v>
      </c>
      <c r="D11855">
        <v>0</v>
      </c>
      <c r="E11855">
        <v>0</v>
      </c>
      <c r="F11855">
        <v>515.94399999999996</v>
      </c>
    </row>
    <row r="11856" spans="1:6" x14ac:dyDescent="0.25">
      <c r="A11856">
        <v>11855</v>
      </c>
      <c r="B11856">
        <v>46</v>
      </c>
      <c r="C11856">
        <v>0</v>
      </c>
      <c r="D11856">
        <v>0</v>
      </c>
      <c r="E11856">
        <v>0</v>
      </c>
      <c r="F11856">
        <v>0</v>
      </c>
    </row>
    <row r="11857" spans="1:6" x14ac:dyDescent="0.25">
      <c r="A11857">
        <v>11856</v>
      </c>
      <c r="B11857">
        <v>2</v>
      </c>
      <c r="C11857">
        <v>0</v>
      </c>
      <c r="D11857">
        <v>0</v>
      </c>
      <c r="E11857">
        <v>0</v>
      </c>
      <c r="F11857">
        <v>241.77799999999999</v>
      </c>
    </row>
    <row r="11858" spans="1:6" x14ac:dyDescent="0.25">
      <c r="A11858">
        <v>11857</v>
      </c>
      <c r="B11858">
        <v>10</v>
      </c>
      <c r="C11858">
        <v>1</v>
      </c>
      <c r="D11858">
        <v>0</v>
      </c>
      <c r="E11858">
        <v>0</v>
      </c>
      <c r="F11858">
        <v>4949</v>
      </c>
    </row>
    <row r="11859" spans="1:6" x14ac:dyDescent="0.25">
      <c r="A11859">
        <v>11858</v>
      </c>
      <c r="B11859">
        <v>13</v>
      </c>
      <c r="C11859">
        <v>0</v>
      </c>
      <c r="D11859">
        <v>0</v>
      </c>
      <c r="E11859">
        <v>0</v>
      </c>
      <c r="F11859">
        <v>1610</v>
      </c>
    </row>
    <row r="11860" spans="1:6" x14ac:dyDescent="0.25">
      <c r="A11860">
        <v>11859</v>
      </c>
      <c r="B11860">
        <v>41</v>
      </c>
      <c r="C11860">
        <v>0</v>
      </c>
      <c r="D11860">
        <v>0</v>
      </c>
      <c r="E11860">
        <v>0</v>
      </c>
      <c r="F11860">
        <v>1</v>
      </c>
    </row>
    <row r="11861" spans="1:6" x14ac:dyDescent="0.25">
      <c r="A11861">
        <v>11860</v>
      </c>
      <c r="B11861">
        <v>42</v>
      </c>
      <c r="C11861">
        <v>0</v>
      </c>
      <c r="D11861">
        <v>0</v>
      </c>
      <c r="E11861">
        <v>0</v>
      </c>
      <c r="F11861">
        <v>0.2</v>
      </c>
    </row>
    <row r="11862" spans="1:6" x14ac:dyDescent="0.25">
      <c r="A11862">
        <v>11861</v>
      </c>
      <c r="B11862" t="s">
        <v>0</v>
      </c>
      <c r="C11862">
        <v>101</v>
      </c>
      <c r="D11862">
        <v>3498</v>
      </c>
      <c r="E11862">
        <v>80447403</v>
      </c>
    </row>
    <row r="11863" spans="1:6" x14ac:dyDescent="0.25">
      <c r="A11863">
        <v>11862</v>
      </c>
      <c r="B11863">
        <v>43</v>
      </c>
      <c r="C11863">
        <v>0</v>
      </c>
      <c r="D11863">
        <v>0</v>
      </c>
      <c r="E11863">
        <v>0</v>
      </c>
      <c r="F11863">
        <v>0</v>
      </c>
    </row>
    <row r="11864" spans="1:6" x14ac:dyDescent="0.25">
      <c r="A11864">
        <v>11863</v>
      </c>
      <c r="B11864">
        <v>44</v>
      </c>
      <c r="C11864">
        <v>0</v>
      </c>
      <c r="D11864">
        <v>0</v>
      </c>
      <c r="E11864">
        <v>0</v>
      </c>
      <c r="F11864">
        <v>-14.2003</v>
      </c>
    </row>
    <row r="11865" spans="1:6" x14ac:dyDescent="0.25">
      <c r="A11865">
        <v>11864</v>
      </c>
      <c r="B11865" t="s">
        <v>0</v>
      </c>
      <c r="C11865">
        <v>102</v>
      </c>
      <c r="D11865">
        <v>3498</v>
      </c>
      <c r="E11865">
        <v>80447540</v>
      </c>
    </row>
    <row r="11866" spans="1:6" x14ac:dyDescent="0.25">
      <c r="A11866">
        <v>11865</v>
      </c>
      <c r="B11866">
        <v>45</v>
      </c>
      <c r="C11866">
        <v>0</v>
      </c>
      <c r="D11866">
        <v>0</v>
      </c>
      <c r="E11866">
        <v>0</v>
      </c>
      <c r="F11866">
        <v>515.93299999999999</v>
      </c>
    </row>
    <row r="11867" spans="1:6" x14ac:dyDescent="0.25">
      <c r="A11867">
        <v>11866</v>
      </c>
      <c r="B11867">
        <v>46</v>
      </c>
      <c r="C11867">
        <v>0</v>
      </c>
      <c r="D11867">
        <v>0</v>
      </c>
      <c r="E11867">
        <v>0</v>
      </c>
      <c r="F11867">
        <v>0</v>
      </c>
    </row>
    <row r="11868" spans="1:6" x14ac:dyDescent="0.25">
      <c r="A11868">
        <v>11867</v>
      </c>
      <c r="B11868" t="s">
        <v>0</v>
      </c>
      <c r="C11868">
        <v>103</v>
      </c>
      <c r="D11868">
        <v>3498</v>
      </c>
      <c r="E11868">
        <v>80447677</v>
      </c>
    </row>
    <row r="11869" spans="1:6" x14ac:dyDescent="0.25">
      <c r="A11869">
        <v>11868</v>
      </c>
      <c r="B11869">
        <v>2</v>
      </c>
      <c r="C11869">
        <v>0</v>
      </c>
      <c r="D11869">
        <v>0</v>
      </c>
      <c r="E11869">
        <v>0</v>
      </c>
      <c r="F11869">
        <v>241.703</v>
      </c>
    </row>
    <row r="11870" spans="1:6" x14ac:dyDescent="0.25">
      <c r="A11870">
        <v>11869</v>
      </c>
      <c r="B11870">
        <v>10</v>
      </c>
      <c r="C11870">
        <v>1</v>
      </c>
      <c r="D11870">
        <v>0</v>
      </c>
      <c r="E11870">
        <v>0</v>
      </c>
      <c r="F11870">
        <v>4952</v>
      </c>
    </row>
    <row r="11871" spans="1:6" x14ac:dyDescent="0.25">
      <c r="A11871">
        <v>11870</v>
      </c>
      <c r="B11871" t="s">
        <v>0</v>
      </c>
      <c r="C11871">
        <v>104</v>
      </c>
      <c r="D11871">
        <v>3498</v>
      </c>
      <c r="E11871">
        <v>80447814</v>
      </c>
    </row>
    <row r="11872" spans="1:6" x14ac:dyDescent="0.25">
      <c r="A11872">
        <v>11871</v>
      </c>
      <c r="B11872">
        <v>13</v>
      </c>
      <c r="C11872">
        <v>0</v>
      </c>
      <c r="D11872">
        <v>0</v>
      </c>
      <c r="E11872">
        <v>0</v>
      </c>
      <c r="F11872">
        <v>1610</v>
      </c>
    </row>
    <row r="11873" spans="1:6" x14ac:dyDescent="0.25">
      <c r="A11873">
        <v>11872</v>
      </c>
      <c r="B11873">
        <v>41</v>
      </c>
      <c r="C11873">
        <v>0</v>
      </c>
      <c r="D11873">
        <v>0</v>
      </c>
      <c r="E11873">
        <v>0</v>
      </c>
      <c r="F11873">
        <v>1</v>
      </c>
    </row>
    <row r="11874" spans="1:6" x14ac:dyDescent="0.25">
      <c r="A11874">
        <v>11873</v>
      </c>
      <c r="B11874" t="s">
        <v>0</v>
      </c>
      <c r="C11874">
        <v>105</v>
      </c>
      <c r="D11874">
        <v>3498</v>
      </c>
      <c r="E11874">
        <v>80447952</v>
      </c>
    </row>
    <row r="11875" spans="1:6" x14ac:dyDescent="0.25">
      <c r="A11875">
        <v>11874</v>
      </c>
      <c r="B11875">
        <v>43</v>
      </c>
      <c r="C11875">
        <v>0</v>
      </c>
      <c r="D11875">
        <v>0</v>
      </c>
      <c r="E11875">
        <v>0</v>
      </c>
      <c r="F11875">
        <v>0</v>
      </c>
    </row>
    <row r="11876" spans="1:6" x14ac:dyDescent="0.25">
      <c r="A11876">
        <v>11875</v>
      </c>
      <c r="B11876" t="s">
        <v>0</v>
      </c>
      <c r="C11876">
        <v>106</v>
      </c>
      <c r="D11876">
        <v>3498</v>
      </c>
      <c r="E11876">
        <v>80448090</v>
      </c>
    </row>
    <row r="11877" spans="1:6" x14ac:dyDescent="0.25">
      <c r="A11877">
        <v>11876</v>
      </c>
      <c r="B11877">
        <v>45</v>
      </c>
      <c r="C11877">
        <v>0</v>
      </c>
      <c r="D11877">
        <v>0</v>
      </c>
      <c r="E11877">
        <v>0</v>
      </c>
      <c r="F11877">
        <v>515.923</v>
      </c>
    </row>
    <row r="11878" spans="1:6" x14ac:dyDescent="0.25">
      <c r="A11878">
        <v>11877</v>
      </c>
      <c r="B11878" t="s">
        <v>0</v>
      </c>
      <c r="C11878">
        <v>107</v>
      </c>
      <c r="D11878">
        <v>3498</v>
      </c>
      <c r="E11878">
        <v>80448228</v>
      </c>
    </row>
    <row r="11879" spans="1:6" x14ac:dyDescent="0.25">
      <c r="A11879">
        <v>11878</v>
      </c>
      <c r="B11879">
        <v>2</v>
      </c>
      <c r="C11879">
        <v>0</v>
      </c>
      <c r="D11879">
        <v>0</v>
      </c>
      <c r="E11879">
        <v>0</v>
      </c>
      <c r="F11879">
        <v>241.65</v>
      </c>
    </row>
    <row r="11880" spans="1:6" x14ac:dyDescent="0.25">
      <c r="A11880">
        <v>11879</v>
      </c>
      <c r="B11880" t="s">
        <v>0</v>
      </c>
      <c r="C11880">
        <v>108</v>
      </c>
      <c r="D11880">
        <v>3498</v>
      </c>
      <c r="E11880">
        <v>80448366</v>
      </c>
    </row>
    <row r="11881" spans="1:6" x14ac:dyDescent="0.25">
      <c r="A11881">
        <v>11880</v>
      </c>
      <c r="B11881">
        <v>13</v>
      </c>
      <c r="C11881">
        <v>0</v>
      </c>
      <c r="D11881">
        <v>0</v>
      </c>
      <c r="E11881">
        <v>0</v>
      </c>
      <c r="F11881">
        <v>1610</v>
      </c>
    </row>
    <row r="11882" spans="1:6" x14ac:dyDescent="0.25">
      <c r="A11882">
        <v>11881</v>
      </c>
      <c r="B11882" t="s">
        <v>0</v>
      </c>
      <c r="C11882">
        <v>109</v>
      </c>
      <c r="D11882">
        <v>3498</v>
      </c>
      <c r="E11882">
        <v>80448503</v>
      </c>
    </row>
    <row r="11883" spans="1:6" x14ac:dyDescent="0.25">
      <c r="A11883">
        <v>11882</v>
      </c>
      <c r="B11883">
        <v>42</v>
      </c>
      <c r="C11883">
        <v>0</v>
      </c>
      <c r="D11883">
        <v>0</v>
      </c>
      <c r="E11883">
        <v>0</v>
      </c>
      <c r="F11883">
        <v>0.2</v>
      </c>
    </row>
    <row r="11884" spans="1:6" x14ac:dyDescent="0.25">
      <c r="A11884">
        <v>11883</v>
      </c>
      <c r="B11884">
        <v>43</v>
      </c>
      <c r="C11884">
        <v>0</v>
      </c>
      <c r="D11884">
        <v>0</v>
      </c>
      <c r="E11884">
        <v>0</v>
      </c>
      <c r="F11884">
        <v>0</v>
      </c>
    </row>
    <row r="11885" spans="1:6" x14ac:dyDescent="0.25">
      <c r="A11885">
        <v>11884</v>
      </c>
      <c r="B11885">
        <v>44</v>
      </c>
      <c r="C11885">
        <v>0</v>
      </c>
      <c r="D11885">
        <v>0</v>
      </c>
      <c r="E11885">
        <v>0</v>
      </c>
      <c r="F11885">
        <v>-13.7834</v>
      </c>
    </row>
    <row r="11886" spans="1:6" x14ac:dyDescent="0.25">
      <c r="A11886">
        <v>11885</v>
      </c>
      <c r="B11886">
        <v>45</v>
      </c>
      <c r="C11886">
        <v>0</v>
      </c>
      <c r="D11886">
        <v>0</v>
      </c>
      <c r="E11886">
        <v>0</v>
      </c>
      <c r="F11886">
        <v>515.91399999999999</v>
      </c>
    </row>
    <row r="11887" spans="1:6" x14ac:dyDescent="0.25">
      <c r="A11887">
        <v>11886</v>
      </c>
      <c r="B11887">
        <v>46</v>
      </c>
      <c r="C11887">
        <v>0</v>
      </c>
      <c r="D11887">
        <v>0</v>
      </c>
      <c r="E11887">
        <v>0</v>
      </c>
      <c r="F11887">
        <v>0</v>
      </c>
    </row>
    <row r="11888" spans="1:6" x14ac:dyDescent="0.25">
      <c r="A11888">
        <v>11887</v>
      </c>
      <c r="B11888">
        <v>2</v>
      </c>
      <c r="C11888">
        <v>0</v>
      </c>
      <c r="D11888">
        <v>0</v>
      </c>
      <c r="E11888">
        <v>0</v>
      </c>
      <c r="F11888">
        <v>241.607</v>
      </c>
    </row>
    <row r="11889" spans="1:6" x14ac:dyDescent="0.25">
      <c r="A11889">
        <v>11888</v>
      </c>
      <c r="B11889">
        <v>10</v>
      </c>
      <c r="C11889">
        <v>1</v>
      </c>
      <c r="D11889">
        <v>0</v>
      </c>
      <c r="E11889">
        <v>0</v>
      </c>
      <c r="F11889">
        <v>4956</v>
      </c>
    </row>
    <row r="11890" spans="1:6" x14ac:dyDescent="0.25">
      <c r="A11890">
        <v>11889</v>
      </c>
      <c r="B11890">
        <v>13</v>
      </c>
      <c r="C11890">
        <v>0</v>
      </c>
      <c r="D11890">
        <v>0</v>
      </c>
      <c r="E11890">
        <v>0</v>
      </c>
      <c r="F11890">
        <v>1610</v>
      </c>
    </row>
    <row r="11891" spans="1:6" x14ac:dyDescent="0.25">
      <c r="A11891">
        <v>11890</v>
      </c>
      <c r="B11891">
        <v>41</v>
      </c>
      <c r="C11891">
        <v>0</v>
      </c>
      <c r="D11891">
        <v>0</v>
      </c>
      <c r="E11891">
        <v>0</v>
      </c>
      <c r="F11891">
        <v>1</v>
      </c>
    </row>
    <row r="11892" spans="1:6" x14ac:dyDescent="0.25">
      <c r="A11892">
        <v>11891</v>
      </c>
      <c r="B11892">
        <v>42</v>
      </c>
      <c r="C11892">
        <v>0</v>
      </c>
      <c r="D11892">
        <v>0</v>
      </c>
      <c r="E11892">
        <v>0</v>
      </c>
      <c r="F11892">
        <v>0.2</v>
      </c>
    </row>
    <row r="11893" spans="1:6" x14ac:dyDescent="0.25">
      <c r="A11893">
        <v>11892</v>
      </c>
      <c r="B11893">
        <v>43</v>
      </c>
      <c r="C11893">
        <v>0</v>
      </c>
      <c r="D11893">
        <v>0</v>
      </c>
      <c r="E11893">
        <v>0</v>
      </c>
      <c r="F11893">
        <v>0</v>
      </c>
    </row>
    <row r="11894" spans="1:6" x14ac:dyDescent="0.25">
      <c r="A11894">
        <v>11893</v>
      </c>
      <c r="B11894">
        <v>44</v>
      </c>
      <c r="C11894">
        <v>0</v>
      </c>
      <c r="D11894">
        <v>0</v>
      </c>
      <c r="E11894">
        <v>0</v>
      </c>
      <c r="F11894">
        <v>-13.6211</v>
      </c>
    </row>
    <row r="11895" spans="1:6" x14ac:dyDescent="0.25">
      <c r="A11895">
        <v>11894</v>
      </c>
      <c r="B11895">
        <v>45</v>
      </c>
      <c r="C11895">
        <v>0</v>
      </c>
      <c r="D11895">
        <v>0</v>
      </c>
      <c r="E11895">
        <v>0</v>
      </c>
      <c r="F11895">
        <v>515.90300000000002</v>
      </c>
    </row>
    <row r="11896" spans="1:6" x14ac:dyDescent="0.25">
      <c r="A11896">
        <v>11895</v>
      </c>
      <c r="B11896">
        <v>46</v>
      </c>
      <c r="C11896">
        <v>0</v>
      </c>
      <c r="D11896">
        <v>0</v>
      </c>
      <c r="E11896">
        <v>0</v>
      </c>
      <c r="F11896">
        <v>0</v>
      </c>
    </row>
    <row r="11897" spans="1:6" x14ac:dyDescent="0.25">
      <c r="A11897">
        <v>11896</v>
      </c>
      <c r="B11897" t="s">
        <v>0</v>
      </c>
      <c r="C11897">
        <v>116</v>
      </c>
      <c r="D11897">
        <v>3498</v>
      </c>
      <c r="E11897">
        <v>80449467</v>
      </c>
    </row>
    <row r="11898" spans="1:6" x14ac:dyDescent="0.25">
      <c r="A11898">
        <v>11897</v>
      </c>
      <c r="B11898">
        <v>2</v>
      </c>
      <c r="C11898">
        <v>0</v>
      </c>
      <c r="D11898">
        <v>0</v>
      </c>
      <c r="E11898">
        <v>0</v>
      </c>
      <c r="F11898">
        <v>241.56399999999999</v>
      </c>
    </row>
    <row r="11899" spans="1:6" x14ac:dyDescent="0.25">
      <c r="A11899">
        <v>11898</v>
      </c>
      <c r="B11899">
        <v>10</v>
      </c>
      <c r="C11899">
        <v>1</v>
      </c>
      <c r="D11899">
        <v>0</v>
      </c>
      <c r="E11899">
        <v>0</v>
      </c>
      <c r="F11899">
        <v>4958</v>
      </c>
    </row>
    <row r="11900" spans="1:6" x14ac:dyDescent="0.25">
      <c r="A11900">
        <v>11899</v>
      </c>
      <c r="B11900" t="s">
        <v>0</v>
      </c>
      <c r="C11900">
        <v>117</v>
      </c>
      <c r="D11900">
        <v>3498</v>
      </c>
      <c r="E11900">
        <v>80449604</v>
      </c>
    </row>
    <row r="11901" spans="1:6" x14ac:dyDescent="0.25">
      <c r="A11901">
        <v>11900</v>
      </c>
      <c r="B11901">
        <v>13</v>
      </c>
      <c r="C11901">
        <v>0</v>
      </c>
      <c r="D11901">
        <v>0</v>
      </c>
      <c r="E11901">
        <v>0</v>
      </c>
      <c r="F11901">
        <v>1610</v>
      </c>
    </row>
    <row r="11902" spans="1:6" x14ac:dyDescent="0.25">
      <c r="A11902">
        <v>11901</v>
      </c>
      <c r="B11902">
        <v>41</v>
      </c>
      <c r="C11902">
        <v>0</v>
      </c>
      <c r="D11902">
        <v>0</v>
      </c>
      <c r="E11902">
        <v>0</v>
      </c>
      <c r="F11902">
        <v>1</v>
      </c>
    </row>
    <row r="11903" spans="1:6" x14ac:dyDescent="0.25">
      <c r="A11903">
        <v>11902</v>
      </c>
      <c r="B11903" t="s">
        <v>0</v>
      </c>
      <c r="C11903">
        <v>118</v>
      </c>
      <c r="D11903">
        <v>3498</v>
      </c>
      <c r="E11903">
        <v>80449741</v>
      </c>
    </row>
    <row r="11904" spans="1:6" x14ac:dyDescent="0.25">
      <c r="A11904">
        <v>11903</v>
      </c>
      <c r="B11904">
        <v>42</v>
      </c>
      <c r="C11904">
        <v>0</v>
      </c>
      <c r="D11904">
        <v>0</v>
      </c>
      <c r="E11904">
        <v>0</v>
      </c>
      <c r="F11904">
        <v>0.2</v>
      </c>
    </row>
    <row r="11905" spans="1:6" x14ac:dyDescent="0.25">
      <c r="A11905">
        <v>11904</v>
      </c>
      <c r="B11905">
        <v>43</v>
      </c>
      <c r="C11905">
        <v>0</v>
      </c>
      <c r="D11905">
        <v>0</v>
      </c>
      <c r="E11905">
        <v>0</v>
      </c>
      <c r="F11905">
        <v>0</v>
      </c>
    </row>
    <row r="11906" spans="1:6" x14ac:dyDescent="0.25">
      <c r="A11906">
        <v>11905</v>
      </c>
      <c r="B11906" t="s">
        <v>0</v>
      </c>
      <c r="C11906">
        <v>119</v>
      </c>
      <c r="D11906">
        <v>3498</v>
      </c>
      <c r="E11906">
        <v>80449878</v>
      </c>
    </row>
    <row r="11907" spans="1:6" x14ac:dyDescent="0.25">
      <c r="A11907">
        <v>11906</v>
      </c>
      <c r="B11907">
        <v>44</v>
      </c>
      <c r="C11907">
        <v>0</v>
      </c>
      <c r="D11907">
        <v>0</v>
      </c>
      <c r="E11907">
        <v>0</v>
      </c>
      <c r="F11907">
        <v>-13.407400000000001</v>
      </c>
    </row>
    <row r="11908" spans="1:6" x14ac:dyDescent="0.25">
      <c r="A11908">
        <v>11907</v>
      </c>
      <c r="B11908">
        <v>45</v>
      </c>
      <c r="C11908">
        <v>0</v>
      </c>
      <c r="D11908">
        <v>0</v>
      </c>
      <c r="E11908">
        <v>0</v>
      </c>
      <c r="F11908">
        <v>515.89400000000001</v>
      </c>
    </row>
    <row r="11909" spans="1:6" x14ac:dyDescent="0.25">
      <c r="A11909">
        <v>11908</v>
      </c>
      <c r="B11909" t="s">
        <v>0</v>
      </c>
      <c r="C11909">
        <v>120</v>
      </c>
      <c r="D11909">
        <v>3498</v>
      </c>
      <c r="E11909">
        <v>80450016</v>
      </c>
    </row>
    <row r="11910" spans="1:6" x14ac:dyDescent="0.25">
      <c r="A11910">
        <v>11909</v>
      </c>
      <c r="B11910">
        <v>2</v>
      </c>
      <c r="C11910">
        <v>0</v>
      </c>
      <c r="D11910">
        <v>0</v>
      </c>
      <c r="E11910">
        <v>0</v>
      </c>
      <c r="F11910">
        <v>241.53299999999999</v>
      </c>
    </row>
    <row r="11911" spans="1:6" x14ac:dyDescent="0.25">
      <c r="A11911">
        <v>11910</v>
      </c>
      <c r="B11911" t="s">
        <v>0</v>
      </c>
      <c r="C11911">
        <v>121</v>
      </c>
      <c r="D11911">
        <v>3498</v>
      </c>
      <c r="E11911">
        <v>80450154</v>
      </c>
    </row>
    <row r="11912" spans="1:6" x14ac:dyDescent="0.25">
      <c r="A11912">
        <v>11911</v>
      </c>
      <c r="B11912">
        <v>13</v>
      </c>
      <c r="C11912">
        <v>0</v>
      </c>
      <c r="D11912">
        <v>0</v>
      </c>
      <c r="E11912">
        <v>0</v>
      </c>
      <c r="F11912">
        <v>1610</v>
      </c>
    </row>
    <row r="11913" spans="1:6" x14ac:dyDescent="0.25">
      <c r="A11913">
        <v>11912</v>
      </c>
      <c r="B11913" t="s">
        <v>0</v>
      </c>
      <c r="C11913">
        <v>122</v>
      </c>
      <c r="D11913">
        <v>3498</v>
      </c>
      <c r="E11913">
        <v>80450292</v>
      </c>
    </row>
    <row r="11914" spans="1:6" x14ac:dyDescent="0.25">
      <c r="A11914">
        <v>11913</v>
      </c>
      <c r="B11914">
        <v>42</v>
      </c>
      <c r="C11914">
        <v>0</v>
      </c>
      <c r="D11914">
        <v>0</v>
      </c>
      <c r="E11914">
        <v>0</v>
      </c>
      <c r="F11914">
        <v>0.2</v>
      </c>
    </row>
    <row r="11915" spans="1:6" x14ac:dyDescent="0.25">
      <c r="A11915">
        <v>11914</v>
      </c>
      <c r="B11915" t="s">
        <v>0</v>
      </c>
      <c r="C11915">
        <v>123</v>
      </c>
      <c r="D11915">
        <v>3498</v>
      </c>
      <c r="E11915">
        <v>80450430</v>
      </c>
    </row>
    <row r="11916" spans="1:6" x14ac:dyDescent="0.25">
      <c r="A11916">
        <v>11915</v>
      </c>
      <c r="B11916">
        <v>44</v>
      </c>
      <c r="C11916">
        <v>0</v>
      </c>
      <c r="D11916">
        <v>0</v>
      </c>
      <c r="E11916">
        <v>0</v>
      </c>
      <c r="F11916">
        <v>-13.235900000000001</v>
      </c>
    </row>
    <row r="11917" spans="1:6" x14ac:dyDescent="0.25">
      <c r="A11917">
        <v>11916</v>
      </c>
      <c r="B11917" t="s">
        <v>0</v>
      </c>
      <c r="C11917">
        <v>124</v>
      </c>
      <c r="D11917">
        <v>3498</v>
      </c>
      <c r="E11917">
        <v>80450568</v>
      </c>
    </row>
    <row r="11918" spans="1:6" x14ac:dyDescent="0.25">
      <c r="A11918">
        <v>11917</v>
      </c>
      <c r="B11918">
        <v>46</v>
      </c>
      <c r="C11918">
        <v>0</v>
      </c>
      <c r="D11918">
        <v>0</v>
      </c>
      <c r="E11918">
        <v>0</v>
      </c>
      <c r="F11918">
        <v>0</v>
      </c>
    </row>
    <row r="11919" spans="1:6" x14ac:dyDescent="0.25">
      <c r="A11919">
        <v>11918</v>
      </c>
      <c r="B11919">
        <v>2</v>
      </c>
      <c r="C11919">
        <v>0</v>
      </c>
      <c r="D11919">
        <v>0</v>
      </c>
      <c r="E11919">
        <v>0</v>
      </c>
      <c r="F11919">
        <v>241.51499999999999</v>
      </c>
    </row>
    <row r="11920" spans="1:6" x14ac:dyDescent="0.25">
      <c r="A11920">
        <v>11919</v>
      </c>
      <c r="B11920">
        <v>10</v>
      </c>
      <c r="C11920">
        <v>1</v>
      </c>
      <c r="D11920">
        <v>0</v>
      </c>
      <c r="E11920">
        <v>0</v>
      </c>
      <c r="F11920">
        <v>4961</v>
      </c>
    </row>
    <row r="11921" spans="1:6" x14ac:dyDescent="0.25">
      <c r="A11921">
        <v>11920</v>
      </c>
      <c r="B11921">
        <v>13</v>
      </c>
      <c r="C11921">
        <v>0</v>
      </c>
      <c r="D11921">
        <v>0</v>
      </c>
      <c r="E11921">
        <v>0</v>
      </c>
      <c r="F11921">
        <v>1610</v>
      </c>
    </row>
    <row r="11922" spans="1:6" x14ac:dyDescent="0.25">
      <c r="A11922">
        <v>11921</v>
      </c>
      <c r="B11922">
        <v>41</v>
      </c>
      <c r="C11922">
        <v>0</v>
      </c>
      <c r="D11922">
        <v>0</v>
      </c>
      <c r="E11922">
        <v>0</v>
      </c>
      <c r="F11922">
        <v>1</v>
      </c>
    </row>
    <row r="11923" spans="1:6" x14ac:dyDescent="0.25">
      <c r="A11923">
        <v>11922</v>
      </c>
      <c r="B11923">
        <v>42</v>
      </c>
      <c r="C11923">
        <v>0</v>
      </c>
      <c r="D11923">
        <v>0</v>
      </c>
      <c r="E11923">
        <v>0</v>
      </c>
      <c r="F11923">
        <v>0.2</v>
      </c>
    </row>
    <row r="11924" spans="1:6" x14ac:dyDescent="0.25">
      <c r="A11924">
        <v>11923</v>
      </c>
      <c r="B11924">
        <v>43</v>
      </c>
      <c r="C11924">
        <v>0</v>
      </c>
      <c r="D11924">
        <v>0</v>
      </c>
      <c r="E11924">
        <v>0</v>
      </c>
      <c r="F11924">
        <v>0</v>
      </c>
    </row>
    <row r="11925" spans="1:6" x14ac:dyDescent="0.25">
      <c r="A11925">
        <v>11924</v>
      </c>
      <c r="B11925">
        <v>44</v>
      </c>
      <c r="C11925">
        <v>0</v>
      </c>
      <c r="D11925">
        <v>0</v>
      </c>
      <c r="E11925">
        <v>0</v>
      </c>
      <c r="F11925">
        <v>-13.091699999999999</v>
      </c>
    </row>
    <row r="11926" spans="1:6" x14ac:dyDescent="0.25">
      <c r="A11926">
        <v>11925</v>
      </c>
      <c r="B11926">
        <v>45</v>
      </c>
      <c r="C11926">
        <v>0</v>
      </c>
      <c r="D11926">
        <v>0</v>
      </c>
      <c r="E11926">
        <v>0</v>
      </c>
      <c r="F11926">
        <v>515.87400000000002</v>
      </c>
    </row>
    <row r="11927" spans="1:6" x14ac:dyDescent="0.25">
      <c r="A11927">
        <v>11926</v>
      </c>
      <c r="B11927">
        <v>46</v>
      </c>
      <c r="C11927">
        <v>0</v>
      </c>
      <c r="D11927">
        <v>0</v>
      </c>
      <c r="E11927">
        <v>0</v>
      </c>
      <c r="F11927">
        <v>0</v>
      </c>
    </row>
    <row r="11928" spans="1:6" x14ac:dyDescent="0.25">
      <c r="A11928">
        <v>11927</v>
      </c>
      <c r="B11928">
        <v>2</v>
      </c>
      <c r="C11928">
        <v>0</v>
      </c>
      <c r="D11928">
        <v>0</v>
      </c>
      <c r="E11928">
        <v>0</v>
      </c>
      <c r="F11928">
        <v>241.49199999999999</v>
      </c>
    </row>
    <row r="11929" spans="1:6" x14ac:dyDescent="0.25">
      <c r="A11929">
        <v>11928</v>
      </c>
      <c r="B11929">
        <v>10</v>
      </c>
      <c r="C11929">
        <v>1</v>
      </c>
      <c r="D11929">
        <v>0</v>
      </c>
      <c r="E11929">
        <v>0</v>
      </c>
      <c r="F11929">
        <v>4962</v>
      </c>
    </row>
    <row r="11930" spans="1:6" x14ac:dyDescent="0.25">
      <c r="A11930">
        <v>11929</v>
      </c>
      <c r="B11930">
        <v>13</v>
      </c>
      <c r="C11930">
        <v>0</v>
      </c>
      <c r="D11930">
        <v>0</v>
      </c>
      <c r="E11930">
        <v>0</v>
      </c>
      <c r="F11930">
        <v>1610</v>
      </c>
    </row>
    <row r="11931" spans="1:6" x14ac:dyDescent="0.25">
      <c r="A11931">
        <v>11930</v>
      </c>
      <c r="B11931">
        <v>41</v>
      </c>
      <c r="C11931">
        <v>0</v>
      </c>
      <c r="D11931">
        <v>0</v>
      </c>
      <c r="E11931">
        <v>0</v>
      </c>
      <c r="F11931">
        <v>1</v>
      </c>
    </row>
    <row r="11932" spans="1:6" x14ac:dyDescent="0.25">
      <c r="A11932">
        <v>11931</v>
      </c>
      <c r="B11932" t="s">
        <v>0</v>
      </c>
      <c r="C11932">
        <v>131</v>
      </c>
      <c r="D11932">
        <v>3498</v>
      </c>
      <c r="E11932">
        <v>80451532</v>
      </c>
    </row>
    <row r="11933" spans="1:6" x14ac:dyDescent="0.25">
      <c r="A11933">
        <v>11932</v>
      </c>
      <c r="B11933">
        <v>42</v>
      </c>
      <c r="C11933">
        <v>0</v>
      </c>
      <c r="D11933">
        <v>0</v>
      </c>
      <c r="E11933">
        <v>0</v>
      </c>
      <c r="F11933">
        <v>0.2</v>
      </c>
    </row>
    <row r="11934" spans="1:6" x14ac:dyDescent="0.25">
      <c r="A11934">
        <v>11933</v>
      </c>
      <c r="B11934">
        <v>43</v>
      </c>
      <c r="C11934">
        <v>0</v>
      </c>
      <c r="D11934">
        <v>0</v>
      </c>
      <c r="E11934">
        <v>0</v>
      </c>
      <c r="F11934">
        <v>0</v>
      </c>
    </row>
    <row r="11935" spans="1:6" x14ac:dyDescent="0.25">
      <c r="A11935">
        <v>11934</v>
      </c>
      <c r="B11935" t="s">
        <v>0</v>
      </c>
      <c r="C11935">
        <v>132</v>
      </c>
      <c r="D11935">
        <v>3498</v>
      </c>
      <c r="E11935">
        <v>80451670</v>
      </c>
    </row>
    <row r="11936" spans="1:6" x14ac:dyDescent="0.25">
      <c r="A11936">
        <v>11935</v>
      </c>
      <c r="B11936">
        <v>44</v>
      </c>
      <c r="C11936">
        <v>0</v>
      </c>
      <c r="D11936">
        <v>0</v>
      </c>
      <c r="E11936">
        <v>0</v>
      </c>
      <c r="F11936">
        <v>-12.8977</v>
      </c>
    </row>
    <row r="11937" spans="1:6" x14ac:dyDescent="0.25">
      <c r="A11937">
        <v>11936</v>
      </c>
      <c r="B11937">
        <v>45</v>
      </c>
      <c r="C11937">
        <v>0</v>
      </c>
      <c r="D11937">
        <v>0</v>
      </c>
      <c r="E11937">
        <v>0</v>
      </c>
      <c r="F11937">
        <v>515.86599999999999</v>
      </c>
    </row>
    <row r="11938" spans="1:6" x14ac:dyDescent="0.25">
      <c r="A11938">
        <v>11937</v>
      </c>
      <c r="B11938" t="s">
        <v>0</v>
      </c>
      <c r="C11938">
        <v>133</v>
      </c>
      <c r="D11938">
        <v>3498</v>
      </c>
      <c r="E11938">
        <v>80451807</v>
      </c>
    </row>
    <row r="11939" spans="1:6" x14ac:dyDescent="0.25">
      <c r="A11939">
        <v>11938</v>
      </c>
      <c r="B11939">
        <v>46</v>
      </c>
      <c r="C11939">
        <v>0</v>
      </c>
      <c r="D11939">
        <v>0</v>
      </c>
      <c r="E11939">
        <v>0</v>
      </c>
      <c r="F11939">
        <v>0</v>
      </c>
    </row>
    <row r="11940" spans="1:6" x14ac:dyDescent="0.25">
      <c r="A11940">
        <v>11939</v>
      </c>
      <c r="B11940">
        <v>2</v>
      </c>
      <c r="C11940">
        <v>0</v>
      </c>
      <c r="D11940">
        <v>0</v>
      </c>
      <c r="E11940">
        <v>0</v>
      </c>
      <c r="F11940">
        <v>241.47800000000001</v>
      </c>
    </row>
    <row r="11941" spans="1:6" x14ac:dyDescent="0.25">
      <c r="A11941">
        <v>11940</v>
      </c>
      <c r="B11941" t="s">
        <v>0</v>
      </c>
      <c r="C11941">
        <v>134</v>
      </c>
      <c r="D11941">
        <v>3498</v>
      </c>
      <c r="E11941">
        <v>80451944</v>
      </c>
    </row>
    <row r="11942" spans="1:6" x14ac:dyDescent="0.25">
      <c r="A11942">
        <v>11941</v>
      </c>
      <c r="B11942">
        <v>10</v>
      </c>
      <c r="C11942">
        <v>1</v>
      </c>
      <c r="D11942">
        <v>0</v>
      </c>
      <c r="E11942">
        <v>0</v>
      </c>
      <c r="F11942">
        <v>4963</v>
      </c>
    </row>
    <row r="11943" spans="1:6" x14ac:dyDescent="0.25">
      <c r="A11943">
        <v>11942</v>
      </c>
      <c r="B11943">
        <v>13</v>
      </c>
      <c r="C11943">
        <v>0</v>
      </c>
      <c r="D11943">
        <v>0</v>
      </c>
      <c r="E11943">
        <v>0</v>
      </c>
      <c r="F11943">
        <v>1610</v>
      </c>
    </row>
    <row r="11944" spans="1:6" x14ac:dyDescent="0.25">
      <c r="A11944">
        <v>11943</v>
      </c>
      <c r="B11944" t="s">
        <v>0</v>
      </c>
      <c r="C11944">
        <v>135</v>
      </c>
      <c r="D11944">
        <v>3498</v>
      </c>
      <c r="E11944">
        <v>80452081</v>
      </c>
    </row>
    <row r="11945" spans="1:6" x14ac:dyDescent="0.25">
      <c r="A11945">
        <v>11944</v>
      </c>
      <c r="B11945">
        <v>41</v>
      </c>
      <c r="C11945">
        <v>0</v>
      </c>
      <c r="D11945">
        <v>0</v>
      </c>
      <c r="E11945">
        <v>0</v>
      </c>
      <c r="F11945">
        <v>1</v>
      </c>
    </row>
    <row r="11946" spans="1:6" x14ac:dyDescent="0.25">
      <c r="A11946">
        <v>11945</v>
      </c>
      <c r="B11946">
        <v>42</v>
      </c>
      <c r="C11946">
        <v>0</v>
      </c>
      <c r="D11946">
        <v>0</v>
      </c>
      <c r="E11946">
        <v>0</v>
      </c>
      <c r="F11946">
        <v>0.2</v>
      </c>
    </row>
    <row r="11947" spans="1:6" x14ac:dyDescent="0.25">
      <c r="A11947">
        <v>11946</v>
      </c>
      <c r="B11947" t="s">
        <v>0</v>
      </c>
      <c r="C11947">
        <v>136</v>
      </c>
      <c r="D11947">
        <v>3498</v>
      </c>
      <c r="E11947">
        <v>80452219</v>
      </c>
    </row>
    <row r="11948" spans="1:6" x14ac:dyDescent="0.25">
      <c r="A11948">
        <v>11947</v>
      </c>
      <c r="B11948">
        <v>44</v>
      </c>
      <c r="C11948">
        <v>0</v>
      </c>
      <c r="D11948">
        <v>0</v>
      </c>
      <c r="E11948">
        <v>0</v>
      </c>
      <c r="F11948">
        <v>-12.735799999999999</v>
      </c>
    </row>
    <row r="11949" spans="1:6" x14ac:dyDescent="0.25">
      <c r="A11949">
        <v>11948</v>
      </c>
      <c r="B11949" t="s">
        <v>0</v>
      </c>
      <c r="C11949">
        <v>137</v>
      </c>
      <c r="D11949">
        <v>3498</v>
      </c>
      <c r="E11949">
        <v>80452357</v>
      </c>
    </row>
    <row r="11950" spans="1:6" x14ac:dyDescent="0.25">
      <c r="A11950">
        <v>11949</v>
      </c>
      <c r="B11950">
        <v>46</v>
      </c>
      <c r="C11950">
        <v>0</v>
      </c>
      <c r="D11950">
        <v>0</v>
      </c>
      <c r="E11950">
        <v>0</v>
      </c>
      <c r="F11950">
        <v>0</v>
      </c>
    </row>
    <row r="11951" spans="1:6" x14ac:dyDescent="0.25">
      <c r="A11951">
        <v>11950</v>
      </c>
      <c r="B11951" t="s">
        <v>0</v>
      </c>
      <c r="C11951">
        <v>138</v>
      </c>
      <c r="D11951">
        <v>3498</v>
      </c>
      <c r="E11951">
        <v>80452495</v>
      </c>
    </row>
    <row r="11952" spans="1:6" x14ac:dyDescent="0.25">
      <c r="A11952">
        <v>11951</v>
      </c>
      <c r="B11952">
        <v>10</v>
      </c>
      <c r="C11952">
        <v>1</v>
      </c>
      <c r="D11952">
        <v>0</v>
      </c>
      <c r="E11952">
        <v>0</v>
      </c>
      <c r="F11952">
        <v>4964</v>
      </c>
    </row>
    <row r="11953" spans="1:6" x14ac:dyDescent="0.25">
      <c r="A11953">
        <v>11952</v>
      </c>
      <c r="B11953" t="s">
        <v>0</v>
      </c>
      <c r="C11953">
        <v>139</v>
      </c>
      <c r="D11953">
        <v>3498</v>
      </c>
      <c r="E11953">
        <v>80452633</v>
      </c>
    </row>
    <row r="11954" spans="1:6" x14ac:dyDescent="0.25">
      <c r="A11954">
        <v>11953</v>
      </c>
      <c r="B11954">
        <v>41</v>
      </c>
      <c r="C11954">
        <v>0</v>
      </c>
      <c r="D11954">
        <v>0</v>
      </c>
      <c r="E11954">
        <v>0</v>
      </c>
      <c r="F11954">
        <v>1</v>
      </c>
    </row>
    <row r="11955" spans="1:6" x14ac:dyDescent="0.25">
      <c r="A11955">
        <v>11954</v>
      </c>
      <c r="B11955" t="s">
        <v>0</v>
      </c>
      <c r="C11955">
        <v>140</v>
      </c>
      <c r="D11955">
        <v>3498</v>
      </c>
      <c r="E11955">
        <v>80452770</v>
      </c>
    </row>
    <row r="11956" spans="1:6" x14ac:dyDescent="0.25">
      <c r="A11956">
        <v>11955</v>
      </c>
      <c r="B11956">
        <v>43</v>
      </c>
      <c r="C11956">
        <v>0</v>
      </c>
      <c r="D11956">
        <v>0</v>
      </c>
      <c r="E11956">
        <v>0</v>
      </c>
      <c r="F11956">
        <v>0</v>
      </c>
    </row>
    <row r="11957" spans="1:6" x14ac:dyDescent="0.25">
      <c r="A11957">
        <v>11956</v>
      </c>
      <c r="B11957">
        <v>44</v>
      </c>
      <c r="C11957">
        <v>0</v>
      </c>
      <c r="D11957">
        <v>0</v>
      </c>
      <c r="E11957">
        <v>0</v>
      </c>
      <c r="F11957">
        <v>-12.600899999999999</v>
      </c>
    </row>
    <row r="11958" spans="1:6" x14ac:dyDescent="0.25">
      <c r="A11958">
        <v>11957</v>
      </c>
      <c r="B11958">
        <v>45</v>
      </c>
      <c r="C11958">
        <v>0</v>
      </c>
      <c r="D11958">
        <v>0</v>
      </c>
      <c r="E11958">
        <v>0</v>
      </c>
      <c r="F11958">
        <v>515.84699999999998</v>
      </c>
    </row>
    <row r="11959" spans="1:6" x14ac:dyDescent="0.25">
      <c r="A11959">
        <v>11958</v>
      </c>
      <c r="B11959">
        <v>46</v>
      </c>
      <c r="C11959">
        <v>0</v>
      </c>
      <c r="D11959">
        <v>0</v>
      </c>
      <c r="E11959">
        <v>0</v>
      </c>
      <c r="F11959">
        <v>0</v>
      </c>
    </row>
    <row r="11960" spans="1:6" x14ac:dyDescent="0.25">
      <c r="A11960">
        <v>11959</v>
      </c>
      <c r="B11960">
        <v>2</v>
      </c>
      <c r="C11960">
        <v>0</v>
      </c>
      <c r="D11960">
        <v>0</v>
      </c>
      <c r="E11960">
        <v>0</v>
      </c>
      <c r="F11960">
        <v>241.45500000000001</v>
      </c>
    </row>
    <row r="11961" spans="1:6" x14ac:dyDescent="0.25">
      <c r="A11961">
        <v>11960</v>
      </c>
      <c r="B11961">
        <v>10</v>
      </c>
      <c r="C11961">
        <v>1</v>
      </c>
      <c r="D11961">
        <v>0</v>
      </c>
      <c r="E11961">
        <v>0</v>
      </c>
      <c r="F11961">
        <v>4965</v>
      </c>
    </row>
    <row r="11962" spans="1:6" x14ac:dyDescent="0.25">
      <c r="A11962">
        <v>11961</v>
      </c>
      <c r="B11962">
        <v>13</v>
      </c>
      <c r="C11962">
        <v>0</v>
      </c>
      <c r="D11962">
        <v>0</v>
      </c>
      <c r="E11962">
        <v>0</v>
      </c>
      <c r="F11962">
        <v>1610</v>
      </c>
    </row>
    <row r="11963" spans="1:6" x14ac:dyDescent="0.25">
      <c r="A11963">
        <v>11962</v>
      </c>
      <c r="B11963">
        <v>41</v>
      </c>
      <c r="C11963">
        <v>0</v>
      </c>
      <c r="D11963">
        <v>0</v>
      </c>
      <c r="E11963">
        <v>0</v>
      </c>
      <c r="F11963">
        <v>1</v>
      </c>
    </row>
    <row r="11964" spans="1:6" x14ac:dyDescent="0.25">
      <c r="A11964">
        <v>11963</v>
      </c>
      <c r="B11964">
        <v>42</v>
      </c>
      <c r="C11964">
        <v>0</v>
      </c>
      <c r="D11964">
        <v>0</v>
      </c>
      <c r="E11964">
        <v>0</v>
      </c>
      <c r="F11964">
        <v>0.2</v>
      </c>
    </row>
    <row r="11965" spans="1:6" x14ac:dyDescent="0.25">
      <c r="A11965">
        <v>11964</v>
      </c>
      <c r="B11965">
        <v>43</v>
      </c>
      <c r="C11965">
        <v>0</v>
      </c>
      <c r="D11965">
        <v>0</v>
      </c>
      <c r="E11965">
        <v>0</v>
      </c>
      <c r="F11965">
        <v>0</v>
      </c>
    </row>
    <row r="11966" spans="1:6" x14ac:dyDescent="0.25">
      <c r="A11966">
        <v>11965</v>
      </c>
      <c r="B11966">
        <v>44</v>
      </c>
      <c r="C11966">
        <v>0</v>
      </c>
      <c r="D11966">
        <v>0</v>
      </c>
      <c r="E11966">
        <v>0</v>
      </c>
      <c r="F11966">
        <v>-12.4163</v>
      </c>
    </row>
    <row r="11967" spans="1:6" x14ac:dyDescent="0.25">
      <c r="A11967">
        <v>11966</v>
      </c>
      <c r="B11967">
        <v>45</v>
      </c>
      <c r="C11967">
        <v>0</v>
      </c>
      <c r="D11967">
        <v>0</v>
      </c>
      <c r="E11967">
        <v>0</v>
      </c>
      <c r="F11967">
        <v>515.83799999999997</v>
      </c>
    </row>
    <row r="11968" spans="1:6" x14ac:dyDescent="0.25">
      <c r="A11968">
        <v>11967</v>
      </c>
      <c r="B11968" t="s">
        <v>0</v>
      </c>
      <c r="C11968">
        <v>146</v>
      </c>
      <c r="D11968">
        <v>3498</v>
      </c>
      <c r="E11968">
        <v>80453597</v>
      </c>
    </row>
    <row r="11969" spans="1:6" x14ac:dyDescent="0.25">
      <c r="A11969">
        <v>11968</v>
      </c>
      <c r="B11969">
        <v>46</v>
      </c>
      <c r="C11969">
        <v>0</v>
      </c>
      <c r="D11969">
        <v>0</v>
      </c>
      <c r="E11969">
        <v>0</v>
      </c>
      <c r="F11969">
        <v>0</v>
      </c>
    </row>
    <row r="11970" spans="1:6" x14ac:dyDescent="0.25">
      <c r="A11970">
        <v>11969</v>
      </c>
      <c r="B11970">
        <v>2</v>
      </c>
      <c r="C11970">
        <v>0</v>
      </c>
      <c r="D11970">
        <v>0</v>
      </c>
      <c r="E11970">
        <v>0</v>
      </c>
      <c r="F11970">
        <v>241.44800000000001</v>
      </c>
    </row>
    <row r="11971" spans="1:6" x14ac:dyDescent="0.25">
      <c r="A11971">
        <v>11970</v>
      </c>
      <c r="B11971" t="s">
        <v>0</v>
      </c>
      <c r="C11971">
        <v>147</v>
      </c>
      <c r="D11971">
        <v>3498</v>
      </c>
      <c r="E11971">
        <v>80453734</v>
      </c>
    </row>
    <row r="11972" spans="1:6" x14ac:dyDescent="0.25">
      <c r="A11972">
        <v>11971</v>
      </c>
      <c r="B11972">
        <v>10</v>
      </c>
      <c r="C11972">
        <v>1</v>
      </c>
      <c r="D11972">
        <v>0</v>
      </c>
      <c r="E11972">
        <v>0</v>
      </c>
      <c r="F11972">
        <v>4966</v>
      </c>
    </row>
    <row r="11973" spans="1:6" x14ac:dyDescent="0.25">
      <c r="A11973">
        <v>11972</v>
      </c>
      <c r="B11973">
        <v>13</v>
      </c>
      <c r="C11973">
        <v>0</v>
      </c>
      <c r="D11973">
        <v>0</v>
      </c>
      <c r="E11973">
        <v>0</v>
      </c>
      <c r="F11973">
        <v>1610</v>
      </c>
    </row>
    <row r="11974" spans="1:6" x14ac:dyDescent="0.25">
      <c r="A11974">
        <v>11973</v>
      </c>
      <c r="B11974" t="s">
        <v>0</v>
      </c>
      <c r="C11974">
        <v>148</v>
      </c>
      <c r="D11974">
        <v>3498</v>
      </c>
      <c r="E11974">
        <v>80453871</v>
      </c>
    </row>
    <row r="11975" spans="1:6" x14ac:dyDescent="0.25">
      <c r="A11975">
        <v>11974</v>
      </c>
      <c r="B11975">
        <v>41</v>
      </c>
      <c r="C11975">
        <v>0</v>
      </c>
      <c r="D11975">
        <v>0</v>
      </c>
      <c r="E11975">
        <v>0</v>
      </c>
      <c r="F11975">
        <v>1</v>
      </c>
    </row>
    <row r="11976" spans="1:6" x14ac:dyDescent="0.25">
      <c r="A11976">
        <v>11975</v>
      </c>
      <c r="B11976">
        <v>42</v>
      </c>
      <c r="C11976">
        <v>0</v>
      </c>
      <c r="D11976">
        <v>0</v>
      </c>
      <c r="E11976">
        <v>0</v>
      </c>
      <c r="F11976">
        <v>0.2</v>
      </c>
    </row>
    <row r="11977" spans="1:6" x14ac:dyDescent="0.25">
      <c r="A11977">
        <v>11976</v>
      </c>
      <c r="B11977" t="s">
        <v>0</v>
      </c>
      <c r="C11977">
        <v>149</v>
      </c>
      <c r="D11977">
        <v>3498</v>
      </c>
      <c r="E11977">
        <v>80454008</v>
      </c>
    </row>
    <row r="11978" spans="1:6" x14ac:dyDescent="0.25">
      <c r="A11978">
        <v>11977</v>
      </c>
      <c r="B11978">
        <v>43</v>
      </c>
      <c r="C11978">
        <v>0</v>
      </c>
      <c r="D11978">
        <v>0</v>
      </c>
      <c r="E11978">
        <v>0</v>
      </c>
      <c r="F11978">
        <v>0</v>
      </c>
    </row>
    <row r="11979" spans="1:6" x14ac:dyDescent="0.25">
      <c r="A11979">
        <v>11978</v>
      </c>
      <c r="B11979">
        <v>44</v>
      </c>
      <c r="C11979">
        <v>0</v>
      </c>
      <c r="D11979">
        <v>0</v>
      </c>
      <c r="E11979">
        <v>0</v>
      </c>
      <c r="F11979">
        <v>-12.260199999999999</v>
      </c>
    </row>
    <row r="11980" spans="1:6" x14ac:dyDescent="0.25">
      <c r="A11980">
        <v>11979</v>
      </c>
      <c r="B11980" t="s">
        <v>0</v>
      </c>
      <c r="C11980">
        <v>150</v>
      </c>
      <c r="D11980">
        <v>3498</v>
      </c>
      <c r="E11980">
        <v>80454145</v>
      </c>
    </row>
    <row r="11981" spans="1:6" x14ac:dyDescent="0.25">
      <c r="A11981">
        <v>11980</v>
      </c>
      <c r="B11981">
        <v>45</v>
      </c>
      <c r="C11981">
        <v>0</v>
      </c>
      <c r="D11981">
        <v>0</v>
      </c>
      <c r="E11981">
        <v>0</v>
      </c>
      <c r="F11981">
        <v>515.82799999999997</v>
      </c>
    </row>
    <row r="11982" spans="1:6" x14ac:dyDescent="0.25">
      <c r="A11982">
        <v>11981</v>
      </c>
      <c r="B11982">
        <v>46</v>
      </c>
      <c r="C11982">
        <v>0</v>
      </c>
      <c r="D11982">
        <v>0</v>
      </c>
      <c r="E11982">
        <v>0</v>
      </c>
      <c r="F11982">
        <v>0</v>
      </c>
    </row>
    <row r="11983" spans="1:6" x14ac:dyDescent="0.25">
      <c r="A11983">
        <v>11982</v>
      </c>
      <c r="B11983" t="s">
        <v>0</v>
      </c>
      <c r="C11983">
        <v>151</v>
      </c>
      <c r="D11983">
        <v>3498</v>
      </c>
      <c r="E11983">
        <v>80454283</v>
      </c>
    </row>
    <row r="11984" spans="1:6" x14ac:dyDescent="0.25">
      <c r="A11984">
        <v>11983</v>
      </c>
      <c r="B11984">
        <v>10</v>
      </c>
      <c r="C11984">
        <v>1</v>
      </c>
      <c r="D11984">
        <v>0</v>
      </c>
      <c r="E11984">
        <v>0</v>
      </c>
      <c r="F11984">
        <v>4967</v>
      </c>
    </row>
    <row r="11985" spans="1:6" x14ac:dyDescent="0.25">
      <c r="A11985">
        <v>11984</v>
      </c>
      <c r="B11985" t="s">
        <v>0</v>
      </c>
      <c r="C11985">
        <v>152</v>
      </c>
      <c r="D11985">
        <v>3498</v>
      </c>
      <c r="E11985">
        <v>80454421</v>
      </c>
    </row>
    <row r="11986" spans="1:6" x14ac:dyDescent="0.25">
      <c r="A11986">
        <v>11985</v>
      </c>
      <c r="B11986">
        <v>41</v>
      </c>
      <c r="C11986">
        <v>0</v>
      </c>
      <c r="D11986">
        <v>0</v>
      </c>
      <c r="E11986">
        <v>0</v>
      </c>
      <c r="F11986">
        <v>1</v>
      </c>
    </row>
    <row r="11987" spans="1:6" x14ac:dyDescent="0.25">
      <c r="A11987">
        <v>11986</v>
      </c>
      <c r="B11987" t="s">
        <v>0</v>
      </c>
      <c r="C11987">
        <v>153</v>
      </c>
      <c r="D11987">
        <v>3498</v>
      </c>
      <c r="E11987">
        <v>80454559</v>
      </c>
    </row>
    <row r="11988" spans="1:6" x14ac:dyDescent="0.25">
      <c r="A11988">
        <v>11987</v>
      </c>
      <c r="B11988">
        <v>43</v>
      </c>
      <c r="C11988">
        <v>0</v>
      </c>
      <c r="D11988">
        <v>0</v>
      </c>
      <c r="E11988">
        <v>0</v>
      </c>
      <c r="F11988">
        <v>0</v>
      </c>
    </row>
    <row r="11989" spans="1:6" x14ac:dyDescent="0.25">
      <c r="A11989">
        <v>11988</v>
      </c>
      <c r="B11989" t="s">
        <v>0</v>
      </c>
      <c r="C11989">
        <v>154</v>
      </c>
      <c r="D11989">
        <v>3498</v>
      </c>
      <c r="E11989">
        <v>80454696</v>
      </c>
    </row>
    <row r="11990" spans="1:6" x14ac:dyDescent="0.25">
      <c r="A11990">
        <v>11989</v>
      </c>
      <c r="B11990">
        <v>45</v>
      </c>
      <c r="C11990">
        <v>0</v>
      </c>
      <c r="D11990">
        <v>0</v>
      </c>
      <c r="E11990">
        <v>0</v>
      </c>
      <c r="F11990">
        <v>515.82000000000005</v>
      </c>
    </row>
    <row r="11991" spans="1:6" x14ac:dyDescent="0.25">
      <c r="A11991">
        <v>11990</v>
      </c>
      <c r="B11991" t="s">
        <v>0</v>
      </c>
      <c r="C11991">
        <v>155</v>
      </c>
      <c r="D11991">
        <v>3498</v>
      </c>
      <c r="E11991">
        <v>80454834</v>
      </c>
    </row>
    <row r="11992" spans="1:6" x14ac:dyDescent="0.25">
      <c r="A11992">
        <v>11991</v>
      </c>
      <c r="B11992">
        <v>2</v>
      </c>
      <c r="C11992">
        <v>0</v>
      </c>
      <c r="D11992">
        <v>0</v>
      </c>
      <c r="E11992">
        <v>0</v>
      </c>
      <c r="F11992">
        <v>241.43700000000001</v>
      </c>
    </row>
    <row r="11993" spans="1:6" x14ac:dyDescent="0.25">
      <c r="A11993">
        <v>11992</v>
      </c>
      <c r="B11993">
        <v>10</v>
      </c>
      <c r="C11993">
        <v>1</v>
      </c>
      <c r="D11993">
        <v>0</v>
      </c>
      <c r="E11993">
        <v>0</v>
      </c>
      <c r="F11993">
        <v>4968</v>
      </c>
    </row>
    <row r="11994" spans="1:6" x14ac:dyDescent="0.25">
      <c r="A11994">
        <v>11993</v>
      </c>
      <c r="B11994">
        <v>13</v>
      </c>
      <c r="C11994">
        <v>0</v>
      </c>
      <c r="D11994">
        <v>0</v>
      </c>
      <c r="E11994">
        <v>0</v>
      </c>
      <c r="F11994">
        <v>1610</v>
      </c>
    </row>
    <row r="11995" spans="1:6" x14ac:dyDescent="0.25">
      <c r="A11995">
        <v>11994</v>
      </c>
      <c r="B11995">
        <v>41</v>
      </c>
      <c r="C11995">
        <v>0</v>
      </c>
      <c r="D11995">
        <v>0</v>
      </c>
      <c r="E11995">
        <v>0</v>
      </c>
      <c r="F11995">
        <v>1</v>
      </c>
    </row>
    <row r="11996" spans="1:6" x14ac:dyDescent="0.25">
      <c r="A11996">
        <v>11995</v>
      </c>
      <c r="B11996">
        <v>42</v>
      </c>
      <c r="C11996">
        <v>0</v>
      </c>
      <c r="D11996">
        <v>0</v>
      </c>
      <c r="E11996">
        <v>0</v>
      </c>
      <c r="F11996">
        <v>0.2</v>
      </c>
    </row>
    <row r="11997" spans="1:6" x14ac:dyDescent="0.25">
      <c r="A11997">
        <v>11996</v>
      </c>
      <c r="B11997">
        <v>43</v>
      </c>
      <c r="C11997">
        <v>0</v>
      </c>
      <c r="D11997">
        <v>0</v>
      </c>
      <c r="E11997">
        <v>0</v>
      </c>
      <c r="F11997">
        <v>0</v>
      </c>
    </row>
    <row r="11998" spans="1:6" x14ac:dyDescent="0.25">
      <c r="A11998">
        <v>11997</v>
      </c>
      <c r="B11998">
        <v>44</v>
      </c>
      <c r="C11998">
        <v>0</v>
      </c>
      <c r="D11998">
        <v>0</v>
      </c>
      <c r="E11998">
        <v>0</v>
      </c>
      <c r="F11998">
        <v>-11.949299999999999</v>
      </c>
    </row>
    <row r="11999" spans="1:6" x14ac:dyDescent="0.25">
      <c r="A11999">
        <v>11998</v>
      </c>
      <c r="B11999">
        <v>45</v>
      </c>
      <c r="C11999">
        <v>0</v>
      </c>
      <c r="D11999">
        <v>0</v>
      </c>
      <c r="E11999">
        <v>0</v>
      </c>
      <c r="F11999">
        <v>515.81200000000001</v>
      </c>
    </row>
    <row r="12000" spans="1:6" x14ac:dyDescent="0.25">
      <c r="A12000">
        <v>11999</v>
      </c>
      <c r="B12000">
        <v>46</v>
      </c>
      <c r="C12000">
        <v>0</v>
      </c>
      <c r="D12000">
        <v>0</v>
      </c>
      <c r="E12000">
        <v>0</v>
      </c>
      <c r="F12000">
        <v>0</v>
      </c>
    </row>
    <row r="12001" spans="1:6" x14ac:dyDescent="0.25">
      <c r="A12001">
        <v>12000</v>
      </c>
      <c r="B12001">
        <v>2</v>
      </c>
      <c r="C12001">
        <v>0</v>
      </c>
      <c r="D12001">
        <v>0</v>
      </c>
      <c r="E12001">
        <v>0</v>
      </c>
      <c r="F12001">
        <v>241.43299999999999</v>
      </c>
    </row>
    <row r="12002" spans="1:6" x14ac:dyDescent="0.25">
      <c r="A12002">
        <v>12001</v>
      </c>
      <c r="B12002">
        <v>10</v>
      </c>
      <c r="C12002">
        <v>1</v>
      </c>
      <c r="D12002">
        <v>0</v>
      </c>
      <c r="E12002">
        <v>0</v>
      </c>
      <c r="F12002">
        <v>4969</v>
      </c>
    </row>
    <row r="12003" spans="1:6" x14ac:dyDescent="0.25">
      <c r="A12003">
        <v>12002</v>
      </c>
      <c r="B12003">
        <v>13</v>
      </c>
      <c r="C12003">
        <v>0</v>
      </c>
      <c r="D12003">
        <v>0</v>
      </c>
      <c r="E12003">
        <v>0</v>
      </c>
      <c r="F12003">
        <v>1610</v>
      </c>
    </row>
    <row r="12004" spans="1:6" x14ac:dyDescent="0.25">
      <c r="A12004">
        <v>12003</v>
      </c>
      <c r="B12004">
        <v>41</v>
      </c>
      <c r="C12004">
        <v>0</v>
      </c>
      <c r="D12004">
        <v>0</v>
      </c>
      <c r="E12004">
        <v>0</v>
      </c>
      <c r="F12004">
        <v>1</v>
      </c>
    </row>
    <row r="12005" spans="1:6" x14ac:dyDescent="0.25">
      <c r="A12005">
        <v>12004</v>
      </c>
      <c r="B12005">
        <v>42</v>
      </c>
      <c r="C12005">
        <v>0</v>
      </c>
      <c r="D12005">
        <v>0</v>
      </c>
      <c r="E12005">
        <v>0</v>
      </c>
      <c r="F12005">
        <v>0.2</v>
      </c>
    </row>
    <row r="12006" spans="1:6" x14ac:dyDescent="0.25">
      <c r="A12006">
        <v>12005</v>
      </c>
      <c r="B12006" t="s">
        <v>0</v>
      </c>
      <c r="C12006">
        <v>162</v>
      </c>
      <c r="D12006">
        <v>3498</v>
      </c>
      <c r="E12006">
        <v>80455798</v>
      </c>
    </row>
    <row r="12007" spans="1:6" x14ac:dyDescent="0.25">
      <c r="A12007">
        <v>12006</v>
      </c>
      <c r="B12007">
        <v>43</v>
      </c>
      <c r="C12007">
        <v>0</v>
      </c>
      <c r="D12007">
        <v>0</v>
      </c>
      <c r="E12007">
        <v>0</v>
      </c>
      <c r="F12007">
        <v>0</v>
      </c>
    </row>
    <row r="12008" spans="1:6" x14ac:dyDescent="0.25">
      <c r="A12008">
        <v>12007</v>
      </c>
      <c r="B12008">
        <v>44</v>
      </c>
      <c r="C12008">
        <v>0</v>
      </c>
      <c r="D12008">
        <v>0</v>
      </c>
      <c r="E12008">
        <v>0</v>
      </c>
      <c r="F12008">
        <v>-11.821999999999999</v>
      </c>
    </row>
    <row r="12009" spans="1:6" x14ac:dyDescent="0.25">
      <c r="A12009">
        <v>12008</v>
      </c>
      <c r="B12009" t="s">
        <v>0</v>
      </c>
      <c r="C12009">
        <v>163</v>
      </c>
      <c r="D12009">
        <v>3498</v>
      </c>
      <c r="E12009">
        <v>80455935</v>
      </c>
    </row>
    <row r="12010" spans="1:6" x14ac:dyDescent="0.25">
      <c r="A12010">
        <v>12009</v>
      </c>
      <c r="B12010">
        <v>45</v>
      </c>
      <c r="C12010">
        <v>0</v>
      </c>
      <c r="D12010">
        <v>0</v>
      </c>
      <c r="E12010">
        <v>0</v>
      </c>
      <c r="F12010">
        <v>515.80200000000002</v>
      </c>
    </row>
    <row r="12011" spans="1:6" x14ac:dyDescent="0.25">
      <c r="A12011">
        <v>12010</v>
      </c>
      <c r="B12011">
        <v>46</v>
      </c>
      <c r="C12011">
        <v>0</v>
      </c>
      <c r="D12011">
        <v>0</v>
      </c>
      <c r="E12011">
        <v>0</v>
      </c>
      <c r="F12011">
        <v>0</v>
      </c>
    </row>
    <row r="12012" spans="1:6" x14ac:dyDescent="0.25">
      <c r="A12012">
        <v>12011</v>
      </c>
      <c r="B12012" t="s">
        <v>0</v>
      </c>
      <c r="C12012">
        <v>164</v>
      </c>
      <c r="D12012">
        <v>3498</v>
      </c>
      <c r="E12012">
        <v>80456072</v>
      </c>
    </row>
    <row r="12013" spans="1:6" x14ac:dyDescent="0.25">
      <c r="A12013">
        <v>12012</v>
      </c>
      <c r="B12013">
        <v>2</v>
      </c>
      <c r="C12013">
        <v>0</v>
      </c>
      <c r="D12013">
        <v>0</v>
      </c>
      <c r="E12013">
        <v>0</v>
      </c>
      <c r="F12013">
        <v>241.429</v>
      </c>
    </row>
    <row r="12014" spans="1:6" x14ac:dyDescent="0.25">
      <c r="A12014">
        <v>12013</v>
      </c>
      <c r="B12014">
        <v>10</v>
      </c>
      <c r="C12014">
        <v>1</v>
      </c>
      <c r="D12014">
        <v>0</v>
      </c>
      <c r="E12014">
        <v>0</v>
      </c>
      <c r="F12014">
        <v>4970</v>
      </c>
    </row>
    <row r="12015" spans="1:6" x14ac:dyDescent="0.25">
      <c r="A12015">
        <v>12014</v>
      </c>
      <c r="B12015" t="s">
        <v>0</v>
      </c>
      <c r="C12015">
        <v>165</v>
      </c>
      <c r="D12015">
        <v>3498</v>
      </c>
      <c r="E12015">
        <v>80456209</v>
      </c>
    </row>
    <row r="12016" spans="1:6" x14ac:dyDescent="0.25">
      <c r="A12016">
        <v>12015</v>
      </c>
      <c r="B12016">
        <v>13</v>
      </c>
      <c r="C12016">
        <v>0</v>
      </c>
      <c r="D12016">
        <v>0</v>
      </c>
      <c r="E12016">
        <v>0</v>
      </c>
      <c r="F12016">
        <v>1610</v>
      </c>
    </row>
    <row r="12017" spans="1:6" x14ac:dyDescent="0.25">
      <c r="A12017">
        <v>12016</v>
      </c>
      <c r="B12017">
        <v>41</v>
      </c>
      <c r="C12017">
        <v>0</v>
      </c>
      <c r="D12017">
        <v>0</v>
      </c>
      <c r="E12017">
        <v>0</v>
      </c>
      <c r="F12017">
        <v>1</v>
      </c>
    </row>
    <row r="12018" spans="1:6" x14ac:dyDescent="0.25">
      <c r="A12018">
        <v>12017</v>
      </c>
      <c r="B12018" t="s">
        <v>0</v>
      </c>
      <c r="C12018">
        <v>166</v>
      </c>
      <c r="D12018">
        <v>3498</v>
      </c>
      <c r="E12018">
        <v>80456347</v>
      </c>
    </row>
    <row r="12019" spans="1:6" x14ac:dyDescent="0.25">
      <c r="A12019">
        <v>12018</v>
      </c>
      <c r="B12019">
        <v>43</v>
      </c>
      <c r="C12019">
        <v>0</v>
      </c>
      <c r="D12019">
        <v>0</v>
      </c>
      <c r="E12019">
        <v>0</v>
      </c>
      <c r="F12019">
        <v>0</v>
      </c>
    </row>
    <row r="12020" spans="1:6" x14ac:dyDescent="0.25">
      <c r="A12020">
        <v>12019</v>
      </c>
      <c r="B12020" t="s">
        <v>0</v>
      </c>
      <c r="C12020">
        <v>167</v>
      </c>
      <c r="D12020">
        <v>3498</v>
      </c>
      <c r="E12020">
        <v>80456485</v>
      </c>
    </row>
    <row r="12021" spans="1:6" x14ac:dyDescent="0.25">
      <c r="A12021">
        <v>12020</v>
      </c>
      <c r="B12021">
        <v>45</v>
      </c>
      <c r="C12021">
        <v>0</v>
      </c>
      <c r="D12021">
        <v>0</v>
      </c>
      <c r="E12021">
        <v>0</v>
      </c>
      <c r="F12021">
        <v>515.79499999999996</v>
      </c>
    </row>
    <row r="12022" spans="1:6" x14ac:dyDescent="0.25">
      <c r="A12022">
        <v>12021</v>
      </c>
      <c r="B12022" t="s">
        <v>0</v>
      </c>
      <c r="C12022">
        <v>168</v>
      </c>
      <c r="D12022">
        <v>3498</v>
      </c>
      <c r="E12022">
        <v>80456623</v>
      </c>
    </row>
    <row r="12023" spans="1:6" x14ac:dyDescent="0.25">
      <c r="A12023">
        <v>12022</v>
      </c>
      <c r="B12023">
        <v>2</v>
      </c>
      <c r="C12023">
        <v>0</v>
      </c>
      <c r="D12023">
        <v>0</v>
      </c>
      <c r="E12023">
        <v>0</v>
      </c>
      <c r="F12023">
        <v>241.42699999999999</v>
      </c>
    </row>
    <row r="12024" spans="1:6" x14ac:dyDescent="0.25">
      <c r="A12024">
        <v>12023</v>
      </c>
      <c r="B12024" t="s">
        <v>0</v>
      </c>
      <c r="C12024">
        <v>169</v>
      </c>
      <c r="D12024">
        <v>3498</v>
      </c>
      <c r="E12024">
        <v>80456761</v>
      </c>
    </row>
    <row r="12025" spans="1:6" x14ac:dyDescent="0.25">
      <c r="A12025">
        <v>12024</v>
      </c>
      <c r="B12025">
        <v>13</v>
      </c>
      <c r="C12025">
        <v>0</v>
      </c>
      <c r="D12025">
        <v>0</v>
      </c>
      <c r="E12025">
        <v>0</v>
      </c>
      <c r="F12025">
        <v>1610</v>
      </c>
    </row>
    <row r="12026" spans="1:6" x14ac:dyDescent="0.25">
      <c r="A12026">
        <v>12025</v>
      </c>
      <c r="B12026" t="s">
        <v>0</v>
      </c>
      <c r="C12026">
        <v>170</v>
      </c>
      <c r="D12026">
        <v>3498</v>
      </c>
      <c r="E12026">
        <v>80456898</v>
      </c>
    </row>
    <row r="12027" spans="1:6" x14ac:dyDescent="0.25">
      <c r="A12027">
        <v>12026</v>
      </c>
      <c r="B12027">
        <v>42</v>
      </c>
      <c r="C12027">
        <v>0</v>
      </c>
      <c r="D12027">
        <v>0</v>
      </c>
      <c r="E12027">
        <v>0</v>
      </c>
      <c r="F12027">
        <v>0.2</v>
      </c>
    </row>
    <row r="12028" spans="1:6" x14ac:dyDescent="0.25">
      <c r="A12028">
        <v>12027</v>
      </c>
      <c r="B12028">
        <v>43</v>
      </c>
      <c r="C12028">
        <v>0</v>
      </c>
      <c r="D12028">
        <v>0</v>
      </c>
      <c r="E12028">
        <v>0</v>
      </c>
      <c r="F12028">
        <v>0</v>
      </c>
    </row>
    <row r="12029" spans="1:6" x14ac:dyDescent="0.25">
      <c r="A12029">
        <v>12028</v>
      </c>
      <c r="B12029">
        <v>44</v>
      </c>
      <c r="C12029">
        <v>0</v>
      </c>
      <c r="D12029">
        <v>0</v>
      </c>
      <c r="E12029">
        <v>0</v>
      </c>
      <c r="F12029">
        <v>-11.4833</v>
      </c>
    </row>
    <row r="12030" spans="1:6" x14ac:dyDescent="0.25">
      <c r="A12030">
        <v>12029</v>
      </c>
      <c r="B12030">
        <v>45</v>
      </c>
      <c r="C12030">
        <v>0</v>
      </c>
      <c r="D12030">
        <v>0</v>
      </c>
      <c r="E12030">
        <v>0</v>
      </c>
      <c r="F12030">
        <v>515.78700000000003</v>
      </c>
    </row>
    <row r="12031" spans="1:6" x14ac:dyDescent="0.25">
      <c r="A12031">
        <v>12030</v>
      </c>
      <c r="B12031">
        <v>46</v>
      </c>
      <c r="C12031">
        <v>0</v>
      </c>
      <c r="D12031">
        <v>0</v>
      </c>
      <c r="E12031">
        <v>0</v>
      </c>
      <c r="F12031">
        <v>0</v>
      </c>
    </row>
    <row r="12032" spans="1:6" x14ac:dyDescent="0.25">
      <c r="A12032">
        <v>12031</v>
      </c>
      <c r="B12032">
        <v>2</v>
      </c>
      <c r="C12032">
        <v>0</v>
      </c>
      <c r="D12032">
        <v>0</v>
      </c>
      <c r="E12032">
        <v>0</v>
      </c>
      <c r="F12032">
        <v>241.399</v>
      </c>
    </row>
    <row r="12033" spans="1:6" x14ac:dyDescent="0.25">
      <c r="A12033">
        <v>12032</v>
      </c>
      <c r="B12033">
        <v>10</v>
      </c>
      <c r="C12033">
        <v>1</v>
      </c>
      <c r="D12033">
        <v>0</v>
      </c>
      <c r="E12033">
        <v>0</v>
      </c>
      <c r="F12033">
        <v>4973</v>
      </c>
    </row>
    <row r="12034" spans="1:6" x14ac:dyDescent="0.25">
      <c r="A12034">
        <v>12033</v>
      </c>
      <c r="B12034">
        <v>13</v>
      </c>
      <c r="C12034">
        <v>0</v>
      </c>
      <c r="D12034">
        <v>0</v>
      </c>
      <c r="E12034">
        <v>0</v>
      </c>
      <c r="F12034">
        <v>1610</v>
      </c>
    </row>
    <row r="12035" spans="1:6" x14ac:dyDescent="0.25">
      <c r="A12035">
        <v>12034</v>
      </c>
      <c r="B12035">
        <v>41</v>
      </c>
      <c r="C12035">
        <v>0</v>
      </c>
      <c r="D12035">
        <v>0</v>
      </c>
      <c r="E12035">
        <v>0</v>
      </c>
      <c r="F12035">
        <v>1</v>
      </c>
    </row>
    <row r="12036" spans="1:6" x14ac:dyDescent="0.25">
      <c r="A12036">
        <v>12035</v>
      </c>
      <c r="B12036">
        <v>42</v>
      </c>
      <c r="C12036">
        <v>0</v>
      </c>
      <c r="D12036">
        <v>0</v>
      </c>
      <c r="E12036">
        <v>0</v>
      </c>
      <c r="F12036">
        <v>0.2</v>
      </c>
    </row>
    <row r="12037" spans="1:6" x14ac:dyDescent="0.25">
      <c r="A12037">
        <v>12036</v>
      </c>
      <c r="B12037">
        <v>43</v>
      </c>
      <c r="C12037">
        <v>0</v>
      </c>
      <c r="D12037">
        <v>0</v>
      </c>
      <c r="E12037">
        <v>0</v>
      </c>
      <c r="F12037">
        <v>0</v>
      </c>
    </row>
    <row r="12038" spans="1:6" x14ac:dyDescent="0.25">
      <c r="A12038">
        <v>12037</v>
      </c>
      <c r="B12038">
        <v>44</v>
      </c>
      <c r="C12038">
        <v>0</v>
      </c>
      <c r="D12038">
        <v>0</v>
      </c>
      <c r="E12038">
        <v>0</v>
      </c>
      <c r="F12038">
        <v>-11.2935</v>
      </c>
    </row>
    <row r="12039" spans="1:6" x14ac:dyDescent="0.25">
      <c r="A12039">
        <v>12038</v>
      </c>
      <c r="B12039" t="s">
        <v>0</v>
      </c>
      <c r="C12039">
        <v>176</v>
      </c>
      <c r="D12039">
        <v>3498</v>
      </c>
      <c r="E12039">
        <v>80457726</v>
      </c>
    </row>
    <row r="12040" spans="1:6" x14ac:dyDescent="0.25">
      <c r="A12040">
        <v>12039</v>
      </c>
      <c r="B12040">
        <v>45</v>
      </c>
      <c r="C12040">
        <v>0</v>
      </c>
      <c r="D12040">
        <v>0</v>
      </c>
      <c r="E12040">
        <v>0</v>
      </c>
      <c r="F12040">
        <v>515.77800000000002</v>
      </c>
    </row>
    <row r="12041" spans="1:6" x14ac:dyDescent="0.25">
      <c r="A12041">
        <v>12040</v>
      </c>
      <c r="B12041">
        <v>46</v>
      </c>
      <c r="C12041">
        <v>0</v>
      </c>
      <c r="D12041">
        <v>0</v>
      </c>
      <c r="E12041">
        <v>0</v>
      </c>
      <c r="F12041">
        <v>0</v>
      </c>
    </row>
    <row r="12042" spans="1:6" x14ac:dyDescent="0.25">
      <c r="A12042">
        <v>12041</v>
      </c>
      <c r="B12042" t="s">
        <v>0</v>
      </c>
      <c r="C12042">
        <v>177</v>
      </c>
      <c r="D12042">
        <v>3498</v>
      </c>
      <c r="E12042">
        <v>80457863</v>
      </c>
    </row>
    <row r="12043" spans="1:6" x14ac:dyDescent="0.25">
      <c r="A12043">
        <v>12042</v>
      </c>
      <c r="B12043">
        <v>2</v>
      </c>
      <c r="C12043">
        <v>0</v>
      </c>
      <c r="D12043">
        <v>0</v>
      </c>
      <c r="E12043">
        <v>0</v>
      </c>
      <c r="F12043">
        <v>241.32400000000001</v>
      </c>
    </row>
    <row r="12044" spans="1:6" x14ac:dyDescent="0.25">
      <c r="A12044">
        <v>12043</v>
      </c>
      <c r="B12044">
        <v>10</v>
      </c>
      <c r="C12044">
        <v>1</v>
      </c>
      <c r="D12044">
        <v>0</v>
      </c>
      <c r="E12044">
        <v>0</v>
      </c>
      <c r="F12044">
        <v>4975</v>
      </c>
    </row>
    <row r="12045" spans="1:6" x14ac:dyDescent="0.25">
      <c r="A12045">
        <v>12044</v>
      </c>
      <c r="B12045" t="s">
        <v>0</v>
      </c>
      <c r="C12045">
        <v>178</v>
      </c>
      <c r="D12045">
        <v>3498</v>
      </c>
      <c r="E12045">
        <v>80458001</v>
      </c>
    </row>
    <row r="12046" spans="1:6" x14ac:dyDescent="0.25">
      <c r="A12046">
        <v>12045</v>
      </c>
      <c r="B12046">
        <v>13</v>
      </c>
      <c r="C12046">
        <v>0</v>
      </c>
      <c r="D12046">
        <v>0</v>
      </c>
      <c r="E12046">
        <v>0</v>
      </c>
      <c r="F12046">
        <v>1610</v>
      </c>
    </row>
    <row r="12047" spans="1:6" x14ac:dyDescent="0.25">
      <c r="A12047">
        <v>12046</v>
      </c>
      <c r="B12047">
        <v>41</v>
      </c>
      <c r="C12047">
        <v>0</v>
      </c>
      <c r="D12047">
        <v>0</v>
      </c>
      <c r="E12047">
        <v>0</v>
      </c>
      <c r="F12047">
        <v>1</v>
      </c>
    </row>
    <row r="12048" spans="1:6" x14ac:dyDescent="0.25">
      <c r="A12048">
        <v>12047</v>
      </c>
      <c r="B12048">
        <v>42</v>
      </c>
      <c r="C12048">
        <v>0</v>
      </c>
      <c r="D12048">
        <v>0</v>
      </c>
      <c r="E12048">
        <v>0</v>
      </c>
      <c r="F12048">
        <v>0.2</v>
      </c>
    </row>
    <row r="12049" spans="1:6" x14ac:dyDescent="0.25">
      <c r="A12049">
        <v>12048</v>
      </c>
      <c r="B12049">
        <v>43</v>
      </c>
      <c r="C12049">
        <v>0</v>
      </c>
      <c r="D12049">
        <v>0</v>
      </c>
      <c r="E12049">
        <v>0</v>
      </c>
      <c r="F12049">
        <v>0</v>
      </c>
    </row>
    <row r="12050" spans="1:6" x14ac:dyDescent="0.25">
      <c r="A12050">
        <v>12049</v>
      </c>
      <c r="B12050" t="s">
        <v>0</v>
      </c>
      <c r="C12050">
        <v>0</v>
      </c>
      <c r="D12050">
        <v>3499</v>
      </c>
      <c r="E12050">
        <v>80458277</v>
      </c>
    </row>
    <row r="12051" spans="1:6" x14ac:dyDescent="0.25">
      <c r="A12051">
        <v>12050</v>
      </c>
      <c r="B12051">
        <v>45</v>
      </c>
      <c r="C12051">
        <v>0</v>
      </c>
      <c r="D12051">
        <v>0</v>
      </c>
      <c r="E12051">
        <v>0</v>
      </c>
      <c r="F12051">
        <v>515.774</v>
      </c>
    </row>
    <row r="12052" spans="1:6" x14ac:dyDescent="0.25">
      <c r="A12052">
        <v>12051</v>
      </c>
      <c r="B12052" t="s">
        <v>0</v>
      </c>
      <c r="C12052">
        <v>1</v>
      </c>
      <c r="D12052">
        <v>3499</v>
      </c>
      <c r="E12052">
        <v>80458415</v>
      </c>
    </row>
    <row r="12053" spans="1:6" x14ac:dyDescent="0.25">
      <c r="A12053">
        <v>12052</v>
      </c>
      <c r="B12053">
        <v>2</v>
      </c>
      <c r="C12053">
        <v>0</v>
      </c>
      <c r="D12053">
        <v>0</v>
      </c>
      <c r="E12053">
        <v>0</v>
      </c>
      <c r="F12053">
        <v>241.298</v>
      </c>
    </row>
    <row r="12054" spans="1:6" x14ac:dyDescent="0.25">
      <c r="A12054">
        <v>12053</v>
      </c>
      <c r="B12054" t="s">
        <v>0</v>
      </c>
      <c r="C12054">
        <v>2</v>
      </c>
      <c r="D12054">
        <v>3499</v>
      </c>
      <c r="E12054">
        <v>80458553</v>
      </c>
    </row>
    <row r="12055" spans="1:6" x14ac:dyDescent="0.25">
      <c r="A12055">
        <v>12054</v>
      </c>
      <c r="B12055">
        <v>13</v>
      </c>
      <c r="C12055">
        <v>0</v>
      </c>
      <c r="D12055">
        <v>0</v>
      </c>
      <c r="E12055">
        <v>0</v>
      </c>
      <c r="F12055">
        <v>1610</v>
      </c>
    </row>
    <row r="12056" spans="1:6" x14ac:dyDescent="0.25">
      <c r="A12056">
        <v>12055</v>
      </c>
      <c r="B12056" t="s">
        <v>0</v>
      </c>
      <c r="C12056">
        <v>3</v>
      </c>
      <c r="D12056">
        <v>3499</v>
      </c>
      <c r="E12056">
        <v>80458690</v>
      </c>
    </row>
    <row r="12057" spans="1:6" x14ac:dyDescent="0.25">
      <c r="A12057">
        <v>12056</v>
      </c>
      <c r="B12057">
        <v>42</v>
      </c>
      <c r="C12057">
        <v>0</v>
      </c>
      <c r="D12057">
        <v>0</v>
      </c>
      <c r="E12057">
        <v>0</v>
      </c>
      <c r="F12057">
        <v>0.2</v>
      </c>
    </row>
    <row r="12058" spans="1:6" x14ac:dyDescent="0.25">
      <c r="A12058">
        <v>12057</v>
      </c>
      <c r="B12058" t="s">
        <v>0</v>
      </c>
      <c r="C12058">
        <v>4</v>
      </c>
      <c r="D12058">
        <v>3499</v>
      </c>
      <c r="E12058">
        <v>80458828</v>
      </c>
    </row>
    <row r="12059" spans="1:6" x14ac:dyDescent="0.25">
      <c r="A12059">
        <v>12058</v>
      </c>
      <c r="B12059">
        <v>44</v>
      </c>
      <c r="C12059">
        <v>0</v>
      </c>
      <c r="D12059">
        <v>0</v>
      </c>
      <c r="E12059">
        <v>0</v>
      </c>
      <c r="F12059">
        <v>-10.881</v>
      </c>
    </row>
    <row r="12060" spans="1:6" x14ac:dyDescent="0.25">
      <c r="A12060">
        <v>12059</v>
      </c>
      <c r="B12060">
        <v>45</v>
      </c>
      <c r="C12060">
        <v>0</v>
      </c>
      <c r="D12060">
        <v>0</v>
      </c>
      <c r="E12060">
        <v>0</v>
      </c>
      <c r="F12060">
        <v>515.76700000000005</v>
      </c>
    </row>
    <row r="12061" spans="1:6" x14ac:dyDescent="0.25">
      <c r="A12061">
        <v>12060</v>
      </c>
      <c r="B12061">
        <v>46</v>
      </c>
      <c r="C12061">
        <v>0</v>
      </c>
      <c r="D12061">
        <v>0</v>
      </c>
      <c r="E12061">
        <v>0</v>
      </c>
      <c r="F12061">
        <v>0</v>
      </c>
    </row>
    <row r="12062" spans="1:6" x14ac:dyDescent="0.25">
      <c r="A12062">
        <v>12061</v>
      </c>
      <c r="B12062">
        <v>2</v>
      </c>
      <c r="C12062">
        <v>0</v>
      </c>
      <c r="D12062">
        <v>0</v>
      </c>
      <c r="E12062">
        <v>0</v>
      </c>
      <c r="F12062">
        <v>241.256</v>
      </c>
    </row>
    <row r="12063" spans="1:6" x14ac:dyDescent="0.25">
      <c r="A12063">
        <v>12062</v>
      </c>
      <c r="B12063">
        <v>10</v>
      </c>
      <c r="C12063">
        <v>1</v>
      </c>
      <c r="D12063">
        <v>0</v>
      </c>
      <c r="E12063">
        <v>0</v>
      </c>
      <c r="F12063">
        <v>4979</v>
      </c>
    </row>
    <row r="12064" spans="1:6" x14ac:dyDescent="0.25">
      <c r="A12064">
        <v>12063</v>
      </c>
      <c r="B12064">
        <v>13</v>
      </c>
      <c r="C12064">
        <v>0</v>
      </c>
      <c r="D12064">
        <v>0</v>
      </c>
      <c r="E12064">
        <v>0</v>
      </c>
      <c r="F12064">
        <v>1610</v>
      </c>
    </row>
    <row r="12065" spans="1:6" x14ac:dyDescent="0.25">
      <c r="A12065">
        <v>12064</v>
      </c>
      <c r="B12065">
        <v>41</v>
      </c>
      <c r="C12065">
        <v>0</v>
      </c>
      <c r="D12065">
        <v>0</v>
      </c>
      <c r="E12065">
        <v>0</v>
      </c>
      <c r="F12065">
        <v>1</v>
      </c>
    </row>
    <row r="12066" spans="1:6" x14ac:dyDescent="0.25">
      <c r="A12066">
        <v>12065</v>
      </c>
      <c r="B12066">
        <v>42</v>
      </c>
      <c r="C12066">
        <v>0</v>
      </c>
      <c r="D12066">
        <v>0</v>
      </c>
      <c r="E12066">
        <v>0</v>
      </c>
      <c r="F12066">
        <v>0.2</v>
      </c>
    </row>
    <row r="12067" spans="1:6" x14ac:dyDescent="0.25">
      <c r="A12067">
        <v>12066</v>
      </c>
      <c r="B12067">
        <v>43</v>
      </c>
      <c r="C12067">
        <v>0</v>
      </c>
      <c r="D12067">
        <v>0</v>
      </c>
      <c r="E12067">
        <v>0</v>
      </c>
      <c r="F12067">
        <v>0</v>
      </c>
    </row>
    <row r="12068" spans="1:6" x14ac:dyDescent="0.25">
      <c r="A12068">
        <v>12067</v>
      </c>
      <c r="B12068">
        <v>44</v>
      </c>
      <c r="C12068">
        <v>0</v>
      </c>
      <c r="D12068">
        <v>0</v>
      </c>
      <c r="E12068">
        <v>0</v>
      </c>
      <c r="F12068">
        <v>-10.7211</v>
      </c>
    </row>
    <row r="12069" spans="1:6" x14ac:dyDescent="0.25">
      <c r="A12069">
        <v>12068</v>
      </c>
      <c r="B12069">
        <v>45</v>
      </c>
      <c r="C12069">
        <v>0</v>
      </c>
      <c r="D12069">
        <v>0</v>
      </c>
      <c r="E12069">
        <v>0</v>
      </c>
      <c r="F12069">
        <v>515.75800000000004</v>
      </c>
    </row>
    <row r="12070" spans="1:6" x14ac:dyDescent="0.25">
      <c r="A12070">
        <v>12069</v>
      </c>
      <c r="B12070">
        <v>46</v>
      </c>
      <c r="C12070">
        <v>0</v>
      </c>
      <c r="D12070">
        <v>0</v>
      </c>
      <c r="E12070">
        <v>0</v>
      </c>
      <c r="F12070">
        <v>0</v>
      </c>
    </row>
    <row r="12071" spans="1:6" x14ac:dyDescent="0.25">
      <c r="A12071">
        <v>12070</v>
      </c>
      <c r="B12071" t="s">
        <v>0</v>
      </c>
      <c r="C12071">
        <v>10</v>
      </c>
      <c r="D12071">
        <v>3499</v>
      </c>
      <c r="E12071">
        <v>80459655</v>
      </c>
    </row>
    <row r="12072" spans="1:6" x14ac:dyDescent="0.25">
      <c r="A12072">
        <v>12071</v>
      </c>
      <c r="B12072">
        <v>2</v>
      </c>
      <c r="C12072">
        <v>0</v>
      </c>
      <c r="D12072">
        <v>0</v>
      </c>
      <c r="E12072">
        <v>0</v>
      </c>
      <c r="F12072">
        <v>241.21</v>
      </c>
    </row>
    <row r="12073" spans="1:6" x14ac:dyDescent="0.25">
      <c r="A12073">
        <v>12072</v>
      </c>
      <c r="B12073">
        <v>10</v>
      </c>
      <c r="C12073">
        <v>1</v>
      </c>
      <c r="D12073">
        <v>0</v>
      </c>
      <c r="E12073">
        <v>0</v>
      </c>
      <c r="F12073">
        <v>4981</v>
      </c>
    </row>
    <row r="12074" spans="1:6" x14ac:dyDescent="0.25">
      <c r="A12074">
        <v>12073</v>
      </c>
      <c r="B12074" t="s">
        <v>0</v>
      </c>
      <c r="C12074">
        <v>11</v>
      </c>
      <c r="D12074">
        <v>3499</v>
      </c>
      <c r="E12074">
        <v>80459793</v>
      </c>
    </row>
    <row r="12075" spans="1:6" x14ac:dyDescent="0.25">
      <c r="A12075">
        <v>12074</v>
      </c>
      <c r="B12075">
        <v>13</v>
      </c>
      <c r="C12075">
        <v>0</v>
      </c>
      <c r="D12075">
        <v>0</v>
      </c>
      <c r="E12075">
        <v>0</v>
      </c>
      <c r="F12075">
        <v>1610</v>
      </c>
    </row>
    <row r="12076" spans="1:6" x14ac:dyDescent="0.25">
      <c r="A12076">
        <v>12075</v>
      </c>
      <c r="B12076">
        <v>41</v>
      </c>
      <c r="C12076">
        <v>0</v>
      </c>
      <c r="D12076">
        <v>0</v>
      </c>
      <c r="E12076">
        <v>0</v>
      </c>
      <c r="F12076">
        <v>1</v>
      </c>
    </row>
    <row r="12077" spans="1:6" x14ac:dyDescent="0.25">
      <c r="A12077">
        <v>12076</v>
      </c>
      <c r="B12077" t="s">
        <v>0</v>
      </c>
      <c r="C12077">
        <v>12</v>
      </c>
      <c r="D12077">
        <v>3499</v>
      </c>
      <c r="E12077">
        <v>80459931</v>
      </c>
    </row>
    <row r="12078" spans="1:6" x14ac:dyDescent="0.25">
      <c r="A12078">
        <v>12077</v>
      </c>
      <c r="B12078">
        <v>42</v>
      </c>
      <c r="C12078">
        <v>0</v>
      </c>
      <c r="D12078">
        <v>0</v>
      </c>
      <c r="E12078">
        <v>0</v>
      </c>
      <c r="F12078">
        <v>0.2</v>
      </c>
    </row>
    <row r="12079" spans="1:6" x14ac:dyDescent="0.25">
      <c r="A12079">
        <v>12078</v>
      </c>
      <c r="B12079">
        <v>43</v>
      </c>
      <c r="C12079">
        <v>0</v>
      </c>
      <c r="D12079">
        <v>0</v>
      </c>
      <c r="E12079">
        <v>0</v>
      </c>
      <c r="F12079">
        <v>0</v>
      </c>
    </row>
    <row r="12080" spans="1:6" x14ac:dyDescent="0.25">
      <c r="A12080">
        <v>12079</v>
      </c>
      <c r="B12080" t="s">
        <v>0</v>
      </c>
      <c r="C12080">
        <v>13</v>
      </c>
      <c r="D12080">
        <v>3499</v>
      </c>
      <c r="E12080">
        <v>80460069</v>
      </c>
    </row>
    <row r="12081" spans="1:6" x14ac:dyDescent="0.25">
      <c r="A12081">
        <v>12080</v>
      </c>
      <c r="B12081">
        <v>44</v>
      </c>
      <c r="C12081">
        <v>0</v>
      </c>
      <c r="D12081">
        <v>0</v>
      </c>
      <c r="E12081">
        <v>0</v>
      </c>
      <c r="F12081">
        <v>-10.5052</v>
      </c>
    </row>
    <row r="12082" spans="1:6" x14ac:dyDescent="0.25">
      <c r="A12082">
        <v>12081</v>
      </c>
      <c r="B12082">
        <v>45</v>
      </c>
      <c r="C12082">
        <v>0</v>
      </c>
      <c r="D12082">
        <v>0</v>
      </c>
      <c r="E12082">
        <v>0</v>
      </c>
      <c r="F12082">
        <v>515.75099999999998</v>
      </c>
    </row>
    <row r="12083" spans="1:6" x14ac:dyDescent="0.25">
      <c r="A12083">
        <v>12082</v>
      </c>
      <c r="B12083" t="s">
        <v>0</v>
      </c>
      <c r="C12083">
        <v>14</v>
      </c>
      <c r="D12083">
        <v>3499</v>
      </c>
      <c r="E12083">
        <v>80460207</v>
      </c>
    </row>
    <row r="12084" spans="1:6" x14ac:dyDescent="0.25">
      <c r="A12084">
        <v>12083</v>
      </c>
      <c r="B12084">
        <v>46</v>
      </c>
      <c r="C12084">
        <v>0</v>
      </c>
      <c r="D12084">
        <v>0</v>
      </c>
      <c r="E12084">
        <v>0</v>
      </c>
      <c r="F12084">
        <v>0</v>
      </c>
    </row>
    <row r="12085" spans="1:6" x14ac:dyDescent="0.25">
      <c r="A12085">
        <v>12084</v>
      </c>
      <c r="B12085">
        <v>2</v>
      </c>
      <c r="C12085">
        <v>0</v>
      </c>
      <c r="D12085">
        <v>0</v>
      </c>
      <c r="E12085">
        <v>0</v>
      </c>
      <c r="F12085">
        <v>241.18700000000001</v>
      </c>
    </row>
    <row r="12086" spans="1:6" x14ac:dyDescent="0.25">
      <c r="A12086">
        <v>12085</v>
      </c>
      <c r="B12086" t="s">
        <v>0</v>
      </c>
      <c r="C12086">
        <v>15</v>
      </c>
      <c r="D12086">
        <v>3499</v>
      </c>
      <c r="E12086">
        <v>80460344</v>
      </c>
    </row>
    <row r="12087" spans="1:6" x14ac:dyDescent="0.25">
      <c r="A12087">
        <v>12086</v>
      </c>
      <c r="B12087">
        <v>13</v>
      </c>
      <c r="C12087">
        <v>0</v>
      </c>
      <c r="D12087">
        <v>0</v>
      </c>
      <c r="E12087">
        <v>0</v>
      </c>
      <c r="F12087">
        <v>1610</v>
      </c>
    </row>
    <row r="12088" spans="1:6" x14ac:dyDescent="0.25">
      <c r="A12088">
        <v>12087</v>
      </c>
      <c r="B12088" t="s">
        <v>0</v>
      </c>
      <c r="C12088">
        <v>16</v>
      </c>
      <c r="D12088">
        <v>3499</v>
      </c>
      <c r="E12088">
        <v>80460481</v>
      </c>
    </row>
    <row r="12089" spans="1:6" x14ac:dyDescent="0.25">
      <c r="A12089">
        <v>12088</v>
      </c>
      <c r="B12089">
        <v>42</v>
      </c>
      <c r="C12089">
        <v>0</v>
      </c>
      <c r="D12089">
        <v>0</v>
      </c>
      <c r="E12089">
        <v>0</v>
      </c>
      <c r="F12089">
        <v>0.2</v>
      </c>
    </row>
    <row r="12090" spans="1:6" x14ac:dyDescent="0.25">
      <c r="A12090">
        <v>12089</v>
      </c>
      <c r="B12090" t="s">
        <v>0</v>
      </c>
      <c r="C12090">
        <v>17</v>
      </c>
      <c r="D12090">
        <v>3499</v>
      </c>
      <c r="E12090">
        <v>80460619</v>
      </c>
    </row>
    <row r="12091" spans="1:6" x14ac:dyDescent="0.25">
      <c r="A12091">
        <v>12090</v>
      </c>
      <c r="B12091">
        <v>44</v>
      </c>
      <c r="C12091">
        <v>0</v>
      </c>
      <c r="D12091">
        <v>0</v>
      </c>
      <c r="E12091">
        <v>0</v>
      </c>
      <c r="F12091">
        <v>-10.336499999999999</v>
      </c>
    </row>
    <row r="12092" spans="1:6" x14ac:dyDescent="0.25">
      <c r="A12092">
        <v>12091</v>
      </c>
      <c r="B12092" t="s">
        <v>0</v>
      </c>
      <c r="C12092">
        <v>18</v>
      </c>
      <c r="D12092">
        <v>3499</v>
      </c>
      <c r="E12092">
        <v>80460757</v>
      </c>
    </row>
    <row r="12093" spans="1:6" x14ac:dyDescent="0.25">
      <c r="A12093">
        <v>12092</v>
      </c>
      <c r="B12093">
        <v>46</v>
      </c>
      <c r="C12093">
        <v>0</v>
      </c>
      <c r="D12093">
        <v>0</v>
      </c>
      <c r="E12093">
        <v>0</v>
      </c>
      <c r="F12093">
        <v>0</v>
      </c>
    </row>
    <row r="12094" spans="1:6" x14ac:dyDescent="0.25">
      <c r="A12094">
        <v>12093</v>
      </c>
      <c r="B12094" t="s">
        <v>0</v>
      </c>
      <c r="C12094">
        <v>19</v>
      </c>
      <c r="D12094">
        <v>3499</v>
      </c>
      <c r="E12094">
        <v>80460894</v>
      </c>
    </row>
    <row r="12095" spans="1:6" x14ac:dyDescent="0.25">
      <c r="A12095">
        <v>12094</v>
      </c>
      <c r="B12095">
        <v>10</v>
      </c>
      <c r="C12095">
        <v>1</v>
      </c>
      <c r="D12095">
        <v>0</v>
      </c>
      <c r="E12095">
        <v>0</v>
      </c>
      <c r="F12095">
        <v>4984</v>
      </c>
    </row>
    <row r="12096" spans="1:6" x14ac:dyDescent="0.25">
      <c r="A12096">
        <v>12095</v>
      </c>
      <c r="B12096">
        <v>13</v>
      </c>
      <c r="C12096">
        <v>0</v>
      </c>
      <c r="D12096">
        <v>0</v>
      </c>
      <c r="E12096">
        <v>0</v>
      </c>
      <c r="F12096">
        <v>1610</v>
      </c>
    </row>
    <row r="12097" spans="1:6" x14ac:dyDescent="0.25">
      <c r="A12097">
        <v>12096</v>
      </c>
      <c r="B12097">
        <v>41</v>
      </c>
      <c r="C12097">
        <v>0</v>
      </c>
      <c r="D12097">
        <v>0</v>
      </c>
      <c r="E12097">
        <v>0</v>
      </c>
      <c r="F12097">
        <v>1</v>
      </c>
    </row>
    <row r="12098" spans="1:6" x14ac:dyDescent="0.25">
      <c r="A12098">
        <v>12097</v>
      </c>
      <c r="B12098">
        <v>42</v>
      </c>
      <c r="C12098">
        <v>0</v>
      </c>
      <c r="D12098">
        <v>0</v>
      </c>
      <c r="E12098">
        <v>0</v>
      </c>
      <c r="F12098">
        <v>0.2</v>
      </c>
    </row>
    <row r="12099" spans="1:6" x14ac:dyDescent="0.25">
      <c r="A12099">
        <v>12098</v>
      </c>
      <c r="B12099">
        <v>43</v>
      </c>
      <c r="C12099">
        <v>0</v>
      </c>
      <c r="D12099">
        <v>0</v>
      </c>
      <c r="E12099">
        <v>0</v>
      </c>
      <c r="F12099">
        <v>0</v>
      </c>
    </row>
    <row r="12100" spans="1:6" x14ac:dyDescent="0.25">
      <c r="A12100">
        <v>12099</v>
      </c>
      <c r="B12100">
        <v>44</v>
      </c>
      <c r="C12100">
        <v>0</v>
      </c>
      <c r="D12100">
        <v>0</v>
      </c>
      <c r="E12100">
        <v>0</v>
      </c>
      <c r="F12100">
        <v>-10.192399999999999</v>
      </c>
    </row>
    <row r="12101" spans="1:6" x14ac:dyDescent="0.25">
      <c r="A12101">
        <v>12100</v>
      </c>
      <c r="B12101">
        <v>45</v>
      </c>
      <c r="C12101">
        <v>0</v>
      </c>
      <c r="D12101">
        <v>0</v>
      </c>
      <c r="E12101">
        <v>0</v>
      </c>
      <c r="F12101">
        <v>515.73500000000001</v>
      </c>
    </row>
    <row r="12102" spans="1:6" x14ac:dyDescent="0.25">
      <c r="A12102">
        <v>12101</v>
      </c>
      <c r="B12102">
        <v>46</v>
      </c>
      <c r="C12102">
        <v>0</v>
      </c>
      <c r="D12102">
        <v>0</v>
      </c>
      <c r="E12102">
        <v>0</v>
      </c>
      <c r="F12102">
        <v>0</v>
      </c>
    </row>
    <row r="12103" spans="1:6" x14ac:dyDescent="0.25">
      <c r="A12103">
        <v>12102</v>
      </c>
      <c r="B12103">
        <v>2</v>
      </c>
      <c r="C12103">
        <v>0</v>
      </c>
      <c r="D12103">
        <v>0</v>
      </c>
      <c r="E12103">
        <v>0</v>
      </c>
      <c r="F12103">
        <v>241.142</v>
      </c>
    </row>
    <row r="12104" spans="1:6" x14ac:dyDescent="0.25">
      <c r="A12104">
        <v>12103</v>
      </c>
      <c r="B12104">
        <v>10</v>
      </c>
      <c r="C12104">
        <v>1</v>
      </c>
      <c r="D12104">
        <v>0</v>
      </c>
      <c r="E12104">
        <v>0</v>
      </c>
      <c r="F12104">
        <v>4985</v>
      </c>
    </row>
    <row r="12105" spans="1:6" x14ac:dyDescent="0.25">
      <c r="A12105">
        <v>12104</v>
      </c>
      <c r="B12105">
        <v>13</v>
      </c>
      <c r="C12105">
        <v>0</v>
      </c>
      <c r="D12105">
        <v>0</v>
      </c>
      <c r="E12105">
        <v>0</v>
      </c>
      <c r="F12105">
        <v>1610</v>
      </c>
    </row>
    <row r="12106" spans="1:6" x14ac:dyDescent="0.25">
      <c r="A12106">
        <v>12105</v>
      </c>
      <c r="B12106">
        <v>41</v>
      </c>
      <c r="C12106">
        <v>0</v>
      </c>
      <c r="D12106">
        <v>0</v>
      </c>
      <c r="E12106">
        <v>0</v>
      </c>
      <c r="F12106">
        <v>1</v>
      </c>
    </row>
    <row r="12107" spans="1:6" x14ac:dyDescent="0.25">
      <c r="A12107">
        <v>12106</v>
      </c>
      <c r="B12107" t="s">
        <v>0</v>
      </c>
      <c r="C12107">
        <v>25</v>
      </c>
      <c r="D12107">
        <v>3499</v>
      </c>
      <c r="E12107">
        <v>80461719</v>
      </c>
    </row>
    <row r="12108" spans="1:6" x14ac:dyDescent="0.25">
      <c r="A12108">
        <v>12107</v>
      </c>
      <c r="B12108">
        <v>42</v>
      </c>
      <c r="C12108">
        <v>0</v>
      </c>
      <c r="D12108">
        <v>0</v>
      </c>
      <c r="E12108">
        <v>0</v>
      </c>
      <c r="F12108">
        <v>0.2</v>
      </c>
    </row>
    <row r="12109" spans="1:6" x14ac:dyDescent="0.25">
      <c r="A12109">
        <v>12108</v>
      </c>
      <c r="B12109">
        <v>43</v>
      </c>
      <c r="C12109">
        <v>0</v>
      </c>
      <c r="D12109">
        <v>0</v>
      </c>
      <c r="E12109">
        <v>0</v>
      </c>
      <c r="F12109">
        <v>0</v>
      </c>
    </row>
    <row r="12110" spans="1:6" x14ac:dyDescent="0.25">
      <c r="A12110">
        <v>12109</v>
      </c>
      <c r="B12110" t="s">
        <v>0</v>
      </c>
      <c r="C12110">
        <v>26</v>
      </c>
      <c r="D12110">
        <v>3499</v>
      </c>
      <c r="E12110">
        <v>80461857</v>
      </c>
    </row>
    <row r="12111" spans="1:6" x14ac:dyDescent="0.25">
      <c r="A12111">
        <v>12110</v>
      </c>
      <c r="B12111">
        <v>44</v>
      </c>
      <c r="C12111">
        <v>0</v>
      </c>
      <c r="D12111">
        <v>0</v>
      </c>
      <c r="E12111">
        <v>0</v>
      </c>
      <c r="F12111">
        <v>-9.9985999999999997</v>
      </c>
    </row>
    <row r="12112" spans="1:6" x14ac:dyDescent="0.25">
      <c r="A12112">
        <v>12111</v>
      </c>
      <c r="B12112">
        <v>45</v>
      </c>
      <c r="C12112">
        <v>0</v>
      </c>
      <c r="D12112">
        <v>0</v>
      </c>
      <c r="E12112">
        <v>0</v>
      </c>
      <c r="F12112">
        <v>515.72900000000004</v>
      </c>
    </row>
    <row r="12113" spans="1:6" x14ac:dyDescent="0.25">
      <c r="A12113">
        <v>12112</v>
      </c>
      <c r="B12113" t="s">
        <v>0</v>
      </c>
      <c r="C12113">
        <v>27</v>
      </c>
      <c r="D12113">
        <v>3499</v>
      </c>
      <c r="E12113">
        <v>80461994</v>
      </c>
    </row>
    <row r="12114" spans="1:6" x14ac:dyDescent="0.25">
      <c r="A12114">
        <v>12113</v>
      </c>
      <c r="B12114">
        <v>46</v>
      </c>
      <c r="C12114">
        <v>0</v>
      </c>
      <c r="D12114">
        <v>0</v>
      </c>
      <c r="E12114">
        <v>0</v>
      </c>
      <c r="F12114">
        <v>0</v>
      </c>
    </row>
    <row r="12115" spans="1:6" x14ac:dyDescent="0.25">
      <c r="A12115">
        <v>12114</v>
      </c>
      <c r="B12115">
        <v>2</v>
      </c>
      <c r="C12115">
        <v>0</v>
      </c>
      <c r="D12115">
        <v>0</v>
      </c>
      <c r="E12115">
        <v>0</v>
      </c>
      <c r="F12115">
        <v>241.12899999999999</v>
      </c>
    </row>
    <row r="12116" spans="1:6" x14ac:dyDescent="0.25">
      <c r="A12116">
        <v>12115</v>
      </c>
      <c r="B12116" t="s">
        <v>0</v>
      </c>
      <c r="C12116">
        <v>28</v>
      </c>
      <c r="D12116">
        <v>3499</v>
      </c>
      <c r="E12116">
        <v>80462131</v>
      </c>
    </row>
    <row r="12117" spans="1:6" x14ac:dyDescent="0.25">
      <c r="A12117">
        <v>12116</v>
      </c>
      <c r="B12117">
        <v>10</v>
      </c>
      <c r="C12117">
        <v>1</v>
      </c>
      <c r="D12117">
        <v>0</v>
      </c>
      <c r="E12117">
        <v>0</v>
      </c>
      <c r="F12117">
        <v>4986</v>
      </c>
    </row>
    <row r="12118" spans="1:6" x14ac:dyDescent="0.25">
      <c r="A12118">
        <v>12117</v>
      </c>
      <c r="B12118">
        <v>13</v>
      </c>
      <c r="C12118">
        <v>0</v>
      </c>
      <c r="D12118">
        <v>0</v>
      </c>
      <c r="E12118">
        <v>0</v>
      </c>
      <c r="F12118">
        <v>1610</v>
      </c>
    </row>
    <row r="12119" spans="1:6" x14ac:dyDescent="0.25">
      <c r="A12119">
        <v>12118</v>
      </c>
      <c r="B12119" t="s">
        <v>0</v>
      </c>
      <c r="C12119">
        <v>29</v>
      </c>
      <c r="D12119">
        <v>3499</v>
      </c>
      <c r="E12119">
        <v>80462269</v>
      </c>
    </row>
    <row r="12120" spans="1:6" x14ac:dyDescent="0.25">
      <c r="A12120">
        <v>12119</v>
      </c>
      <c r="B12120">
        <v>41</v>
      </c>
      <c r="C12120">
        <v>0</v>
      </c>
      <c r="D12120">
        <v>0</v>
      </c>
      <c r="E12120">
        <v>0</v>
      </c>
      <c r="F12120">
        <v>1</v>
      </c>
    </row>
    <row r="12121" spans="1:6" x14ac:dyDescent="0.25">
      <c r="A12121">
        <v>12120</v>
      </c>
      <c r="B12121">
        <v>42</v>
      </c>
      <c r="C12121">
        <v>0</v>
      </c>
      <c r="D12121">
        <v>0</v>
      </c>
      <c r="E12121">
        <v>0</v>
      </c>
      <c r="F12121">
        <v>0.2</v>
      </c>
    </row>
    <row r="12122" spans="1:6" x14ac:dyDescent="0.25">
      <c r="A12122">
        <v>12121</v>
      </c>
      <c r="B12122" t="s">
        <v>0</v>
      </c>
      <c r="C12122">
        <v>30</v>
      </c>
      <c r="D12122">
        <v>3499</v>
      </c>
      <c r="E12122">
        <v>80462407</v>
      </c>
    </row>
    <row r="12123" spans="1:6" x14ac:dyDescent="0.25">
      <c r="A12123">
        <v>12122</v>
      </c>
      <c r="B12123">
        <v>44</v>
      </c>
      <c r="C12123">
        <v>0</v>
      </c>
      <c r="D12123">
        <v>0</v>
      </c>
      <c r="E12123">
        <v>0</v>
      </c>
      <c r="F12123">
        <v>-9.8366699999999998</v>
      </c>
    </row>
    <row r="12124" spans="1:6" x14ac:dyDescent="0.25">
      <c r="A12124">
        <v>12123</v>
      </c>
      <c r="B12124" t="s">
        <v>0</v>
      </c>
      <c r="C12124">
        <v>31</v>
      </c>
      <c r="D12124">
        <v>3499</v>
      </c>
      <c r="E12124">
        <v>80462544</v>
      </c>
    </row>
    <row r="12125" spans="1:6" x14ac:dyDescent="0.25">
      <c r="A12125">
        <v>12124</v>
      </c>
      <c r="B12125">
        <v>46</v>
      </c>
      <c r="C12125">
        <v>0</v>
      </c>
      <c r="D12125">
        <v>0</v>
      </c>
      <c r="E12125">
        <v>0</v>
      </c>
      <c r="F12125">
        <v>0</v>
      </c>
    </row>
    <row r="12126" spans="1:6" x14ac:dyDescent="0.25">
      <c r="A12126">
        <v>12125</v>
      </c>
      <c r="B12126" t="s">
        <v>0</v>
      </c>
      <c r="C12126">
        <v>32</v>
      </c>
      <c r="D12126">
        <v>3499</v>
      </c>
      <c r="E12126">
        <v>80462682</v>
      </c>
    </row>
    <row r="12127" spans="1:6" x14ac:dyDescent="0.25">
      <c r="A12127">
        <v>12126</v>
      </c>
      <c r="B12127">
        <v>10</v>
      </c>
      <c r="C12127">
        <v>1</v>
      </c>
      <c r="D12127">
        <v>0</v>
      </c>
      <c r="E12127">
        <v>0</v>
      </c>
      <c r="F12127">
        <v>4988</v>
      </c>
    </row>
    <row r="12128" spans="1:6" x14ac:dyDescent="0.25">
      <c r="A12128">
        <v>12127</v>
      </c>
      <c r="B12128" t="s">
        <v>0</v>
      </c>
      <c r="C12128">
        <v>33</v>
      </c>
      <c r="D12128">
        <v>3499</v>
      </c>
      <c r="E12128">
        <v>80462820</v>
      </c>
    </row>
    <row r="12129" spans="1:6" x14ac:dyDescent="0.25">
      <c r="A12129">
        <v>12128</v>
      </c>
      <c r="B12129">
        <v>41</v>
      </c>
      <c r="C12129">
        <v>0</v>
      </c>
      <c r="D12129">
        <v>0</v>
      </c>
      <c r="E12129">
        <v>0</v>
      </c>
      <c r="F12129">
        <v>1</v>
      </c>
    </row>
    <row r="12130" spans="1:6" x14ac:dyDescent="0.25">
      <c r="A12130">
        <v>12129</v>
      </c>
      <c r="B12130" t="s">
        <v>0</v>
      </c>
      <c r="C12130">
        <v>34</v>
      </c>
      <c r="D12130">
        <v>3499</v>
      </c>
      <c r="E12130">
        <v>80462957</v>
      </c>
    </row>
    <row r="12131" spans="1:6" x14ac:dyDescent="0.25">
      <c r="A12131">
        <v>12130</v>
      </c>
      <c r="B12131">
        <v>42</v>
      </c>
      <c r="C12131">
        <v>0</v>
      </c>
      <c r="D12131">
        <v>0</v>
      </c>
      <c r="E12131">
        <v>0</v>
      </c>
      <c r="F12131">
        <v>0.2</v>
      </c>
    </row>
    <row r="12132" spans="1:6" x14ac:dyDescent="0.25">
      <c r="A12132">
        <v>12131</v>
      </c>
      <c r="B12132">
        <v>43</v>
      </c>
      <c r="C12132">
        <v>0</v>
      </c>
      <c r="D12132">
        <v>0</v>
      </c>
      <c r="E12132">
        <v>0</v>
      </c>
      <c r="F12132">
        <v>0</v>
      </c>
    </row>
    <row r="12133" spans="1:6" x14ac:dyDescent="0.25">
      <c r="A12133">
        <v>12132</v>
      </c>
      <c r="B12133">
        <v>44</v>
      </c>
      <c r="C12133">
        <v>0</v>
      </c>
      <c r="D12133">
        <v>0</v>
      </c>
      <c r="E12133">
        <v>0</v>
      </c>
      <c r="F12133">
        <v>-9.6747599999999991</v>
      </c>
    </row>
    <row r="12134" spans="1:6" x14ac:dyDescent="0.25">
      <c r="A12134">
        <v>12133</v>
      </c>
      <c r="B12134">
        <v>45</v>
      </c>
      <c r="C12134">
        <v>0</v>
      </c>
      <c r="D12134">
        <v>0</v>
      </c>
      <c r="E12134">
        <v>0</v>
      </c>
      <c r="F12134">
        <v>515.71400000000006</v>
      </c>
    </row>
    <row r="12135" spans="1:6" x14ac:dyDescent="0.25">
      <c r="A12135">
        <v>12134</v>
      </c>
      <c r="B12135">
        <v>46</v>
      </c>
      <c r="C12135">
        <v>0</v>
      </c>
      <c r="D12135">
        <v>0</v>
      </c>
      <c r="E12135">
        <v>0</v>
      </c>
      <c r="F12135">
        <v>0</v>
      </c>
    </row>
    <row r="12136" spans="1:6" x14ac:dyDescent="0.25">
      <c r="A12136">
        <v>12135</v>
      </c>
      <c r="B12136">
        <v>2</v>
      </c>
      <c r="C12136">
        <v>0</v>
      </c>
      <c r="D12136">
        <v>0</v>
      </c>
      <c r="E12136">
        <v>0</v>
      </c>
      <c r="F12136">
        <v>241.10599999999999</v>
      </c>
    </row>
    <row r="12137" spans="1:6" x14ac:dyDescent="0.25">
      <c r="A12137">
        <v>12136</v>
      </c>
      <c r="B12137">
        <v>10</v>
      </c>
      <c r="C12137">
        <v>1</v>
      </c>
      <c r="D12137">
        <v>0</v>
      </c>
      <c r="E12137">
        <v>0</v>
      </c>
      <c r="F12137">
        <v>4989</v>
      </c>
    </row>
    <row r="12138" spans="1:6" x14ac:dyDescent="0.25">
      <c r="A12138">
        <v>12137</v>
      </c>
      <c r="B12138">
        <v>13</v>
      </c>
      <c r="C12138">
        <v>0</v>
      </c>
      <c r="D12138">
        <v>0</v>
      </c>
      <c r="E12138">
        <v>0</v>
      </c>
      <c r="F12138">
        <v>1610</v>
      </c>
    </row>
    <row r="12139" spans="1:6" x14ac:dyDescent="0.25">
      <c r="A12139">
        <v>12138</v>
      </c>
      <c r="B12139">
        <v>41</v>
      </c>
      <c r="C12139">
        <v>0</v>
      </c>
      <c r="D12139">
        <v>0</v>
      </c>
      <c r="E12139">
        <v>0</v>
      </c>
      <c r="F12139">
        <v>1</v>
      </c>
    </row>
    <row r="12140" spans="1:6" x14ac:dyDescent="0.25">
      <c r="A12140">
        <v>12139</v>
      </c>
      <c r="B12140">
        <v>42</v>
      </c>
      <c r="C12140">
        <v>0</v>
      </c>
      <c r="D12140">
        <v>0</v>
      </c>
      <c r="E12140">
        <v>0</v>
      </c>
      <c r="F12140">
        <v>0.2</v>
      </c>
    </row>
    <row r="12141" spans="1:6" x14ac:dyDescent="0.25">
      <c r="A12141">
        <v>12140</v>
      </c>
      <c r="B12141">
        <v>43</v>
      </c>
      <c r="C12141">
        <v>0</v>
      </c>
      <c r="D12141">
        <v>0</v>
      </c>
      <c r="E12141">
        <v>0</v>
      </c>
      <c r="F12141">
        <v>0</v>
      </c>
    </row>
    <row r="12142" spans="1:6" x14ac:dyDescent="0.25">
      <c r="A12142">
        <v>12141</v>
      </c>
      <c r="B12142">
        <v>44</v>
      </c>
      <c r="C12142">
        <v>0</v>
      </c>
      <c r="D12142">
        <v>0</v>
      </c>
      <c r="E12142">
        <v>0</v>
      </c>
      <c r="F12142">
        <v>-9.5173299999999994</v>
      </c>
    </row>
    <row r="12143" spans="1:6" x14ac:dyDescent="0.25">
      <c r="A12143">
        <v>12142</v>
      </c>
      <c r="B12143" t="s">
        <v>0</v>
      </c>
      <c r="C12143">
        <v>40</v>
      </c>
      <c r="D12143">
        <v>3499</v>
      </c>
      <c r="E12143">
        <v>80463783</v>
      </c>
    </row>
    <row r="12144" spans="1:6" x14ac:dyDescent="0.25">
      <c r="A12144">
        <v>12143</v>
      </c>
      <c r="B12144">
        <v>45</v>
      </c>
      <c r="C12144">
        <v>0</v>
      </c>
      <c r="D12144">
        <v>0</v>
      </c>
      <c r="E12144">
        <v>0</v>
      </c>
      <c r="F12144">
        <v>515.70600000000002</v>
      </c>
    </row>
    <row r="12145" spans="1:6" x14ac:dyDescent="0.25">
      <c r="A12145">
        <v>12144</v>
      </c>
      <c r="B12145">
        <v>46</v>
      </c>
      <c r="C12145">
        <v>0</v>
      </c>
      <c r="D12145">
        <v>0</v>
      </c>
      <c r="E12145">
        <v>0</v>
      </c>
      <c r="F12145">
        <v>0</v>
      </c>
    </row>
    <row r="12146" spans="1:6" x14ac:dyDescent="0.25">
      <c r="A12146">
        <v>12145</v>
      </c>
      <c r="B12146" t="s">
        <v>0</v>
      </c>
      <c r="C12146">
        <v>41</v>
      </c>
      <c r="D12146">
        <v>3499</v>
      </c>
      <c r="E12146">
        <v>80463921</v>
      </c>
    </row>
    <row r="12147" spans="1:6" x14ac:dyDescent="0.25">
      <c r="A12147">
        <v>12146</v>
      </c>
      <c r="B12147">
        <v>2</v>
      </c>
      <c r="C12147">
        <v>0</v>
      </c>
      <c r="D12147">
        <v>0</v>
      </c>
      <c r="E12147">
        <v>0</v>
      </c>
      <c r="F12147">
        <v>241.09700000000001</v>
      </c>
    </row>
    <row r="12148" spans="1:6" x14ac:dyDescent="0.25">
      <c r="A12148">
        <v>12147</v>
      </c>
      <c r="B12148">
        <v>10</v>
      </c>
      <c r="C12148">
        <v>1</v>
      </c>
      <c r="D12148">
        <v>0</v>
      </c>
      <c r="E12148">
        <v>0</v>
      </c>
      <c r="F12148">
        <v>4990</v>
      </c>
    </row>
    <row r="12149" spans="1:6" x14ac:dyDescent="0.25">
      <c r="A12149">
        <v>12148</v>
      </c>
      <c r="B12149" t="s">
        <v>0</v>
      </c>
      <c r="C12149">
        <v>42</v>
      </c>
      <c r="D12149">
        <v>3499</v>
      </c>
      <c r="E12149">
        <v>80464059</v>
      </c>
    </row>
    <row r="12150" spans="1:6" x14ac:dyDescent="0.25">
      <c r="A12150">
        <v>12149</v>
      </c>
      <c r="B12150">
        <v>13</v>
      </c>
      <c r="C12150">
        <v>0</v>
      </c>
      <c r="D12150">
        <v>0</v>
      </c>
      <c r="E12150">
        <v>0</v>
      </c>
      <c r="F12150">
        <v>1610</v>
      </c>
    </row>
    <row r="12151" spans="1:6" x14ac:dyDescent="0.25">
      <c r="A12151">
        <v>12150</v>
      </c>
      <c r="B12151">
        <v>41</v>
      </c>
      <c r="C12151">
        <v>0</v>
      </c>
      <c r="D12151">
        <v>0</v>
      </c>
      <c r="E12151">
        <v>0</v>
      </c>
      <c r="F12151">
        <v>1</v>
      </c>
    </row>
    <row r="12152" spans="1:6" x14ac:dyDescent="0.25">
      <c r="A12152">
        <v>12151</v>
      </c>
      <c r="B12152" t="s">
        <v>0</v>
      </c>
      <c r="C12152">
        <v>43</v>
      </c>
      <c r="D12152">
        <v>3499</v>
      </c>
      <c r="E12152">
        <v>80464196</v>
      </c>
    </row>
    <row r="12153" spans="1:6" x14ac:dyDescent="0.25">
      <c r="A12153">
        <v>12152</v>
      </c>
      <c r="B12153">
        <v>42</v>
      </c>
      <c r="C12153">
        <v>0</v>
      </c>
      <c r="D12153">
        <v>0</v>
      </c>
      <c r="E12153">
        <v>0</v>
      </c>
      <c r="F12153">
        <v>0.2</v>
      </c>
    </row>
    <row r="12154" spans="1:6" x14ac:dyDescent="0.25">
      <c r="A12154">
        <v>12153</v>
      </c>
      <c r="B12154">
        <v>43</v>
      </c>
      <c r="C12154">
        <v>0</v>
      </c>
      <c r="D12154">
        <v>0</v>
      </c>
      <c r="E12154">
        <v>0</v>
      </c>
      <c r="F12154">
        <v>0</v>
      </c>
    </row>
    <row r="12155" spans="1:6" x14ac:dyDescent="0.25">
      <c r="A12155">
        <v>12154</v>
      </c>
      <c r="B12155" t="s">
        <v>0</v>
      </c>
      <c r="C12155">
        <v>44</v>
      </c>
      <c r="D12155">
        <v>3499</v>
      </c>
      <c r="E12155">
        <v>80464334</v>
      </c>
    </row>
    <row r="12156" spans="1:6" x14ac:dyDescent="0.25">
      <c r="A12156">
        <v>12155</v>
      </c>
      <c r="B12156">
        <v>45</v>
      </c>
      <c r="C12156">
        <v>0</v>
      </c>
      <c r="D12156">
        <v>0</v>
      </c>
      <c r="E12156">
        <v>0</v>
      </c>
      <c r="F12156">
        <v>515.70000000000005</v>
      </c>
    </row>
    <row r="12157" spans="1:6" x14ac:dyDescent="0.25">
      <c r="A12157">
        <v>12156</v>
      </c>
      <c r="B12157" t="s">
        <v>0</v>
      </c>
      <c r="C12157">
        <v>45</v>
      </c>
      <c r="D12157">
        <v>3499</v>
      </c>
      <c r="E12157">
        <v>80464472</v>
      </c>
    </row>
    <row r="12158" spans="1:6" x14ac:dyDescent="0.25">
      <c r="A12158">
        <v>12157</v>
      </c>
      <c r="B12158">
        <v>2</v>
      </c>
      <c r="C12158">
        <v>0</v>
      </c>
      <c r="D12158">
        <v>0</v>
      </c>
      <c r="E12158">
        <v>0</v>
      </c>
      <c r="F12158">
        <v>241.09100000000001</v>
      </c>
    </row>
    <row r="12159" spans="1:6" x14ac:dyDescent="0.25">
      <c r="A12159">
        <v>12158</v>
      </c>
      <c r="B12159" t="s">
        <v>0</v>
      </c>
      <c r="C12159">
        <v>46</v>
      </c>
      <c r="D12159">
        <v>3499</v>
      </c>
      <c r="E12159">
        <v>80464609</v>
      </c>
    </row>
    <row r="12160" spans="1:6" x14ac:dyDescent="0.25">
      <c r="A12160">
        <v>12159</v>
      </c>
      <c r="B12160">
        <v>13</v>
      </c>
      <c r="C12160">
        <v>0</v>
      </c>
      <c r="D12160">
        <v>0</v>
      </c>
      <c r="E12160">
        <v>0</v>
      </c>
      <c r="F12160">
        <v>1610</v>
      </c>
    </row>
    <row r="12161" spans="1:6" x14ac:dyDescent="0.25">
      <c r="A12161">
        <v>12160</v>
      </c>
      <c r="B12161" t="s">
        <v>0</v>
      </c>
      <c r="C12161">
        <v>47</v>
      </c>
      <c r="D12161">
        <v>3499</v>
      </c>
      <c r="E12161">
        <v>80464747</v>
      </c>
    </row>
    <row r="12162" spans="1:6" x14ac:dyDescent="0.25">
      <c r="A12162">
        <v>12161</v>
      </c>
      <c r="B12162">
        <v>42</v>
      </c>
      <c r="C12162">
        <v>0</v>
      </c>
      <c r="D12162">
        <v>0</v>
      </c>
      <c r="E12162">
        <v>0</v>
      </c>
      <c r="F12162">
        <v>0.2</v>
      </c>
    </row>
    <row r="12163" spans="1:6" x14ac:dyDescent="0.25">
      <c r="A12163">
        <v>12162</v>
      </c>
      <c r="B12163" t="s">
        <v>0</v>
      </c>
      <c r="C12163">
        <v>48</v>
      </c>
      <c r="D12163">
        <v>3499</v>
      </c>
      <c r="E12163">
        <v>80464885</v>
      </c>
    </row>
    <row r="12164" spans="1:6" x14ac:dyDescent="0.25">
      <c r="A12164">
        <v>12163</v>
      </c>
      <c r="B12164">
        <v>44</v>
      </c>
      <c r="C12164">
        <v>0</v>
      </c>
      <c r="D12164">
        <v>0</v>
      </c>
      <c r="E12164">
        <v>0</v>
      </c>
      <c r="F12164">
        <v>-9.20505</v>
      </c>
    </row>
    <row r="12165" spans="1:6" x14ac:dyDescent="0.25">
      <c r="A12165">
        <v>12164</v>
      </c>
      <c r="B12165">
        <v>45</v>
      </c>
      <c r="C12165">
        <v>0</v>
      </c>
      <c r="D12165">
        <v>0</v>
      </c>
      <c r="E12165">
        <v>0</v>
      </c>
      <c r="F12165">
        <v>515.69399999999996</v>
      </c>
    </row>
    <row r="12166" spans="1:6" x14ac:dyDescent="0.25">
      <c r="A12166">
        <v>12165</v>
      </c>
      <c r="B12166">
        <v>46</v>
      </c>
      <c r="C12166">
        <v>0</v>
      </c>
      <c r="D12166">
        <v>0</v>
      </c>
      <c r="E12166">
        <v>0</v>
      </c>
      <c r="F12166">
        <v>0</v>
      </c>
    </row>
    <row r="12167" spans="1:6" x14ac:dyDescent="0.25">
      <c r="A12167">
        <v>12166</v>
      </c>
      <c r="B12167">
        <v>2</v>
      </c>
      <c r="C12167">
        <v>0</v>
      </c>
      <c r="D12167">
        <v>0</v>
      </c>
      <c r="E12167">
        <v>0</v>
      </c>
      <c r="F12167">
        <v>241.08699999999999</v>
      </c>
    </row>
    <row r="12168" spans="1:6" x14ac:dyDescent="0.25">
      <c r="A12168">
        <v>12167</v>
      </c>
      <c r="B12168">
        <v>10</v>
      </c>
      <c r="C12168">
        <v>1</v>
      </c>
      <c r="D12168">
        <v>0</v>
      </c>
      <c r="E12168">
        <v>0</v>
      </c>
      <c r="F12168">
        <v>4992</v>
      </c>
    </row>
    <row r="12169" spans="1:6" x14ac:dyDescent="0.25">
      <c r="A12169">
        <v>12168</v>
      </c>
      <c r="B12169">
        <v>13</v>
      </c>
      <c r="C12169">
        <v>0</v>
      </c>
      <c r="D12169">
        <v>0</v>
      </c>
      <c r="E12169">
        <v>0</v>
      </c>
      <c r="F12169">
        <v>1610</v>
      </c>
    </row>
    <row r="12170" spans="1:6" x14ac:dyDescent="0.25">
      <c r="A12170">
        <v>12169</v>
      </c>
      <c r="B12170">
        <v>41</v>
      </c>
      <c r="C12170">
        <v>0</v>
      </c>
      <c r="D12170">
        <v>0</v>
      </c>
      <c r="E12170">
        <v>0</v>
      </c>
      <c r="F12170">
        <v>1</v>
      </c>
    </row>
    <row r="12171" spans="1:6" x14ac:dyDescent="0.25">
      <c r="A12171">
        <v>12170</v>
      </c>
      <c r="B12171">
        <v>42</v>
      </c>
      <c r="C12171">
        <v>0</v>
      </c>
      <c r="D12171">
        <v>0</v>
      </c>
      <c r="E12171">
        <v>0</v>
      </c>
      <c r="F12171">
        <v>0.2</v>
      </c>
    </row>
    <row r="12172" spans="1:6" x14ac:dyDescent="0.25">
      <c r="A12172">
        <v>12171</v>
      </c>
      <c r="B12172">
        <v>43</v>
      </c>
      <c r="C12172">
        <v>0</v>
      </c>
      <c r="D12172">
        <v>0</v>
      </c>
      <c r="E12172">
        <v>0</v>
      </c>
      <c r="F12172">
        <v>0</v>
      </c>
    </row>
    <row r="12173" spans="1:6" x14ac:dyDescent="0.25">
      <c r="A12173">
        <v>12172</v>
      </c>
      <c r="B12173">
        <v>44</v>
      </c>
      <c r="C12173">
        <v>0</v>
      </c>
      <c r="D12173">
        <v>0</v>
      </c>
      <c r="E12173">
        <v>0</v>
      </c>
      <c r="F12173">
        <v>-9.0513200000000005</v>
      </c>
    </row>
    <row r="12174" spans="1:6" x14ac:dyDescent="0.25">
      <c r="A12174">
        <v>12173</v>
      </c>
      <c r="B12174">
        <v>45</v>
      </c>
      <c r="C12174">
        <v>0</v>
      </c>
      <c r="D12174">
        <v>0</v>
      </c>
      <c r="E12174">
        <v>0</v>
      </c>
      <c r="F12174">
        <v>515.68600000000004</v>
      </c>
    </row>
    <row r="12175" spans="1:6" x14ac:dyDescent="0.25">
      <c r="A12175">
        <v>12174</v>
      </c>
      <c r="B12175">
        <v>46</v>
      </c>
      <c r="C12175">
        <v>0</v>
      </c>
      <c r="D12175">
        <v>0</v>
      </c>
      <c r="E12175">
        <v>0</v>
      </c>
      <c r="F12175">
        <v>0</v>
      </c>
    </row>
    <row r="12176" spans="1:6" x14ac:dyDescent="0.25">
      <c r="A12176">
        <v>12175</v>
      </c>
      <c r="B12176" t="s">
        <v>0</v>
      </c>
      <c r="C12176">
        <v>54</v>
      </c>
      <c r="D12176">
        <v>3499</v>
      </c>
      <c r="E12176">
        <v>80465711</v>
      </c>
    </row>
    <row r="12177" spans="1:6" x14ac:dyDescent="0.25">
      <c r="A12177">
        <v>12176</v>
      </c>
      <c r="B12177">
        <v>2</v>
      </c>
      <c r="C12177">
        <v>0</v>
      </c>
      <c r="D12177">
        <v>0</v>
      </c>
      <c r="E12177">
        <v>0</v>
      </c>
      <c r="F12177">
        <v>241.083</v>
      </c>
    </row>
    <row r="12178" spans="1:6" x14ac:dyDescent="0.25">
      <c r="A12178">
        <v>12177</v>
      </c>
      <c r="B12178">
        <v>10</v>
      </c>
      <c r="C12178">
        <v>1</v>
      </c>
      <c r="D12178">
        <v>0</v>
      </c>
      <c r="E12178">
        <v>0</v>
      </c>
      <c r="F12178">
        <v>4993</v>
      </c>
    </row>
    <row r="12179" spans="1:6" x14ac:dyDescent="0.25">
      <c r="A12179">
        <v>12178</v>
      </c>
      <c r="B12179" t="s">
        <v>0</v>
      </c>
      <c r="C12179">
        <v>55</v>
      </c>
      <c r="D12179">
        <v>3499</v>
      </c>
      <c r="E12179">
        <v>80465848</v>
      </c>
    </row>
    <row r="12180" spans="1:6" x14ac:dyDescent="0.25">
      <c r="A12180">
        <v>12179</v>
      </c>
      <c r="B12180">
        <v>13</v>
      </c>
      <c r="C12180">
        <v>0</v>
      </c>
      <c r="D12180">
        <v>0</v>
      </c>
      <c r="E12180">
        <v>0</v>
      </c>
      <c r="F12180">
        <v>1610</v>
      </c>
    </row>
    <row r="12181" spans="1:6" x14ac:dyDescent="0.25">
      <c r="A12181">
        <v>12180</v>
      </c>
      <c r="B12181">
        <v>41</v>
      </c>
      <c r="C12181">
        <v>0</v>
      </c>
      <c r="D12181">
        <v>0</v>
      </c>
      <c r="E12181">
        <v>0</v>
      </c>
      <c r="F12181">
        <v>1</v>
      </c>
    </row>
    <row r="12182" spans="1:6" x14ac:dyDescent="0.25">
      <c r="A12182">
        <v>12181</v>
      </c>
      <c r="B12182" t="s">
        <v>0</v>
      </c>
      <c r="C12182">
        <v>56</v>
      </c>
      <c r="D12182">
        <v>3499</v>
      </c>
      <c r="E12182">
        <v>80465986</v>
      </c>
    </row>
    <row r="12183" spans="1:6" x14ac:dyDescent="0.25">
      <c r="A12183">
        <v>12182</v>
      </c>
      <c r="B12183">
        <v>42</v>
      </c>
      <c r="C12183">
        <v>0</v>
      </c>
      <c r="D12183">
        <v>0</v>
      </c>
      <c r="E12183">
        <v>0</v>
      </c>
      <c r="F12183">
        <v>0.2</v>
      </c>
    </row>
    <row r="12184" spans="1:6" x14ac:dyDescent="0.25">
      <c r="A12184">
        <v>12183</v>
      </c>
      <c r="B12184">
        <v>43</v>
      </c>
      <c r="C12184">
        <v>0</v>
      </c>
      <c r="D12184">
        <v>0</v>
      </c>
      <c r="E12184">
        <v>0</v>
      </c>
      <c r="F12184">
        <v>0</v>
      </c>
    </row>
    <row r="12185" spans="1:6" x14ac:dyDescent="0.25">
      <c r="A12185">
        <v>12184</v>
      </c>
      <c r="B12185" t="s">
        <v>0</v>
      </c>
      <c r="C12185">
        <v>57</v>
      </c>
      <c r="D12185">
        <v>3499</v>
      </c>
      <c r="E12185">
        <v>80466124</v>
      </c>
    </row>
    <row r="12186" spans="1:6" x14ac:dyDescent="0.25">
      <c r="A12186">
        <v>12185</v>
      </c>
      <c r="B12186">
        <v>44</v>
      </c>
      <c r="C12186">
        <v>0</v>
      </c>
      <c r="D12186">
        <v>0</v>
      </c>
      <c r="E12186">
        <v>0</v>
      </c>
      <c r="F12186">
        <v>-8.8684100000000008</v>
      </c>
    </row>
    <row r="12187" spans="1:6" x14ac:dyDescent="0.25">
      <c r="A12187">
        <v>12186</v>
      </c>
      <c r="B12187">
        <v>45</v>
      </c>
      <c r="C12187">
        <v>0</v>
      </c>
      <c r="D12187">
        <v>0</v>
      </c>
      <c r="E12187">
        <v>0</v>
      </c>
      <c r="F12187">
        <v>515.67999999999995</v>
      </c>
    </row>
    <row r="12188" spans="1:6" x14ac:dyDescent="0.25">
      <c r="A12188">
        <v>12187</v>
      </c>
      <c r="B12188" t="s">
        <v>0</v>
      </c>
      <c r="C12188">
        <v>58</v>
      </c>
      <c r="D12188">
        <v>3499</v>
      </c>
      <c r="E12188">
        <v>80466261</v>
      </c>
    </row>
    <row r="12189" spans="1:6" x14ac:dyDescent="0.25">
      <c r="A12189">
        <v>12188</v>
      </c>
      <c r="B12189">
        <v>46</v>
      </c>
      <c r="C12189">
        <v>0</v>
      </c>
      <c r="D12189">
        <v>0</v>
      </c>
      <c r="E12189">
        <v>0</v>
      </c>
      <c r="F12189">
        <v>0</v>
      </c>
    </row>
    <row r="12190" spans="1:6" x14ac:dyDescent="0.25">
      <c r="A12190">
        <v>12189</v>
      </c>
      <c r="B12190">
        <v>2</v>
      </c>
      <c r="C12190">
        <v>0</v>
      </c>
      <c r="D12190">
        <v>0</v>
      </c>
      <c r="E12190">
        <v>0</v>
      </c>
      <c r="F12190">
        <v>241.08</v>
      </c>
    </row>
    <row r="12191" spans="1:6" x14ac:dyDescent="0.25">
      <c r="A12191">
        <v>12190</v>
      </c>
      <c r="B12191" t="s">
        <v>0</v>
      </c>
      <c r="C12191">
        <v>59</v>
      </c>
      <c r="D12191">
        <v>3499</v>
      </c>
      <c r="E12191">
        <v>80466399</v>
      </c>
    </row>
    <row r="12192" spans="1:6" x14ac:dyDescent="0.25">
      <c r="A12192">
        <v>12191</v>
      </c>
      <c r="B12192">
        <v>13</v>
      </c>
      <c r="C12192">
        <v>0</v>
      </c>
      <c r="D12192">
        <v>0</v>
      </c>
      <c r="E12192">
        <v>0</v>
      </c>
      <c r="F12192">
        <v>1610</v>
      </c>
    </row>
    <row r="12193" spans="1:6" x14ac:dyDescent="0.25">
      <c r="A12193">
        <v>12192</v>
      </c>
      <c r="B12193" t="s">
        <v>0</v>
      </c>
      <c r="C12193">
        <v>60</v>
      </c>
      <c r="D12193">
        <v>3499</v>
      </c>
      <c r="E12193">
        <v>80466537</v>
      </c>
    </row>
    <row r="12194" spans="1:6" x14ac:dyDescent="0.25">
      <c r="A12194">
        <v>12193</v>
      </c>
      <c r="B12194">
        <v>42</v>
      </c>
      <c r="C12194">
        <v>0</v>
      </c>
      <c r="D12194">
        <v>0</v>
      </c>
      <c r="E12194">
        <v>0</v>
      </c>
      <c r="F12194">
        <v>0.2</v>
      </c>
    </row>
    <row r="12195" spans="1:6" x14ac:dyDescent="0.25">
      <c r="A12195">
        <v>12194</v>
      </c>
      <c r="B12195" t="s">
        <v>0</v>
      </c>
      <c r="C12195">
        <v>61</v>
      </c>
      <c r="D12195">
        <v>3499</v>
      </c>
      <c r="E12195">
        <v>80466674</v>
      </c>
    </row>
    <row r="12196" spans="1:6" x14ac:dyDescent="0.25">
      <c r="A12196">
        <v>12195</v>
      </c>
      <c r="B12196">
        <v>44</v>
      </c>
      <c r="C12196">
        <v>0</v>
      </c>
      <c r="D12196">
        <v>0</v>
      </c>
      <c r="E12196">
        <v>0</v>
      </c>
      <c r="F12196">
        <v>-8.7453500000000002</v>
      </c>
    </row>
    <row r="12197" spans="1:6" x14ac:dyDescent="0.25">
      <c r="A12197">
        <v>12196</v>
      </c>
      <c r="B12197" t="s">
        <v>0</v>
      </c>
      <c r="C12197">
        <v>62</v>
      </c>
      <c r="D12197">
        <v>3499</v>
      </c>
      <c r="E12197">
        <v>80466812</v>
      </c>
    </row>
    <row r="12198" spans="1:6" x14ac:dyDescent="0.25">
      <c r="A12198">
        <v>12197</v>
      </c>
      <c r="B12198">
        <v>46</v>
      </c>
      <c r="C12198">
        <v>0</v>
      </c>
      <c r="D12198">
        <v>0</v>
      </c>
      <c r="E12198">
        <v>0</v>
      </c>
      <c r="F12198">
        <v>0</v>
      </c>
    </row>
    <row r="12199" spans="1:6" x14ac:dyDescent="0.25">
      <c r="A12199">
        <v>12198</v>
      </c>
      <c r="B12199" t="s">
        <v>0</v>
      </c>
      <c r="C12199">
        <v>63</v>
      </c>
      <c r="D12199">
        <v>3499</v>
      </c>
      <c r="E12199">
        <v>80466950</v>
      </c>
    </row>
    <row r="12200" spans="1:6" x14ac:dyDescent="0.25">
      <c r="A12200">
        <v>12199</v>
      </c>
      <c r="B12200">
        <v>2</v>
      </c>
      <c r="C12200">
        <v>0</v>
      </c>
      <c r="D12200">
        <v>0</v>
      </c>
      <c r="E12200">
        <v>0</v>
      </c>
      <c r="F12200">
        <v>241.077</v>
      </c>
    </row>
    <row r="12201" spans="1:6" x14ac:dyDescent="0.25">
      <c r="A12201">
        <v>12200</v>
      </c>
      <c r="B12201">
        <v>10</v>
      </c>
      <c r="C12201">
        <v>1</v>
      </c>
      <c r="D12201">
        <v>0</v>
      </c>
      <c r="E12201">
        <v>0</v>
      </c>
      <c r="F12201">
        <v>4994</v>
      </c>
    </row>
    <row r="12202" spans="1:6" x14ac:dyDescent="0.25">
      <c r="A12202">
        <v>12201</v>
      </c>
      <c r="B12202">
        <v>13</v>
      </c>
      <c r="C12202">
        <v>0</v>
      </c>
      <c r="D12202">
        <v>0</v>
      </c>
      <c r="E12202">
        <v>0</v>
      </c>
      <c r="F12202">
        <v>1610</v>
      </c>
    </row>
    <row r="12203" spans="1:6" x14ac:dyDescent="0.25">
      <c r="A12203">
        <v>12202</v>
      </c>
      <c r="B12203">
        <v>41</v>
      </c>
      <c r="C12203">
        <v>0</v>
      </c>
      <c r="D12203">
        <v>0</v>
      </c>
      <c r="E12203">
        <v>0</v>
      </c>
      <c r="F12203">
        <v>1</v>
      </c>
    </row>
    <row r="12204" spans="1:6" x14ac:dyDescent="0.25">
      <c r="A12204">
        <v>12203</v>
      </c>
      <c r="B12204">
        <v>42</v>
      </c>
      <c r="C12204">
        <v>0</v>
      </c>
      <c r="D12204">
        <v>0</v>
      </c>
      <c r="E12204">
        <v>0</v>
      </c>
      <c r="F12204">
        <v>0.2</v>
      </c>
    </row>
    <row r="12205" spans="1:6" x14ac:dyDescent="0.25">
      <c r="A12205">
        <v>12204</v>
      </c>
      <c r="B12205">
        <v>43</v>
      </c>
      <c r="C12205">
        <v>0</v>
      </c>
      <c r="D12205">
        <v>0</v>
      </c>
      <c r="E12205">
        <v>0</v>
      </c>
      <c r="F12205">
        <v>0</v>
      </c>
    </row>
    <row r="12206" spans="1:6" x14ac:dyDescent="0.25">
      <c r="A12206">
        <v>12205</v>
      </c>
      <c r="B12206">
        <v>44</v>
      </c>
      <c r="C12206">
        <v>0</v>
      </c>
      <c r="D12206">
        <v>0</v>
      </c>
      <c r="E12206">
        <v>0</v>
      </c>
      <c r="F12206">
        <v>-8.5450099999999996</v>
      </c>
    </row>
    <row r="12207" spans="1:6" x14ac:dyDescent="0.25">
      <c r="A12207">
        <v>12206</v>
      </c>
      <c r="B12207">
        <v>45</v>
      </c>
      <c r="C12207">
        <v>0</v>
      </c>
      <c r="D12207">
        <v>0</v>
      </c>
      <c r="E12207">
        <v>0</v>
      </c>
      <c r="F12207">
        <v>515.66700000000003</v>
      </c>
    </row>
    <row r="12208" spans="1:6" x14ac:dyDescent="0.25">
      <c r="A12208">
        <v>12207</v>
      </c>
      <c r="B12208">
        <v>46</v>
      </c>
      <c r="C12208">
        <v>0</v>
      </c>
      <c r="D12208">
        <v>0</v>
      </c>
      <c r="E12208">
        <v>0</v>
      </c>
      <c r="F12208">
        <v>0</v>
      </c>
    </row>
    <row r="12209" spans="1:6" x14ac:dyDescent="0.25">
      <c r="A12209">
        <v>12208</v>
      </c>
      <c r="B12209">
        <v>2</v>
      </c>
      <c r="C12209">
        <v>0</v>
      </c>
      <c r="D12209">
        <v>0</v>
      </c>
      <c r="E12209">
        <v>0</v>
      </c>
      <c r="F12209">
        <v>241.042</v>
      </c>
    </row>
    <row r="12210" spans="1:6" x14ac:dyDescent="0.25">
      <c r="A12210">
        <v>12209</v>
      </c>
      <c r="B12210">
        <v>10</v>
      </c>
      <c r="C12210">
        <v>1</v>
      </c>
      <c r="D12210">
        <v>0</v>
      </c>
      <c r="E12210">
        <v>0</v>
      </c>
      <c r="F12210">
        <v>4996</v>
      </c>
    </row>
    <row r="12211" spans="1:6" x14ac:dyDescent="0.25">
      <c r="A12211">
        <v>12210</v>
      </c>
      <c r="B12211">
        <v>13</v>
      </c>
      <c r="C12211">
        <v>0</v>
      </c>
      <c r="D12211">
        <v>0</v>
      </c>
      <c r="E12211">
        <v>0</v>
      </c>
      <c r="F12211">
        <v>1610</v>
      </c>
    </row>
    <row r="12212" spans="1:6" x14ac:dyDescent="0.25">
      <c r="A12212">
        <v>12211</v>
      </c>
      <c r="B12212" t="s">
        <v>0</v>
      </c>
      <c r="C12212">
        <v>69</v>
      </c>
      <c r="D12212">
        <v>3499</v>
      </c>
      <c r="E12212">
        <v>80467777</v>
      </c>
    </row>
    <row r="12213" spans="1:6" x14ac:dyDescent="0.25">
      <c r="A12213">
        <v>12212</v>
      </c>
      <c r="B12213">
        <v>41</v>
      </c>
      <c r="C12213">
        <v>0</v>
      </c>
      <c r="D12213">
        <v>0</v>
      </c>
      <c r="E12213">
        <v>0</v>
      </c>
      <c r="F12213">
        <v>1</v>
      </c>
    </row>
    <row r="12214" spans="1:6" x14ac:dyDescent="0.25">
      <c r="A12214">
        <v>12213</v>
      </c>
      <c r="B12214">
        <v>42</v>
      </c>
      <c r="C12214">
        <v>0</v>
      </c>
      <c r="D12214">
        <v>0</v>
      </c>
      <c r="E12214">
        <v>0</v>
      </c>
      <c r="F12214">
        <v>0.2</v>
      </c>
    </row>
    <row r="12215" spans="1:6" x14ac:dyDescent="0.25">
      <c r="A12215">
        <v>12214</v>
      </c>
      <c r="B12215" t="s">
        <v>0</v>
      </c>
      <c r="C12215">
        <v>70</v>
      </c>
      <c r="D12215">
        <v>3499</v>
      </c>
      <c r="E12215">
        <v>80467915</v>
      </c>
    </row>
    <row r="12216" spans="1:6" x14ac:dyDescent="0.25">
      <c r="A12216">
        <v>12215</v>
      </c>
      <c r="B12216">
        <v>43</v>
      </c>
      <c r="C12216">
        <v>0</v>
      </c>
      <c r="D12216">
        <v>0</v>
      </c>
      <c r="E12216">
        <v>0</v>
      </c>
      <c r="F12216">
        <v>0</v>
      </c>
    </row>
    <row r="12217" spans="1:6" x14ac:dyDescent="0.25">
      <c r="A12217">
        <v>12216</v>
      </c>
      <c r="B12217">
        <v>44</v>
      </c>
      <c r="C12217">
        <v>0</v>
      </c>
      <c r="D12217">
        <v>0</v>
      </c>
      <c r="E12217">
        <v>0</v>
      </c>
      <c r="F12217">
        <v>-8.33568</v>
      </c>
    </row>
    <row r="12218" spans="1:6" x14ac:dyDescent="0.25">
      <c r="A12218">
        <v>12217</v>
      </c>
      <c r="B12218" t="s">
        <v>0</v>
      </c>
      <c r="C12218">
        <v>71</v>
      </c>
      <c r="D12218">
        <v>3499</v>
      </c>
      <c r="E12218">
        <v>80468053</v>
      </c>
    </row>
    <row r="12219" spans="1:6" x14ac:dyDescent="0.25">
      <c r="A12219">
        <v>12218</v>
      </c>
      <c r="B12219">
        <v>45</v>
      </c>
      <c r="C12219">
        <v>0</v>
      </c>
      <c r="D12219">
        <v>0</v>
      </c>
      <c r="E12219">
        <v>0</v>
      </c>
      <c r="F12219">
        <v>515.66</v>
      </c>
    </row>
    <row r="12220" spans="1:6" x14ac:dyDescent="0.25">
      <c r="A12220">
        <v>12219</v>
      </c>
      <c r="B12220">
        <v>46</v>
      </c>
      <c r="C12220">
        <v>0</v>
      </c>
      <c r="D12220">
        <v>0</v>
      </c>
      <c r="E12220">
        <v>0</v>
      </c>
      <c r="F12220">
        <v>0</v>
      </c>
    </row>
    <row r="12221" spans="1:6" x14ac:dyDescent="0.25">
      <c r="A12221">
        <v>12220</v>
      </c>
      <c r="B12221" t="s">
        <v>0</v>
      </c>
      <c r="C12221">
        <v>72</v>
      </c>
      <c r="D12221">
        <v>3499</v>
      </c>
      <c r="E12221">
        <v>80468190</v>
      </c>
    </row>
    <row r="12222" spans="1:6" x14ac:dyDescent="0.25">
      <c r="A12222">
        <v>12221</v>
      </c>
      <c r="B12222">
        <v>2</v>
      </c>
      <c r="C12222">
        <v>0</v>
      </c>
      <c r="D12222">
        <v>0</v>
      </c>
      <c r="E12222">
        <v>0</v>
      </c>
      <c r="F12222">
        <v>240.96899999999999</v>
      </c>
    </row>
    <row r="12223" spans="1:6" x14ac:dyDescent="0.25">
      <c r="A12223">
        <v>12222</v>
      </c>
      <c r="B12223">
        <v>10</v>
      </c>
      <c r="C12223">
        <v>1</v>
      </c>
      <c r="D12223">
        <v>0</v>
      </c>
      <c r="E12223">
        <v>0</v>
      </c>
      <c r="F12223">
        <v>4999</v>
      </c>
    </row>
    <row r="12224" spans="1:6" x14ac:dyDescent="0.25">
      <c r="A12224">
        <v>12223</v>
      </c>
      <c r="B12224" t="s">
        <v>0</v>
      </c>
      <c r="C12224">
        <v>73</v>
      </c>
      <c r="D12224">
        <v>3499</v>
      </c>
      <c r="E12224">
        <v>80468328</v>
      </c>
    </row>
    <row r="12225" spans="1:6" x14ac:dyDescent="0.25">
      <c r="A12225">
        <v>12224</v>
      </c>
      <c r="B12225">
        <v>13</v>
      </c>
      <c r="C12225">
        <v>0</v>
      </c>
      <c r="D12225">
        <v>0</v>
      </c>
      <c r="E12225">
        <v>0</v>
      </c>
      <c r="F12225">
        <v>1610</v>
      </c>
    </row>
    <row r="12226" spans="1:6" x14ac:dyDescent="0.25">
      <c r="A12226">
        <v>12225</v>
      </c>
      <c r="B12226">
        <v>41</v>
      </c>
      <c r="C12226">
        <v>0</v>
      </c>
      <c r="D12226">
        <v>0</v>
      </c>
      <c r="E12226">
        <v>0</v>
      </c>
      <c r="F12226">
        <v>1</v>
      </c>
    </row>
    <row r="12227" spans="1:6" x14ac:dyDescent="0.25">
      <c r="A12227">
        <v>12226</v>
      </c>
      <c r="B12227" t="s">
        <v>0</v>
      </c>
      <c r="C12227">
        <v>74</v>
      </c>
      <c r="D12227">
        <v>3499</v>
      </c>
      <c r="E12227">
        <v>80468466</v>
      </c>
    </row>
    <row r="12228" spans="1:6" x14ac:dyDescent="0.25">
      <c r="A12228">
        <v>12227</v>
      </c>
      <c r="B12228">
        <v>43</v>
      </c>
      <c r="C12228">
        <v>0</v>
      </c>
      <c r="D12228">
        <v>0</v>
      </c>
      <c r="E12228">
        <v>0</v>
      </c>
      <c r="F12228">
        <v>0</v>
      </c>
    </row>
    <row r="12229" spans="1:6" x14ac:dyDescent="0.25">
      <c r="A12229">
        <v>12228</v>
      </c>
      <c r="B12229" t="s">
        <v>0</v>
      </c>
      <c r="C12229">
        <v>75</v>
      </c>
      <c r="D12229">
        <v>3499</v>
      </c>
      <c r="E12229">
        <v>80468604</v>
      </c>
    </row>
    <row r="12230" spans="1:6" x14ac:dyDescent="0.25">
      <c r="A12230">
        <v>12229</v>
      </c>
      <c r="B12230">
        <v>45</v>
      </c>
      <c r="C12230">
        <v>0</v>
      </c>
      <c r="D12230">
        <v>0</v>
      </c>
      <c r="E12230">
        <v>0</v>
      </c>
      <c r="F12230">
        <v>515.65499999999997</v>
      </c>
    </row>
    <row r="12231" spans="1:6" x14ac:dyDescent="0.25">
      <c r="A12231">
        <v>12230</v>
      </c>
      <c r="B12231" t="s">
        <v>0</v>
      </c>
      <c r="C12231">
        <v>76</v>
      </c>
      <c r="D12231">
        <v>3499</v>
      </c>
      <c r="E12231">
        <v>80468742</v>
      </c>
    </row>
    <row r="12232" spans="1:6" x14ac:dyDescent="0.25">
      <c r="A12232">
        <v>12231</v>
      </c>
      <c r="B12232">
        <v>2</v>
      </c>
      <c r="C12232">
        <v>0</v>
      </c>
      <c r="D12232">
        <v>0</v>
      </c>
      <c r="E12232">
        <v>0</v>
      </c>
      <c r="F12232">
        <v>240.922</v>
      </c>
    </row>
    <row r="12233" spans="1:6" x14ac:dyDescent="0.25">
      <c r="A12233">
        <v>12232</v>
      </c>
      <c r="B12233" t="s">
        <v>0</v>
      </c>
      <c r="C12233">
        <v>77</v>
      </c>
      <c r="D12233">
        <v>3499</v>
      </c>
      <c r="E12233">
        <v>80468880</v>
      </c>
    </row>
    <row r="12234" spans="1:6" x14ac:dyDescent="0.25">
      <c r="A12234">
        <v>12233</v>
      </c>
      <c r="B12234">
        <v>13</v>
      </c>
      <c r="C12234">
        <v>0</v>
      </c>
      <c r="D12234">
        <v>0</v>
      </c>
      <c r="E12234">
        <v>0</v>
      </c>
      <c r="F12234">
        <v>1610</v>
      </c>
    </row>
    <row r="12235" spans="1:6" x14ac:dyDescent="0.25">
      <c r="A12235">
        <v>12234</v>
      </c>
      <c r="B12235" t="s">
        <v>0</v>
      </c>
      <c r="C12235">
        <v>78</v>
      </c>
      <c r="D12235">
        <v>3499</v>
      </c>
      <c r="E12235">
        <v>80469018</v>
      </c>
    </row>
    <row r="12236" spans="1:6" x14ac:dyDescent="0.25">
      <c r="A12236">
        <v>12235</v>
      </c>
      <c r="B12236">
        <v>41</v>
      </c>
      <c r="C12236">
        <v>0</v>
      </c>
      <c r="D12236">
        <v>0</v>
      </c>
      <c r="E12236">
        <v>0</v>
      </c>
      <c r="F12236">
        <v>1</v>
      </c>
    </row>
    <row r="12237" spans="1:6" x14ac:dyDescent="0.25">
      <c r="A12237">
        <v>12236</v>
      </c>
      <c r="B12237">
        <v>42</v>
      </c>
      <c r="C12237">
        <v>0</v>
      </c>
      <c r="D12237">
        <v>0</v>
      </c>
      <c r="E12237">
        <v>0</v>
      </c>
      <c r="F12237">
        <v>0.2</v>
      </c>
    </row>
    <row r="12238" spans="1:6" x14ac:dyDescent="0.25">
      <c r="A12238">
        <v>12237</v>
      </c>
      <c r="B12238">
        <v>43</v>
      </c>
      <c r="C12238">
        <v>0</v>
      </c>
      <c r="D12238">
        <v>0</v>
      </c>
      <c r="E12238">
        <v>0</v>
      </c>
      <c r="F12238">
        <v>0</v>
      </c>
    </row>
    <row r="12239" spans="1:6" x14ac:dyDescent="0.25">
      <c r="A12239">
        <v>12238</v>
      </c>
      <c r="B12239">
        <v>44</v>
      </c>
      <c r="C12239">
        <v>0</v>
      </c>
      <c r="D12239">
        <v>0</v>
      </c>
      <c r="E12239">
        <v>0</v>
      </c>
      <c r="F12239">
        <v>-7.9356999999999998</v>
      </c>
    </row>
    <row r="12240" spans="1:6" x14ac:dyDescent="0.25">
      <c r="A12240">
        <v>12239</v>
      </c>
      <c r="B12240">
        <v>45</v>
      </c>
      <c r="C12240">
        <v>0</v>
      </c>
      <c r="D12240">
        <v>0</v>
      </c>
      <c r="E12240">
        <v>0</v>
      </c>
      <c r="F12240">
        <v>515.64800000000002</v>
      </c>
    </row>
    <row r="12241" spans="1:6" x14ac:dyDescent="0.25">
      <c r="A12241">
        <v>12240</v>
      </c>
      <c r="B12241">
        <v>46</v>
      </c>
      <c r="C12241">
        <v>0</v>
      </c>
      <c r="D12241">
        <v>0</v>
      </c>
      <c r="E12241">
        <v>0</v>
      </c>
      <c r="F12241">
        <v>0</v>
      </c>
    </row>
    <row r="12242" spans="1:6" x14ac:dyDescent="0.25">
      <c r="A12242">
        <v>12241</v>
      </c>
      <c r="B12242">
        <v>2</v>
      </c>
      <c r="C12242">
        <v>0</v>
      </c>
      <c r="D12242">
        <v>0</v>
      </c>
      <c r="E12242">
        <v>0</v>
      </c>
      <c r="F12242">
        <v>240.876</v>
      </c>
    </row>
    <row r="12243" spans="1:6" x14ac:dyDescent="0.25">
      <c r="A12243">
        <v>12242</v>
      </c>
      <c r="B12243">
        <v>10</v>
      </c>
      <c r="C12243">
        <v>1</v>
      </c>
      <c r="D12243">
        <v>0</v>
      </c>
      <c r="E12243">
        <v>0</v>
      </c>
      <c r="F12243">
        <v>5021</v>
      </c>
    </row>
    <row r="12244" spans="1:6" x14ac:dyDescent="0.25">
      <c r="A12244">
        <v>12243</v>
      </c>
      <c r="B12244">
        <v>13</v>
      </c>
      <c r="C12244">
        <v>0</v>
      </c>
      <c r="D12244">
        <v>0</v>
      </c>
      <c r="E12244">
        <v>0</v>
      </c>
      <c r="F12244">
        <v>1610</v>
      </c>
    </row>
    <row r="12245" spans="1:6" x14ac:dyDescent="0.25">
      <c r="A12245">
        <v>12244</v>
      </c>
      <c r="B12245">
        <v>41</v>
      </c>
      <c r="C12245">
        <v>0</v>
      </c>
      <c r="D12245">
        <v>0</v>
      </c>
      <c r="E12245">
        <v>0</v>
      </c>
      <c r="F12245">
        <v>1</v>
      </c>
    </row>
    <row r="12246" spans="1:6" x14ac:dyDescent="0.25">
      <c r="A12246">
        <v>12245</v>
      </c>
      <c r="B12246" t="s">
        <v>0</v>
      </c>
      <c r="C12246">
        <v>83</v>
      </c>
      <c r="D12246">
        <v>3499</v>
      </c>
      <c r="E12246">
        <v>80469708</v>
      </c>
    </row>
    <row r="12247" spans="1:6" x14ac:dyDescent="0.25">
      <c r="A12247">
        <v>12246</v>
      </c>
      <c r="B12247">
        <v>42</v>
      </c>
      <c r="C12247">
        <v>0</v>
      </c>
      <c r="D12247">
        <v>0</v>
      </c>
      <c r="E12247">
        <v>0</v>
      </c>
      <c r="F12247">
        <v>0.2</v>
      </c>
    </row>
    <row r="12248" spans="1:6" x14ac:dyDescent="0.25">
      <c r="A12248">
        <v>12247</v>
      </c>
      <c r="B12248">
        <v>43</v>
      </c>
      <c r="C12248">
        <v>0</v>
      </c>
      <c r="D12248">
        <v>0</v>
      </c>
      <c r="E12248">
        <v>0</v>
      </c>
      <c r="F12248">
        <v>0</v>
      </c>
    </row>
    <row r="12249" spans="1:6" x14ac:dyDescent="0.25">
      <c r="A12249">
        <v>12248</v>
      </c>
      <c r="B12249" t="s">
        <v>0</v>
      </c>
      <c r="C12249">
        <v>84</v>
      </c>
      <c r="D12249">
        <v>3499</v>
      </c>
      <c r="E12249">
        <v>80469846</v>
      </c>
    </row>
    <row r="12250" spans="1:6" x14ac:dyDescent="0.25">
      <c r="A12250">
        <v>12249</v>
      </c>
      <c r="B12250">
        <v>44</v>
      </c>
      <c r="C12250">
        <v>0</v>
      </c>
      <c r="D12250">
        <v>0</v>
      </c>
      <c r="E12250">
        <v>0</v>
      </c>
      <c r="F12250">
        <v>-7.7213099999999999</v>
      </c>
    </row>
    <row r="12251" spans="1:6" x14ac:dyDescent="0.25">
      <c r="A12251">
        <v>12250</v>
      </c>
      <c r="B12251">
        <v>45</v>
      </c>
      <c r="C12251">
        <v>0</v>
      </c>
      <c r="D12251">
        <v>0</v>
      </c>
      <c r="E12251">
        <v>0</v>
      </c>
      <c r="F12251">
        <v>515.64300000000003</v>
      </c>
    </row>
    <row r="12252" spans="1:6" x14ac:dyDescent="0.25">
      <c r="A12252">
        <v>12251</v>
      </c>
      <c r="B12252" t="s">
        <v>0</v>
      </c>
      <c r="C12252">
        <v>85</v>
      </c>
      <c r="D12252">
        <v>3499</v>
      </c>
      <c r="E12252">
        <v>80469984</v>
      </c>
    </row>
    <row r="12253" spans="1:6" x14ac:dyDescent="0.25">
      <c r="A12253">
        <v>12252</v>
      </c>
      <c r="B12253">
        <v>46</v>
      </c>
      <c r="C12253">
        <v>0</v>
      </c>
      <c r="D12253">
        <v>0</v>
      </c>
      <c r="E12253">
        <v>0</v>
      </c>
      <c r="F12253">
        <v>0</v>
      </c>
    </row>
    <row r="12254" spans="1:6" x14ac:dyDescent="0.25">
      <c r="A12254">
        <v>12253</v>
      </c>
      <c r="B12254">
        <v>2</v>
      </c>
      <c r="C12254">
        <v>0</v>
      </c>
      <c r="D12254">
        <v>0</v>
      </c>
      <c r="E12254">
        <v>0</v>
      </c>
      <c r="F12254">
        <v>240.84700000000001</v>
      </c>
    </row>
    <row r="12255" spans="1:6" x14ac:dyDescent="0.25">
      <c r="A12255">
        <v>12254</v>
      </c>
      <c r="B12255" t="s">
        <v>0</v>
      </c>
      <c r="C12255">
        <v>86</v>
      </c>
      <c r="D12255">
        <v>3499</v>
      </c>
      <c r="E12255">
        <v>80470122</v>
      </c>
    </row>
    <row r="12256" spans="1:6" x14ac:dyDescent="0.25">
      <c r="A12256">
        <v>12255</v>
      </c>
      <c r="B12256">
        <v>10</v>
      </c>
      <c r="C12256">
        <v>1</v>
      </c>
      <c r="D12256">
        <v>0</v>
      </c>
      <c r="E12256">
        <v>0</v>
      </c>
      <c r="F12256">
        <v>5022</v>
      </c>
    </row>
    <row r="12257" spans="1:6" x14ac:dyDescent="0.25">
      <c r="A12257">
        <v>12256</v>
      </c>
      <c r="B12257">
        <v>13</v>
      </c>
      <c r="C12257">
        <v>0</v>
      </c>
      <c r="D12257">
        <v>0</v>
      </c>
      <c r="E12257">
        <v>0</v>
      </c>
      <c r="F12257">
        <v>1610</v>
      </c>
    </row>
    <row r="12258" spans="1:6" x14ac:dyDescent="0.25">
      <c r="A12258">
        <v>12257</v>
      </c>
      <c r="B12258" t="s">
        <v>0</v>
      </c>
      <c r="C12258">
        <v>87</v>
      </c>
      <c r="D12258">
        <v>3499</v>
      </c>
      <c r="E12258">
        <v>80470260</v>
      </c>
    </row>
    <row r="12259" spans="1:6" x14ac:dyDescent="0.25">
      <c r="A12259">
        <v>12258</v>
      </c>
      <c r="B12259">
        <v>41</v>
      </c>
      <c r="C12259">
        <v>0</v>
      </c>
      <c r="D12259">
        <v>0</v>
      </c>
      <c r="E12259">
        <v>0</v>
      </c>
      <c r="F12259">
        <v>1</v>
      </c>
    </row>
    <row r="12260" spans="1:6" x14ac:dyDescent="0.25">
      <c r="A12260">
        <v>12259</v>
      </c>
      <c r="B12260">
        <v>42</v>
      </c>
      <c r="C12260">
        <v>0</v>
      </c>
      <c r="D12260">
        <v>0</v>
      </c>
      <c r="E12260">
        <v>0</v>
      </c>
      <c r="F12260">
        <v>0.2</v>
      </c>
    </row>
    <row r="12261" spans="1:6" x14ac:dyDescent="0.25">
      <c r="A12261">
        <v>12260</v>
      </c>
      <c r="B12261" t="s">
        <v>0</v>
      </c>
      <c r="C12261">
        <v>88</v>
      </c>
      <c r="D12261">
        <v>3499</v>
      </c>
      <c r="E12261">
        <v>80470398</v>
      </c>
    </row>
    <row r="12262" spans="1:6" x14ac:dyDescent="0.25">
      <c r="A12262">
        <v>12261</v>
      </c>
      <c r="B12262">
        <v>44</v>
      </c>
      <c r="C12262">
        <v>0</v>
      </c>
      <c r="D12262">
        <v>0</v>
      </c>
      <c r="E12262">
        <v>0</v>
      </c>
      <c r="F12262">
        <v>-7.5713299999999997</v>
      </c>
    </row>
    <row r="12263" spans="1:6" x14ac:dyDescent="0.25">
      <c r="A12263">
        <v>12262</v>
      </c>
      <c r="B12263" t="s">
        <v>0</v>
      </c>
      <c r="C12263">
        <v>89</v>
      </c>
      <c r="D12263">
        <v>3499</v>
      </c>
      <c r="E12263">
        <v>80470536</v>
      </c>
    </row>
    <row r="12264" spans="1:6" x14ac:dyDescent="0.25">
      <c r="A12264">
        <v>12263</v>
      </c>
      <c r="B12264">
        <v>46</v>
      </c>
      <c r="C12264">
        <v>0</v>
      </c>
      <c r="D12264">
        <v>0</v>
      </c>
      <c r="E12264">
        <v>0</v>
      </c>
      <c r="F12264">
        <v>0</v>
      </c>
    </row>
    <row r="12265" spans="1:6" x14ac:dyDescent="0.25">
      <c r="A12265">
        <v>12264</v>
      </c>
      <c r="B12265" t="s">
        <v>0</v>
      </c>
      <c r="C12265">
        <v>90</v>
      </c>
      <c r="D12265">
        <v>3499</v>
      </c>
      <c r="E12265">
        <v>80470674</v>
      </c>
    </row>
    <row r="12266" spans="1:6" x14ac:dyDescent="0.25">
      <c r="A12266">
        <v>12265</v>
      </c>
      <c r="B12266">
        <v>10</v>
      </c>
      <c r="C12266">
        <v>1</v>
      </c>
      <c r="D12266">
        <v>0</v>
      </c>
      <c r="E12266">
        <v>0</v>
      </c>
      <c r="F12266">
        <v>5024</v>
      </c>
    </row>
    <row r="12267" spans="1:6" x14ac:dyDescent="0.25">
      <c r="A12267">
        <v>12266</v>
      </c>
      <c r="B12267" t="s">
        <v>0</v>
      </c>
      <c r="C12267">
        <v>91</v>
      </c>
      <c r="D12267">
        <v>3499</v>
      </c>
      <c r="E12267">
        <v>80470812</v>
      </c>
    </row>
    <row r="12268" spans="1:6" x14ac:dyDescent="0.25">
      <c r="A12268">
        <v>12267</v>
      </c>
      <c r="B12268">
        <v>41</v>
      </c>
      <c r="C12268">
        <v>0</v>
      </c>
      <c r="D12268">
        <v>0</v>
      </c>
      <c r="E12268">
        <v>0</v>
      </c>
      <c r="F12268">
        <v>1</v>
      </c>
    </row>
    <row r="12269" spans="1:6" x14ac:dyDescent="0.25">
      <c r="A12269">
        <v>12268</v>
      </c>
      <c r="B12269" t="s">
        <v>0</v>
      </c>
      <c r="C12269">
        <v>92</v>
      </c>
      <c r="D12269">
        <v>3499</v>
      </c>
      <c r="E12269">
        <v>80470950</v>
      </c>
    </row>
    <row r="12270" spans="1:6" x14ac:dyDescent="0.25">
      <c r="A12270">
        <v>12269</v>
      </c>
      <c r="B12270">
        <v>43</v>
      </c>
      <c r="C12270">
        <v>0</v>
      </c>
      <c r="D12270">
        <v>0</v>
      </c>
      <c r="E12270">
        <v>0</v>
      </c>
      <c r="F12270">
        <v>0</v>
      </c>
    </row>
    <row r="12271" spans="1:6" x14ac:dyDescent="0.25">
      <c r="A12271">
        <v>12270</v>
      </c>
      <c r="B12271">
        <v>44</v>
      </c>
      <c r="C12271">
        <v>0</v>
      </c>
      <c r="D12271">
        <v>0</v>
      </c>
      <c r="E12271">
        <v>0</v>
      </c>
      <c r="F12271">
        <v>-7.4007899999999998</v>
      </c>
    </row>
    <row r="12272" spans="1:6" x14ac:dyDescent="0.25">
      <c r="A12272">
        <v>12271</v>
      </c>
      <c r="B12272">
        <v>45</v>
      </c>
      <c r="C12272">
        <v>0</v>
      </c>
      <c r="D12272">
        <v>0</v>
      </c>
      <c r="E12272">
        <v>0</v>
      </c>
      <c r="F12272">
        <v>515.63199999999995</v>
      </c>
    </row>
    <row r="12273" spans="1:6" x14ac:dyDescent="0.25">
      <c r="A12273">
        <v>12272</v>
      </c>
      <c r="B12273">
        <v>46</v>
      </c>
      <c r="C12273">
        <v>0</v>
      </c>
      <c r="D12273">
        <v>0</v>
      </c>
      <c r="E12273">
        <v>0</v>
      </c>
      <c r="F12273">
        <v>0</v>
      </c>
    </row>
    <row r="12274" spans="1:6" x14ac:dyDescent="0.25">
      <c r="A12274">
        <v>12273</v>
      </c>
      <c r="B12274">
        <v>2</v>
      </c>
      <c r="C12274">
        <v>0</v>
      </c>
      <c r="D12274">
        <v>0</v>
      </c>
      <c r="E12274">
        <v>0</v>
      </c>
      <c r="F12274">
        <v>240.8</v>
      </c>
    </row>
    <row r="12275" spans="1:6" x14ac:dyDescent="0.25">
      <c r="A12275">
        <v>12274</v>
      </c>
      <c r="B12275">
        <v>10</v>
      </c>
      <c r="C12275">
        <v>1</v>
      </c>
      <c r="D12275">
        <v>0</v>
      </c>
      <c r="E12275">
        <v>0</v>
      </c>
      <c r="F12275">
        <v>5025</v>
      </c>
    </row>
    <row r="12276" spans="1:6" x14ac:dyDescent="0.25">
      <c r="A12276">
        <v>12275</v>
      </c>
      <c r="B12276">
        <v>13</v>
      </c>
      <c r="C12276">
        <v>0</v>
      </c>
      <c r="D12276">
        <v>0</v>
      </c>
      <c r="E12276">
        <v>0</v>
      </c>
      <c r="F12276">
        <v>1610</v>
      </c>
    </row>
    <row r="12277" spans="1:6" x14ac:dyDescent="0.25">
      <c r="A12277">
        <v>12276</v>
      </c>
      <c r="B12277">
        <v>41</v>
      </c>
      <c r="C12277">
        <v>0</v>
      </c>
      <c r="D12277">
        <v>0</v>
      </c>
      <c r="E12277">
        <v>0</v>
      </c>
      <c r="F12277">
        <v>1</v>
      </c>
    </row>
    <row r="12278" spans="1:6" x14ac:dyDescent="0.25">
      <c r="A12278">
        <v>12277</v>
      </c>
      <c r="B12278">
        <v>42</v>
      </c>
      <c r="C12278">
        <v>0</v>
      </c>
      <c r="D12278">
        <v>0</v>
      </c>
      <c r="E12278">
        <v>0</v>
      </c>
      <c r="F12278">
        <v>0.2</v>
      </c>
    </row>
    <row r="12279" spans="1:6" x14ac:dyDescent="0.25">
      <c r="A12279">
        <v>12278</v>
      </c>
      <c r="B12279">
        <v>43</v>
      </c>
      <c r="C12279">
        <v>0</v>
      </c>
      <c r="D12279">
        <v>0</v>
      </c>
      <c r="E12279">
        <v>0</v>
      </c>
      <c r="F12279">
        <v>0</v>
      </c>
    </row>
    <row r="12280" spans="1:6" x14ac:dyDescent="0.25">
      <c r="A12280">
        <v>12279</v>
      </c>
      <c r="B12280">
        <v>44</v>
      </c>
      <c r="C12280">
        <v>0</v>
      </c>
      <c r="D12280">
        <v>0</v>
      </c>
      <c r="E12280">
        <v>0</v>
      </c>
      <c r="F12280">
        <v>-7.2057500000000001</v>
      </c>
    </row>
    <row r="12281" spans="1:6" x14ac:dyDescent="0.25">
      <c r="A12281">
        <v>12280</v>
      </c>
      <c r="B12281">
        <v>45</v>
      </c>
      <c r="C12281">
        <v>0</v>
      </c>
      <c r="D12281">
        <v>0</v>
      </c>
      <c r="E12281">
        <v>0</v>
      </c>
      <c r="F12281">
        <v>515.62699999999995</v>
      </c>
    </row>
    <row r="12282" spans="1:6" x14ac:dyDescent="0.25">
      <c r="A12282">
        <v>12281</v>
      </c>
      <c r="B12282" t="s">
        <v>0</v>
      </c>
      <c r="C12282">
        <v>98</v>
      </c>
      <c r="D12282">
        <v>3499</v>
      </c>
      <c r="E12282">
        <v>80471777</v>
      </c>
    </row>
    <row r="12283" spans="1:6" x14ac:dyDescent="0.25">
      <c r="A12283">
        <v>12282</v>
      </c>
      <c r="B12283">
        <v>46</v>
      </c>
      <c r="C12283">
        <v>0</v>
      </c>
      <c r="D12283">
        <v>0</v>
      </c>
      <c r="E12283">
        <v>0</v>
      </c>
      <c r="F12283">
        <v>0</v>
      </c>
    </row>
    <row r="12284" spans="1:6" x14ac:dyDescent="0.25">
      <c r="A12284">
        <v>12283</v>
      </c>
      <c r="B12284">
        <v>2</v>
      </c>
      <c r="C12284">
        <v>0</v>
      </c>
      <c r="D12284">
        <v>0</v>
      </c>
      <c r="E12284">
        <v>0</v>
      </c>
      <c r="F12284">
        <v>240.785</v>
      </c>
    </row>
    <row r="12285" spans="1:6" x14ac:dyDescent="0.25">
      <c r="A12285">
        <v>12284</v>
      </c>
      <c r="B12285" t="s">
        <v>0</v>
      </c>
      <c r="C12285">
        <v>99</v>
      </c>
      <c r="D12285">
        <v>3499</v>
      </c>
      <c r="E12285">
        <v>80471915</v>
      </c>
    </row>
    <row r="12286" spans="1:6" x14ac:dyDescent="0.25">
      <c r="A12286">
        <v>12285</v>
      </c>
      <c r="B12286">
        <v>10</v>
      </c>
      <c r="C12286">
        <v>1</v>
      </c>
      <c r="D12286">
        <v>0</v>
      </c>
      <c r="E12286">
        <v>0</v>
      </c>
      <c r="F12286">
        <v>5025</v>
      </c>
    </row>
    <row r="12287" spans="1:6" x14ac:dyDescent="0.25">
      <c r="A12287">
        <v>12286</v>
      </c>
      <c r="B12287">
        <v>13</v>
      </c>
      <c r="C12287">
        <v>0</v>
      </c>
      <c r="D12287">
        <v>0</v>
      </c>
      <c r="E12287">
        <v>0</v>
      </c>
      <c r="F12287">
        <v>1610</v>
      </c>
    </row>
    <row r="12288" spans="1:6" x14ac:dyDescent="0.25">
      <c r="A12288">
        <v>12287</v>
      </c>
      <c r="B12288" t="s">
        <v>0</v>
      </c>
      <c r="C12288">
        <v>100</v>
      </c>
      <c r="D12288">
        <v>3499</v>
      </c>
      <c r="E12288">
        <v>80472053</v>
      </c>
    </row>
    <row r="12289" spans="1:6" x14ac:dyDescent="0.25">
      <c r="A12289">
        <v>12288</v>
      </c>
      <c r="B12289">
        <v>41</v>
      </c>
      <c r="C12289">
        <v>0</v>
      </c>
      <c r="D12289">
        <v>0</v>
      </c>
      <c r="E12289">
        <v>0</v>
      </c>
      <c r="F12289">
        <v>1</v>
      </c>
    </row>
    <row r="12290" spans="1:6" x14ac:dyDescent="0.25">
      <c r="A12290">
        <v>12289</v>
      </c>
      <c r="B12290">
        <v>42</v>
      </c>
      <c r="C12290">
        <v>0</v>
      </c>
      <c r="D12290">
        <v>0</v>
      </c>
      <c r="E12290">
        <v>0</v>
      </c>
      <c r="F12290">
        <v>0.2</v>
      </c>
    </row>
    <row r="12291" spans="1:6" x14ac:dyDescent="0.25">
      <c r="A12291">
        <v>12290</v>
      </c>
      <c r="B12291" t="s">
        <v>0</v>
      </c>
      <c r="C12291">
        <v>101</v>
      </c>
      <c r="D12291">
        <v>3499</v>
      </c>
      <c r="E12291">
        <v>80472191</v>
      </c>
    </row>
    <row r="12292" spans="1:6" x14ac:dyDescent="0.25">
      <c r="A12292">
        <v>12291</v>
      </c>
      <c r="B12292">
        <v>43</v>
      </c>
      <c r="C12292">
        <v>0</v>
      </c>
      <c r="D12292">
        <v>0</v>
      </c>
      <c r="E12292">
        <v>0</v>
      </c>
      <c r="F12292">
        <v>0</v>
      </c>
    </row>
    <row r="12293" spans="1:6" x14ac:dyDescent="0.25">
      <c r="A12293">
        <v>12292</v>
      </c>
      <c r="B12293">
        <v>44</v>
      </c>
      <c r="C12293">
        <v>0</v>
      </c>
      <c r="D12293">
        <v>0</v>
      </c>
      <c r="E12293">
        <v>0</v>
      </c>
      <c r="F12293">
        <v>-7.0678999999999998</v>
      </c>
    </row>
    <row r="12294" spans="1:6" x14ac:dyDescent="0.25">
      <c r="A12294">
        <v>12293</v>
      </c>
      <c r="B12294" t="s">
        <v>0</v>
      </c>
      <c r="C12294">
        <v>102</v>
      </c>
      <c r="D12294">
        <v>3499</v>
      </c>
      <c r="E12294">
        <v>80472329</v>
      </c>
    </row>
    <row r="12295" spans="1:6" x14ac:dyDescent="0.25">
      <c r="A12295">
        <v>12294</v>
      </c>
      <c r="B12295">
        <v>45</v>
      </c>
      <c r="C12295">
        <v>0</v>
      </c>
      <c r="D12295">
        <v>0</v>
      </c>
      <c r="E12295">
        <v>0</v>
      </c>
      <c r="F12295">
        <v>515.62099999999998</v>
      </c>
    </row>
    <row r="12296" spans="1:6" x14ac:dyDescent="0.25">
      <c r="A12296">
        <v>12295</v>
      </c>
      <c r="B12296">
        <v>46</v>
      </c>
      <c r="C12296">
        <v>0</v>
      </c>
      <c r="D12296">
        <v>0</v>
      </c>
      <c r="E12296">
        <v>0</v>
      </c>
      <c r="F12296">
        <v>0</v>
      </c>
    </row>
    <row r="12297" spans="1:6" x14ac:dyDescent="0.25">
      <c r="A12297">
        <v>12296</v>
      </c>
      <c r="B12297" t="s">
        <v>0</v>
      </c>
      <c r="C12297">
        <v>103</v>
      </c>
      <c r="D12297">
        <v>3499</v>
      </c>
      <c r="E12297">
        <v>80472467</v>
      </c>
    </row>
    <row r="12298" spans="1:6" x14ac:dyDescent="0.25">
      <c r="A12298">
        <v>12297</v>
      </c>
      <c r="B12298">
        <v>10</v>
      </c>
      <c r="C12298">
        <v>1</v>
      </c>
      <c r="D12298">
        <v>0</v>
      </c>
      <c r="E12298">
        <v>0</v>
      </c>
      <c r="F12298">
        <v>5026</v>
      </c>
    </row>
    <row r="12299" spans="1:6" x14ac:dyDescent="0.25">
      <c r="A12299">
        <v>12298</v>
      </c>
      <c r="B12299" t="s">
        <v>0</v>
      </c>
      <c r="C12299">
        <v>104</v>
      </c>
      <c r="D12299">
        <v>3499</v>
      </c>
      <c r="E12299">
        <v>80472605</v>
      </c>
    </row>
    <row r="12300" spans="1:6" x14ac:dyDescent="0.25">
      <c r="A12300">
        <v>12299</v>
      </c>
      <c r="B12300">
        <v>41</v>
      </c>
      <c r="C12300">
        <v>0</v>
      </c>
      <c r="D12300">
        <v>0</v>
      </c>
      <c r="E12300">
        <v>0</v>
      </c>
      <c r="F12300">
        <v>1</v>
      </c>
    </row>
    <row r="12301" spans="1:6" x14ac:dyDescent="0.25">
      <c r="A12301">
        <v>12300</v>
      </c>
      <c r="B12301" t="s">
        <v>0</v>
      </c>
      <c r="C12301">
        <v>105</v>
      </c>
      <c r="D12301">
        <v>3499</v>
      </c>
      <c r="E12301">
        <v>80472743</v>
      </c>
    </row>
    <row r="12302" spans="1:6" x14ac:dyDescent="0.25">
      <c r="A12302">
        <v>12301</v>
      </c>
      <c r="B12302">
        <v>43</v>
      </c>
      <c r="C12302">
        <v>0</v>
      </c>
      <c r="D12302">
        <v>0</v>
      </c>
      <c r="E12302">
        <v>0</v>
      </c>
      <c r="F12302">
        <v>0</v>
      </c>
    </row>
    <row r="12303" spans="1:6" x14ac:dyDescent="0.25">
      <c r="A12303">
        <v>12302</v>
      </c>
      <c r="B12303" t="s">
        <v>0</v>
      </c>
      <c r="C12303">
        <v>106</v>
      </c>
      <c r="D12303">
        <v>3499</v>
      </c>
      <c r="E12303">
        <v>80472881</v>
      </c>
    </row>
    <row r="12304" spans="1:6" x14ac:dyDescent="0.25">
      <c r="A12304">
        <v>12303</v>
      </c>
      <c r="B12304">
        <v>45</v>
      </c>
      <c r="C12304">
        <v>0</v>
      </c>
      <c r="D12304">
        <v>0</v>
      </c>
      <c r="E12304">
        <v>0</v>
      </c>
      <c r="F12304">
        <v>515.61599999999999</v>
      </c>
    </row>
    <row r="12305" spans="1:6" x14ac:dyDescent="0.25">
      <c r="A12305">
        <v>12304</v>
      </c>
      <c r="B12305" t="s">
        <v>0</v>
      </c>
      <c r="C12305">
        <v>107</v>
      </c>
      <c r="D12305">
        <v>3499</v>
      </c>
      <c r="E12305">
        <v>80473019</v>
      </c>
    </row>
    <row r="12306" spans="1:6" x14ac:dyDescent="0.25">
      <c r="A12306">
        <v>12305</v>
      </c>
      <c r="B12306">
        <v>2</v>
      </c>
      <c r="C12306">
        <v>0</v>
      </c>
      <c r="D12306">
        <v>0</v>
      </c>
      <c r="E12306">
        <v>0</v>
      </c>
      <c r="F12306">
        <v>240.76</v>
      </c>
    </row>
    <row r="12307" spans="1:6" x14ac:dyDescent="0.25">
      <c r="A12307">
        <v>12306</v>
      </c>
      <c r="B12307">
        <v>10</v>
      </c>
      <c r="C12307">
        <v>1</v>
      </c>
      <c r="D12307">
        <v>0</v>
      </c>
      <c r="E12307">
        <v>0</v>
      </c>
      <c r="F12307">
        <v>5027</v>
      </c>
    </row>
    <row r="12308" spans="1:6" x14ac:dyDescent="0.25">
      <c r="A12308">
        <v>12307</v>
      </c>
      <c r="B12308">
        <v>13</v>
      </c>
      <c r="C12308">
        <v>0</v>
      </c>
      <c r="D12308">
        <v>0</v>
      </c>
      <c r="E12308">
        <v>0</v>
      </c>
      <c r="F12308">
        <v>1610</v>
      </c>
    </row>
    <row r="12309" spans="1:6" x14ac:dyDescent="0.25">
      <c r="A12309">
        <v>12308</v>
      </c>
      <c r="B12309">
        <v>41</v>
      </c>
      <c r="C12309">
        <v>0</v>
      </c>
      <c r="D12309">
        <v>0</v>
      </c>
      <c r="E12309">
        <v>0</v>
      </c>
      <c r="F12309">
        <v>1</v>
      </c>
    </row>
    <row r="12310" spans="1:6" x14ac:dyDescent="0.25">
      <c r="A12310">
        <v>12309</v>
      </c>
      <c r="B12310">
        <v>42</v>
      </c>
      <c r="C12310">
        <v>0</v>
      </c>
      <c r="D12310">
        <v>0</v>
      </c>
      <c r="E12310">
        <v>0</v>
      </c>
      <c r="F12310">
        <v>0.2</v>
      </c>
    </row>
    <row r="12311" spans="1:6" x14ac:dyDescent="0.25">
      <c r="A12311">
        <v>12310</v>
      </c>
      <c r="B12311">
        <v>43</v>
      </c>
      <c r="C12311">
        <v>0</v>
      </c>
      <c r="D12311">
        <v>0</v>
      </c>
      <c r="E12311">
        <v>0</v>
      </c>
      <c r="F12311">
        <v>0</v>
      </c>
    </row>
    <row r="12312" spans="1:6" x14ac:dyDescent="0.25">
      <c r="A12312">
        <v>12311</v>
      </c>
      <c r="B12312">
        <v>44</v>
      </c>
      <c r="C12312">
        <v>0</v>
      </c>
      <c r="D12312">
        <v>0</v>
      </c>
      <c r="E12312">
        <v>0</v>
      </c>
      <c r="F12312">
        <v>-6.7173299999999996</v>
      </c>
    </row>
    <row r="12313" spans="1:6" x14ac:dyDescent="0.25">
      <c r="A12313">
        <v>12312</v>
      </c>
      <c r="B12313">
        <v>45</v>
      </c>
      <c r="C12313">
        <v>0</v>
      </c>
      <c r="D12313">
        <v>0</v>
      </c>
      <c r="E12313">
        <v>0</v>
      </c>
      <c r="F12313">
        <v>515.61199999999997</v>
      </c>
    </row>
    <row r="12314" spans="1:6" x14ac:dyDescent="0.25">
      <c r="A12314">
        <v>12313</v>
      </c>
      <c r="B12314">
        <v>46</v>
      </c>
      <c r="C12314">
        <v>0</v>
      </c>
      <c r="D12314">
        <v>0</v>
      </c>
      <c r="E12314">
        <v>0</v>
      </c>
      <c r="F12314">
        <v>0</v>
      </c>
    </row>
    <row r="12315" spans="1:6" x14ac:dyDescent="0.25">
      <c r="A12315">
        <v>12314</v>
      </c>
      <c r="B12315">
        <v>2</v>
      </c>
      <c r="C12315">
        <v>0</v>
      </c>
      <c r="D12315">
        <v>0</v>
      </c>
      <c r="E12315">
        <v>0</v>
      </c>
      <c r="F12315">
        <v>240.75299999999999</v>
      </c>
    </row>
    <row r="12316" spans="1:6" x14ac:dyDescent="0.25">
      <c r="A12316">
        <v>12315</v>
      </c>
      <c r="B12316">
        <v>10</v>
      </c>
      <c r="C12316">
        <v>1</v>
      </c>
      <c r="D12316">
        <v>0</v>
      </c>
      <c r="E12316">
        <v>0</v>
      </c>
      <c r="F12316">
        <v>5028</v>
      </c>
    </row>
    <row r="12317" spans="1:6" x14ac:dyDescent="0.25">
      <c r="A12317">
        <v>12316</v>
      </c>
      <c r="B12317">
        <v>13</v>
      </c>
      <c r="C12317">
        <v>0</v>
      </c>
      <c r="D12317">
        <v>0</v>
      </c>
      <c r="E12317">
        <v>0</v>
      </c>
      <c r="F12317">
        <v>1610</v>
      </c>
    </row>
    <row r="12318" spans="1:6" x14ac:dyDescent="0.25">
      <c r="A12318">
        <v>12317</v>
      </c>
      <c r="B12318" t="s">
        <v>0</v>
      </c>
      <c r="C12318">
        <v>113</v>
      </c>
      <c r="D12318">
        <v>3499</v>
      </c>
      <c r="E12318">
        <v>80473847</v>
      </c>
    </row>
    <row r="12319" spans="1:6" x14ac:dyDescent="0.25">
      <c r="A12319">
        <v>12318</v>
      </c>
      <c r="B12319">
        <v>41</v>
      </c>
      <c r="C12319">
        <v>0</v>
      </c>
      <c r="D12319">
        <v>0</v>
      </c>
      <c r="E12319">
        <v>0</v>
      </c>
      <c r="F12319">
        <v>1</v>
      </c>
    </row>
    <row r="12320" spans="1:6" x14ac:dyDescent="0.25">
      <c r="A12320">
        <v>12319</v>
      </c>
      <c r="B12320">
        <v>42</v>
      </c>
      <c r="C12320">
        <v>0</v>
      </c>
      <c r="D12320">
        <v>0</v>
      </c>
      <c r="E12320">
        <v>0</v>
      </c>
      <c r="F12320">
        <v>0.2</v>
      </c>
    </row>
    <row r="12321" spans="1:6" x14ac:dyDescent="0.25">
      <c r="A12321">
        <v>12320</v>
      </c>
      <c r="B12321" t="s">
        <v>0</v>
      </c>
      <c r="C12321">
        <v>114</v>
      </c>
      <c r="D12321">
        <v>3499</v>
      </c>
      <c r="E12321">
        <v>80473985</v>
      </c>
    </row>
    <row r="12322" spans="1:6" x14ac:dyDescent="0.25">
      <c r="A12322">
        <v>12321</v>
      </c>
      <c r="B12322">
        <v>43</v>
      </c>
      <c r="C12322">
        <v>0</v>
      </c>
      <c r="D12322">
        <v>0</v>
      </c>
      <c r="E12322">
        <v>0</v>
      </c>
      <c r="F12322">
        <v>0</v>
      </c>
    </row>
    <row r="12323" spans="1:6" x14ac:dyDescent="0.25">
      <c r="A12323">
        <v>12322</v>
      </c>
      <c r="B12323">
        <v>44</v>
      </c>
      <c r="C12323">
        <v>0</v>
      </c>
      <c r="D12323">
        <v>0</v>
      </c>
      <c r="E12323">
        <v>0</v>
      </c>
      <c r="F12323">
        <v>-6.5907400000000003</v>
      </c>
    </row>
    <row r="12324" spans="1:6" x14ac:dyDescent="0.25">
      <c r="A12324">
        <v>12323</v>
      </c>
      <c r="B12324" t="s">
        <v>0</v>
      </c>
      <c r="C12324">
        <v>115</v>
      </c>
      <c r="D12324">
        <v>3499</v>
      </c>
      <c r="E12324">
        <v>80474123</v>
      </c>
    </row>
    <row r="12325" spans="1:6" x14ac:dyDescent="0.25">
      <c r="A12325">
        <v>12324</v>
      </c>
      <c r="B12325">
        <v>45</v>
      </c>
      <c r="C12325">
        <v>0</v>
      </c>
      <c r="D12325">
        <v>0</v>
      </c>
      <c r="E12325">
        <v>0</v>
      </c>
      <c r="F12325">
        <v>515.60599999999999</v>
      </c>
    </row>
    <row r="12326" spans="1:6" x14ac:dyDescent="0.25">
      <c r="A12326">
        <v>12325</v>
      </c>
      <c r="B12326">
        <v>46</v>
      </c>
      <c r="C12326">
        <v>0</v>
      </c>
      <c r="D12326">
        <v>0</v>
      </c>
      <c r="E12326">
        <v>0</v>
      </c>
      <c r="F12326">
        <v>0</v>
      </c>
    </row>
    <row r="12327" spans="1:6" x14ac:dyDescent="0.25">
      <c r="A12327">
        <v>12326</v>
      </c>
      <c r="B12327" t="s">
        <v>0</v>
      </c>
      <c r="C12327">
        <v>116</v>
      </c>
      <c r="D12327">
        <v>3499</v>
      </c>
      <c r="E12327">
        <v>80474261</v>
      </c>
    </row>
    <row r="12328" spans="1:6" x14ac:dyDescent="0.25">
      <c r="A12328">
        <v>12327</v>
      </c>
      <c r="B12328">
        <v>2</v>
      </c>
      <c r="C12328">
        <v>0</v>
      </c>
      <c r="D12328">
        <v>0</v>
      </c>
      <c r="E12328">
        <v>0</v>
      </c>
      <c r="F12328">
        <v>240.745</v>
      </c>
    </row>
    <row r="12329" spans="1:6" x14ac:dyDescent="0.25">
      <c r="A12329">
        <v>12328</v>
      </c>
      <c r="B12329">
        <v>10</v>
      </c>
      <c r="C12329">
        <v>1</v>
      </c>
      <c r="D12329">
        <v>0</v>
      </c>
      <c r="E12329">
        <v>0</v>
      </c>
      <c r="F12329">
        <v>5028</v>
      </c>
    </row>
    <row r="12330" spans="1:6" x14ac:dyDescent="0.25">
      <c r="A12330">
        <v>12329</v>
      </c>
      <c r="B12330" t="s">
        <v>0</v>
      </c>
      <c r="C12330">
        <v>117</v>
      </c>
      <c r="D12330">
        <v>3499</v>
      </c>
      <c r="E12330">
        <v>80474399</v>
      </c>
    </row>
    <row r="12331" spans="1:6" x14ac:dyDescent="0.25">
      <c r="A12331">
        <v>12330</v>
      </c>
      <c r="B12331">
        <v>41</v>
      </c>
      <c r="C12331">
        <v>0</v>
      </c>
      <c r="D12331">
        <v>0</v>
      </c>
      <c r="E12331">
        <v>0</v>
      </c>
      <c r="F12331">
        <v>1</v>
      </c>
    </row>
    <row r="12332" spans="1:6" x14ac:dyDescent="0.25">
      <c r="A12332">
        <v>12331</v>
      </c>
      <c r="B12332" t="s">
        <v>0</v>
      </c>
      <c r="C12332">
        <v>118</v>
      </c>
      <c r="D12332">
        <v>3499</v>
      </c>
      <c r="E12332">
        <v>80474537</v>
      </c>
    </row>
    <row r="12333" spans="1:6" x14ac:dyDescent="0.25">
      <c r="A12333">
        <v>12332</v>
      </c>
      <c r="B12333">
        <v>43</v>
      </c>
      <c r="C12333">
        <v>0</v>
      </c>
      <c r="D12333">
        <v>0</v>
      </c>
      <c r="E12333">
        <v>0</v>
      </c>
      <c r="F12333">
        <v>0</v>
      </c>
    </row>
    <row r="12334" spans="1:6" x14ac:dyDescent="0.25">
      <c r="A12334">
        <v>12333</v>
      </c>
      <c r="B12334" t="s">
        <v>0</v>
      </c>
      <c r="C12334">
        <v>119</v>
      </c>
      <c r="D12334">
        <v>3499</v>
      </c>
      <c r="E12334">
        <v>80474675</v>
      </c>
    </row>
    <row r="12335" spans="1:6" x14ac:dyDescent="0.25">
      <c r="A12335">
        <v>12334</v>
      </c>
      <c r="B12335">
        <v>45</v>
      </c>
      <c r="C12335">
        <v>0</v>
      </c>
      <c r="D12335">
        <v>0</v>
      </c>
      <c r="E12335">
        <v>0</v>
      </c>
      <c r="F12335">
        <v>515.60199999999998</v>
      </c>
    </row>
    <row r="12336" spans="1:6" x14ac:dyDescent="0.25">
      <c r="A12336">
        <v>12335</v>
      </c>
      <c r="B12336" t="s">
        <v>0</v>
      </c>
      <c r="C12336">
        <v>120</v>
      </c>
      <c r="D12336">
        <v>3499</v>
      </c>
      <c r="E12336">
        <v>80474813</v>
      </c>
    </row>
    <row r="12337" spans="1:6" x14ac:dyDescent="0.25">
      <c r="A12337">
        <v>12336</v>
      </c>
      <c r="B12337">
        <v>2</v>
      </c>
      <c r="C12337">
        <v>0</v>
      </c>
      <c r="D12337">
        <v>0</v>
      </c>
      <c r="E12337">
        <v>0</v>
      </c>
      <c r="F12337">
        <v>240.74</v>
      </c>
    </row>
    <row r="12338" spans="1:6" x14ac:dyDescent="0.25">
      <c r="A12338">
        <v>12337</v>
      </c>
      <c r="B12338" t="s">
        <v>0</v>
      </c>
      <c r="C12338">
        <v>121</v>
      </c>
      <c r="D12338">
        <v>3499</v>
      </c>
      <c r="E12338">
        <v>80474950</v>
      </c>
    </row>
    <row r="12339" spans="1:6" x14ac:dyDescent="0.25">
      <c r="A12339">
        <v>12338</v>
      </c>
      <c r="B12339">
        <v>13</v>
      </c>
      <c r="C12339">
        <v>0</v>
      </c>
      <c r="D12339">
        <v>0</v>
      </c>
      <c r="E12339">
        <v>0</v>
      </c>
      <c r="F12339">
        <v>1610</v>
      </c>
    </row>
    <row r="12340" spans="1:6" x14ac:dyDescent="0.25">
      <c r="A12340">
        <v>12339</v>
      </c>
      <c r="B12340">
        <v>41</v>
      </c>
      <c r="C12340">
        <v>0</v>
      </c>
      <c r="D12340">
        <v>0</v>
      </c>
      <c r="E12340">
        <v>0</v>
      </c>
      <c r="F12340">
        <v>1</v>
      </c>
    </row>
    <row r="12341" spans="1:6" x14ac:dyDescent="0.25">
      <c r="A12341">
        <v>12340</v>
      </c>
      <c r="B12341">
        <v>42</v>
      </c>
      <c r="C12341">
        <v>0</v>
      </c>
      <c r="D12341">
        <v>0</v>
      </c>
      <c r="E12341">
        <v>0</v>
      </c>
      <c r="F12341">
        <v>0.2</v>
      </c>
    </row>
    <row r="12342" spans="1:6" x14ac:dyDescent="0.25">
      <c r="A12342">
        <v>12341</v>
      </c>
      <c r="B12342">
        <v>43</v>
      </c>
      <c r="C12342">
        <v>0</v>
      </c>
      <c r="D12342">
        <v>0</v>
      </c>
      <c r="E12342">
        <v>0</v>
      </c>
      <c r="F12342">
        <v>0</v>
      </c>
    </row>
    <row r="12343" spans="1:6" x14ac:dyDescent="0.25">
      <c r="A12343">
        <v>12342</v>
      </c>
      <c r="B12343">
        <v>44</v>
      </c>
      <c r="C12343">
        <v>0</v>
      </c>
      <c r="D12343">
        <v>0</v>
      </c>
      <c r="E12343">
        <v>0</v>
      </c>
      <c r="F12343">
        <v>-6.2550499999999998</v>
      </c>
    </row>
    <row r="12344" spans="1:6" x14ac:dyDescent="0.25">
      <c r="A12344">
        <v>12343</v>
      </c>
      <c r="B12344">
        <v>45</v>
      </c>
      <c r="C12344">
        <v>0</v>
      </c>
      <c r="D12344">
        <v>0</v>
      </c>
      <c r="E12344">
        <v>0</v>
      </c>
      <c r="F12344">
        <v>515.59799999999996</v>
      </c>
    </row>
    <row r="12345" spans="1:6" x14ac:dyDescent="0.25">
      <c r="A12345">
        <v>12344</v>
      </c>
      <c r="B12345">
        <v>46</v>
      </c>
      <c r="C12345">
        <v>0</v>
      </c>
      <c r="D12345">
        <v>0</v>
      </c>
      <c r="E12345">
        <v>0</v>
      </c>
      <c r="F12345">
        <v>0</v>
      </c>
    </row>
    <row r="12346" spans="1:6" x14ac:dyDescent="0.25">
      <c r="A12346">
        <v>12345</v>
      </c>
      <c r="B12346">
        <v>2</v>
      </c>
      <c r="C12346">
        <v>0</v>
      </c>
      <c r="D12346">
        <v>0</v>
      </c>
      <c r="E12346">
        <v>0</v>
      </c>
      <c r="F12346">
        <v>240.73599999999999</v>
      </c>
    </row>
    <row r="12347" spans="1:6" x14ac:dyDescent="0.25">
      <c r="A12347">
        <v>12346</v>
      </c>
      <c r="B12347">
        <v>10</v>
      </c>
      <c r="C12347">
        <v>1</v>
      </c>
      <c r="D12347">
        <v>0</v>
      </c>
      <c r="E12347">
        <v>0</v>
      </c>
      <c r="F12347">
        <v>5030</v>
      </c>
    </row>
    <row r="12348" spans="1:6" x14ac:dyDescent="0.25">
      <c r="A12348">
        <v>12347</v>
      </c>
      <c r="B12348">
        <v>13</v>
      </c>
      <c r="C12348">
        <v>0</v>
      </c>
      <c r="D12348">
        <v>0</v>
      </c>
      <c r="E12348">
        <v>0</v>
      </c>
      <c r="F12348">
        <v>1610</v>
      </c>
    </row>
    <row r="12349" spans="1:6" x14ac:dyDescent="0.25">
      <c r="A12349">
        <v>12348</v>
      </c>
      <c r="B12349">
        <v>41</v>
      </c>
      <c r="C12349">
        <v>0</v>
      </c>
      <c r="D12349">
        <v>0</v>
      </c>
      <c r="E12349">
        <v>0</v>
      </c>
      <c r="F12349">
        <v>1</v>
      </c>
    </row>
    <row r="12350" spans="1:6" x14ac:dyDescent="0.25">
      <c r="A12350">
        <v>12349</v>
      </c>
      <c r="B12350">
        <v>42</v>
      </c>
      <c r="C12350">
        <v>0</v>
      </c>
      <c r="D12350">
        <v>0</v>
      </c>
      <c r="E12350">
        <v>0</v>
      </c>
      <c r="F12350">
        <v>0.2</v>
      </c>
    </row>
    <row r="12351" spans="1:6" x14ac:dyDescent="0.25">
      <c r="A12351">
        <v>12350</v>
      </c>
      <c r="B12351" t="s">
        <v>0</v>
      </c>
      <c r="C12351">
        <v>127</v>
      </c>
      <c r="D12351">
        <v>3499</v>
      </c>
      <c r="E12351">
        <v>80475778</v>
      </c>
    </row>
    <row r="12352" spans="1:6" x14ac:dyDescent="0.25">
      <c r="A12352">
        <v>12351</v>
      </c>
      <c r="B12352">
        <v>43</v>
      </c>
      <c r="C12352">
        <v>0</v>
      </c>
      <c r="D12352">
        <v>0</v>
      </c>
      <c r="E12352">
        <v>0</v>
      </c>
      <c r="F12352">
        <v>0</v>
      </c>
    </row>
    <row r="12353" spans="1:6" x14ac:dyDescent="0.25">
      <c r="A12353">
        <v>12352</v>
      </c>
      <c r="B12353">
        <v>44</v>
      </c>
      <c r="C12353">
        <v>0</v>
      </c>
      <c r="D12353">
        <v>0</v>
      </c>
      <c r="E12353">
        <v>0</v>
      </c>
      <c r="F12353">
        <v>-6.1224800000000004</v>
      </c>
    </row>
    <row r="12354" spans="1:6" x14ac:dyDescent="0.25">
      <c r="A12354">
        <v>12353</v>
      </c>
      <c r="B12354" t="s">
        <v>0</v>
      </c>
      <c r="C12354">
        <v>128</v>
      </c>
      <c r="D12354">
        <v>3499</v>
      </c>
      <c r="E12354">
        <v>80475916</v>
      </c>
    </row>
    <row r="12355" spans="1:6" x14ac:dyDescent="0.25">
      <c r="A12355">
        <v>12354</v>
      </c>
      <c r="B12355">
        <v>45</v>
      </c>
      <c r="C12355">
        <v>0</v>
      </c>
      <c r="D12355">
        <v>0</v>
      </c>
      <c r="E12355">
        <v>0</v>
      </c>
      <c r="F12355">
        <v>515.59299999999996</v>
      </c>
    </row>
    <row r="12356" spans="1:6" x14ac:dyDescent="0.25">
      <c r="A12356">
        <v>12355</v>
      </c>
      <c r="B12356">
        <v>46</v>
      </c>
      <c r="C12356">
        <v>0</v>
      </c>
      <c r="D12356">
        <v>0</v>
      </c>
      <c r="E12356">
        <v>0</v>
      </c>
      <c r="F12356">
        <v>0</v>
      </c>
    </row>
    <row r="12357" spans="1:6" x14ac:dyDescent="0.25">
      <c r="A12357">
        <v>12356</v>
      </c>
      <c r="B12357" t="s">
        <v>0</v>
      </c>
      <c r="C12357">
        <v>129</v>
      </c>
      <c r="D12357">
        <v>3499</v>
      </c>
      <c r="E12357">
        <v>80476054</v>
      </c>
    </row>
    <row r="12358" spans="1:6" x14ac:dyDescent="0.25">
      <c r="A12358">
        <v>12357</v>
      </c>
      <c r="B12358">
        <v>2</v>
      </c>
      <c r="C12358">
        <v>0</v>
      </c>
      <c r="D12358">
        <v>0</v>
      </c>
      <c r="E12358">
        <v>0</v>
      </c>
      <c r="F12358">
        <v>240.733</v>
      </c>
    </row>
    <row r="12359" spans="1:6" x14ac:dyDescent="0.25">
      <c r="A12359">
        <v>12358</v>
      </c>
      <c r="B12359">
        <v>10</v>
      </c>
      <c r="C12359">
        <v>1</v>
      </c>
      <c r="D12359">
        <v>0</v>
      </c>
      <c r="E12359">
        <v>0</v>
      </c>
      <c r="F12359">
        <v>5030</v>
      </c>
    </row>
    <row r="12360" spans="1:6" x14ac:dyDescent="0.25">
      <c r="A12360">
        <v>12359</v>
      </c>
      <c r="B12360" t="s">
        <v>0</v>
      </c>
      <c r="C12360">
        <v>130</v>
      </c>
      <c r="D12360">
        <v>3499</v>
      </c>
      <c r="E12360">
        <v>80476192</v>
      </c>
    </row>
    <row r="12361" spans="1:6" x14ac:dyDescent="0.25">
      <c r="A12361">
        <v>12360</v>
      </c>
      <c r="B12361">
        <v>13</v>
      </c>
      <c r="C12361">
        <v>0</v>
      </c>
      <c r="D12361">
        <v>0</v>
      </c>
      <c r="E12361">
        <v>0</v>
      </c>
      <c r="F12361">
        <v>1610</v>
      </c>
    </row>
    <row r="12362" spans="1:6" x14ac:dyDescent="0.25">
      <c r="A12362">
        <v>12361</v>
      </c>
      <c r="B12362">
        <v>41</v>
      </c>
      <c r="C12362">
        <v>0</v>
      </c>
      <c r="D12362">
        <v>0</v>
      </c>
      <c r="E12362">
        <v>0</v>
      </c>
      <c r="F12362">
        <v>1</v>
      </c>
    </row>
    <row r="12363" spans="1:6" x14ac:dyDescent="0.25">
      <c r="A12363">
        <v>12362</v>
      </c>
      <c r="B12363" t="s">
        <v>0</v>
      </c>
      <c r="C12363">
        <v>131</v>
      </c>
      <c r="D12363">
        <v>3499</v>
      </c>
      <c r="E12363">
        <v>80476330</v>
      </c>
    </row>
    <row r="12364" spans="1:6" x14ac:dyDescent="0.25">
      <c r="A12364">
        <v>12363</v>
      </c>
      <c r="B12364">
        <v>43</v>
      </c>
      <c r="C12364">
        <v>0</v>
      </c>
      <c r="D12364">
        <v>0</v>
      </c>
      <c r="E12364">
        <v>0</v>
      </c>
      <c r="F12364">
        <v>0</v>
      </c>
    </row>
    <row r="12365" spans="1:6" x14ac:dyDescent="0.25">
      <c r="A12365">
        <v>12364</v>
      </c>
      <c r="B12365" t="s">
        <v>0</v>
      </c>
      <c r="C12365">
        <v>132</v>
      </c>
      <c r="D12365">
        <v>3499</v>
      </c>
      <c r="E12365">
        <v>80476468</v>
      </c>
    </row>
    <row r="12366" spans="1:6" x14ac:dyDescent="0.25">
      <c r="A12366">
        <v>12365</v>
      </c>
      <c r="B12366">
        <v>45</v>
      </c>
      <c r="C12366">
        <v>0</v>
      </c>
      <c r="D12366">
        <v>0</v>
      </c>
      <c r="E12366">
        <v>0</v>
      </c>
      <c r="F12366">
        <v>515.58900000000006</v>
      </c>
    </row>
    <row r="12367" spans="1:6" x14ac:dyDescent="0.25">
      <c r="A12367">
        <v>12366</v>
      </c>
      <c r="B12367" t="s">
        <v>0</v>
      </c>
      <c r="C12367">
        <v>133</v>
      </c>
      <c r="D12367">
        <v>3499</v>
      </c>
      <c r="E12367">
        <v>80476606</v>
      </c>
    </row>
    <row r="12368" spans="1:6" x14ac:dyDescent="0.25">
      <c r="A12368">
        <v>12367</v>
      </c>
      <c r="B12368">
        <v>2</v>
      </c>
      <c r="C12368">
        <v>0</v>
      </c>
      <c r="D12368">
        <v>0</v>
      </c>
      <c r="E12368">
        <v>0</v>
      </c>
      <c r="F12368">
        <v>240.73</v>
      </c>
    </row>
    <row r="12369" spans="1:6" x14ac:dyDescent="0.25">
      <c r="A12369">
        <v>12368</v>
      </c>
      <c r="B12369" t="s">
        <v>0</v>
      </c>
      <c r="C12369">
        <v>134</v>
      </c>
      <c r="D12369">
        <v>3499</v>
      </c>
      <c r="E12369">
        <v>80476744</v>
      </c>
    </row>
    <row r="12370" spans="1:6" x14ac:dyDescent="0.25">
      <c r="A12370">
        <v>12369</v>
      </c>
      <c r="B12370">
        <v>13</v>
      </c>
      <c r="C12370">
        <v>0</v>
      </c>
      <c r="D12370">
        <v>0</v>
      </c>
      <c r="E12370">
        <v>0</v>
      </c>
      <c r="F12370">
        <v>1610</v>
      </c>
    </row>
    <row r="12371" spans="1:6" x14ac:dyDescent="0.25">
      <c r="A12371">
        <v>12370</v>
      </c>
      <c r="B12371" t="s">
        <v>0</v>
      </c>
      <c r="C12371">
        <v>135</v>
      </c>
      <c r="D12371">
        <v>3499</v>
      </c>
      <c r="E12371">
        <v>80476882</v>
      </c>
    </row>
    <row r="12372" spans="1:6" x14ac:dyDescent="0.25">
      <c r="A12372">
        <v>12371</v>
      </c>
      <c r="B12372">
        <v>42</v>
      </c>
      <c r="C12372">
        <v>0</v>
      </c>
      <c r="D12372">
        <v>0</v>
      </c>
      <c r="E12372">
        <v>0</v>
      </c>
      <c r="F12372">
        <v>0.2</v>
      </c>
    </row>
    <row r="12373" spans="1:6" x14ac:dyDescent="0.25">
      <c r="A12373">
        <v>12372</v>
      </c>
      <c r="B12373">
        <v>43</v>
      </c>
      <c r="C12373">
        <v>0</v>
      </c>
      <c r="D12373">
        <v>0</v>
      </c>
      <c r="E12373">
        <v>0</v>
      </c>
      <c r="F12373">
        <v>0</v>
      </c>
    </row>
    <row r="12374" spans="1:6" x14ac:dyDescent="0.25">
      <c r="A12374">
        <v>12373</v>
      </c>
      <c r="B12374">
        <v>44</v>
      </c>
      <c r="C12374">
        <v>0</v>
      </c>
      <c r="D12374">
        <v>0</v>
      </c>
      <c r="E12374">
        <v>0</v>
      </c>
      <c r="F12374">
        <v>-5.7964500000000001</v>
      </c>
    </row>
    <row r="12375" spans="1:6" x14ac:dyDescent="0.25">
      <c r="A12375">
        <v>12374</v>
      </c>
      <c r="B12375">
        <v>45</v>
      </c>
      <c r="C12375">
        <v>0</v>
      </c>
      <c r="D12375">
        <v>0</v>
      </c>
      <c r="E12375">
        <v>0</v>
      </c>
      <c r="F12375">
        <v>515.58500000000004</v>
      </c>
    </row>
    <row r="12376" spans="1:6" x14ac:dyDescent="0.25">
      <c r="A12376">
        <v>12375</v>
      </c>
      <c r="B12376">
        <v>46</v>
      </c>
      <c r="C12376">
        <v>0</v>
      </c>
      <c r="D12376">
        <v>0</v>
      </c>
      <c r="E12376">
        <v>0</v>
      </c>
      <c r="F12376">
        <v>0</v>
      </c>
    </row>
    <row r="12377" spans="1:6" x14ac:dyDescent="0.25">
      <c r="A12377">
        <v>12376</v>
      </c>
      <c r="B12377">
        <v>2</v>
      </c>
      <c r="C12377">
        <v>0</v>
      </c>
      <c r="D12377">
        <v>0</v>
      </c>
      <c r="E12377">
        <v>0</v>
      </c>
      <c r="F12377">
        <v>240.72800000000001</v>
      </c>
    </row>
    <row r="12378" spans="1:6" x14ac:dyDescent="0.25">
      <c r="A12378">
        <v>12377</v>
      </c>
      <c r="B12378">
        <v>10</v>
      </c>
      <c r="C12378">
        <v>1</v>
      </c>
      <c r="D12378">
        <v>0</v>
      </c>
      <c r="E12378">
        <v>0</v>
      </c>
      <c r="F12378">
        <v>5031</v>
      </c>
    </row>
    <row r="12379" spans="1:6" x14ac:dyDescent="0.25">
      <c r="A12379">
        <v>12378</v>
      </c>
      <c r="B12379">
        <v>13</v>
      </c>
      <c r="C12379">
        <v>0</v>
      </c>
      <c r="D12379">
        <v>0</v>
      </c>
      <c r="E12379">
        <v>0</v>
      </c>
      <c r="F12379">
        <v>1610</v>
      </c>
    </row>
    <row r="12380" spans="1:6" x14ac:dyDescent="0.25">
      <c r="A12380">
        <v>12379</v>
      </c>
      <c r="B12380">
        <v>41</v>
      </c>
      <c r="C12380">
        <v>0</v>
      </c>
      <c r="D12380">
        <v>0</v>
      </c>
      <c r="E12380">
        <v>0</v>
      </c>
      <c r="F12380">
        <v>1</v>
      </c>
    </row>
    <row r="12381" spans="1:6" x14ac:dyDescent="0.25">
      <c r="A12381">
        <v>12380</v>
      </c>
      <c r="B12381">
        <v>42</v>
      </c>
      <c r="C12381">
        <v>0</v>
      </c>
      <c r="D12381">
        <v>0</v>
      </c>
      <c r="E12381">
        <v>0</v>
      </c>
      <c r="F12381">
        <v>0.2</v>
      </c>
    </row>
    <row r="12382" spans="1:6" x14ac:dyDescent="0.25">
      <c r="A12382">
        <v>12381</v>
      </c>
      <c r="B12382">
        <v>43</v>
      </c>
      <c r="C12382">
        <v>0</v>
      </c>
      <c r="D12382">
        <v>0</v>
      </c>
      <c r="E12382">
        <v>0</v>
      </c>
      <c r="F12382">
        <v>0</v>
      </c>
    </row>
    <row r="12383" spans="1:6" x14ac:dyDescent="0.25">
      <c r="A12383">
        <v>12382</v>
      </c>
      <c r="B12383">
        <v>44</v>
      </c>
      <c r="C12383">
        <v>0</v>
      </c>
      <c r="D12383">
        <v>0</v>
      </c>
      <c r="E12383">
        <v>0</v>
      </c>
      <c r="F12383">
        <v>-5.6696900000000001</v>
      </c>
    </row>
    <row r="12384" spans="1:6" x14ac:dyDescent="0.25">
      <c r="A12384">
        <v>12383</v>
      </c>
      <c r="B12384" t="s">
        <v>0</v>
      </c>
      <c r="C12384">
        <v>141</v>
      </c>
      <c r="D12384">
        <v>3499</v>
      </c>
      <c r="E12384">
        <v>80477710</v>
      </c>
    </row>
    <row r="12385" spans="1:6" x14ac:dyDescent="0.25">
      <c r="A12385">
        <v>12384</v>
      </c>
      <c r="B12385">
        <v>45</v>
      </c>
      <c r="C12385">
        <v>0</v>
      </c>
      <c r="D12385">
        <v>0</v>
      </c>
      <c r="E12385">
        <v>0</v>
      </c>
      <c r="F12385">
        <v>515.58000000000004</v>
      </c>
    </row>
    <row r="12386" spans="1:6" x14ac:dyDescent="0.25">
      <c r="A12386">
        <v>12385</v>
      </c>
      <c r="B12386">
        <v>46</v>
      </c>
      <c r="C12386">
        <v>0</v>
      </c>
      <c r="D12386">
        <v>0</v>
      </c>
      <c r="E12386">
        <v>0</v>
      </c>
      <c r="F12386">
        <v>0</v>
      </c>
    </row>
    <row r="12387" spans="1:6" x14ac:dyDescent="0.25">
      <c r="A12387">
        <v>12386</v>
      </c>
      <c r="B12387" t="s">
        <v>0</v>
      </c>
      <c r="C12387">
        <v>142</v>
      </c>
      <c r="D12387">
        <v>3499</v>
      </c>
      <c r="E12387">
        <v>80477848</v>
      </c>
    </row>
    <row r="12388" spans="1:6" x14ac:dyDescent="0.25">
      <c r="A12388">
        <v>12387</v>
      </c>
      <c r="B12388">
        <v>2</v>
      </c>
      <c r="C12388">
        <v>0</v>
      </c>
      <c r="D12388">
        <v>0</v>
      </c>
      <c r="E12388">
        <v>0</v>
      </c>
      <c r="F12388">
        <v>240.726</v>
      </c>
    </row>
    <row r="12389" spans="1:6" x14ac:dyDescent="0.25">
      <c r="A12389">
        <v>12388</v>
      </c>
      <c r="B12389">
        <v>10</v>
      </c>
      <c r="C12389">
        <v>1</v>
      </c>
      <c r="D12389">
        <v>0</v>
      </c>
      <c r="E12389">
        <v>0</v>
      </c>
      <c r="F12389">
        <v>5032</v>
      </c>
    </row>
    <row r="12390" spans="1:6" x14ac:dyDescent="0.25">
      <c r="A12390">
        <v>12389</v>
      </c>
      <c r="B12390" t="s">
        <v>0</v>
      </c>
      <c r="C12390">
        <v>143</v>
      </c>
      <c r="D12390">
        <v>3499</v>
      </c>
      <c r="E12390">
        <v>80477986</v>
      </c>
    </row>
    <row r="12391" spans="1:6" x14ac:dyDescent="0.25">
      <c r="A12391">
        <v>12390</v>
      </c>
      <c r="B12391">
        <v>13</v>
      </c>
      <c r="C12391">
        <v>0</v>
      </c>
      <c r="D12391">
        <v>0</v>
      </c>
      <c r="E12391">
        <v>0</v>
      </c>
      <c r="F12391">
        <v>1610</v>
      </c>
    </row>
    <row r="12392" spans="1:6" x14ac:dyDescent="0.25">
      <c r="A12392">
        <v>12391</v>
      </c>
      <c r="B12392">
        <v>41</v>
      </c>
      <c r="C12392">
        <v>0</v>
      </c>
      <c r="D12392">
        <v>0</v>
      </c>
      <c r="E12392">
        <v>0</v>
      </c>
      <c r="F12392">
        <v>1</v>
      </c>
    </row>
    <row r="12393" spans="1:6" x14ac:dyDescent="0.25">
      <c r="A12393">
        <v>12392</v>
      </c>
      <c r="B12393" t="s">
        <v>0</v>
      </c>
      <c r="C12393">
        <v>144</v>
      </c>
      <c r="D12393">
        <v>3499</v>
      </c>
      <c r="E12393">
        <v>80478124</v>
      </c>
    </row>
    <row r="12394" spans="1:6" x14ac:dyDescent="0.25">
      <c r="A12394">
        <v>12393</v>
      </c>
      <c r="B12394">
        <v>42</v>
      </c>
      <c r="C12394">
        <v>0</v>
      </c>
      <c r="D12394">
        <v>0</v>
      </c>
      <c r="E12394">
        <v>0</v>
      </c>
      <c r="F12394">
        <v>0.2</v>
      </c>
    </row>
    <row r="12395" spans="1:6" x14ac:dyDescent="0.25">
      <c r="A12395">
        <v>12394</v>
      </c>
      <c r="B12395">
        <v>43</v>
      </c>
      <c r="C12395">
        <v>0</v>
      </c>
      <c r="D12395">
        <v>0</v>
      </c>
      <c r="E12395">
        <v>0</v>
      </c>
      <c r="F12395">
        <v>0</v>
      </c>
    </row>
    <row r="12396" spans="1:6" x14ac:dyDescent="0.25">
      <c r="A12396">
        <v>12395</v>
      </c>
      <c r="B12396" t="s">
        <v>0</v>
      </c>
      <c r="C12396">
        <v>145</v>
      </c>
      <c r="D12396">
        <v>3499</v>
      </c>
      <c r="E12396">
        <v>80478263</v>
      </c>
    </row>
    <row r="12397" spans="1:6" x14ac:dyDescent="0.25">
      <c r="A12397">
        <v>12396</v>
      </c>
      <c r="B12397">
        <v>45</v>
      </c>
      <c r="C12397">
        <v>0</v>
      </c>
      <c r="D12397">
        <v>0</v>
      </c>
      <c r="E12397">
        <v>0</v>
      </c>
      <c r="F12397">
        <v>515.57600000000002</v>
      </c>
    </row>
    <row r="12398" spans="1:6" x14ac:dyDescent="0.25">
      <c r="A12398">
        <v>12397</v>
      </c>
      <c r="B12398" t="s">
        <v>0</v>
      </c>
      <c r="C12398">
        <v>146</v>
      </c>
      <c r="D12398">
        <v>3499</v>
      </c>
      <c r="E12398">
        <v>80478401</v>
      </c>
    </row>
    <row r="12399" spans="1:6" x14ac:dyDescent="0.25">
      <c r="A12399">
        <v>12398</v>
      </c>
      <c r="B12399">
        <v>2</v>
      </c>
      <c r="C12399">
        <v>0</v>
      </c>
      <c r="D12399">
        <v>0</v>
      </c>
      <c r="E12399">
        <v>0</v>
      </c>
      <c r="F12399">
        <v>240.66800000000001</v>
      </c>
    </row>
    <row r="12400" spans="1:6" x14ac:dyDescent="0.25">
      <c r="A12400">
        <v>12399</v>
      </c>
      <c r="B12400" t="s">
        <v>0</v>
      </c>
      <c r="C12400">
        <v>147</v>
      </c>
      <c r="D12400">
        <v>3499</v>
      </c>
      <c r="E12400">
        <v>80478539</v>
      </c>
    </row>
    <row r="12401" spans="1:6" x14ac:dyDescent="0.25">
      <c r="A12401">
        <v>12400</v>
      </c>
      <c r="B12401">
        <v>13</v>
      </c>
      <c r="C12401">
        <v>0</v>
      </c>
      <c r="D12401">
        <v>0</v>
      </c>
      <c r="E12401">
        <v>0</v>
      </c>
      <c r="F12401">
        <v>1610</v>
      </c>
    </row>
    <row r="12402" spans="1:6" x14ac:dyDescent="0.25">
      <c r="A12402">
        <v>12401</v>
      </c>
      <c r="B12402" t="s">
        <v>0</v>
      </c>
      <c r="C12402">
        <v>148</v>
      </c>
      <c r="D12402">
        <v>3499</v>
      </c>
      <c r="E12402">
        <v>80478677</v>
      </c>
    </row>
    <row r="12403" spans="1:6" x14ac:dyDescent="0.25">
      <c r="A12403">
        <v>12402</v>
      </c>
      <c r="B12403">
        <v>42</v>
      </c>
      <c r="C12403">
        <v>0</v>
      </c>
      <c r="D12403">
        <v>0</v>
      </c>
      <c r="E12403">
        <v>0</v>
      </c>
      <c r="F12403">
        <v>0.2</v>
      </c>
    </row>
    <row r="12404" spans="1:6" x14ac:dyDescent="0.25">
      <c r="A12404">
        <v>12403</v>
      </c>
      <c r="B12404" t="s">
        <v>0</v>
      </c>
      <c r="C12404">
        <v>149</v>
      </c>
      <c r="D12404">
        <v>3499</v>
      </c>
      <c r="E12404">
        <v>80478815</v>
      </c>
    </row>
    <row r="12405" spans="1:6" x14ac:dyDescent="0.25">
      <c r="A12405">
        <v>12404</v>
      </c>
      <c r="B12405">
        <v>44</v>
      </c>
      <c r="C12405">
        <v>0</v>
      </c>
      <c r="D12405">
        <v>0</v>
      </c>
      <c r="E12405">
        <v>0</v>
      </c>
      <c r="F12405">
        <v>-5.2435799999999997</v>
      </c>
    </row>
    <row r="12406" spans="1:6" x14ac:dyDescent="0.25">
      <c r="A12406">
        <v>12405</v>
      </c>
      <c r="B12406">
        <v>45</v>
      </c>
      <c r="C12406">
        <v>0</v>
      </c>
      <c r="D12406">
        <v>0</v>
      </c>
      <c r="E12406">
        <v>0</v>
      </c>
      <c r="F12406">
        <v>515.57299999999998</v>
      </c>
    </row>
    <row r="12407" spans="1:6" x14ac:dyDescent="0.25">
      <c r="A12407">
        <v>12406</v>
      </c>
      <c r="B12407">
        <v>46</v>
      </c>
      <c r="C12407">
        <v>0</v>
      </c>
      <c r="D12407">
        <v>0</v>
      </c>
      <c r="E12407">
        <v>0</v>
      </c>
      <c r="F12407">
        <v>0</v>
      </c>
    </row>
    <row r="12408" spans="1:6" x14ac:dyDescent="0.25">
      <c r="A12408">
        <v>12407</v>
      </c>
      <c r="B12408">
        <v>2</v>
      </c>
      <c r="C12408">
        <v>0</v>
      </c>
      <c r="D12408">
        <v>0</v>
      </c>
      <c r="E12408">
        <v>0</v>
      </c>
      <c r="F12408">
        <v>240.613</v>
      </c>
    </row>
    <row r="12409" spans="1:6" x14ac:dyDescent="0.25">
      <c r="A12409">
        <v>12408</v>
      </c>
      <c r="B12409">
        <v>10</v>
      </c>
      <c r="C12409">
        <v>1</v>
      </c>
      <c r="D12409">
        <v>0</v>
      </c>
      <c r="E12409">
        <v>0</v>
      </c>
      <c r="F12409">
        <v>5036</v>
      </c>
    </row>
    <row r="12410" spans="1:6" x14ac:dyDescent="0.25">
      <c r="A12410">
        <v>12409</v>
      </c>
      <c r="B12410">
        <v>13</v>
      </c>
      <c r="C12410">
        <v>0</v>
      </c>
      <c r="D12410">
        <v>0</v>
      </c>
      <c r="E12410">
        <v>0</v>
      </c>
      <c r="F12410">
        <v>1610</v>
      </c>
    </row>
    <row r="12411" spans="1:6" x14ac:dyDescent="0.25">
      <c r="A12411">
        <v>12410</v>
      </c>
      <c r="B12411">
        <v>41</v>
      </c>
      <c r="C12411">
        <v>0</v>
      </c>
      <c r="D12411">
        <v>0</v>
      </c>
      <c r="E12411">
        <v>0</v>
      </c>
      <c r="F12411">
        <v>1</v>
      </c>
    </row>
    <row r="12412" spans="1:6" x14ac:dyDescent="0.25">
      <c r="A12412">
        <v>12411</v>
      </c>
      <c r="B12412">
        <v>42</v>
      </c>
      <c r="C12412">
        <v>0</v>
      </c>
      <c r="D12412">
        <v>0</v>
      </c>
      <c r="E12412">
        <v>0</v>
      </c>
      <c r="F12412">
        <v>0.2</v>
      </c>
    </row>
    <row r="12413" spans="1:6" x14ac:dyDescent="0.25">
      <c r="A12413">
        <v>12412</v>
      </c>
      <c r="B12413">
        <v>43</v>
      </c>
      <c r="C12413">
        <v>0</v>
      </c>
      <c r="D12413">
        <v>0</v>
      </c>
      <c r="E12413">
        <v>0</v>
      </c>
      <c r="F12413">
        <v>0</v>
      </c>
    </row>
    <row r="12414" spans="1:6" x14ac:dyDescent="0.25">
      <c r="A12414">
        <v>12413</v>
      </c>
      <c r="B12414">
        <v>44</v>
      </c>
      <c r="C12414">
        <v>0</v>
      </c>
      <c r="D12414">
        <v>0</v>
      </c>
      <c r="E12414">
        <v>0</v>
      </c>
      <c r="F12414">
        <v>-5.0714100000000002</v>
      </c>
    </row>
    <row r="12415" spans="1:6" x14ac:dyDescent="0.25">
      <c r="A12415">
        <v>12414</v>
      </c>
      <c r="B12415" t="s">
        <v>0</v>
      </c>
      <c r="C12415">
        <v>154</v>
      </c>
      <c r="D12415">
        <v>3499</v>
      </c>
      <c r="E12415">
        <v>80479506</v>
      </c>
    </row>
    <row r="12416" spans="1:6" x14ac:dyDescent="0.25">
      <c r="A12416">
        <v>12415</v>
      </c>
      <c r="B12416">
        <v>45</v>
      </c>
      <c r="C12416">
        <v>0</v>
      </c>
      <c r="D12416">
        <v>0</v>
      </c>
      <c r="E12416">
        <v>0</v>
      </c>
      <c r="F12416">
        <v>515.56899999999996</v>
      </c>
    </row>
    <row r="12417" spans="1:6" x14ac:dyDescent="0.25">
      <c r="A12417">
        <v>12416</v>
      </c>
      <c r="B12417">
        <v>46</v>
      </c>
      <c r="C12417">
        <v>0</v>
      </c>
      <c r="D12417">
        <v>0</v>
      </c>
      <c r="E12417">
        <v>0</v>
      </c>
      <c r="F12417">
        <v>0</v>
      </c>
    </row>
    <row r="12418" spans="1:6" x14ac:dyDescent="0.25">
      <c r="A12418">
        <v>12417</v>
      </c>
      <c r="B12418" t="s">
        <v>0</v>
      </c>
      <c r="C12418">
        <v>155</v>
      </c>
      <c r="D12418">
        <v>3499</v>
      </c>
      <c r="E12418">
        <v>80479644</v>
      </c>
    </row>
    <row r="12419" spans="1:6" x14ac:dyDescent="0.25">
      <c r="A12419">
        <v>12418</v>
      </c>
      <c r="B12419">
        <v>2</v>
      </c>
      <c r="C12419">
        <v>0</v>
      </c>
      <c r="D12419">
        <v>0</v>
      </c>
      <c r="E12419">
        <v>0</v>
      </c>
      <c r="F12419">
        <v>240.55799999999999</v>
      </c>
    </row>
    <row r="12420" spans="1:6" x14ac:dyDescent="0.25">
      <c r="A12420">
        <v>12419</v>
      </c>
      <c r="B12420">
        <v>10</v>
      </c>
      <c r="C12420">
        <v>1</v>
      </c>
      <c r="D12420">
        <v>0</v>
      </c>
      <c r="E12420">
        <v>0</v>
      </c>
      <c r="F12420">
        <v>5037</v>
      </c>
    </row>
    <row r="12421" spans="1:6" x14ac:dyDescent="0.25">
      <c r="A12421">
        <v>12420</v>
      </c>
      <c r="B12421" t="s">
        <v>0</v>
      </c>
      <c r="C12421">
        <v>156</v>
      </c>
      <c r="D12421">
        <v>3499</v>
      </c>
      <c r="E12421">
        <v>80479783</v>
      </c>
    </row>
    <row r="12422" spans="1:6" x14ac:dyDescent="0.25">
      <c r="A12422">
        <v>12421</v>
      </c>
      <c r="B12422">
        <v>13</v>
      </c>
      <c r="C12422">
        <v>0</v>
      </c>
      <c r="D12422">
        <v>0</v>
      </c>
      <c r="E12422">
        <v>0</v>
      </c>
      <c r="F12422">
        <v>1610</v>
      </c>
    </row>
    <row r="12423" spans="1:6" x14ac:dyDescent="0.25">
      <c r="A12423">
        <v>12422</v>
      </c>
      <c r="B12423">
        <v>41</v>
      </c>
      <c r="C12423">
        <v>0</v>
      </c>
      <c r="D12423">
        <v>0</v>
      </c>
      <c r="E12423">
        <v>0</v>
      </c>
      <c r="F12423">
        <v>1</v>
      </c>
    </row>
    <row r="12424" spans="1:6" x14ac:dyDescent="0.25">
      <c r="A12424">
        <v>12423</v>
      </c>
      <c r="B12424" t="s">
        <v>0</v>
      </c>
      <c r="C12424">
        <v>157</v>
      </c>
      <c r="D12424">
        <v>3499</v>
      </c>
      <c r="E12424">
        <v>80479921</v>
      </c>
    </row>
    <row r="12425" spans="1:6" x14ac:dyDescent="0.25">
      <c r="A12425">
        <v>12424</v>
      </c>
      <c r="B12425">
        <v>42</v>
      </c>
      <c r="C12425">
        <v>0</v>
      </c>
      <c r="D12425">
        <v>0</v>
      </c>
      <c r="E12425">
        <v>0</v>
      </c>
      <c r="F12425">
        <v>0.2</v>
      </c>
    </row>
    <row r="12426" spans="1:6" x14ac:dyDescent="0.25">
      <c r="A12426">
        <v>12425</v>
      </c>
      <c r="B12426">
        <v>43</v>
      </c>
      <c r="C12426">
        <v>0</v>
      </c>
      <c r="D12426">
        <v>0</v>
      </c>
      <c r="E12426">
        <v>0</v>
      </c>
      <c r="F12426">
        <v>0</v>
      </c>
    </row>
    <row r="12427" spans="1:6" x14ac:dyDescent="0.25">
      <c r="A12427">
        <v>12426</v>
      </c>
      <c r="B12427" t="s">
        <v>0</v>
      </c>
      <c r="C12427">
        <v>158</v>
      </c>
      <c r="D12427">
        <v>3499</v>
      </c>
      <c r="E12427">
        <v>80480059</v>
      </c>
    </row>
    <row r="12428" spans="1:6" x14ac:dyDescent="0.25">
      <c r="A12428">
        <v>12427</v>
      </c>
      <c r="B12428">
        <v>44</v>
      </c>
      <c r="C12428">
        <v>0</v>
      </c>
      <c r="D12428">
        <v>0</v>
      </c>
      <c r="E12428">
        <v>0</v>
      </c>
      <c r="F12428">
        <v>-4.8498400000000004</v>
      </c>
    </row>
    <row r="12429" spans="1:6" x14ac:dyDescent="0.25">
      <c r="A12429">
        <v>12428</v>
      </c>
      <c r="B12429">
        <v>45</v>
      </c>
      <c r="C12429">
        <v>0</v>
      </c>
      <c r="D12429">
        <v>0</v>
      </c>
      <c r="E12429">
        <v>0</v>
      </c>
      <c r="F12429">
        <v>515.56500000000005</v>
      </c>
    </row>
    <row r="12430" spans="1:6" x14ac:dyDescent="0.25">
      <c r="A12430">
        <v>12429</v>
      </c>
      <c r="B12430" t="s">
        <v>0</v>
      </c>
      <c r="C12430">
        <v>159</v>
      </c>
      <c r="D12430">
        <v>3499</v>
      </c>
      <c r="E12430">
        <v>80480197</v>
      </c>
    </row>
    <row r="12431" spans="1:6" x14ac:dyDescent="0.25">
      <c r="A12431">
        <v>12430</v>
      </c>
      <c r="B12431">
        <v>2</v>
      </c>
      <c r="C12431">
        <v>0</v>
      </c>
      <c r="D12431">
        <v>0</v>
      </c>
      <c r="E12431">
        <v>0</v>
      </c>
      <c r="F12431">
        <v>240.524</v>
      </c>
    </row>
    <row r="12432" spans="1:6" x14ac:dyDescent="0.25">
      <c r="A12432">
        <v>12431</v>
      </c>
      <c r="B12432" t="s">
        <v>0</v>
      </c>
      <c r="C12432">
        <v>160</v>
      </c>
      <c r="D12432">
        <v>3499</v>
      </c>
      <c r="E12432">
        <v>80480335</v>
      </c>
    </row>
    <row r="12433" spans="1:6" x14ac:dyDescent="0.25">
      <c r="A12433">
        <v>12432</v>
      </c>
      <c r="B12433">
        <v>13</v>
      </c>
      <c r="C12433">
        <v>0</v>
      </c>
      <c r="D12433">
        <v>0</v>
      </c>
      <c r="E12433">
        <v>0</v>
      </c>
      <c r="F12433">
        <v>1611</v>
      </c>
    </row>
    <row r="12434" spans="1:6" x14ac:dyDescent="0.25">
      <c r="A12434">
        <v>12433</v>
      </c>
      <c r="B12434" t="s">
        <v>0</v>
      </c>
      <c r="C12434">
        <v>161</v>
      </c>
      <c r="D12434">
        <v>3499</v>
      </c>
      <c r="E12434">
        <v>80480473</v>
      </c>
    </row>
    <row r="12435" spans="1:6" x14ac:dyDescent="0.25">
      <c r="A12435">
        <v>12434</v>
      </c>
      <c r="B12435">
        <v>42</v>
      </c>
      <c r="C12435">
        <v>0</v>
      </c>
      <c r="D12435">
        <v>0</v>
      </c>
      <c r="E12435">
        <v>0</v>
      </c>
      <c r="F12435">
        <v>0.2</v>
      </c>
    </row>
    <row r="12436" spans="1:6" x14ac:dyDescent="0.25">
      <c r="A12436">
        <v>12435</v>
      </c>
      <c r="B12436" t="s">
        <v>0</v>
      </c>
      <c r="C12436">
        <v>162</v>
      </c>
      <c r="D12436">
        <v>3499</v>
      </c>
      <c r="E12436">
        <v>80480611</v>
      </c>
    </row>
    <row r="12437" spans="1:6" x14ac:dyDescent="0.25">
      <c r="A12437">
        <v>12436</v>
      </c>
      <c r="B12437">
        <v>44</v>
      </c>
      <c r="C12437">
        <v>0</v>
      </c>
      <c r="D12437">
        <v>0</v>
      </c>
      <c r="E12437">
        <v>0</v>
      </c>
      <c r="F12437">
        <v>-4.6700600000000003</v>
      </c>
    </row>
    <row r="12438" spans="1:6" x14ac:dyDescent="0.25">
      <c r="A12438">
        <v>12437</v>
      </c>
      <c r="B12438">
        <v>45</v>
      </c>
      <c r="C12438">
        <v>0</v>
      </c>
      <c r="D12438">
        <v>0</v>
      </c>
      <c r="E12438">
        <v>0</v>
      </c>
      <c r="F12438">
        <v>515.56200000000001</v>
      </c>
    </row>
    <row r="12439" spans="1:6" x14ac:dyDescent="0.25">
      <c r="A12439">
        <v>12438</v>
      </c>
      <c r="B12439">
        <v>46</v>
      </c>
      <c r="C12439">
        <v>0</v>
      </c>
      <c r="D12439">
        <v>0</v>
      </c>
      <c r="E12439">
        <v>0</v>
      </c>
      <c r="F12439">
        <v>0</v>
      </c>
    </row>
    <row r="12440" spans="1:6" x14ac:dyDescent="0.25">
      <c r="A12440">
        <v>12439</v>
      </c>
      <c r="B12440">
        <v>2</v>
      </c>
      <c r="C12440">
        <v>0</v>
      </c>
      <c r="D12440">
        <v>0</v>
      </c>
      <c r="E12440">
        <v>0</v>
      </c>
      <c r="F12440">
        <v>240.49600000000001</v>
      </c>
    </row>
    <row r="12441" spans="1:6" x14ac:dyDescent="0.25">
      <c r="A12441">
        <v>12440</v>
      </c>
      <c r="B12441">
        <v>10</v>
      </c>
      <c r="C12441">
        <v>1</v>
      </c>
      <c r="D12441">
        <v>0</v>
      </c>
      <c r="E12441">
        <v>0</v>
      </c>
      <c r="F12441">
        <v>5040</v>
      </c>
    </row>
    <row r="12442" spans="1:6" x14ac:dyDescent="0.25">
      <c r="A12442">
        <v>12441</v>
      </c>
      <c r="B12442">
        <v>13</v>
      </c>
      <c r="C12442">
        <v>0</v>
      </c>
      <c r="D12442">
        <v>0</v>
      </c>
      <c r="E12442">
        <v>0</v>
      </c>
      <c r="F12442">
        <v>1611</v>
      </c>
    </row>
    <row r="12443" spans="1:6" x14ac:dyDescent="0.25">
      <c r="A12443">
        <v>12442</v>
      </c>
      <c r="B12443">
        <v>41</v>
      </c>
      <c r="C12443">
        <v>0</v>
      </c>
      <c r="D12443">
        <v>0</v>
      </c>
      <c r="E12443">
        <v>0</v>
      </c>
      <c r="F12443">
        <v>1</v>
      </c>
    </row>
    <row r="12444" spans="1:6" x14ac:dyDescent="0.25">
      <c r="A12444">
        <v>12443</v>
      </c>
      <c r="B12444">
        <v>42</v>
      </c>
      <c r="C12444">
        <v>0</v>
      </c>
      <c r="D12444">
        <v>0</v>
      </c>
      <c r="E12444">
        <v>0</v>
      </c>
      <c r="F12444">
        <v>0.2</v>
      </c>
    </row>
    <row r="12445" spans="1:6" x14ac:dyDescent="0.25">
      <c r="A12445">
        <v>12444</v>
      </c>
      <c r="B12445">
        <v>43</v>
      </c>
      <c r="C12445">
        <v>0</v>
      </c>
      <c r="D12445">
        <v>0</v>
      </c>
      <c r="E12445">
        <v>0</v>
      </c>
      <c r="F12445">
        <v>0</v>
      </c>
    </row>
    <row r="12446" spans="1:6" x14ac:dyDescent="0.25">
      <c r="A12446">
        <v>12445</v>
      </c>
      <c r="B12446">
        <v>44</v>
      </c>
      <c r="C12446">
        <v>0</v>
      </c>
      <c r="D12446">
        <v>0</v>
      </c>
      <c r="E12446">
        <v>0</v>
      </c>
      <c r="F12446">
        <v>-4.5209999999999999</v>
      </c>
    </row>
    <row r="12447" spans="1:6" x14ac:dyDescent="0.25">
      <c r="A12447">
        <v>12446</v>
      </c>
      <c r="B12447">
        <v>45</v>
      </c>
      <c r="C12447">
        <v>0</v>
      </c>
      <c r="D12447">
        <v>0</v>
      </c>
      <c r="E12447">
        <v>0</v>
      </c>
      <c r="F12447">
        <v>515.55799999999999</v>
      </c>
    </row>
    <row r="12448" spans="1:6" x14ac:dyDescent="0.25">
      <c r="A12448">
        <v>12447</v>
      </c>
      <c r="B12448">
        <v>46</v>
      </c>
      <c r="C12448">
        <v>0</v>
      </c>
      <c r="D12448">
        <v>0</v>
      </c>
      <c r="E12448">
        <v>0</v>
      </c>
      <c r="F12448">
        <v>0</v>
      </c>
    </row>
    <row r="12449" spans="1:6" x14ac:dyDescent="0.25">
      <c r="A12449">
        <v>12448</v>
      </c>
      <c r="B12449" t="s">
        <v>0</v>
      </c>
      <c r="C12449">
        <v>168</v>
      </c>
      <c r="D12449">
        <v>3499</v>
      </c>
      <c r="E12449">
        <v>80481440</v>
      </c>
    </row>
    <row r="12450" spans="1:6" x14ac:dyDescent="0.25">
      <c r="A12450">
        <v>12449</v>
      </c>
      <c r="B12450">
        <v>2</v>
      </c>
      <c r="C12450">
        <v>0</v>
      </c>
      <c r="D12450">
        <v>0</v>
      </c>
      <c r="E12450">
        <v>0</v>
      </c>
      <c r="F12450">
        <v>240.46799999999999</v>
      </c>
    </row>
    <row r="12451" spans="1:6" x14ac:dyDescent="0.25">
      <c r="A12451">
        <v>12450</v>
      </c>
      <c r="B12451">
        <v>10</v>
      </c>
      <c r="C12451">
        <v>1</v>
      </c>
      <c r="D12451">
        <v>0</v>
      </c>
      <c r="E12451">
        <v>0</v>
      </c>
      <c r="F12451">
        <v>5041</v>
      </c>
    </row>
    <row r="12452" spans="1:6" x14ac:dyDescent="0.25">
      <c r="A12452">
        <v>12451</v>
      </c>
      <c r="B12452" t="s">
        <v>0</v>
      </c>
      <c r="C12452">
        <v>169</v>
      </c>
      <c r="D12452">
        <v>3499</v>
      </c>
      <c r="E12452">
        <v>80481578</v>
      </c>
    </row>
    <row r="12453" spans="1:6" x14ac:dyDescent="0.25">
      <c r="A12453">
        <v>12452</v>
      </c>
      <c r="B12453">
        <v>13</v>
      </c>
      <c r="C12453">
        <v>0</v>
      </c>
      <c r="D12453">
        <v>0</v>
      </c>
      <c r="E12453">
        <v>0</v>
      </c>
      <c r="F12453">
        <v>1611</v>
      </c>
    </row>
    <row r="12454" spans="1:6" x14ac:dyDescent="0.25">
      <c r="A12454">
        <v>12453</v>
      </c>
      <c r="B12454">
        <v>41</v>
      </c>
      <c r="C12454">
        <v>0</v>
      </c>
      <c r="D12454">
        <v>0</v>
      </c>
      <c r="E12454">
        <v>0</v>
      </c>
      <c r="F12454">
        <v>1</v>
      </c>
    </row>
    <row r="12455" spans="1:6" x14ac:dyDescent="0.25">
      <c r="A12455">
        <v>12454</v>
      </c>
      <c r="B12455" t="s">
        <v>0</v>
      </c>
      <c r="C12455">
        <v>170</v>
      </c>
      <c r="D12455">
        <v>3499</v>
      </c>
      <c r="E12455">
        <v>80481716</v>
      </c>
    </row>
    <row r="12456" spans="1:6" x14ac:dyDescent="0.25">
      <c r="A12456">
        <v>12455</v>
      </c>
      <c r="B12456">
        <v>42</v>
      </c>
      <c r="C12456">
        <v>0</v>
      </c>
      <c r="D12456">
        <v>0</v>
      </c>
      <c r="E12456">
        <v>0</v>
      </c>
      <c r="F12456">
        <v>0.2</v>
      </c>
    </row>
    <row r="12457" spans="1:6" x14ac:dyDescent="0.25">
      <c r="A12457">
        <v>12456</v>
      </c>
      <c r="B12457">
        <v>43</v>
      </c>
      <c r="C12457">
        <v>0</v>
      </c>
      <c r="D12457">
        <v>0</v>
      </c>
      <c r="E12457">
        <v>0</v>
      </c>
      <c r="F12457">
        <v>0</v>
      </c>
    </row>
    <row r="12458" spans="1:6" x14ac:dyDescent="0.25">
      <c r="A12458">
        <v>12457</v>
      </c>
      <c r="B12458" t="s">
        <v>0</v>
      </c>
      <c r="C12458">
        <v>171</v>
      </c>
      <c r="D12458">
        <v>3499</v>
      </c>
      <c r="E12458">
        <v>80481855</v>
      </c>
    </row>
    <row r="12459" spans="1:6" x14ac:dyDescent="0.25">
      <c r="A12459">
        <v>12458</v>
      </c>
      <c r="B12459">
        <v>44</v>
      </c>
      <c r="C12459">
        <v>0</v>
      </c>
      <c r="D12459">
        <v>0</v>
      </c>
      <c r="E12459">
        <v>0</v>
      </c>
      <c r="F12459">
        <v>-4.3185900000000004</v>
      </c>
    </row>
    <row r="12460" spans="1:6" x14ac:dyDescent="0.25">
      <c r="A12460">
        <v>12459</v>
      </c>
      <c r="B12460">
        <v>45</v>
      </c>
      <c r="C12460">
        <v>0</v>
      </c>
      <c r="D12460">
        <v>0</v>
      </c>
      <c r="E12460">
        <v>0</v>
      </c>
      <c r="F12460">
        <v>515.55600000000004</v>
      </c>
    </row>
    <row r="12461" spans="1:6" x14ac:dyDescent="0.25">
      <c r="A12461">
        <v>12460</v>
      </c>
      <c r="B12461" t="s">
        <v>0</v>
      </c>
      <c r="C12461">
        <v>172</v>
      </c>
      <c r="D12461">
        <v>3499</v>
      </c>
      <c r="E12461">
        <v>80481993</v>
      </c>
    </row>
    <row r="12462" spans="1:6" x14ac:dyDescent="0.25">
      <c r="A12462">
        <v>12461</v>
      </c>
      <c r="B12462">
        <v>2</v>
      </c>
      <c r="C12462">
        <v>0</v>
      </c>
      <c r="D12462">
        <v>0</v>
      </c>
      <c r="E12462">
        <v>0</v>
      </c>
      <c r="F12462">
        <v>240.45</v>
      </c>
    </row>
    <row r="12463" spans="1:6" x14ac:dyDescent="0.25">
      <c r="A12463">
        <v>12462</v>
      </c>
      <c r="B12463" t="s">
        <v>0</v>
      </c>
      <c r="C12463">
        <v>173</v>
      </c>
      <c r="D12463">
        <v>3499</v>
      </c>
      <c r="E12463">
        <v>80482131</v>
      </c>
    </row>
    <row r="12464" spans="1:6" x14ac:dyDescent="0.25">
      <c r="A12464">
        <v>12463</v>
      </c>
      <c r="B12464">
        <v>13</v>
      </c>
      <c r="C12464">
        <v>0</v>
      </c>
      <c r="D12464">
        <v>0</v>
      </c>
      <c r="E12464">
        <v>0</v>
      </c>
      <c r="F12464">
        <v>1611</v>
      </c>
    </row>
    <row r="12465" spans="1:6" x14ac:dyDescent="0.25">
      <c r="A12465">
        <v>12464</v>
      </c>
      <c r="B12465" t="s">
        <v>0</v>
      </c>
      <c r="C12465">
        <v>174</v>
      </c>
      <c r="D12465">
        <v>3499</v>
      </c>
      <c r="E12465">
        <v>80482269</v>
      </c>
    </row>
    <row r="12466" spans="1:6" x14ac:dyDescent="0.25">
      <c r="A12466">
        <v>12465</v>
      </c>
      <c r="B12466">
        <v>42</v>
      </c>
      <c r="C12466">
        <v>0</v>
      </c>
      <c r="D12466">
        <v>0</v>
      </c>
      <c r="E12466">
        <v>0</v>
      </c>
      <c r="F12466">
        <v>0.2</v>
      </c>
    </row>
    <row r="12467" spans="1:6" x14ac:dyDescent="0.25">
      <c r="A12467">
        <v>12466</v>
      </c>
      <c r="B12467" t="s">
        <v>0</v>
      </c>
      <c r="C12467">
        <v>175</v>
      </c>
      <c r="D12467">
        <v>3499</v>
      </c>
      <c r="E12467">
        <v>80482407</v>
      </c>
    </row>
    <row r="12468" spans="1:6" x14ac:dyDescent="0.25">
      <c r="A12468">
        <v>12467</v>
      </c>
      <c r="B12468">
        <v>44</v>
      </c>
      <c r="C12468">
        <v>0</v>
      </c>
      <c r="D12468">
        <v>0</v>
      </c>
      <c r="E12468">
        <v>0</v>
      </c>
      <c r="F12468">
        <v>-4.1573500000000001</v>
      </c>
    </row>
    <row r="12469" spans="1:6" x14ac:dyDescent="0.25">
      <c r="A12469">
        <v>12468</v>
      </c>
      <c r="B12469">
        <v>45</v>
      </c>
      <c r="C12469">
        <v>0</v>
      </c>
      <c r="D12469">
        <v>0</v>
      </c>
      <c r="E12469">
        <v>0</v>
      </c>
      <c r="F12469">
        <v>515.553</v>
      </c>
    </row>
    <row r="12470" spans="1:6" x14ac:dyDescent="0.25">
      <c r="A12470">
        <v>12469</v>
      </c>
      <c r="B12470">
        <v>46</v>
      </c>
      <c r="C12470">
        <v>0</v>
      </c>
      <c r="D12470">
        <v>0</v>
      </c>
      <c r="E12470">
        <v>0</v>
      </c>
      <c r="F12470">
        <v>0</v>
      </c>
    </row>
    <row r="12471" spans="1:6" x14ac:dyDescent="0.25">
      <c r="A12471">
        <v>12470</v>
      </c>
      <c r="B12471">
        <v>2</v>
      </c>
      <c r="C12471">
        <v>0</v>
      </c>
      <c r="D12471">
        <v>0</v>
      </c>
      <c r="E12471">
        <v>0</v>
      </c>
      <c r="F12471">
        <v>240.43600000000001</v>
      </c>
    </row>
    <row r="12472" spans="1:6" x14ac:dyDescent="0.25">
      <c r="A12472">
        <v>12471</v>
      </c>
      <c r="B12472">
        <v>10</v>
      </c>
      <c r="C12472">
        <v>1</v>
      </c>
      <c r="D12472">
        <v>0</v>
      </c>
      <c r="E12472">
        <v>0</v>
      </c>
      <c r="F12472">
        <v>5043</v>
      </c>
    </row>
    <row r="12473" spans="1:6" x14ac:dyDescent="0.25">
      <c r="A12473">
        <v>12472</v>
      </c>
      <c r="B12473">
        <v>13</v>
      </c>
      <c r="C12473">
        <v>0</v>
      </c>
      <c r="D12473">
        <v>0</v>
      </c>
      <c r="E12473">
        <v>0</v>
      </c>
      <c r="F12473">
        <v>1611</v>
      </c>
    </row>
    <row r="12474" spans="1:6" x14ac:dyDescent="0.25">
      <c r="A12474">
        <v>12473</v>
      </c>
      <c r="B12474">
        <v>41</v>
      </c>
      <c r="C12474">
        <v>0</v>
      </c>
      <c r="D12474">
        <v>0</v>
      </c>
      <c r="E12474">
        <v>0</v>
      </c>
      <c r="F12474">
        <v>1</v>
      </c>
    </row>
    <row r="12475" spans="1:6" x14ac:dyDescent="0.25">
      <c r="A12475">
        <v>12474</v>
      </c>
      <c r="B12475">
        <v>42</v>
      </c>
      <c r="C12475">
        <v>0</v>
      </c>
      <c r="D12475">
        <v>0</v>
      </c>
      <c r="E12475">
        <v>0</v>
      </c>
      <c r="F12475">
        <v>0.2</v>
      </c>
    </row>
    <row r="12476" spans="1:6" x14ac:dyDescent="0.25">
      <c r="A12476">
        <v>12475</v>
      </c>
      <c r="B12476">
        <v>43</v>
      </c>
      <c r="C12476">
        <v>0</v>
      </c>
      <c r="D12476">
        <v>0</v>
      </c>
      <c r="E12476">
        <v>0</v>
      </c>
      <c r="F12476">
        <v>0</v>
      </c>
    </row>
    <row r="12477" spans="1:6" x14ac:dyDescent="0.25">
      <c r="A12477">
        <v>12476</v>
      </c>
      <c r="B12477">
        <v>44</v>
      </c>
      <c r="C12477">
        <v>0</v>
      </c>
      <c r="D12477">
        <v>0</v>
      </c>
      <c r="E12477">
        <v>0</v>
      </c>
      <c r="F12477">
        <v>-4.0477299999999996</v>
      </c>
    </row>
    <row r="12478" spans="1:6" x14ac:dyDescent="0.25">
      <c r="A12478">
        <v>12477</v>
      </c>
      <c r="B12478">
        <v>45</v>
      </c>
      <c r="C12478">
        <v>0</v>
      </c>
      <c r="D12478">
        <v>0</v>
      </c>
      <c r="E12478">
        <v>0</v>
      </c>
      <c r="F12478">
        <v>515.55100000000004</v>
      </c>
    </row>
    <row r="12479" spans="1:6" x14ac:dyDescent="0.25">
      <c r="A12479">
        <v>12478</v>
      </c>
      <c r="B12479">
        <v>46</v>
      </c>
      <c r="C12479">
        <v>0</v>
      </c>
      <c r="D12479">
        <v>0</v>
      </c>
      <c r="E12479">
        <v>0</v>
      </c>
      <c r="F12479">
        <v>0</v>
      </c>
    </row>
    <row r="12480" spans="1:6" x14ac:dyDescent="0.25">
      <c r="A12480">
        <v>12479</v>
      </c>
      <c r="B12480" t="s">
        <v>0</v>
      </c>
      <c r="C12480">
        <v>1</v>
      </c>
      <c r="D12480">
        <v>3500</v>
      </c>
      <c r="E12480">
        <v>80483239</v>
      </c>
    </row>
    <row r="12481" spans="1:6" x14ac:dyDescent="0.25">
      <c r="A12481">
        <v>12480</v>
      </c>
      <c r="B12481">
        <v>2</v>
      </c>
      <c r="C12481">
        <v>0</v>
      </c>
      <c r="D12481">
        <v>0</v>
      </c>
      <c r="E12481">
        <v>0</v>
      </c>
      <c r="F12481">
        <v>240.42699999999999</v>
      </c>
    </row>
    <row r="12482" spans="1:6" x14ac:dyDescent="0.25">
      <c r="A12482">
        <v>12481</v>
      </c>
      <c r="B12482">
        <v>10</v>
      </c>
      <c r="C12482">
        <v>1</v>
      </c>
      <c r="D12482">
        <v>0</v>
      </c>
      <c r="E12482">
        <v>0</v>
      </c>
      <c r="F12482">
        <v>5044</v>
      </c>
    </row>
    <row r="12483" spans="1:6" x14ac:dyDescent="0.25">
      <c r="A12483">
        <v>12482</v>
      </c>
      <c r="B12483" t="s">
        <v>0</v>
      </c>
      <c r="C12483">
        <v>2</v>
      </c>
      <c r="D12483">
        <v>3500</v>
      </c>
      <c r="E12483">
        <v>80483378</v>
      </c>
    </row>
    <row r="12484" spans="1:6" x14ac:dyDescent="0.25">
      <c r="A12484">
        <v>12483</v>
      </c>
      <c r="B12484">
        <v>13</v>
      </c>
      <c r="C12484">
        <v>0</v>
      </c>
      <c r="D12484">
        <v>0</v>
      </c>
      <c r="E12484">
        <v>0</v>
      </c>
      <c r="F12484">
        <v>1611</v>
      </c>
    </row>
    <row r="12485" spans="1:6" x14ac:dyDescent="0.25">
      <c r="A12485">
        <v>12484</v>
      </c>
      <c r="B12485">
        <v>41</v>
      </c>
      <c r="C12485">
        <v>0</v>
      </c>
      <c r="D12485">
        <v>0</v>
      </c>
      <c r="E12485">
        <v>0</v>
      </c>
      <c r="F12485">
        <v>1</v>
      </c>
    </row>
    <row r="12486" spans="1:6" x14ac:dyDescent="0.25">
      <c r="A12486">
        <v>12485</v>
      </c>
      <c r="B12486" t="s">
        <v>0</v>
      </c>
      <c r="C12486">
        <v>3</v>
      </c>
      <c r="D12486">
        <v>3500</v>
      </c>
      <c r="E12486">
        <v>80483516</v>
      </c>
    </row>
    <row r="12487" spans="1:6" x14ac:dyDescent="0.25">
      <c r="A12487">
        <v>12486</v>
      </c>
      <c r="B12487">
        <v>42</v>
      </c>
      <c r="C12487">
        <v>0</v>
      </c>
      <c r="D12487">
        <v>0</v>
      </c>
      <c r="E12487">
        <v>0</v>
      </c>
      <c r="F12487">
        <v>0.2</v>
      </c>
    </row>
    <row r="12488" spans="1:6" x14ac:dyDescent="0.25">
      <c r="A12488">
        <v>12487</v>
      </c>
      <c r="B12488">
        <v>43</v>
      </c>
      <c r="C12488">
        <v>0</v>
      </c>
      <c r="D12488">
        <v>0</v>
      </c>
      <c r="E12488">
        <v>0</v>
      </c>
      <c r="F12488">
        <v>0</v>
      </c>
    </row>
    <row r="12489" spans="1:6" x14ac:dyDescent="0.25">
      <c r="A12489">
        <v>12488</v>
      </c>
      <c r="B12489" t="s">
        <v>0</v>
      </c>
      <c r="C12489">
        <v>4</v>
      </c>
      <c r="D12489">
        <v>3500</v>
      </c>
      <c r="E12489">
        <v>80483654</v>
      </c>
    </row>
    <row r="12490" spans="1:6" x14ac:dyDescent="0.25">
      <c r="A12490">
        <v>12489</v>
      </c>
      <c r="B12490">
        <v>44</v>
      </c>
      <c r="C12490">
        <v>0</v>
      </c>
      <c r="D12490">
        <v>0</v>
      </c>
      <c r="E12490">
        <v>0</v>
      </c>
      <c r="F12490">
        <v>-3.8372299999999999</v>
      </c>
    </row>
    <row r="12491" spans="1:6" x14ac:dyDescent="0.25">
      <c r="A12491">
        <v>12490</v>
      </c>
      <c r="B12491">
        <v>45</v>
      </c>
      <c r="C12491">
        <v>0</v>
      </c>
      <c r="D12491">
        <v>0</v>
      </c>
      <c r="E12491">
        <v>0</v>
      </c>
      <c r="F12491">
        <v>515.548</v>
      </c>
    </row>
    <row r="12492" spans="1:6" x14ac:dyDescent="0.25">
      <c r="A12492">
        <v>12491</v>
      </c>
      <c r="B12492" t="s">
        <v>0</v>
      </c>
      <c r="C12492">
        <v>5</v>
      </c>
      <c r="D12492">
        <v>3500</v>
      </c>
      <c r="E12492">
        <v>80483792</v>
      </c>
    </row>
    <row r="12493" spans="1:6" x14ac:dyDescent="0.25">
      <c r="A12493">
        <v>12492</v>
      </c>
      <c r="B12493">
        <v>2</v>
      </c>
      <c r="C12493">
        <v>0</v>
      </c>
      <c r="D12493">
        <v>0</v>
      </c>
      <c r="E12493">
        <v>0</v>
      </c>
      <c r="F12493">
        <v>240.417</v>
      </c>
    </row>
    <row r="12494" spans="1:6" x14ac:dyDescent="0.25">
      <c r="A12494">
        <v>12493</v>
      </c>
      <c r="B12494" t="s">
        <v>0</v>
      </c>
      <c r="C12494">
        <v>6</v>
      </c>
      <c r="D12494">
        <v>3500</v>
      </c>
      <c r="E12494">
        <v>80483930</v>
      </c>
    </row>
    <row r="12495" spans="1:6" x14ac:dyDescent="0.25">
      <c r="A12495">
        <v>12494</v>
      </c>
      <c r="B12495">
        <v>13</v>
      </c>
      <c r="C12495">
        <v>0</v>
      </c>
      <c r="D12495">
        <v>0</v>
      </c>
      <c r="E12495">
        <v>0</v>
      </c>
      <c r="F12495">
        <v>1611</v>
      </c>
    </row>
    <row r="12496" spans="1:6" x14ac:dyDescent="0.25">
      <c r="A12496">
        <v>12495</v>
      </c>
      <c r="B12496" t="s">
        <v>0</v>
      </c>
      <c r="C12496">
        <v>7</v>
      </c>
      <c r="D12496">
        <v>3500</v>
      </c>
      <c r="E12496">
        <v>80484068</v>
      </c>
    </row>
    <row r="12497" spans="1:6" x14ac:dyDescent="0.25">
      <c r="A12497">
        <v>12496</v>
      </c>
      <c r="B12497">
        <v>42</v>
      </c>
      <c r="C12497">
        <v>0</v>
      </c>
      <c r="D12497">
        <v>0</v>
      </c>
      <c r="E12497">
        <v>0</v>
      </c>
      <c r="F12497">
        <v>0.2</v>
      </c>
    </row>
    <row r="12498" spans="1:6" x14ac:dyDescent="0.25">
      <c r="A12498">
        <v>12497</v>
      </c>
      <c r="B12498" t="s">
        <v>0</v>
      </c>
      <c r="C12498">
        <v>8</v>
      </c>
      <c r="D12498">
        <v>3500</v>
      </c>
      <c r="E12498">
        <v>80484206</v>
      </c>
    </row>
    <row r="12499" spans="1:6" x14ac:dyDescent="0.25">
      <c r="A12499">
        <v>12498</v>
      </c>
      <c r="B12499">
        <v>44</v>
      </c>
      <c r="C12499">
        <v>0</v>
      </c>
      <c r="D12499">
        <v>0</v>
      </c>
      <c r="E12499">
        <v>0</v>
      </c>
      <c r="F12499">
        <v>-3.6785100000000002</v>
      </c>
    </row>
    <row r="12500" spans="1:6" x14ac:dyDescent="0.25">
      <c r="A12500">
        <v>12499</v>
      </c>
      <c r="B12500">
        <v>45</v>
      </c>
      <c r="C12500">
        <v>0</v>
      </c>
      <c r="D12500">
        <v>0</v>
      </c>
      <c r="E12500">
        <v>0</v>
      </c>
      <c r="F12500">
        <v>515.54600000000005</v>
      </c>
    </row>
    <row r="12501" spans="1:6" x14ac:dyDescent="0.25">
      <c r="A12501">
        <v>12500</v>
      </c>
      <c r="B12501">
        <v>46</v>
      </c>
      <c r="C12501">
        <v>0</v>
      </c>
      <c r="D12501">
        <v>0</v>
      </c>
      <c r="E12501">
        <v>0</v>
      </c>
      <c r="F12501">
        <v>0</v>
      </c>
    </row>
    <row r="12502" spans="1:6" x14ac:dyDescent="0.25">
      <c r="A12502">
        <v>12501</v>
      </c>
      <c r="B12502">
        <v>2</v>
      </c>
      <c r="C12502">
        <v>0</v>
      </c>
      <c r="D12502">
        <v>0</v>
      </c>
      <c r="E12502">
        <v>0</v>
      </c>
      <c r="F12502">
        <v>240.40799999999999</v>
      </c>
    </row>
    <row r="12503" spans="1:6" x14ac:dyDescent="0.25">
      <c r="A12503">
        <v>12502</v>
      </c>
      <c r="B12503">
        <v>10</v>
      </c>
      <c r="C12503">
        <v>1</v>
      </c>
      <c r="D12503">
        <v>0</v>
      </c>
      <c r="E12503">
        <v>0</v>
      </c>
      <c r="F12503">
        <v>5045</v>
      </c>
    </row>
    <row r="12504" spans="1:6" x14ac:dyDescent="0.25">
      <c r="A12504">
        <v>12503</v>
      </c>
      <c r="B12504">
        <v>13</v>
      </c>
      <c r="C12504">
        <v>0</v>
      </c>
      <c r="D12504">
        <v>0</v>
      </c>
      <c r="E12504">
        <v>0</v>
      </c>
      <c r="F12504">
        <v>1611</v>
      </c>
    </row>
    <row r="12505" spans="1:6" x14ac:dyDescent="0.25">
      <c r="A12505">
        <v>12504</v>
      </c>
      <c r="B12505">
        <v>41</v>
      </c>
      <c r="C12505">
        <v>0</v>
      </c>
      <c r="D12505">
        <v>0</v>
      </c>
      <c r="E12505">
        <v>0</v>
      </c>
      <c r="F12505">
        <v>1</v>
      </c>
    </row>
    <row r="12506" spans="1:6" x14ac:dyDescent="0.25">
      <c r="A12506">
        <v>12505</v>
      </c>
      <c r="B12506">
        <v>42</v>
      </c>
      <c r="C12506">
        <v>0</v>
      </c>
      <c r="D12506">
        <v>0</v>
      </c>
      <c r="E12506">
        <v>0</v>
      </c>
      <c r="F12506">
        <v>0.2</v>
      </c>
    </row>
    <row r="12507" spans="1:6" x14ac:dyDescent="0.25">
      <c r="A12507">
        <v>12506</v>
      </c>
      <c r="B12507">
        <v>43</v>
      </c>
      <c r="C12507">
        <v>0</v>
      </c>
      <c r="D12507">
        <v>0</v>
      </c>
      <c r="E12507">
        <v>0</v>
      </c>
      <c r="F12507">
        <v>0</v>
      </c>
    </row>
    <row r="12508" spans="1:6" x14ac:dyDescent="0.25">
      <c r="A12508">
        <v>12507</v>
      </c>
      <c r="B12508">
        <v>44</v>
      </c>
      <c r="C12508">
        <v>0</v>
      </c>
      <c r="D12508">
        <v>0</v>
      </c>
      <c r="E12508">
        <v>0</v>
      </c>
      <c r="F12508">
        <v>-3.5464799999999999</v>
      </c>
    </row>
    <row r="12509" spans="1:6" x14ac:dyDescent="0.25">
      <c r="A12509">
        <v>12508</v>
      </c>
      <c r="B12509">
        <v>45</v>
      </c>
      <c r="C12509">
        <v>0</v>
      </c>
      <c r="D12509">
        <v>0</v>
      </c>
      <c r="E12509">
        <v>0</v>
      </c>
      <c r="F12509">
        <v>515.54300000000001</v>
      </c>
    </row>
    <row r="12510" spans="1:6" x14ac:dyDescent="0.25">
      <c r="A12510">
        <v>12509</v>
      </c>
      <c r="B12510">
        <v>46</v>
      </c>
      <c r="C12510">
        <v>0</v>
      </c>
      <c r="D12510">
        <v>0</v>
      </c>
      <c r="E12510">
        <v>0</v>
      </c>
      <c r="F12510">
        <v>0</v>
      </c>
    </row>
    <row r="12511" spans="1:6" x14ac:dyDescent="0.25">
      <c r="A12511">
        <v>12510</v>
      </c>
      <c r="B12511" t="s">
        <v>0</v>
      </c>
      <c r="C12511">
        <v>14</v>
      </c>
      <c r="D12511">
        <v>3500</v>
      </c>
      <c r="E12511">
        <v>80485036</v>
      </c>
    </row>
    <row r="12512" spans="1:6" x14ac:dyDescent="0.25">
      <c r="A12512">
        <v>12511</v>
      </c>
      <c r="B12512">
        <v>2</v>
      </c>
      <c r="C12512">
        <v>0</v>
      </c>
      <c r="D12512">
        <v>0</v>
      </c>
      <c r="E12512">
        <v>0</v>
      </c>
      <c r="F12512">
        <v>240.4</v>
      </c>
    </row>
    <row r="12513" spans="1:6" x14ac:dyDescent="0.25">
      <c r="A12513">
        <v>12512</v>
      </c>
      <c r="B12513">
        <v>10</v>
      </c>
      <c r="C12513">
        <v>1</v>
      </c>
      <c r="D12513">
        <v>0</v>
      </c>
      <c r="E12513">
        <v>0</v>
      </c>
      <c r="F12513">
        <v>5046</v>
      </c>
    </row>
    <row r="12514" spans="1:6" x14ac:dyDescent="0.25">
      <c r="A12514">
        <v>12513</v>
      </c>
      <c r="B12514" t="s">
        <v>0</v>
      </c>
      <c r="C12514">
        <v>15</v>
      </c>
      <c r="D12514">
        <v>3500</v>
      </c>
      <c r="E12514">
        <v>80485174</v>
      </c>
    </row>
    <row r="12515" spans="1:6" x14ac:dyDescent="0.25">
      <c r="A12515">
        <v>12514</v>
      </c>
      <c r="B12515">
        <v>13</v>
      </c>
      <c r="C12515">
        <v>0</v>
      </c>
      <c r="D12515">
        <v>0</v>
      </c>
      <c r="E12515">
        <v>0</v>
      </c>
      <c r="F12515">
        <v>1611</v>
      </c>
    </row>
    <row r="12516" spans="1:6" x14ac:dyDescent="0.25">
      <c r="A12516">
        <v>12515</v>
      </c>
      <c r="B12516">
        <v>41</v>
      </c>
      <c r="C12516">
        <v>0</v>
      </c>
      <c r="D12516">
        <v>0</v>
      </c>
      <c r="E12516">
        <v>0</v>
      </c>
      <c r="F12516">
        <v>1</v>
      </c>
    </row>
    <row r="12517" spans="1:6" x14ac:dyDescent="0.25">
      <c r="A12517">
        <v>12516</v>
      </c>
      <c r="B12517" t="s">
        <v>0</v>
      </c>
      <c r="C12517">
        <v>16</v>
      </c>
      <c r="D12517">
        <v>3500</v>
      </c>
      <c r="E12517">
        <v>80485312</v>
      </c>
    </row>
    <row r="12518" spans="1:6" x14ac:dyDescent="0.25">
      <c r="A12518">
        <v>12517</v>
      </c>
      <c r="B12518">
        <v>42</v>
      </c>
      <c r="C12518">
        <v>0</v>
      </c>
      <c r="D12518">
        <v>0</v>
      </c>
      <c r="E12518">
        <v>0</v>
      </c>
      <c r="F12518">
        <v>0.2</v>
      </c>
    </row>
    <row r="12519" spans="1:6" x14ac:dyDescent="0.25">
      <c r="A12519">
        <v>12518</v>
      </c>
      <c r="B12519">
        <v>43</v>
      </c>
      <c r="C12519">
        <v>0</v>
      </c>
      <c r="D12519">
        <v>0</v>
      </c>
      <c r="E12519">
        <v>0</v>
      </c>
      <c r="F12519">
        <v>0</v>
      </c>
    </row>
    <row r="12520" spans="1:6" x14ac:dyDescent="0.25">
      <c r="A12520">
        <v>12519</v>
      </c>
      <c r="B12520" t="s">
        <v>0</v>
      </c>
      <c r="C12520">
        <v>17</v>
      </c>
      <c r="D12520">
        <v>3500</v>
      </c>
      <c r="E12520">
        <v>80485450</v>
      </c>
    </row>
    <row r="12521" spans="1:6" x14ac:dyDescent="0.25">
      <c r="A12521">
        <v>12520</v>
      </c>
      <c r="B12521">
        <v>44</v>
      </c>
      <c r="C12521">
        <v>0</v>
      </c>
      <c r="D12521">
        <v>0</v>
      </c>
      <c r="E12521">
        <v>0</v>
      </c>
      <c r="F12521">
        <v>-3.3643299999999998</v>
      </c>
    </row>
    <row r="12522" spans="1:6" x14ac:dyDescent="0.25">
      <c r="A12522">
        <v>12521</v>
      </c>
      <c r="B12522">
        <v>45</v>
      </c>
      <c r="C12522">
        <v>0</v>
      </c>
      <c r="D12522">
        <v>0</v>
      </c>
      <c r="E12522">
        <v>0</v>
      </c>
      <c r="F12522">
        <v>515.54</v>
      </c>
    </row>
    <row r="12523" spans="1:6" x14ac:dyDescent="0.25">
      <c r="A12523">
        <v>12522</v>
      </c>
      <c r="B12523" t="s">
        <v>0</v>
      </c>
      <c r="C12523">
        <v>18</v>
      </c>
      <c r="D12523">
        <v>3500</v>
      </c>
      <c r="E12523">
        <v>80485588</v>
      </c>
    </row>
    <row r="12524" spans="1:6" x14ac:dyDescent="0.25">
      <c r="A12524">
        <v>12523</v>
      </c>
      <c r="B12524">
        <v>2</v>
      </c>
      <c r="C12524">
        <v>0</v>
      </c>
      <c r="D12524">
        <v>0</v>
      </c>
      <c r="E12524">
        <v>0</v>
      </c>
      <c r="F12524">
        <v>240.39500000000001</v>
      </c>
    </row>
    <row r="12525" spans="1:6" x14ac:dyDescent="0.25">
      <c r="A12525">
        <v>12524</v>
      </c>
      <c r="B12525" t="s">
        <v>0</v>
      </c>
      <c r="C12525">
        <v>19</v>
      </c>
      <c r="D12525">
        <v>3500</v>
      </c>
      <c r="E12525">
        <v>80485726</v>
      </c>
    </row>
    <row r="12526" spans="1:6" x14ac:dyDescent="0.25">
      <c r="A12526">
        <v>12525</v>
      </c>
      <c r="B12526">
        <v>13</v>
      </c>
      <c r="C12526">
        <v>0</v>
      </c>
      <c r="D12526">
        <v>0</v>
      </c>
      <c r="E12526">
        <v>0</v>
      </c>
      <c r="F12526">
        <v>1611</v>
      </c>
    </row>
    <row r="12527" spans="1:6" x14ac:dyDescent="0.25">
      <c r="A12527">
        <v>12526</v>
      </c>
      <c r="B12527" t="s">
        <v>0</v>
      </c>
      <c r="C12527">
        <v>20</v>
      </c>
      <c r="D12527">
        <v>3500</v>
      </c>
      <c r="E12527">
        <v>80485864</v>
      </c>
    </row>
    <row r="12528" spans="1:6" x14ac:dyDescent="0.25">
      <c r="A12528">
        <v>12527</v>
      </c>
      <c r="B12528">
        <v>42</v>
      </c>
      <c r="C12528">
        <v>0</v>
      </c>
      <c r="D12528">
        <v>0</v>
      </c>
      <c r="E12528">
        <v>0</v>
      </c>
      <c r="F12528">
        <v>0.2</v>
      </c>
    </row>
    <row r="12529" spans="1:6" x14ac:dyDescent="0.25">
      <c r="A12529">
        <v>12528</v>
      </c>
      <c r="B12529" t="s">
        <v>0</v>
      </c>
      <c r="C12529">
        <v>21</v>
      </c>
      <c r="D12529">
        <v>3500</v>
      </c>
      <c r="E12529">
        <v>80486002</v>
      </c>
    </row>
    <row r="12530" spans="1:6" x14ac:dyDescent="0.25">
      <c r="A12530">
        <v>12529</v>
      </c>
      <c r="B12530">
        <v>44</v>
      </c>
      <c r="C12530">
        <v>0</v>
      </c>
      <c r="D12530">
        <v>0</v>
      </c>
      <c r="E12530">
        <v>0</v>
      </c>
      <c r="F12530">
        <v>-3.2099799999999998</v>
      </c>
    </row>
    <row r="12531" spans="1:6" x14ac:dyDescent="0.25">
      <c r="A12531">
        <v>12530</v>
      </c>
      <c r="B12531">
        <v>45</v>
      </c>
      <c r="C12531">
        <v>0</v>
      </c>
      <c r="D12531">
        <v>0</v>
      </c>
      <c r="E12531">
        <v>0</v>
      </c>
      <c r="F12531">
        <v>515.53800000000001</v>
      </c>
    </row>
    <row r="12532" spans="1:6" x14ac:dyDescent="0.25">
      <c r="A12532">
        <v>12531</v>
      </c>
      <c r="B12532">
        <v>46</v>
      </c>
      <c r="C12532">
        <v>0</v>
      </c>
      <c r="D12532">
        <v>0</v>
      </c>
      <c r="E12532">
        <v>0</v>
      </c>
      <c r="F12532">
        <v>0</v>
      </c>
    </row>
    <row r="12533" spans="1:6" x14ac:dyDescent="0.25">
      <c r="A12533">
        <v>12532</v>
      </c>
      <c r="B12533">
        <v>2</v>
      </c>
      <c r="C12533">
        <v>0</v>
      </c>
      <c r="D12533">
        <v>0</v>
      </c>
      <c r="E12533">
        <v>0</v>
      </c>
      <c r="F12533">
        <v>240.39</v>
      </c>
    </row>
    <row r="12534" spans="1:6" x14ac:dyDescent="0.25">
      <c r="A12534">
        <v>12533</v>
      </c>
      <c r="B12534">
        <v>10</v>
      </c>
      <c r="C12534">
        <v>1</v>
      </c>
      <c r="D12534">
        <v>0</v>
      </c>
      <c r="E12534">
        <v>0</v>
      </c>
      <c r="F12534">
        <v>5047</v>
      </c>
    </row>
    <row r="12535" spans="1:6" x14ac:dyDescent="0.25">
      <c r="A12535">
        <v>12534</v>
      </c>
      <c r="B12535">
        <v>13</v>
      </c>
      <c r="C12535">
        <v>0</v>
      </c>
      <c r="D12535">
        <v>0</v>
      </c>
      <c r="E12535">
        <v>0</v>
      </c>
      <c r="F12535">
        <v>1611</v>
      </c>
    </row>
    <row r="12536" spans="1:6" x14ac:dyDescent="0.25">
      <c r="A12536">
        <v>12535</v>
      </c>
      <c r="B12536">
        <v>41</v>
      </c>
      <c r="C12536">
        <v>0</v>
      </c>
      <c r="D12536">
        <v>0</v>
      </c>
      <c r="E12536">
        <v>0</v>
      </c>
      <c r="F12536">
        <v>1</v>
      </c>
    </row>
    <row r="12537" spans="1:6" x14ac:dyDescent="0.25">
      <c r="A12537">
        <v>12536</v>
      </c>
      <c r="B12537">
        <v>42</v>
      </c>
      <c r="C12537">
        <v>0</v>
      </c>
      <c r="D12537">
        <v>0</v>
      </c>
      <c r="E12537">
        <v>0</v>
      </c>
      <c r="F12537">
        <v>0.2</v>
      </c>
    </row>
    <row r="12538" spans="1:6" x14ac:dyDescent="0.25">
      <c r="A12538">
        <v>12537</v>
      </c>
      <c r="B12538">
        <v>43</v>
      </c>
      <c r="C12538">
        <v>0</v>
      </c>
      <c r="D12538">
        <v>0</v>
      </c>
      <c r="E12538">
        <v>0</v>
      </c>
      <c r="F12538">
        <v>0</v>
      </c>
    </row>
    <row r="12539" spans="1:6" x14ac:dyDescent="0.25">
      <c r="A12539">
        <v>12538</v>
      </c>
      <c r="B12539">
        <v>44</v>
      </c>
      <c r="C12539">
        <v>0</v>
      </c>
      <c r="D12539">
        <v>0</v>
      </c>
      <c r="E12539">
        <v>0</v>
      </c>
      <c r="F12539">
        <v>-3.0813000000000001</v>
      </c>
    </row>
    <row r="12540" spans="1:6" x14ac:dyDescent="0.25">
      <c r="A12540">
        <v>12539</v>
      </c>
      <c r="B12540">
        <v>45</v>
      </c>
      <c r="C12540">
        <v>0</v>
      </c>
      <c r="D12540">
        <v>0</v>
      </c>
      <c r="E12540">
        <v>0</v>
      </c>
      <c r="F12540">
        <v>515.53599999999994</v>
      </c>
    </row>
    <row r="12541" spans="1:6" x14ac:dyDescent="0.25">
      <c r="A12541">
        <v>12540</v>
      </c>
      <c r="B12541">
        <v>46</v>
      </c>
      <c r="C12541">
        <v>0</v>
      </c>
      <c r="D12541">
        <v>0</v>
      </c>
      <c r="E12541">
        <v>0</v>
      </c>
      <c r="F12541">
        <v>0</v>
      </c>
    </row>
    <row r="12542" spans="1:6" x14ac:dyDescent="0.25">
      <c r="A12542">
        <v>12541</v>
      </c>
      <c r="B12542" t="s">
        <v>0</v>
      </c>
      <c r="C12542">
        <v>27</v>
      </c>
      <c r="D12542">
        <v>3500</v>
      </c>
      <c r="E12542">
        <v>80486832</v>
      </c>
    </row>
    <row r="12543" spans="1:6" x14ac:dyDescent="0.25">
      <c r="A12543">
        <v>12542</v>
      </c>
      <c r="B12543">
        <v>2</v>
      </c>
      <c r="C12543">
        <v>0</v>
      </c>
      <c r="D12543">
        <v>0</v>
      </c>
      <c r="E12543">
        <v>0</v>
      </c>
      <c r="F12543">
        <v>240.386</v>
      </c>
    </row>
    <row r="12544" spans="1:6" x14ac:dyDescent="0.25">
      <c r="A12544">
        <v>12543</v>
      </c>
      <c r="B12544">
        <v>10</v>
      </c>
      <c r="C12544">
        <v>1</v>
      </c>
      <c r="D12544">
        <v>0</v>
      </c>
      <c r="E12544">
        <v>0</v>
      </c>
      <c r="F12544">
        <v>5048</v>
      </c>
    </row>
    <row r="12545" spans="1:6" x14ac:dyDescent="0.25">
      <c r="A12545">
        <v>12544</v>
      </c>
      <c r="B12545" t="s">
        <v>0</v>
      </c>
      <c r="C12545">
        <v>28</v>
      </c>
      <c r="D12545">
        <v>3500</v>
      </c>
      <c r="E12545">
        <v>80486971</v>
      </c>
    </row>
    <row r="12546" spans="1:6" x14ac:dyDescent="0.25">
      <c r="A12546">
        <v>12545</v>
      </c>
      <c r="B12546">
        <v>13</v>
      </c>
      <c r="C12546">
        <v>0</v>
      </c>
      <c r="D12546">
        <v>0</v>
      </c>
      <c r="E12546">
        <v>0</v>
      </c>
      <c r="F12546">
        <v>1611</v>
      </c>
    </row>
    <row r="12547" spans="1:6" x14ac:dyDescent="0.25">
      <c r="A12547">
        <v>12546</v>
      </c>
      <c r="B12547">
        <v>41</v>
      </c>
      <c r="C12547">
        <v>0</v>
      </c>
      <c r="D12547">
        <v>0</v>
      </c>
      <c r="E12547">
        <v>0</v>
      </c>
      <c r="F12547">
        <v>1</v>
      </c>
    </row>
    <row r="12548" spans="1:6" x14ac:dyDescent="0.25">
      <c r="A12548">
        <v>12547</v>
      </c>
      <c r="B12548" t="s">
        <v>0</v>
      </c>
      <c r="C12548">
        <v>29</v>
      </c>
      <c r="D12548">
        <v>3500</v>
      </c>
      <c r="E12548">
        <v>80487109</v>
      </c>
    </row>
    <row r="12549" spans="1:6" x14ac:dyDescent="0.25">
      <c r="A12549">
        <v>12548</v>
      </c>
      <c r="B12549">
        <v>42</v>
      </c>
      <c r="C12549">
        <v>0</v>
      </c>
      <c r="D12549">
        <v>0</v>
      </c>
      <c r="E12549">
        <v>0</v>
      </c>
      <c r="F12549">
        <v>0.2</v>
      </c>
    </row>
    <row r="12550" spans="1:6" x14ac:dyDescent="0.25">
      <c r="A12550">
        <v>12549</v>
      </c>
      <c r="B12550">
        <v>43</v>
      </c>
      <c r="C12550">
        <v>0</v>
      </c>
      <c r="D12550">
        <v>0</v>
      </c>
      <c r="E12550">
        <v>0</v>
      </c>
      <c r="F12550">
        <v>0</v>
      </c>
    </row>
    <row r="12551" spans="1:6" x14ac:dyDescent="0.25">
      <c r="A12551">
        <v>12550</v>
      </c>
      <c r="B12551" t="s">
        <v>0</v>
      </c>
      <c r="C12551">
        <v>30</v>
      </c>
      <c r="D12551">
        <v>3500</v>
      </c>
      <c r="E12551">
        <v>80487247</v>
      </c>
    </row>
    <row r="12552" spans="1:6" x14ac:dyDescent="0.25">
      <c r="A12552">
        <v>12551</v>
      </c>
      <c r="B12552">
        <v>44</v>
      </c>
      <c r="C12552">
        <v>0</v>
      </c>
      <c r="D12552">
        <v>0</v>
      </c>
      <c r="E12552">
        <v>0</v>
      </c>
      <c r="F12552">
        <v>-2.9013100000000001</v>
      </c>
    </row>
    <row r="12553" spans="1:6" x14ac:dyDescent="0.25">
      <c r="A12553">
        <v>12552</v>
      </c>
      <c r="B12553">
        <v>45</v>
      </c>
      <c r="C12553">
        <v>0</v>
      </c>
      <c r="D12553">
        <v>0</v>
      </c>
      <c r="E12553">
        <v>0</v>
      </c>
      <c r="F12553">
        <v>515.53399999999999</v>
      </c>
    </row>
    <row r="12554" spans="1:6" x14ac:dyDescent="0.25">
      <c r="A12554">
        <v>12553</v>
      </c>
      <c r="B12554" t="s">
        <v>0</v>
      </c>
      <c r="C12554">
        <v>31</v>
      </c>
      <c r="D12554">
        <v>3500</v>
      </c>
      <c r="E12554">
        <v>80487385</v>
      </c>
    </row>
    <row r="12555" spans="1:6" x14ac:dyDescent="0.25">
      <c r="A12555">
        <v>12554</v>
      </c>
      <c r="B12555">
        <v>46</v>
      </c>
      <c r="C12555">
        <v>0</v>
      </c>
      <c r="D12555">
        <v>0</v>
      </c>
      <c r="E12555">
        <v>0</v>
      </c>
      <c r="F12555">
        <v>0</v>
      </c>
    </row>
    <row r="12556" spans="1:6" x14ac:dyDescent="0.25">
      <c r="A12556">
        <v>12555</v>
      </c>
      <c r="B12556">
        <v>2</v>
      </c>
      <c r="C12556">
        <v>0</v>
      </c>
      <c r="D12556">
        <v>0</v>
      </c>
      <c r="E12556">
        <v>0</v>
      </c>
      <c r="F12556">
        <v>240.38399999999999</v>
      </c>
    </row>
    <row r="12557" spans="1:6" x14ac:dyDescent="0.25">
      <c r="A12557">
        <v>12556</v>
      </c>
      <c r="B12557" t="s">
        <v>0</v>
      </c>
      <c r="C12557">
        <v>32</v>
      </c>
      <c r="D12557">
        <v>3500</v>
      </c>
      <c r="E12557">
        <v>80487523</v>
      </c>
    </row>
    <row r="12558" spans="1:6" x14ac:dyDescent="0.25">
      <c r="A12558">
        <v>12557</v>
      </c>
      <c r="B12558">
        <v>13</v>
      </c>
      <c r="C12558">
        <v>0</v>
      </c>
      <c r="D12558">
        <v>0</v>
      </c>
      <c r="E12558">
        <v>0</v>
      </c>
      <c r="F12558">
        <v>1611</v>
      </c>
    </row>
    <row r="12559" spans="1:6" x14ac:dyDescent="0.25">
      <c r="A12559">
        <v>12558</v>
      </c>
      <c r="B12559" t="s">
        <v>0</v>
      </c>
      <c r="C12559">
        <v>33</v>
      </c>
      <c r="D12559">
        <v>3500</v>
      </c>
      <c r="E12559">
        <v>80487661</v>
      </c>
    </row>
    <row r="12560" spans="1:6" x14ac:dyDescent="0.25">
      <c r="A12560">
        <v>12559</v>
      </c>
      <c r="B12560">
        <v>42</v>
      </c>
      <c r="C12560">
        <v>0</v>
      </c>
      <c r="D12560">
        <v>0</v>
      </c>
      <c r="E12560">
        <v>0</v>
      </c>
      <c r="F12560">
        <v>0.2</v>
      </c>
    </row>
    <row r="12561" spans="1:6" x14ac:dyDescent="0.25">
      <c r="A12561">
        <v>12560</v>
      </c>
      <c r="B12561" t="s">
        <v>0</v>
      </c>
      <c r="C12561">
        <v>34</v>
      </c>
      <c r="D12561">
        <v>3500</v>
      </c>
      <c r="E12561">
        <v>80487799</v>
      </c>
    </row>
    <row r="12562" spans="1:6" x14ac:dyDescent="0.25">
      <c r="A12562">
        <v>12561</v>
      </c>
      <c r="B12562">
        <v>44</v>
      </c>
      <c r="C12562">
        <v>0</v>
      </c>
      <c r="D12562">
        <v>0</v>
      </c>
      <c r="E12562">
        <v>0</v>
      </c>
      <c r="F12562">
        <v>-2.7755899999999998</v>
      </c>
    </row>
    <row r="12563" spans="1:6" x14ac:dyDescent="0.25">
      <c r="A12563">
        <v>12562</v>
      </c>
      <c r="B12563" t="s">
        <v>0</v>
      </c>
      <c r="C12563">
        <v>35</v>
      </c>
      <c r="D12563">
        <v>3500</v>
      </c>
      <c r="E12563">
        <v>80487938</v>
      </c>
    </row>
    <row r="12564" spans="1:6" x14ac:dyDescent="0.25">
      <c r="A12564">
        <v>12563</v>
      </c>
      <c r="B12564">
        <v>46</v>
      </c>
      <c r="C12564">
        <v>0</v>
      </c>
      <c r="D12564">
        <v>0</v>
      </c>
      <c r="E12564">
        <v>0</v>
      </c>
      <c r="F12564">
        <v>0</v>
      </c>
    </row>
    <row r="12565" spans="1:6" x14ac:dyDescent="0.25">
      <c r="A12565">
        <v>12564</v>
      </c>
      <c r="B12565" t="s">
        <v>0</v>
      </c>
      <c r="C12565">
        <v>36</v>
      </c>
      <c r="D12565">
        <v>3500</v>
      </c>
      <c r="E12565">
        <v>80488076</v>
      </c>
    </row>
    <row r="12566" spans="1:6" x14ac:dyDescent="0.25">
      <c r="A12566">
        <v>12565</v>
      </c>
      <c r="B12566">
        <v>10</v>
      </c>
      <c r="C12566">
        <v>1</v>
      </c>
      <c r="D12566">
        <v>0</v>
      </c>
      <c r="E12566">
        <v>0</v>
      </c>
      <c r="F12566">
        <v>5049</v>
      </c>
    </row>
    <row r="12567" spans="1:6" x14ac:dyDescent="0.25">
      <c r="A12567">
        <v>12566</v>
      </c>
      <c r="B12567">
        <v>13</v>
      </c>
      <c r="C12567">
        <v>0</v>
      </c>
      <c r="D12567">
        <v>0</v>
      </c>
      <c r="E12567">
        <v>0</v>
      </c>
      <c r="F12567">
        <v>1611</v>
      </c>
    </row>
    <row r="12568" spans="1:6" x14ac:dyDescent="0.25">
      <c r="A12568">
        <v>12567</v>
      </c>
      <c r="B12568">
        <v>41</v>
      </c>
      <c r="C12568">
        <v>0</v>
      </c>
      <c r="D12568">
        <v>0</v>
      </c>
      <c r="E12568">
        <v>0</v>
      </c>
      <c r="F12568">
        <v>1</v>
      </c>
    </row>
    <row r="12569" spans="1:6" x14ac:dyDescent="0.25">
      <c r="A12569">
        <v>12568</v>
      </c>
      <c r="B12569">
        <v>42</v>
      </c>
      <c r="C12569">
        <v>0</v>
      </c>
      <c r="D12569">
        <v>0</v>
      </c>
      <c r="E12569">
        <v>0</v>
      </c>
      <c r="F12569">
        <v>0.2</v>
      </c>
    </row>
    <row r="12570" spans="1:6" x14ac:dyDescent="0.25">
      <c r="A12570">
        <v>12569</v>
      </c>
      <c r="B12570">
        <v>43</v>
      </c>
      <c r="C12570">
        <v>0</v>
      </c>
      <c r="D12570">
        <v>0</v>
      </c>
      <c r="E12570">
        <v>0</v>
      </c>
      <c r="F12570">
        <v>0</v>
      </c>
    </row>
    <row r="12571" spans="1:6" x14ac:dyDescent="0.25">
      <c r="A12571">
        <v>12570</v>
      </c>
      <c r="B12571">
        <v>44</v>
      </c>
      <c r="C12571">
        <v>0</v>
      </c>
      <c r="D12571">
        <v>0</v>
      </c>
      <c r="E12571">
        <v>0</v>
      </c>
      <c r="F12571">
        <v>-2.62364</v>
      </c>
    </row>
    <row r="12572" spans="1:6" x14ac:dyDescent="0.25">
      <c r="A12572">
        <v>12571</v>
      </c>
      <c r="B12572">
        <v>45</v>
      </c>
      <c r="C12572">
        <v>0</v>
      </c>
      <c r="D12572">
        <v>0</v>
      </c>
      <c r="E12572">
        <v>0</v>
      </c>
      <c r="F12572">
        <v>515.53</v>
      </c>
    </row>
    <row r="12573" spans="1:6" x14ac:dyDescent="0.25">
      <c r="A12573">
        <v>12572</v>
      </c>
      <c r="B12573">
        <v>46</v>
      </c>
      <c r="C12573">
        <v>0</v>
      </c>
      <c r="D12573">
        <v>0</v>
      </c>
      <c r="E12573">
        <v>0</v>
      </c>
      <c r="F12573">
        <v>0</v>
      </c>
    </row>
    <row r="12574" spans="1:6" x14ac:dyDescent="0.25">
      <c r="A12574">
        <v>12573</v>
      </c>
      <c r="B12574">
        <v>2</v>
      </c>
      <c r="C12574">
        <v>0</v>
      </c>
      <c r="D12574">
        <v>0</v>
      </c>
      <c r="E12574">
        <v>0</v>
      </c>
      <c r="F12574">
        <v>240.38</v>
      </c>
    </row>
    <row r="12575" spans="1:6" x14ac:dyDescent="0.25">
      <c r="A12575">
        <v>12574</v>
      </c>
      <c r="B12575">
        <v>10</v>
      </c>
      <c r="C12575">
        <v>1</v>
      </c>
      <c r="D12575">
        <v>0</v>
      </c>
      <c r="E12575">
        <v>0</v>
      </c>
      <c r="F12575">
        <v>5049</v>
      </c>
    </row>
    <row r="12576" spans="1:6" x14ac:dyDescent="0.25">
      <c r="A12576">
        <v>12575</v>
      </c>
      <c r="B12576" t="s">
        <v>0</v>
      </c>
      <c r="C12576">
        <v>41</v>
      </c>
      <c r="D12576">
        <v>3500</v>
      </c>
      <c r="E12576">
        <v>80488767</v>
      </c>
    </row>
    <row r="12577" spans="1:6" x14ac:dyDescent="0.25">
      <c r="A12577">
        <v>12576</v>
      </c>
      <c r="B12577">
        <v>13</v>
      </c>
      <c r="C12577">
        <v>0</v>
      </c>
      <c r="D12577">
        <v>0</v>
      </c>
      <c r="E12577">
        <v>0</v>
      </c>
      <c r="F12577">
        <v>1611</v>
      </c>
    </row>
    <row r="12578" spans="1:6" x14ac:dyDescent="0.25">
      <c r="A12578">
        <v>12577</v>
      </c>
      <c r="B12578">
        <v>41</v>
      </c>
      <c r="C12578">
        <v>0</v>
      </c>
      <c r="D12578">
        <v>0</v>
      </c>
      <c r="E12578">
        <v>0</v>
      </c>
      <c r="F12578">
        <v>1</v>
      </c>
    </row>
    <row r="12579" spans="1:6" x14ac:dyDescent="0.25">
      <c r="A12579">
        <v>12578</v>
      </c>
      <c r="B12579" t="s">
        <v>0</v>
      </c>
      <c r="C12579">
        <v>42</v>
      </c>
      <c r="D12579">
        <v>3500</v>
      </c>
      <c r="E12579">
        <v>80488905</v>
      </c>
    </row>
    <row r="12580" spans="1:6" x14ac:dyDescent="0.25">
      <c r="A12580">
        <v>12579</v>
      </c>
      <c r="B12580">
        <v>42</v>
      </c>
      <c r="C12580">
        <v>0</v>
      </c>
      <c r="D12580">
        <v>0</v>
      </c>
      <c r="E12580">
        <v>0</v>
      </c>
      <c r="F12580">
        <v>0.2</v>
      </c>
    </row>
    <row r="12581" spans="1:6" x14ac:dyDescent="0.25">
      <c r="A12581">
        <v>12580</v>
      </c>
      <c r="B12581">
        <v>43</v>
      </c>
      <c r="C12581">
        <v>0</v>
      </c>
      <c r="D12581">
        <v>0</v>
      </c>
      <c r="E12581">
        <v>0</v>
      </c>
      <c r="F12581">
        <v>0</v>
      </c>
    </row>
    <row r="12582" spans="1:6" x14ac:dyDescent="0.25">
      <c r="A12582">
        <v>12581</v>
      </c>
      <c r="B12582" t="s">
        <v>0</v>
      </c>
      <c r="C12582">
        <v>43</v>
      </c>
      <c r="D12582">
        <v>3500</v>
      </c>
      <c r="E12582">
        <v>80489043</v>
      </c>
    </row>
    <row r="12583" spans="1:6" x14ac:dyDescent="0.25">
      <c r="A12583">
        <v>12582</v>
      </c>
      <c r="B12583">
        <v>44</v>
      </c>
      <c r="C12583">
        <v>0</v>
      </c>
      <c r="D12583">
        <v>0</v>
      </c>
      <c r="E12583">
        <v>0</v>
      </c>
      <c r="F12583">
        <v>-2.4469599999999998</v>
      </c>
    </row>
    <row r="12584" spans="1:6" x14ac:dyDescent="0.25">
      <c r="A12584">
        <v>12583</v>
      </c>
      <c r="B12584">
        <v>45</v>
      </c>
      <c r="C12584">
        <v>0</v>
      </c>
      <c r="D12584">
        <v>0</v>
      </c>
      <c r="E12584">
        <v>0</v>
      </c>
      <c r="F12584">
        <v>515.52800000000002</v>
      </c>
    </row>
    <row r="12585" spans="1:6" x14ac:dyDescent="0.25">
      <c r="A12585">
        <v>12584</v>
      </c>
      <c r="B12585" t="s">
        <v>0</v>
      </c>
      <c r="C12585">
        <v>44</v>
      </c>
      <c r="D12585">
        <v>3500</v>
      </c>
      <c r="E12585">
        <v>80489181</v>
      </c>
    </row>
    <row r="12586" spans="1:6" x14ac:dyDescent="0.25">
      <c r="A12586">
        <v>12585</v>
      </c>
      <c r="B12586">
        <v>46</v>
      </c>
      <c r="C12586">
        <v>0</v>
      </c>
      <c r="D12586">
        <v>0</v>
      </c>
      <c r="E12586">
        <v>0</v>
      </c>
      <c r="F12586">
        <v>0</v>
      </c>
    </row>
    <row r="12587" spans="1:6" x14ac:dyDescent="0.25">
      <c r="A12587">
        <v>12586</v>
      </c>
      <c r="B12587">
        <v>2</v>
      </c>
      <c r="C12587">
        <v>0</v>
      </c>
      <c r="D12587">
        <v>0</v>
      </c>
      <c r="E12587">
        <v>0</v>
      </c>
      <c r="F12587">
        <v>240.37799999999999</v>
      </c>
    </row>
    <row r="12588" spans="1:6" x14ac:dyDescent="0.25">
      <c r="A12588">
        <v>12587</v>
      </c>
      <c r="B12588" t="s">
        <v>0</v>
      </c>
      <c r="C12588">
        <v>45</v>
      </c>
      <c r="D12588">
        <v>3500</v>
      </c>
      <c r="E12588">
        <v>80489319</v>
      </c>
    </row>
    <row r="12589" spans="1:6" x14ac:dyDescent="0.25">
      <c r="A12589">
        <v>12588</v>
      </c>
      <c r="B12589">
        <v>10</v>
      </c>
      <c r="C12589">
        <v>1</v>
      </c>
      <c r="D12589">
        <v>0</v>
      </c>
      <c r="E12589">
        <v>0</v>
      </c>
      <c r="F12589">
        <v>5050</v>
      </c>
    </row>
    <row r="12590" spans="1:6" x14ac:dyDescent="0.25">
      <c r="A12590">
        <v>12589</v>
      </c>
      <c r="B12590">
        <v>13</v>
      </c>
      <c r="C12590">
        <v>0</v>
      </c>
      <c r="D12590">
        <v>0</v>
      </c>
      <c r="E12590">
        <v>0</v>
      </c>
      <c r="F12590">
        <v>1611</v>
      </c>
    </row>
    <row r="12591" spans="1:6" x14ac:dyDescent="0.25">
      <c r="A12591">
        <v>12590</v>
      </c>
      <c r="B12591" t="s">
        <v>0</v>
      </c>
      <c r="C12591">
        <v>46</v>
      </c>
      <c r="D12591">
        <v>3500</v>
      </c>
      <c r="E12591">
        <v>80489457</v>
      </c>
    </row>
    <row r="12592" spans="1:6" x14ac:dyDescent="0.25">
      <c r="A12592">
        <v>12591</v>
      </c>
      <c r="B12592">
        <v>42</v>
      </c>
      <c r="C12592">
        <v>0</v>
      </c>
      <c r="D12592">
        <v>0</v>
      </c>
      <c r="E12592">
        <v>0</v>
      </c>
      <c r="F12592">
        <v>0.2</v>
      </c>
    </row>
    <row r="12593" spans="1:6" x14ac:dyDescent="0.25">
      <c r="A12593">
        <v>12592</v>
      </c>
      <c r="B12593" t="s">
        <v>0</v>
      </c>
      <c r="C12593">
        <v>47</v>
      </c>
      <c r="D12593">
        <v>3500</v>
      </c>
      <c r="E12593">
        <v>80489595</v>
      </c>
    </row>
    <row r="12594" spans="1:6" x14ac:dyDescent="0.25">
      <c r="A12594">
        <v>12593</v>
      </c>
      <c r="B12594">
        <v>44</v>
      </c>
      <c r="C12594">
        <v>0</v>
      </c>
      <c r="D12594">
        <v>0</v>
      </c>
      <c r="E12594">
        <v>0</v>
      </c>
      <c r="F12594">
        <v>-2.3207599999999999</v>
      </c>
    </row>
    <row r="12595" spans="1:6" x14ac:dyDescent="0.25">
      <c r="A12595">
        <v>12594</v>
      </c>
      <c r="B12595" t="s">
        <v>0</v>
      </c>
      <c r="C12595">
        <v>48</v>
      </c>
      <c r="D12595">
        <v>3500</v>
      </c>
      <c r="E12595">
        <v>80489733</v>
      </c>
    </row>
    <row r="12596" spans="1:6" x14ac:dyDescent="0.25">
      <c r="A12596">
        <v>12595</v>
      </c>
      <c r="B12596">
        <v>46</v>
      </c>
      <c r="C12596">
        <v>0</v>
      </c>
      <c r="D12596">
        <v>0</v>
      </c>
      <c r="E12596">
        <v>0</v>
      </c>
      <c r="F12596">
        <v>0</v>
      </c>
    </row>
    <row r="12597" spans="1:6" x14ac:dyDescent="0.25">
      <c r="A12597">
        <v>12596</v>
      </c>
      <c r="B12597" t="s">
        <v>0</v>
      </c>
      <c r="C12597">
        <v>49</v>
      </c>
      <c r="D12597">
        <v>3500</v>
      </c>
      <c r="E12597">
        <v>80489871</v>
      </c>
    </row>
    <row r="12598" spans="1:6" x14ac:dyDescent="0.25">
      <c r="A12598">
        <v>12597</v>
      </c>
      <c r="B12598">
        <v>10</v>
      </c>
      <c r="C12598">
        <v>1</v>
      </c>
      <c r="D12598">
        <v>0</v>
      </c>
      <c r="E12598">
        <v>0</v>
      </c>
      <c r="F12598">
        <v>5050</v>
      </c>
    </row>
    <row r="12599" spans="1:6" x14ac:dyDescent="0.25">
      <c r="A12599">
        <v>12598</v>
      </c>
      <c r="B12599">
        <v>13</v>
      </c>
      <c r="C12599">
        <v>0</v>
      </c>
      <c r="D12599">
        <v>0</v>
      </c>
      <c r="E12599">
        <v>0</v>
      </c>
      <c r="F12599">
        <v>1611</v>
      </c>
    </row>
    <row r="12600" spans="1:6" x14ac:dyDescent="0.25">
      <c r="A12600">
        <v>12599</v>
      </c>
      <c r="B12600">
        <v>41</v>
      </c>
      <c r="C12600">
        <v>0</v>
      </c>
      <c r="D12600">
        <v>0</v>
      </c>
      <c r="E12600">
        <v>0</v>
      </c>
      <c r="F12600">
        <v>1</v>
      </c>
    </row>
    <row r="12601" spans="1:6" x14ac:dyDescent="0.25">
      <c r="A12601">
        <v>12600</v>
      </c>
      <c r="B12601">
        <v>42</v>
      </c>
      <c r="C12601">
        <v>0</v>
      </c>
      <c r="D12601">
        <v>0</v>
      </c>
      <c r="E12601">
        <v>0</v>
      </c>
      <c r="F12601">
        <v>0.2</v>
      </c>
    </row>
    <row r="12602" spans="1:6" x14ac:dyDescent="0.25">
      <c r="A12602">
        <v>12601</v>
      </c>
      <c r="B12602">
        <v>43</v>
      </c>
      <c r="C12602">
        <v>0</v>
      </c>
      <c r="D12602">
        <v>0</v>
      </c>
      <c r="E12602">
        <v>0</v>
      </c>
      <c r="F12602">
        <v>0</v>
      </c>
    </row>
    <row r="12603" spans="1:6" x14ac:dyDescent="0.25">
      <c r="A12603">
        <v>12602</v>
      </c>
      <c r="B12603">
        <v>44</v>
      </c>
      <c r="C12603">
        <v>0</v>
      </c>
      <c r="D12603">
        <v>0</v>
      </c>
      <c r="E12603">
        <v>0</v>
      </c>
      <c r="F12603">
        <v>-2.1696499999999999</v>
      </c>
    </row>
    <row r="12604" spans="1:6" x14ac:dyDescent="0.25">
      <c r="A12604">
        <v>12603</v>
      </c>
      <c r="B12604">
        <v>45</v>
      </c>
      <c r="C12604">
        <v>0</v>
      </c>
      <c r="D12604">
        <v>0</v>
      </c>
      <c r="E12604">
        <v>0</v>
      </c>
      <c r="F12604">
        <v>515.52499999999998</v>
      </c>
    </row>
    <row r="12605" spans="1:6" x14ac:dyDescent="0.25">
      <c r="A12605">
        <v>12604</v>
      </c>
      <c r="B12605">
        <v>46</v>
      </c>
      <c r="C12605">
        <v>0</v>
      </c>
      <c r="D12605">
        <v>0</v>
      </c>
      <c r="E12605">
        <v>0</v>
      </c>
      <c r="F12605">
        <v>0</v>
      </c>
    </row>
    <row r="12606" spans="1:6" x14ac:dyDescent="0.25">
      <c r="A12606">
        <v>12605</v>
      </c>
      <c r="B12606">
        <v>2</v>
      </c>
      <c r="C12606">
        <v>0</v>
      </c>
      <c r="D12606">
        <v>0</v>
      </c>
      <c r="E12606">
        <v>0</v>
      </c>
      <c r="F12606">
        <v>240.38499999999999</v>
      </c>
    </row>
    <row r="12607" spans="1:6" x14ac:dyDescent="0.25">
      <c r="A12607">
        <v>12606</v>
      </c>
      <c r="B12607">
        <v>10</v>
      </c>
      <c r="C12607">
        <v>1</v>
      </c>
      <c r="D12607">
        <v>0</v>
      </c>
      <c r="E12607">
        <v>0</v>
      </c>
      <c r="F12607">
        <v>5051</v>
      </c>
    </row>
    <row r="12608" spans="1:6" x14ac:dyDescent="0.25">
      <c r="A12608">
        <v>12607</v>
      </c>
      <c r="B12608">
        <v>13</v>
      </c>
      <c r="C12608">
        <v>0</v>
      </c>
      <c r="D12608">
        <v>0</v>
      </c>
      <c r="E12608">
        <v>0</v>
      </c>
      <c r="F12608">
        <v>1611</v>
      </c>
    </row>
    <row r="12609" spans="1:6" x14ac:dyDescent="0.25">
      <c r="A12609">
        <v>12608</v>
      </c>
      <c r="B12609">
        <v>41</v>
      </c>
      <c r="C12609">
        <v>0</v>
      </c>
      <c r="D12609">
        <v>0</v>
      </c>
      <c r="E12609">
        <v>0</v>
      </c>
      <c r="F12609">
        <v>1</v>
      </c>
    </row>
    <row r="12610" spans="1:6" x14ac:dyDescent="0.25">
      <c r="A12610">
        <v>12609</v>
      </c>
      <c r="B12610" t="s">
        <v>0</v>
      </c>
      <c r="C12610">
        <v>55</v>
      </c>
      <c r="D12610">
        <v>3500</v>
      </c>
      <c r="E12610">
        <v>80490700</v>
      </c>
    </row>
    <row r="12611" spans="1:6" x14ac:dyDescent="0.25">
      <c r="A12611">
        <v>12610</v>
      </c>
      <c r="B12611">
        <v>42</v>
      </c>
      <c r="C12611">
        <v>0</v>
      </c>
      <c r="D12611">
        <v>0</v>
      </c>
      <c r="E12611">
        <v>0</v>
      </c>
      <c r="F12611">
        <v>0.2</v>
      </c>
    </row>
    <row r="12612" spans="1:6" x14ac:dyDescent="0.25">
      <c r="A12612">
        <v>12611</v>
      </c>
      <c r="B12612">
        <v>43</v>
      </c>
      <c r="C12612">
        <v>0</v>
      </c>
      <c r="D12612">
        <v>0</v>
      </c>
      <c r="E12612">
        <v>0</v>
      </c>
      <c r="F12612">
        <v>0</v>
      </c>
    </row>
    <row r="12613" spans="1:6" x14ac:dyDescent="0.25">
      <c r="A12613">
        <v>12612</v>
      </c>
      <c r="B12613" t="s">
        <v>0</v>
      </c>
      <c r="C12613">
        <v>56</v>
      </c>
      <c r="D12613">
        <v>3500</v>
      </c>
      <c r="E12613">
        <v>80490838</v>
      </c>
    </row>
    <row r="12614" spans="1:6" x14ac:dyDescent="0.25">
      <c r="A12614">
        <v>12613</v>
      </c>
      <c r="B12614">
        <v>44</v>
      </c>
      <c r="C12614">
        <v>0</v>
      </c>
      <c r="D12614">
        <v>0</v>
      </c>
      <c r="E12614">
        <v>0</v>
      </c>
      <c r="F12614">
        <v>-2.05132</v>
      </c>
    </row>
    <row r="12615" spans="1:6" x14ac:dyDescent="0.25">
      <c r="A12615">
        <v>12614</v>
      </c>
      <c r="B12615">
        <v>45</v>
      </c>
      <c r="C12615">
        <v>0</v>
      </c>
      <c r="D12615">
        <v>0</v>
      </c>
      <c r="E12615">
        <v>0</v>
      </c>
      <c r="F12615">
        <v>515.52300000000002</v>
      </c>
    </row>
    <row r="12616" spans="1:6" x14ac:dyDescent="0.25">
      <c r="A12616">
        <v>12615</v>
      </c>
      <c r="B12616" t="s">
        <v>0</v>
      </c>
      <c r="C12616">
        <v>57</v>
      </c>
      <c r="D12616">
        <v>3500</v>
      </c>
      <c r="E12616">
        <v>80490976</v>
      </c>
    </row>
    <row r="12617" spans="1:6" x14ac:dyDescent="0.25">
      <c r="A12617">
        <v>12616</v>
      </c>
      <c r="B12617">
        <v>46</v>
      </c>
      <c r="C12617">
        <v>0</v>
      </c>
      <c r="D12617">
        <v>0</v>
      </c>
      <c r="E12617">
        <v>0</v>
      </c>
      <c r="F12617">
        <v>0</v>
      </c>
    </row>
    <row r="12618" spans="1:6" x14ac:dyDescent="0.25">
      <c r="A12618">
        <v>12617</v>
      </c>
      <c r="B12618">
        <v>2</v>
      </c>
      <c r="C12618">
        <v>0</v>
      </c>
      <c r="D12618">
        <v>0</v>
      </c>
      <c r="E12618">
        <v>0</v>
      </c>
      <c r="F12618">
        <v>240.447</v>
      </c>
    </row>
    <row r="12619" spans="1:6" x14ac:dyDescent="0.25">
      <c r="A12619">
        <v>12618</v>
      </c>
      <c r="B12619" t="s">
        <v>0</v>
      </c>
      <c r="C12619">
        <v>58</v>
      </c>
      <c r="D12619">
        <v>3500</v>
      </c>
      <c r="E12619">
        <v>80491114</v>
      </c>
    </row>
    <row r="12620" spans="1:6" x14ac:dyDescent="0.25">
      <c r="A12620">
        <v>12619</v>
      </c>
      <c r="B12620">
        <v>10</v>
      </c>
      <c r="C12620">
        <v>1</v>
      </c>
      <c r="D12620">
        <v>0</v>
      </c>
      <c r="E12620">
        <v>0</v>
      </c>
      <c r="F12620">
        <v>5050</v>
      </c>
    </row>
    <row r="12621" spans="1:6" x14ac:dyDescent="0.25">
      <c r="A12621">
        <v>12620</v>
      </c>
      <c r="B12621">
        <v>13</v>
      </c>
      <c r="C12621">
        <v>0</v>
      </c>
      <c r="D12621">
        <v>0</v>
      </c>
      <c r="E12621">
        <v>0</v>
      </c>
      <c r="F12621">
        <v>1611</v>
      </c>
    </row>
    <row r="12622" spans="1:6" x14ac:dyDescent="0.25">
      <c r="A12622">
        <v>12621</v>
      </c>
      <c r="B12622" t="s">
        <v>0</v>
      </c>
      <c r="C12622">
        <v>59</v>
      </c>
      <c r="D12622">
        <v>3500</v>
      </c>
      <c r="E12622">
        <v>80491252</v>
      </c>
    </row>
    <row r="12623" spans="1:6" x14ac:dyDescent="0.25">
      <c r="A12623">
        <v>12622</v>
      </c>
      <c r="B12623">
        <v>41</v>
      </c>
      <c r="C12623">
        <v>0</v>
      </c>
      <c r="D12623">
        <v>0</v>
      </c>
      <c r="E12623">
        <v>0</v>
      </c>
      <c r="F12623">
        <v>1</v>
      </c>
    </row>
    <row r="12624" spans="1:6" x14ac:dyDescent="0.25">
      <c r="A12624">
        <v>12623</v>
      </c>
      <c r="B12624">
        <v>42</v>
      </c>
      <c r="C12624">
        <v>0</v>
      </c>
      <c r="D12624">
        <v>0</v>
      </c>
      <c r="E12624">
        <v>0</v>
      </c>
      <c r="F12624">
        <v>0.2</v>
      </c>
    </row>
    <row r="12625" spans="1:6" x14ac:dyDescent="0.25">
      <c r="A12625">
        <v>12624</v>
      </c>
      <c r="B12625" t="s">
        <v>0</v>
      </c>
      <c r="C12625">
        <v>60</v>
      </c>
      <c r="D12625">
        <v>3500</v>
      </c>
      <c r="E12625">
        <v>80491390</v>
      </c>
    </row>
    <row r="12626" spans="1:6" x14ac:dyDescent="0.25">
      <c r="A12626">
        <v>12625</v>
      </c>
      <c r="B12626">
        <v>44</v>
      </c>
      <c r="C12626">
        <v>0</v>
      </c>
      <c r="D12626">
        <v>0</v>
      </c>
      <c r="E12626">
        <v>0</v>
      </c>
      <c r="F12626">
        <v>-1.97942</v>
      </c>
    </row>
    <row r="12627" spans="1:6" x14ac:dyDescent="0.25">
      <c r="A12627">
        <v>12626</v>
      </c>
      <c r="B12627" t="s">
        <v>0</v>
      </c>
      <c r="C12627">
        <v>61</v>
      </c>
      <c r="D12627">
        <v>3500</v>
      </c>
      <c r="E12627">
        <v>80491528</v>
      </c>
    </row>
    <row r="12628" spans="1:6" x14ac:dyDescent="0.25">
      <c r="A12628">
        <v>12627</v>
      </c>
      <c r="B12628">
        <v>46</v>
      </c>
      <c r="C12628">
        <v>0</v>
      </c>
      <c r="D12628">
        <v>0</v>
      </c>
      <c r="E12628">
        <v>0</v>
      </c>
      <c r="F12628">
        <v>0</v>
      </c>
    </row>
    <row r="12629" spans="1:6" x14ac:dyDescent="0.25">
      <c r="A12629">
        <v>12628</v>
      </c>
      <c r="B12629" t="s">
        <v>0</v>
      </c>
      <c r="C12629">
        <v>62</v>
      </c>
      <c r="D12629">
        <v>3500</v>
      </c>
      <c r="E12629">
        <v>80491666</v>
      </c>
    </row>
    <row r="12630" spans="1:6" x14ac:dyDescent="0.25">
      <c r="A12630">
        <v>12629</v>
      </c>
      <c r="B12630">
        <v>10</v>
      </c>
      <c r="C12630">
        <v>1</v>
      </c>
      <c r="D12630">
        <v>0</v>
      </c>
      <c r="E12630">
        <v>0</v>
      </c>
      <c r="F12630">
        <v>5049</v>
      </c>
    </row>
    <row r="12631" spans="1:6" x14ac:dyDescent="0.25">
      <c r="A12631">
        <v>12630</v>
      </c>
      <c r="B12631" t="s">
        <v>0</v>
      </c>
      <c r="C12631">
        <v>63</v>
      </c>
      <c r="D12631">
        <v>3500</v>
      </c>
      <c r="E12631">
        <v>80491804</v>
      </c>
    </row>
    <row r="12632" spans="1:6" x14ac:dyDescent="0.25">
      <c r="A12632">
        <v>12631</v>
      </c>
      <c r="B12632">
        <v>41</v>
      </c>
      <c r="C12632">
        <v>0</v>
      </c>
      <c r="D12632">
        <v>0</v>
      </c>
      <c r="E12632">
        <v>0</v>
      </c>
      <c r="F12632">
        <v>1</v>
      </c>
    </row>
    <row r="12633" spans="1:6" x14ac:dyDescent="0.25">
      <c r="A12633">
        <v>12632</v>
      </c>
      <c r="B12633">
        <v>42</v>
      </c>
      <c r="C12633">
        <v>0</v>
      </c>
      <c r="D12633">
        <v>0</v>
      </c>
      <c r="E12633">
        <v>0</v>
      </c>
      <c r="F12633">
        <v>0.2</v>
      </c>
    </row>
    <row r="12634" spans="1:6" x14ac:dyDescent="0.25">
      <c r="A12634">
        <v>12633</v>
      </c>
      <c r="B12634">
        <v>43</v>
      </c>
      <c r="C12634">
        <v>0</v>
      </c>
      <c r="D12634">
        <v>0</v>
      </c>
      <c r="E12634">
        <v>0</v>
      </c>
      <c r="F12634">
        <v>0</v>
      </c>
    </row>
    <row r="12635" spans="1:6" x14ac:dyDescent="0.25">
      <c r="A12635">
        <v>12634</v>
      </c>
      <c r="B12635">
        <v>44</v>
      </c>
      <c r="C12635">
        <v>0</v>
      </c>
      <c r="D12635">
        <v>0</v>
      </c>
      <c r="E12635">
        <v>0</v>
      </c>
      <c r="F12635">
        <v>-1.87263</v>
      </c>
    </row>
    <row r="12636" spans="1:6" x14ac:dyDescent="0.25">
      <c r="A12636">
        <v>12635</v>
      </c>
      <c r="B12636">
        <v>45</v>
      </c>
      <c r="C12636">
        <v>0</v>
      </c>
      <c r="D12636">
        <v>0</v>
      </c>
      <c r="E12636">
        <v>0</v>
      </c>
      <c r="F12636">
        <v>515.52</v>
      </c>
    </row>
    <row r="12637" spans="1:6" x14ac:dyDescent="0.25">
      <c r="A12637">
        <v>12636</v>
      </c>
      <c r="B12637">
        <v>46</v>
      </c>
      <c r="C12637">
        <v>0</v>
      </c>
      <c r="D12637">
        <v>0</v>
      </c>
      <c r="E12637">
        <v>0</v>
      </c>
      <c r="F12637">
        <v>0</v>
      </c>
    </row>
    <row r="12638" spans="1:6" x14ac:dyDescent="0.25">
      <c r="A12638">
        <v>12637</v>
      </c>
      <c r="B12638">
        <v>2</v>
      </c>
      <c r="C12638">
        <v>0</v>
      </c>
      <c r="D12638">
        <v>0</v>
      </c>
      <c r="E12638">
        <v>0</v>
      </c>
      <c r="F12638">
        <v>240.547</v>
      </c>
    </row>
    <row r="12639" spans="1:6" x14ac:dyDescent="0.25">
      <c r="A12639">
        <v>12638</v>
      </c>
      <c r="B12639">
        <v>10</v>
      </c>
      <c r="C12639">
        <v>1</v>
      </c>
      <c r="D12639">
        <v>0</v>
      </c>
      <c r="E12639">
        <v>0</v>
      </c>
      <c r="F12639">
        <v>5048</v>
      </c>
    </row>
    <row r="12640" spans="1:6" x14ac:dyDescent="0.25">
      <c r="A12640">
        <v>12639</v>
      </c>
      <c r="B12640">
        <v>13</v>
      </c>
      <c r="C12640">
        <v>0</v>
      </c>
      <c r="D12640">
        <v>0</v>
      </c>
      <c r="E12640">
        <v>0</v>
      </c>
      <c r="F12640">
        <v>1611</v>
      </c>
    </row>
    <row r="12641" spans="1:6" x14ac:dyDescent="0.25">
      <c r="A12641">
        <v>12640</v>
      </c>
      <c r="B12641">
        <v>41</v>
      </c>
      <c r="C12641">
        <v>0</v>
      </c>
      <c r="D12641">
        <v>0</v>
      </c>
      <c r="E12641">
        <v>0</v>
      </c>
      <c r="F12641">
        <v>1</v>
      </c>
    </row>
    <row r="12642" spans="1:6" x14ac:dyDescent="0.25">
      <c r="A12642">
        <v>12641</v>
      </c>
      <c r="B12642">
        <v>42</v>
      </c>
      <c r="C12642">
        <v>0</v>
      </c>
      <c r="D12642">
        <v>0</v>
      </c>
      <c r="E12642">
        <v>0</v>
      </c>
      <c r="F12642">
        <v>0.2</v>
      </c>
    </row>
    <row r="12643" spans="1:6" x14ac:dyDescent="0.25">
      <c r="A12643">
        <v>12642</v>
      </c>
      <c r="B12643">
        <v>43</v>
      </c>
      <c r="C12643">
        <v>0</v>
      </c>
      <c r="D12643">
        <v>0</v>
      </c>
      <c r="E12643">
        <v>0</v>
      </c>
      <c r="F12643">
        <v>0</v>
      </c>
    </row>
    <row r="12644" spans="1:6" x14ac:dyDescent="0.25">
      <c r="A12644">
        <v>12643</v>
      </c>
      <c r="B12644" t="s">
        <v>0</v>
      </c>
      <c r="C12644">
        <v>69</v>
      </c>
      <c r="D12644">
        <v>3500</v>
      </c>
      <c r="E12644">
        <v>80492632</v>
      </c>
    </row>
    <row r="12645" spans="1:6" x14ac:dyDescent="0.25">
      <c r="A12645">
        <v>12644</v>
      </c>
      <c r="B12645">
        <v>44</v>
      </c>
      <c r="C12645">
        <v>0</v>
      </c>
      <c r="D12645">
        <v>0</v>
      </c>
      <c r="E12645">
        <v>0</v>
      </c>
      <c r="F12645">
        <v>-1.74072</v>
      </c>
    </row>
    <row r="12646" spans="1:6" x14ac:dyDescent="0.25">
      <c r="A12646">
        <v>12645</v>
      </c>
      <c r="B12646">
        <v>45</v>
      </c>
      <c r="C12646">
        <v>0</v>
      </c>
      <c r="D12646">
        <v>0</v>
      </c>
      <c r="E12646">
        <v>0</v>
      </c>
      <c r="F12646">
        <v>515.51900000000001</v>
      </c>
    </row>
    <row r="12647" spans="1:6" x14ac:dyDescent="0.25">
      <c r="A12647">
        <v>12646</v>
      </c>
      <c r="B12647" t="s">
        <v>0</v>
      </c>
      <c r="C12647">
        <v>70</v>
      </c>
      <c r="D12647">
        <v>3500</v>
      </c>
      <c r="E12647">
        <v>80492770</v>
      </c>
    </row>
    <row r="12648" spans="1:6" x14ac:dyDescent="0.25">
      <c r="A12648">
        <v>12647</v>
      </c>
      <c r="B12648">
        <v>46</v>
      </c>
      <c r="C12648">
        <v>0</v>
      </c>
      <c r="D12648">
        <v>0</v>
      </c>
      <c r="E12648">
        <v>0</v>
      </c>
      <c r="F12648">
        <v>0</v>
      </c>
    </row>
    <row r="12649" spans="1:6" x14ac:dyDescent="0.25">
      <c r="A12649">
        <v>12648</v>
      </c>
      <c r="B12649">
        <v>2</v>
      </c>
      <c r="C12649">
        <v>0</v>
      </c>
      <c r="D12649">
        <v>0</v>
      </c>
      <c r="E12649">
        <v>0</v>
      </c>
      <c r="F12649">
        <v>240.57900000000001</v>
      </c>
    </row>
    <row r="12650" spans="1:6" x14ac:dyDescent="0.25">
      <c r="A12650">
        <v>12649</v>
      </c>
      <c r="B12650" t="s">
        <v>0</v>
      </c>
      <c r="C12650">
        <v>71</v>
      </c>
      <c r="D12650">
        <v>3500</v>
      </c>
      <c r="E12650">
        <v>80492908</v>
      </c>
    </row>
    <row r="12651" spans="1:6" x14ac:dyDescent="0.25">
      <c r="A12651">
        <v>12650</v>
      </c>
      <c r="B12651">
        <v>10</v>
      </c>
      <c r="C12651">
        <v>1</v>
      </c>
      <c r="D12651">
        <v>0</v>
      </c>
      <c r="E12651">
        <v>0</v>
      </c>
      <c r="F12651">
        <v>5048</v>
      </c>
    </row>
    <row r="12652" spans="1:6" x14ac:dyDescent="0.25">
      <c r="A12652">
        <v>12651</v>
      </c>
      <c r="B12652">
        <v>13</v>
      </c>
      <c r="C12652">
        <v>0</v>
      </c>
      <c r="D12652">
        <v>0</v>
      </c>
      <c r="E12652">
        <v>0</v>
      </c>
      <c r="F12652">
        <v>1611</v>
      </c>
    </row>
    <row r="12653" spans="1:6" x14ac:dyDescent="0.25">
      <c r="A12653">
        <v>12652</v>
      </c>
      <c r="B12653" t="s">
        <v>0</v>
      </c>
      <c r="C12653">
        <v>72</v>
      </c>
      <c r="D12653">
        <v>3500</v>
      </c>
      <c r="E12653">
        <v>80493046</v>
      </c>
    </row>
    <row r="12654" spans="1:6" x14ac:dyDescent="0.25">
      <c r="A12654">
        <v>12653</v>
      </c>
      <c r="B12654">
        <v>41</v>
      </c>
      <c r="C12654">
        <v>0</v>
      </c>
      <c r="D12654">
        <v>0</v>
      </c>
      <c r="E12654">
        <v>0</v>
      </c>
      <c r="F12654">
        <v>1</v>
      </c>
    </row>
    <row r="12655" spans="1:6" x14ac:dyDescent="0.25">
      <c r="A12655">
        <v>12654</v>
      </c>
      <c r="B12655">
        <v>42</v>
      </c>
      <c r="C12655">
        <v>0</v>
      </c>
      <c r="D12655">
        <v>0</v>
      </c>
      <c r="E12655">
        <v>0</v>
      </c>
      <c r="F12655">
        <v>0.2</v>
      </c>
    </row>
    <row r="12656" spans="1:6" x14ac:dyDescent="0.25">
      <c r="A12656">
        <v>12655</v>
      </c>
      <c r="B12656" t="s">
        <v>0</v>
      </c>
      <c r="C12656">
        <v>73</v>
      </c>
      <c r="D12656">
        <v>3500</v>
      </c>
      <c r="E12656">
        <v>80493184</v>
      </c>
    </row>
    <row r="12657" spans="1:6" x14ac:dyDescent="0.25">
      <c r="A12657">
        <v>12656</v>
      </c>
      <c r="B12657">
        <v>43</v>
      </c>
      <c r="C12657">
        <v>0</v>
      </c>
      <c r="D12657">
        <v>0</v>
      </c>
      <c r="E12657">
        <v>0</v>
      </c>
      <c r="F12657">
        <v>0</v>
      </c>
    </row>
    <row r="12658" spans="1:6" x14ac:dyDescent="0.25">
      <c r="A12658">
        <v>12657</v>
      </c>
      <c r="B12658">
        <v>44</v>
      </c>
      <c r="C12658">
        <v>0</v>
      </c>
      <c r="D12658">
        <v>0</v>
      </c>
      <c r="E12658">
        <v>0</v>
      </c>
      <c r="F12658">
        <v>-1.64337</v>
      </c>
    </row>
    <row r="12659" spans="1:6" x14ac:dyDescent="0.25">
      <c r="A12659">
        <v>12658</v>
      </c>
      <c r="B12659" t="s">
        <v>0</v>
      </c>
      <c r="C12659">
        <v>74</v>
      </c>
      <c r="D12659">
        <v>3500</v>
      </c>
      <c r="E12659">
        <v>80493322</v>
      </c>
    </row>
    <row r="12660" spans="1:6" x14ac:dyDescent="0.25">
      <c r="A12660">
        <v>12659</v>
      </c>
      <c r="B12660">
        <v>46</v>
      </c>
      <c r="C12660">
        <v>0</v>
      </c>
      <c r="D12660">
        <v>0</v>
      </c>
      <c r="E12660">
        <v>0</v>
      </c>
      <c r="F12660">
        <v>0</v>
      </c>
    </row>
    <row r="12661" spans="1:6" x14ac:dyDescent="0.25">
      <c r="A12661">
        <v>12660</v>
      </c>
      <c r="B12661" t="s">
        <v>0</v>
      </c>
      <c r="C12661">
        <v>75</v>
      </c>
      <c r="D12661">
        <v>3500</v>
      </c>
      <c r="E12661">
        <v>80493460</v>
      </c>
    </row>
    <row r="12662" spans="1:6" x14ac:dyDescent="0.25">
      <c r="A12662">
        <v>12661</v>
      </c>
      <c r="B12662">
        <v>10</v>
      </c>
      <c r="C12662">
        <v>1</v>
      </c>
      <c r="D12662">
        <v>0</v>
      </c>
      <c r="E12662">
        <v>0</v>
      </c>
      <c r="F12662">
        <v>5048</v>
      </c>
    </row>
    <row r="12663" spans="1:6" x14ac:dyDescent="0.25">
      <c r="A12663">
        <v>12662</v>
      </c>
      <c r="B12663" t="s">
        <v>0</v>
      </c>
      <c r="C12663">
        <v>76</v>
      </c>
      <c r="D12663">
        <v>3500</v>
      </c>
      <c r="E12663">
        <v>80493598</v>
      </c>
    </row>
    <row r="12664" spans="1:6" x14ac:dyDescent="0.25">
      <c r="A12664">
        <v>12663</v>
      </c>
      <c r="B12664">
        <v>41</v>
      </c>
      <c r="C12664">
        <v>0</v>
      </c>
      <c r="D12664">
        <v>0</v>
      </c>
      <c r="E12664">
        <v>0</v>
      </c>
      <c r="F12664">
        <v>1</v>
      </c>
    </row>
    <row r="12665" spans="1:6" x14ac:dyDescent="0.25">
      <c r="A12665">
        <v>12664</v>
      </c>
      <c r="B12665" t="s">
        <v>0</v>
      </c>
      <c r="C12665">
        <v>77</v>
      </c>
      <c r="D12665">
        <v>3500</v>
      </c>
      <c r="E12665">
        <v>80493736</v>
      </c>
    </row>
    <row r="12666" spans="1:6" x14ac:dyDescent="0.25">
      <c r="A12666">
        <v>12665</v>
      </c>
      <c r="B12666">
        <v>43</v>
      </c>
      <c r="C12666">
        <v>0</v>
      </c>
      <c r="D12666">
        <v>0</v>
      </c>
      <c r="E12666">
        <v>0</v>
      </c>
      <c r="F12666">
        <v>0</v>
      </c>
    </row>
    <row r="12667" spans="1:6" x14ac:dyDescent="0.25">
      <c r="A12667">
        <v>12666</v>
      </c>
      <c r="B12667" t="s">
        <v>0</v>
      </c>
      <c r="C12667">
        <v>78</v>
      </c>
      <c r="D12667">
        <v>3500</v>
      </c>
      <c r="E12667">
        <v>80493874</v>
      </c>
    </row>
    <row r="12668" spans="1:6" x14ac:dyDescent="0.25">
      <c r="A12668">
        <v>12667</v>
      </c>
      <c r="B12668">
        <v>45</v>
      </c>
      <c r="C12668">
        <v>0</v>
      </c>
      <c r="D12668">
        <v>0</v>
      </c>
      <c r="E12668">
        <v>0</v>
      </c>
      <c r="F12668">
        <v>515.51700000000005</v>
      </c>
    </row>
    <row r="12669" spans="1:6" x14ac:dyDescent="0.25">
      <c r="A12669">
        <v>12668</v>
      </c>
      <c r="B12669">
        <v>46</v>
      </c>
      <c r="C12669">
        <v>0</v>
      </c>
      <c r="D12669">
        <v>0</v>
      </c>
      <c r="E12669">
        <v>0</v>
      </c>
      <c r="F12669">
        <v>0</v>
      </c>
    </row>
    <row r="12670" spans="1:6" x14ac:dyDescent="0.25">
      <c r="A12670">
        <v>12669</v>
      </c>
      <c r="B12670">
        <v>2</v>
      </c>
      <c r="C12670">
        <v>0</v>
      </c>
      <c r="D12670">
        <v>0</v>
      </c>
      <c r="E12670">
        <v>0</v>
      </c>
      <c r="F12670">
        <v>240.631</v>
      </c>
    </row>
    <row r="12671" spans="1:6" x14ac:dyDescent="0.25">
      <c r="A12671">
        <v>12670</v>
      </c>
      <c r="B12671">
        <v>10</v>
      </c>
      <c r="C12671">
        <v>1</v>
      </c>
      <c r="D12671">
        <v>0</v>
      </c>
      <c r="E12671">
        <v>0</v>
      </c>
      <c r="F12671">
        <v>5048</v>
      </c>
    </row>
    <row r="12672" spans="1:6" x14ac:dyDescent="0.25">
      <c r="A12672">
        <v>12671</v>
      </c>
      <c r="B12672">
        <v>13</v>
      </c>
      <c r="C12672">
        <v>0</v>
      </c>
      <c r="D12672">
        <v>0</v>
      </c>
      <c r="E12672">
        <v>0</v>
      </c>
      <c r="F12672">
        <v>1611</v>
      </c>
    </row>
    <row r="12673" spans="1:6" x14ac:dyDescent="0.25">
      <c r="A12673">
        <v>12672</v>
      </c>
      <c r="B12673">
        <v>41</v>
      </c>
      <c r="C12673">
        <v>0</v>
      </c>
      <c r="D12673">
        <v>0</v>
      </c>
      <c r="E12673">
        <v>0</v>
      </c>
      <c r="F12673">
        <v>1</v>
      </c>
    </row>
    <row r="12674" spans="1:6" x14ac:dyDescent="0.25">
      <c r="A12674">
        <v>12673</v>
      </c>
      <c r="B12674">
        <v>42</v>
      </c>
      <c r="C12674">
        <v>0</v>
      </c>
      <c r="D12674">
        <v>0</v>
      </c>
      <c r="E12674">
        <v>0</v>
      </c>
      <c r="F12674">
        <v>0.2</v>
      </c>
    </row>
    <row r="12675" spans="1:6" x14ac:dyDescent="0.25">
      <c r="A12675">
        <v>12674</v>
      </c>
      <c r="B12675">
        <v>43</v>
      </c>
      <c r="C12675">
        <v>0</v>
      </c>
      <c r="D12675">
        <v>0</v>
      </c>
      <c r="E12675">
        <v>0</v>
      </c>
      <c r="F12675">
        <v>0</v>
      </c>
    </row>
    <row r="12676" spans="1:6" x14ac:dyDescent="0.25">
      <c r="A12676">
        <v>12675</v>
      </c>
      <c r="B12676">
        <v>44</v>
      </c>
      <c r="C12676">
        <v>0</v>
      </c>
      <c r="D12676">
        <v>0</v>
      </c>
      <c r="E12676">
        <v>0</v>
      </c>
      <c r="F12676">
        <v>-1.36269</v>
      </c>
    </row>
    <row r="12677" spans="1:6" x14ac:dyDescent="0.25">
      <c r="A12677">
        <v>12676</v>
      </c>
      <c r="B12677">
        <v>45</v>
      </c>
      <c r="C12677">
        <v>0</v>
      </c>
      <c r="D12677">
        <v>0</v>
      </c>
      <c r="E12677">
        <v>0</v>
      </c>
      <c r="F12677">
        <v>515.51599999999996</v>
      </c>
    </row>
    <row r="12678" spans="1:6" x14ac:dyDescent="0.25">
      <c r="A12678">
        <v>12677</v>
      </c>
      <c r="B12678">
        <v>46</v>
      </c>
      <c r="C12678">
        <v>0</v>
      </c>
      <c r="D12678">
        <v>0</v>
      </c>
      <c r="E12678">
        <v>0</v>
      </c>
      <c r="F12678">
        <v>0</v>
      </c>
    </row>
    <row r="12679" spans="1:6" x14ac:dyDescent="0.25">
      <c r="A12679">
        <v>12678</v>
      </c>
      <c r="B12679">
        <v>2</v>
      </c>
      <c r="C12679">
        <v>0</v>
      </c>
      <c r="D12679">
        <v>0</v>
      </c>
      <c r="E12679">
        <v>0</v>
      </c>
      <c r="F12679">
        <v>240.64699999999999</v>
      </c>
    </row>
    <row r="12680" spans="1:6" x14ac:dyDescent="0.25">
      <c r="A12680">
        <v>12679</v>
      </c>
      <c r="B12680" t="s">
        <v>0</v>
      </c>
      <c r="C12680">
        <v>84</v>
      </c>
      <c r="D12680">
        <v>3500</v>
      </c>
      <c r="E12680">
        <v>80494702</v>
      </c>
    </row>
    <row r="12681" spans="1:6" x14ac:dyDescent="0.25">
      <c r="A12681">
        <v>12680</v>
      </c>
      <c r="B12681">
        <v>10</v>
      </c>
      <c r="C12681">
        <v>1</v>
      </c>
      <c r="D12681">
        <v>0</v>
      </c>
      <c r="E12681">
        <v>0</v>
      </c>
      <c r="F12681">
        <v>5048</v>
      </c>
    </row>
    <row r="12682" spans="1:6" x14ac:dyDescent="0.25">
      <c r="A12682">
        <v>12681</v>
      </c>
      <c r="B12682">
        <v>13</v>
      </c>
      <c r="C12682">
        <v>0</v>
      </c>
      <c r="D12682">
        <v>0</v>
      </c>
      <c r="E12682">
        <v>0</v>
      </c>
      <c r="F12682">
        <v>1611</v>
      </c>
    </row>
    <row r="12683" spans="1:6" x14ac:dyDescent="0.25">
      <c r="A12683">
        <v>12682</v>
      </c>
      <c r="B12683" t="s">
        <v>0</v>
      </c>
      <c r="C12683">
        <v>85</v>
      </c>
      <c r="D12683">
        <v>3500</v>
      </c>
      <c r="E12683">
        <v>80494840</v>
      </c>
    </row>
    <row r="12684" spans="1:6" x14ac:dyDescent="0.25">
      <c r="A12684">
        <v>12683</v>
      </c>
      <c r="B12684">
        <v>41</v>
      </c>
      <c r="C12684">
        <v>0</v>
      </c>
      <c r="D12684">
        <v>0</v>
      </c>
      <c r="E12684">
        <v>0</v>
      </c>
      <c r="F12684">
        <v>1</v>
      </c>
    </row>
    <row r="12685" spans="1:6" x14ac:dyDescent="0.25">
      <c r="A12685">
        <v>12684</v>
      </c>
      <c r="B12685">
        <v>42</v>
      </c>
      <c r="C12685">
        <v>0</v>
      </c>
      <c r="D12685">
        <v>0</v>
      </c>
      <c r="E12685">
        <v>0</v>
      </c>
      <c r="F12685">
        <v>0.2</v>
      </c>
    </row>
    <row r="12686" spans="1:6" x14ac:dyDescent="0.25">
      <c r="A12686">
        <v>12685</v>
      </c>
      <c r="B12686" t="s">
        <v>0</v>
      </c>
      <c r="C12686">
        <v>86</v>
      </c>
      <c r="D12686">
        <v>3500</v>
      </c>
      <c r="E12686">
        <v>80494978</v>
      </c>
    </row>
    <row r="12687" spans="1:6" x14ac:dyDescent="0.25">
      <c r="A12687">
        <v>12686</v>
      </c>
      <c r="B12687">
        <v>43</v>
      </c>
      <c r="C12687">
        <v>0</v>
      </c>
      <c r="D12687">
        <v>0</v>
      </c>
      <c r="E12687">
        <v>0</v>
      </c>
      <c r="F12687">
        <v>0</v>
      </c>
    </row>
    <row r="12688" spans="1:6" x14ac:dyDescent="0.25">
      <c r="A12688">
        <v>12687</v>
      </c>
      <c r="B12688">
        <v>44</v>
      </c>
      <c r="C12688">
        <v>0</v>
      </c>
      <c r="D12688">
        <v>0</v>
      </c>
      <c r="E12688">
        <v>0</v>
      </c>
      <c r="F12688">
        <v>-1.2516</v>
      </c>
    </row>
    <row r="12689" spans="1:6" x14ac:dyDescent="0.25">
      <c r="A12689">
        <v>12688</v>
      </c>
      <c r="B12689" t="s">
        <v>0</v>
      </c>
      <c r="C12689">
        <v>87</v>
      </c>
      <c r="D12689">
        <v>3500</v>
      </c>
      <c r="E12689">
        <v>80495116</v>
      </c>
    </row>
    <row r="12690" spans="1:6" x14ac:dyDescent="0.25">
      <c r="A12690">
        <v>12689</v>
      </c>
      <c r="B12690">
        <v>45</v>
      </c>
      <c r="C12690">
        <v>0</v>
      </c>
      <c r="D12690">
        <v>0</v>
      </c>
      <c r="E12690">
        <v>0</v>
      </c>
      <c r="F12690">
        <v>515.51499999999999</v>
      </c>
    </row>
    <row r="12691" spans="1:6" x14ac:dyDescent="0.25">
      <c r="A12691">
        <v>12690</v>
      </c>
      <c r="B12691">
        <v>46</v>
      </c>
      <c r="C12691">
        <v>0</v>
      </c>
      <c r="D12691">
        <v>0</v>
      </c>
      <c r="E12691">
        <v>0</v>
      </c>
      <c r="F12691">
        <v>0</v>
      </c>
    </row>
    <row r="12692" spans="1:6" x14ac:dyDescent="0.25">
      <c r="A12692">
        <v>12691</v>
      </c>
      <c r="B12692" t="s">
        <v>0</v>
      </c>
      <c r="C12692">
        <v>88</v>
      </c>
      <c r="D12692">
        <v>3500</v>
      </c>
      <c r="E12692">
        <v>80495254</v>
      </c>
    </row>
    <row r="12693" spans="1:6" x14ac:dyDescent="0.25">
      <c r="A12693">
        <v>12692</v>
      </c>
      <c r="B12693">
        <v>10</v>
      </c>
      <c r="C12693">
        <v>1</v>
      </c>
      <c r="D12693">
        <v>0</v>
      </c>
      <c r="E12693">
        <v>0</v>
      </c>
      <c r="F12693">
        <v>5048</v>
      </c>
    </row>
    <row r="12694" spans="1:6" x14ac:dyDescent="0.25">
      <c r="A12694">
        <v>12693</v>
      </c>
      <c r="B12694" t="s">
        <v>0</v>
      </c>
      <c r="C12694">
        <v>89</v>
      </c>
      <c r="D12694">
        <v>3500</v>
      </c>
      <c r="E12694">
        <v>80495392</v>
      </c>
    </row>
    <row r="12695" spans="1:6" x14ac:dyDescent="0.25">
      <c r="A12695">
        <v>12694</v>
      </c>
      <c r="B12695">
        <v>41</v>
      </c>
      <c r="C12695">
        <v>0</v>
      </c>
      <c r="D12695">
        <v>0</v>
      </c>
      <c r="E12695">
        <v>0</v>
      </c>
      <c r="F12695">
        <v>1</v>
      </c>
    </row>
    <row r="12696" spans="1:6" x14ac:dyDescent="0.25">
      <c r="A12696">
        <v>12695</v>
      </c>
      <c r="B12696" t="s">
        <v>0</v>
      </c>
      <c r="C12696">
        <v>90</v>
      </c>
      <c r="D12696">
        <v>3500</v>
      </c>
      <c r="E12696">
        <v>80495530</v>
      </c>
    </row>
    <row r="12697" spans="1:6" x14ac:dyDescent="0.25">
      <c r="A12697">
        <v>12696</v>
      </c>
      <c r="B12697">
        <v>43</v>
      </c>
      <c r="C12697">
        <v>0</v>
      </c>
      <c r="D12697">
        <v>0</v>
      </c>
      <c r="E12697">
        <v>0</v>
      </c>
      <c r="F12697">
        <v>0</v>
      </c>
    </row>
    <row r="12698" spans="1:6" x14ac:dyDescent="0.25">
      <c r="A12698">
        <v>12697</v>
      </c>
      <c r="B12698" t="s">
        <v>0</v>
      </c>
      <c r="C12698">
        <v>91</v>
      </c>
      <c r="D12698">
        <v>3500</v>
      </c>
      <c r="E12698">
        <v>80495668</v>
      </c>
    </row>
    <row r="12699" spans="1:6" x14ac:dyDescent="0.25">
      <c r="A12699">
        <v>12698</v>
      </c>
      <c r="B12699">
        <v>45</v>
      </c>
      <c r="C12699">
        <v>0</v>
      </c>
      <c r="D12699">
        <v>0</v>
      </c>
      <c r="E12699">
        <v>0</v>
      </c>
      <c r="F12699">
        <v>515.51400000000001</v>
      </c>
    </row>
    <row r="12700" spans="1:6" x14ac:dyDescent="0.25">
      <c r="A12700">
        <v>12699</v>
      </c>
      <c r="B12700" t="s">
        <v>0</v>
      </c>
      <c r="C12700">
        <v>92</v>
      </c>
      <c r="D12700">
        <v>3500</v>
      </c>
      <c r="E12700">
        <v>80495806</v>
      </c>
    </row>
    <row r="12701" spans="1:6" x14ac:dyDescent="0.25">
      <c r="A12701">
        <v>12700</v>
      </c>
      <c r="B12701">
        <v>2</v>
      </c>
      <c r="C12701">
        <v>0</v>
      </c>
      <c r="D12701">
        <v>0</v>
      </c>
      <c r="E12701">
        <v>0</v>
      </c>
      <c r="F12701">
        <v>240.67400000000001</v>
      </c>
    </row>
    <row r="12702" spans="1:6" x14ac:dyDescent="0.25">
      <c r="A12702">
        <v>12701</v>
      </c>
      <c r="B12702">
        <v>10</v>
      </c>
      <c r="C12702">
        <v>1</v>
      </c>
      <c r="D12702">
        <v>0</v>
      </c>
      <c r="E12702">
        <v>0</v>
      </c>
      <c r="F12702">
        <v>5048</v>
      </c>
    </row>
    <row r="12703" spans="1:6" x14ac:dyDescent="0.25">
      <c r="A12703">
        <v>12702</v>
      </c>
      <c r="B12703">
        <v>13</v>
      </c>
      <c r="C12703">
        <v>0</v>
      </c>
      <c r="D12703">
        <v>0</v>
      </c>
      <c r="E12703">
        <v>0</v>
      </c>
      <c r="F12703">
        <v>1611</v>
      </c>
    </row>
    <row r="12704" spans="1:6" x14ac:dyDescent="0.25">
      <c r="A12704">
        <v>12703</v>
      </c>
      <c r="B12704">
        <v>41</v>
      </c>
      <c r="C12704">
        <v>0</v>
      </c>
      <c r="D12704">
        <v>0</v>
      </c>
      <c r="E12704">
        <v>0</v>
      </c>
      <c r="F12704">
        <v>1</v>
      </c>
    </row>
    <row r="12705" spans="1:6" x14ac:dyDescent="0.25">
      <c r="A12705">
        <v>12704</v>
      </c>
      <c r="B12705">
        <v>42</v>
      </c>
      <c r="C12705">
        <v>0</v>
      </c>
      <c r="D12705">
        <v>0</v>
      </c>
      <c r="E12705">
        <v>0</v>
      </c>
      <c r="F12705">
        <v>0.2</v>
      </c>
    </row>
    <row r="12706" spans="1:6" x14ac:dyDescent="0.25">
      <c r="A12706">
        <v>12705</v>
      </c>
      <c r="B12706">
        <v>43</v>
      </c>
      <c r="C12706">
        <v>0</v>
      </c>
      <c r="D12706">
        <v>0</v>
      </c>
      <c r="E12706">
        <v>0</v>
      </c>
      <c r="F12706">
        <v>0</v>
      </c>
    </row>
    <row r="12707" spans="1:6" x14ac:dyDescent="0.25">
      <c r="A12707">
        <v>12706</v>
      </c>
      <c r="B12707">
        <v>44</v>
      </c>
      <c r="C12707">
        <v>0</v>
      </c>
      <c r="D12707">
        <v>0</v>
      </c>
      <c r="E12707">
        <v>0</v>
      </c>
      <c r="F12707">
        <v>-0.94941699999999996</v>
      </c>
    </row>
    <row r="12708" spans="1:6" x14ac:dyDescent="0.25">
      <c r="A12708">
        <v>12707</v>
      </c>
      <c r="B12708">
        <v>45</v>
      </c>
      <c r="C12708">
        <v>0</v>
      </c>
      <c r="D12708">
        <v>0</v>
      </c>
      <c r="E12708">
        <v>0</v>
      </c>
      <c r="F12708">
        <v>515.51300000000003</v>
      </c>
    </row>
    <row r="12709" spans="1:6" x14ac:dyDescent="0.25">
      <c r="A12709">
        <v>12708</v>
      </c>
      <c r="B12709">
        <v>46</v>
      </c>
      <c r="C12709">
        <v>0</v>
      </c>
      <c r="D12709">
        <v>0</v>
      </c>
      <c r="E12709">
        <v>0</v>
      </c>
      <c r="F12709">
        <v>0</v>
      </c>
    </row>
    <row r="12710" spans="1:6" x14ac:dyDescent="0.25">
      <c r="A12710">
        <v>12709</v>
      </c>
      <c r="B12710">
        <v>2</v>
      </c>
      <c r="C12710">
        <v>0</v>
      </c>
      <c r="D12710">
        <v>0</v>
      </c>
      <c r="E12710">
        <v>0</v>
      </c>
      <c r="F12710">
        <v>240.68199999999999</v>
      </c>
    </row>
    <row r="12711" spans="1:6" x14ac:dyDescent="0.25">
      <c r="A12711">
        <v>12710</v>
      </c>
      <c r="B12711">
        <v>10</v>
      </c>
      <c r="C12711">
        <v>1</v>
      </c>
      <c r="D12711">
        <v>0</v>
      </c>
      <c r="E12711">
        <v>0</v>
      </c>
      <c r="F12711">
        <v>5049</v>
      </c>
    </row>
    <row r="12712" spans="1:6" x14ac:dyDescent="0.25">
      <c r="A12712">
        <v>12711</v>
      </c>
      <c r="B12712">
        <v>13</v>
      </c>
      <c r="C12712">
        <v>0</v>
      </c>
      <c r="D12712">
        <v>0</v>
      </c>
      <c r="E12712">
        <v>0</v>
      </c>
      <c r="F12712">
        <v>1611</v>
      </c>
    </row>
    <row r="12713" spans="1:6" x14ac:dyDescent="0.25">
      <c r="A12713">
        <v>12712</v>
      </c>
      <c r="B12713" t="s">
        <v>0</v>
      </c>
      <c r="C12713">
        <v>98</v>
      </c>
      <c r="D12713">
        <v>3500</v>
      </c>
      <c r="E12713">
        <v>80496633</v>
      </c>
    </row>
    <row r="12714" spans="1:6" x14ac:dyDescent="0.25">
      <c r="A12714">
        <v>12713</v>
      </c>
      <c r="B12714">
        <v>41</v>
      </c>
      <c r="C12714">
        <v>0</v>
      </c>
      <c r="D12714">
        <v>0</v>
      </c>
      <c r="E12714">
        <v>0</v>
      </c>
      <c r="F12714">
        <v>1</v>
      </c>
    </row>
    <row r="12715" spans="1:6" x14ac:dyDescent="0.25">
      <c r="A12715">
        <v>12714</v>
      </c>
      <c r="B12715">
        <v>42</v>
      </c>
      <c r="C12715">
        <v>0</v>
      </c>
      <c r="D12715">
        <v>0</v>
      </c>
      <c r="E12715">
        <v>0</v>
      </c>
      <c r="F12715">
        <v>0.2</v>
      </c>
    </row>
    <row r="12716" spans="1:6" x14ac:dyDescent="0.25">
      <c r="A12716">
        <v>12715</v>
      </c>
      <c r="B12716" t="s">
        <v>0</v>
      </c>
      <c r="C12716">
        <v>99</v>
      </c>
      <c r="D12716">
        <v>3500</v>
      </c>
      <c r="E12716">
        <v>80496771</v>
      </c>
    </row>
    <row r="12717" spans="1:6" x14ac:dyDescent="0.25">
      <c r="A12717">
        <v>12716</v>
      </c>
      <c r="B12717">
        <v>43</v>
      </c>
      <c r="C12717">
        <v>0</v>
      </c>
      <c r="D12717">
        <v>0</v>
      </c>
      <c r="E12717">
        <v>0</v>
      </c>
      <c r="F12717">
        <v>0</v>
      </c>
    </row>
    <row r="12718" spans="1:6" x14ac:dyDescent="0.25">
      <c r="A12718">
        <v>12717</v>
      </c>
      <c r="B12718">
        <v>44</v>
      </c>
      <c r="C12718">
        <v>0</v>
      </c>
      <c r="D12718">
        <v>0</v>
      </c>
      <c r="E12718">
        <v>0</v>
      </c>
      <c r="F12718">
        <v>-0.83149700000000004</v>
      </c>
    </row>
    <row r="12719" spans="1:6" x14ac:dyDescent="0.25">
      <c r="A12719">
        <v>12718</v>
      </c>
      <c r="B12719" t="s">
        <v>0</v>
      </c>
      <c r="C12719">
        <v>100</v>
      </c>
      <c r="D12719">
        <v>3500</v>
      </c>
      <c r="E12719">
        <v>80496909</v>
      </c>
    </row>
    <row r="12720" spans="1:6" x14ac:dyDescent="0.25">
      <c r="A12720">
        <v>12719</v>
      </c>
      <c r="B12720">
        <v>45</v>
      </c>
      <c r="C12720">
        <v>0</v>
      </c>
      <c r="D12720">
        <v>0</v>
      </c>
      <c r="E12720">
        <v>0</v>
      </c>
      <c r="F12720">
        <v>515.51300000000003</v>
      </c>
    </row>
    <row r="12721" spans="1:6" x14ac:dyDescent="0.25">
      <c r="A12721">
        <v>12720</v>
      </c>
      <c r="B12721">
        <v>46</v>
      </c>
      <c r="C12721">
        <v>0</v>
      </c>
      <c r="D12721">
        <v>0</v>
      </c>
      <c r="E12721">
        <v>0</v>
      </c>
      <c r="F12721">
        <v>0</v>
      </c>
    </row>
    <row r="12722" spans="1:6" x14ac:dyDescent="0.25">
      <c r="A12722">
        <v>12721</v>
      </c>
      <c r="B12722" t="s">
        <v>0</v>
      </c>
      <c r="C12722">
        <v>101</v>
      </c>
      <c r="D12722">
        <v>3500</v>
      </c>
      <c r="E12722">
        <v>80497047</v>
      </c>
    </row>
    <row r="12723" spans="1:6" x14ac:dyDescent="0.25">
      <c r="A12723">
        <v>12722</v>
      </c>
      <c r="B12723">
        <v>2</v>
      </c>
      <c r="C12723">
        <v>0</v>
      </c>
      <c r="D12723">
        <v>0</v>
      </c>
      <c r="E12723">
        <v>0</v>
      </c>
      <c r="F12723">
        <v>240.69</v>
      </c>
    </row>
    <row r="12724" spans="1:6" x14ac:dyDescent="0.25">
      <c r="A12724">
        <v>12723</v>
      </c>
      <c r="B12724">
        <v>10</v>
      </c>
      <c r="C12724">
        <v>1</v>
      </c>
      <c r="D12724">
        <v>0</v>
      </c>
      <c r="E12724">
        <v>0</v>
      </c>
      <c r="F12724">
        <v>5049</v>
      </c>
    </row>
    <row r="12725" spans="1:6" x14ac:dyDescent="0.25">
      <c r="A12725">
        <v>12724</v>
      </c>
      <c r="B12725" t="s">
        <v>0</v>
      </c>
      <c r="C12725">
        <v>102</v>
      </c>
      <c r="D12725">
        <v>3500</v>
      </c>
      <c r="E12725">
        <v>80497185</v>
      </c>
    </row>
    <row r="12726" spans="1:6" x14ac:dyDescent="0.25">
      <c r="A12726">
        <v>12725</v>
      </c>
      <c r="B12726">
        <v>13</v>
      </c>
      <c r="C12726">
        <v>0</v>
      </c>
      <c r="D12726">
        <v>0</v>
      </c>
      <c r="E12726">
        <v>0</v>
      </c>
      <c r="F12726">
        <v>1611</v>
      </c>
    </row>
    <row r="12727" spans="1:6" x14ac:dyDescent="0.25">
      <c r="A12727">
        <v>12726</v>
      </c>
      <c r="B12727">
        <v>41</v>
      </c>
      <c r="C12727">
        <v>0</v>
      </c>
      <c r="D12727">
        <v>0</v>
      </c>
      <c r="E12727">
        <v>0</v>
      </c>
      <c r="F12727">
        <v>1</v>
      </c>
    </row>
    <row r="12728" spans="1:6" x14ac:dyDescent="0.25">
      <c r="A12728">
        <v>12727</v>
      </c>
      <c r="B12728" t="s">
        <v>0</v>
      </c>
      <c r="C12728">
        <v>103</v>
      </c>
      <c r="D12728">
        <v>3500</v>
      </c>
      <c r="E12728">
        <v>80497323</v>
      </c>
    </row>
    <row r="12729" spans="1:6" x14ac:dyDescent="0.25">
      <c r="A12729">
        <v>12728</v>
      </c>
      <c r="B12729">
        <v>43</v>
      </c>
      <c r="C12729">
        <v>0</v>
      </c>
      <c r="D12729">
        <v>0</v>
      </c>
      <c r="E12729">
        <v>0</v>
      </c>
      <c r="F12729">
        <v>0</v>
      </c>
    </row>
    <row r="12730" spans="1:6" x14ac:dyDescent="0.25">
      <c r="A12730">
        <v>12729</v>
      </c>
      <c r="B12730" t="s">
        <v>0</v>
      </c>
      <c r="C12730">
        <v>104</v>
      </c>
      <c r="D12730">
        <v>3500</v>
      </c>
      <c r="E12730">
        <v>80497461</v>
      </c>
    </row>
    <row r="12731" spans="1:6" x14ac:dyDescent="0.25">
      <c r="A12731">
        <v>12730</v>
      </c>
      <c r="B12731">
        <v>45</v>
      </c>
      <c r="C12731">
        <v>0</v>
      </c>
      <c r="D12731">
        <v>0</v>
      </c>
      <c r="E12731">
        <v>0</v>
      </c>
      <c r="F12731">
        <v>515.51199999999994</v>
      </c>
    </row>
    <row r="12732" spans="1:6" x14ac:dyDescent="0.25">
      <c r="A12732">
        <v>12731</v>
      </c>
      <c r="B12732" t="s">
        <v>0</v>
      </c>
      <c r="C12732">
        <v>105</v>
      </c>
      <c r="D12732">
        <v>3500</v>
      </c>
      <c r="E12732">
        <v>80497599</v>
      </c>
    </row>
    <row r="12733" spans="1:6" x14ac:dyDescent="0.25">
      <c r="A12733">
        <v>12732</v>
      </c>
      <c r="B12733">
        <v>2</v>
      </c>
      <c r="C12733">
        <v>0</v>
      </c>
      <c r="D12733">
        <v>0</v>
      </c>
      <c r="E12733">
        <v>0</v>
      </c>
      <c r="F12733">
        <v>240.696</v>
      </c>
    </row>
    <row r="12734" spans="1:6" x14ac:dyDescent="0.25">
      <c r="A12734">
        <v>12733</v>
      </c>
      <c r="B12734" t="s">
        <v>0</v>
      </c>
      <c r="C12734">
        <v>106</v>
      </c>
      <c r="D12734">
        <v>3500</v>
      </c>
      <c r="E12734">
        <v>80497737</v>
      </c>
    </row>
    <row r="12735" spans="1:6" x14ac:dyDescent="0.25">
      <c r="A12735">
        <v>12734</v>
      </c>
      <c r="B12735">
        <v>13</v>
      </c>
      <c r="C12735">
        <v>0</v>
      </c>
      <c r="D12735">
        <v>0</v>
      </c>
      <c r="E12735">
        <v>0</v>
      </c>
      <c r="F12735">
        <v>1611</v>
      </c>
    </row>
    <row r="12736" spans="1:6" x14ac:dyDescent="0.25">
      <c r="A12736">
        <v>12735</v>
      </c>
      <c r="B12736">
        <v>41</v>
      </c>
      <c r="C12736">
        <v>0</v>
      </c>
      <c r="D12736">
        <v>0</v>
      </c>
      <c r="E12736">
        <v>0</v>
      </c>
      <c r="F12736">
        <v>1</v>
      </c>
    </row>
    <row r="12737" spans="1:6" x14ac:dyDescent="0.25">
      <c r="A12737">
        <v>12736</v>
      </c>
      <c r="B12737">
        <v>42</v>
      </c>
      <c r="C12737">
        <v>0</v>
      </c>
      <c r="D12737">
        <v>0</v>
      </c>
      <c r="E12737">
        <v>0</v>
      </c>
      <c r="F12737">
        <v>0.2</v>
      </c>
    </row>
    <row r="12738" spans="1:6" x14ac:dyDescent="0.25">
      <c r="A12738">
        <v>12737</v>
      </c>
      <c r="B12738">
        <v>43</v>
      </c>
      <c r="C12738">
        <v>0</v>
      </c>
      <c r="D12738">
        <v>0</v>
      </c>
      <c r="E12738">
        <v>0</v>
      </c>
      <c r="F12738">
        <v>0</v>
      </c>
    </row>
    <row r="12739" spans="1:6" x14ac:dyDescent="0.25">
      <c r="A12739">
        <v>12738</v>
      </c>
      <c r="B12739">
        <v>44</v>
      </c>
      <c r="C12739">
        <v>0</v>
      </c>
      <c r="D12739">
        <v>0</v>
      </c>
      <c r="E12739">
        <v>0</v>
      </c>
      <c r="F12739">
        <v>-0.51826499999999998</v>
      </c>
    </row>
    <row r="12740" spans="1:6" x14ac:dyDescent="0.25">
      <c r="A12740">
        <v>12739</v>
      </c>
      <c r="B12740">
        <v>45</v>
      </c>
      <c r="C12740">
        <v>0</v>
      </c>
      <c r="D12740">
        <v>0</v>
      </c>
      <c r="E12740">
        <v>0</v>
      </c>
      <c r="F12740">
        <v>515.51199999999994</v>
      </c>
    </row>
    <row r="12741" spans="1:6" x14ac:dyDescent="0.25">
      <c r="A12741">
        <v>12740</v>
      </c>
      <c r="B12741">
        <v>46</v>
      </c>
      <c r="C12741">
        <v>0</v>
      </c>
      <c r="D12741">
        <v>0</v>
      </c>
      <c r="E12741">
        <v>0</v>
      </c>
      <c r="F12741">
        <v>0</v>
      </c>
    </row>
    <row r="12742" spans="1:6" x14ac:dyDescent="0.25">
      <c r="A12742">
        <v>12741</v>
      </c>
      <c r="B12742">
        <v>2</v>
      </c>
      <c r="C12742">
        <v>0</v>
      </c>
      <c r="D12742">
        <v>0</v>
      </c>
      <c r="E12742">
        <v>0</v>
      </c>
      <c r="F12742">
        <v>240.7</v>
      </c>
    </row>
    <row r="12743" spans="1:6" x14ac:dyDescent="0.25">
      <c r="A12743">
        <v>12742</v>
      </c>
      <c r="B12743">
        <v>10</v>
      </c>
      <c r="C12743">
        <v>1</v>
      </c>
      <c r="D12743">
        <v>0</v>
      </c>
      <c r="E12743">
        <v>0</v>
      </c>
      <c r="F12743">
        <v>5050</v>
      </c>
    </row>
    <row r="12744" spans="1:6" x14ac:dyDescent="0.25">
      <c r="A12744">
        <v>12743</v>
      </c>
      <c r="B12744">
        <v>13</v>
      </c>
      <c r="C12744">
        <v>0</v>
      </c>
      <c r="D12744">
        <v>0</v>
      </c>
      <c r="E12744">
        <v>0</v>
      </c>
      <c r="F12744">
        <v>1611</v>
      </c>
    </row>
    <row r="12745" spans="1:6" x14ac:dyDescent="0.25">
      <c r="A12745">
        <v>12744</v>
      </c>
      <c r="B12745">
        <v>41</v>
      </c>
      <c r="C12745">
        <v>0</v>
      </c>
      <c r="D12745">
        <v>0</v>
      </c>
      <c r="E12745">
        <v>0</v>
      </c>
      <c r="F12745">
        <v>1</v>
      </c>
    </row>
    <row r="12746" spans="1:6" x14ac:dyDescent="0.25">
      <c r="A12746">
        <v>12745</v>
      </c>
      <c r="B12746">
        <v>42</v>
      </c>
      <c r="C12746">
        <v>0</v>
      </c>
      <c r="D12746">
        <v>0</v>
      </c>
      <c r="E12746">
        <v>0</v>
      </c>
      <c r="F12746">
        <v>0.2</v>
      </c>
    </row>
    <row r="12747" spans="1:6" x14ac:dyDescent="0.25">
      <c r="A12747">
        <v>12746</v>
      </c>
      <c r="B12747" t="s">
        <v>0</v>
      </c>
      <c r="C12747">
        <v>112</v>
      </c>
      <c r="D12747">
        <v>3500</v>
      </c>
      <c r="E12747">
        <v>80498564</v>
      </c>
    </row>
    <row r="12748" spans="1:6" x14ac:dyDescent="0.25">
      <c r="A12748">
        <v>12747</v>
      </c>
      <c r="B12748">
        <v>43</v>
      </c>
      <c r="C12748">
        <v>0</v>
      </c>
      <c r="D12748">
        <v>0</v>
      </c>
      <c r="E12748">
        <v>0</v>
      </c>
      <c r="F12748">
        <v>0</v>
      </c>
    </row>
    <row r="12749" spans="1:6" x14ac:dyDescent="0.25">
      <c r="A12749">
        <v>12748</v>
      </c>
      <c r="B12749">
        <v>44</v>
      </c>
      <c r="C12749">
        <v>0</v>
      </c>
      <c r="D12749">
        <v>0</v>
      </c>
      <c r="E12749">
        <v>0</v>
      </c>
      <c r="F12749">
        <v>-0.396866</v>
      </c>
    </row>
    <row r="12750" spans="1:6" x14ac:dyDescent="0.25">
      <c r="A12750">
        <v>12749</v>
      </c>
      <c r="B12750" t="s">
        <v>0</v>
      </c>
      <c r="C12750">
        <v>113</v>
      </c>
      <c r="D12750">
        <v>3500</v>
      </c>
      <c r="E12750">
        <v>80498702</v>
      </c>
    </row>
    <row r="12751" spans="1:6" x14ac:dyDescent="0.25">
      <c r="A12751">
        <v>12750</v>
      </c>
      <c r="B12751">
        <v>45</v>
      </c>
      <c r="C12751">
        <v>0</v>
      </c>
      <c r="D12751">
        <v>0</v>
      </c>
      <c r="E12751">
        <v>0</v>
      </c>
      <c r="F12751">
        <v>515.51099999999997</v>
      </c>
    </row>
    <row r="12752" spans="1:6" x14ac:dyDescent="0.25">
      <c r="A12752">
        <v>12751</v>
      </c>
      <c r="B12752">
        <v>46</v>
      </c>
      <c r="C12752">
        <v>0</v>
      </c>
      <c r="D12752">
        <v>0</v>
      </c>
      <c r="E12752">
        <v>0</v>
      </c>
      <c r="F12752">
        <v>0</v>
      </c>
    </row>
    <row r="12753" spans="1:6" x14ac:dyDescent="0.25">
      <c r="A12753">
        <v>12752</v>
      </c>
      <c r="B12753" t="s">
        <v>0</v>
      </c>
      <c r="C12753">
        <v>114</v>
      </c>
      <c r="D12753">
        <v>3500</v>
      </c>
      <c r="E12753">
        <v>80498840</v>
      </c>
    </row>
    <row r="12754" spans="1:6" x14ac:dyDescent="0.25">
      <c r="A12754">
        <v>12753</v>
      </c>
      <c r="B12754">
        <v>2</v>
      </c>
      <c r="C12754">
        <v>0</v>
      </c>
      <c r="D12754">
        <v>0</v>
      </c>
      <c r="E12754">
        <v>0</v>
      </c>
      <c r="F12754">
        <v>240.70400000000001</v>
      </c>
    </row>
    <row r="12755" spans="1:6" x14ac:dyDescent="0.25">
      <c r="A12755">
        <v>12754</v>
      </c>
      <c r="B12755">
        <v>10</v>
      </c>
      <c r="C12755">
        <v>1</v>
      </c>
      <c r="D12755">
        <v>0</v>
      </c>
      <c r="E12755">
        <v>0</v>
      </c>
      <c r="F12755">
        <v>5049</v>
      </c>
    </row>
    <row r="12756" spans="1:6" x14ac:dyDescent="0.25">
      <c r="A12756">
        <v>12755</v>
      </c>
      <c r="B12756" t="s">
        <v>0</v>
      </c>
      <c r="C12756">
        <v>115</v>
      </c>
      <c r="D12756">
        <v>3500</v>
      </c>
      <c r="E12756">
        <v>80498978</v>
      </c>
    </row>
    <row r="12757" spans="1:6" x14ac:dyDescent="0.25">
      <c r="A12757">
        <v>12756</v>
      </c>
      <c r="B12757">
        <v>13</v>
      </c>
      <c r="C12757">
        <v>0</v>
      </c>
      <c r="D12757">
        <v>0</v>
      </c>
      <c r="E12757">
        <v>0</v>
      </c>
      <c r="F12757">
        <v>1611</v>
      </c>
    </row>
    <row r="12758" spans="1:6" x14ac:dyDescent="0.25">
      <c r="A12758">
        <v>12757</v>
      </c>
      <c r="B12758">
        <v>41</v>
      </c>
      <c r="C12758">
        <v>0</v>
      </c>
      <c r="D12758">
        <v>0</v>
      </c>
      <c r="E12758">
        <v>0</v>
      </c>
      <c r="F12758">
        <v>1</v>
      </c>
    </row>
    <row r="12759" spans="1:6" x14ac:dyDescent="0.25">
      <c r="A12759">
        <v>12758</v>
      </c>
      <c r="B12759" t="s">
        <v>0</v>
      </c>
      <c r="C12759">
        <v>116</v>
      </c>
      <c r="D12759">
        <v>3500</v>
      </c>
      <c r="E12759">
        <v>80499116</v>
      </c>
    </row>
    <row r="12760" spans="1:6" x14ac:dyDescent="0.25">
      <c r="A12760">
        <v>12759</v>
      </c>
      <c r="B12760">
        <v>42</v>
      </c>
      <c r="C12760">
        <v>0</v>
      </c>
      <c r="D12760">
        <v>0</v>
      </c>
      <c r="E12760">
        <v>0</v>
      </c>
      <c r="F12760">
        <v>0.2</v>
      </c>
    </row>
    <row r="12761" spans="1:6" x14ac:dyDescent="0.25">
      <c r="A12761">
        <v>12760</v>
      </c>
      <c r="B12761">
        <v>43</v>
      </c>
      <c r="C12761">
        <v>0</v>
      </c>
      <c r="D12761">
        <v>0</v>
      </c>
      <c r="E12761">
        <v>0</v>
      </c>
      <c r="F12761">
        <v>0</v>
      </c>
    </row>
    <row r="12762" spans="1:6" x14ac:dyDescent="0.25">
      <c r="A12762">
        <v>12761</v>
      </c>
      <c r="B12762" t="s">
        <v>0</v>
      </c>
      <c r="C12762">
        <v>117</v>
      </c>
      <c r="D12762">
        <v>3500</v>
      </c>
      <c r="E12762">
        <v>80499254</v>
      </c>
    </row>
    <row r="12763" spans="1:6" x14ac:dyDescent="0.25">
      <c r="A12763">
        <v>12762</v>
      </c>
      <c r="B12763">
        <v>45</v>
      </c>
      <c r="C12763">
        <v>0</v>
      </c>
      <c r="D12763">
        <v>0</v>
      </c>
      <c r="E12763">
        <v>0</v>
      </c>
      <c r="F12763">
        <v>515.51099999999997</v>
      </c>
    </row>
    <row r="12764" spans="1:6" x14ac:dyDescent="0.25">
      <c r="A12764">
        <v>12763</v>
      </c>
      <c r="B12764" t="s">
        <v>0</v>
      </c>
      <c r="C12764">
        <v>118</v>
      </c>
      <c r="D12764">
        <v>3500</v>
      </c>
      <c r="E12764">
        <v>80499392</v>
      </c>
    </row>
    <row r="12765" spans="1:6" x14ac:dyDescent="0.25">
      <c r="A12765">
        <v>12764</v>
      </c>
      <c r="B12765">
        <v>2</v>
      </c>
      <c r="C12765">
        <v>0</v>
      </c>
      <c r="D12765">
        <v>0</v>
      </c>
      <c r="E12765">
        <v>0</v>
      </c>
      <c r="F12765">
        <v>240.708</v>
      </c>
    </row>
    <row r="12766" spans="1:6" x14ac:dyDescent="0.25">
      <c r="A12766">
        <v>12765</v>
      </c>
      <c r="B12766" t="s">
        <v>0</v>
      </c>
      <c r="C12766">
        <v>119</v>
      </c>
      <c r="D12766">
        <v>3500</v>
      </c>
      <c r="E12766">
        <v>80499530</v>
      </c>
    </row>
    <row r="12767" spans="1:6" x14ac:dyDescent="0.25">
      <c r="A12767">
        <v>12766</v>
      </c>
      <c r="B12767">
        <v>13</v>
      </c>
      <c r="C12767">
        <v>0</v>
      </c>
      <c r="D12767">
        <v>0</v>
      </c>
      <c r="E12767">
        <v>0</v>
      </c>
      <c r="F12767">
        <v>1611</v>
      </c>
    </row>
    <row r="12768" spans="1:6" x14ac:dyDescent="0.25">
      <c r="A12768">
        <v>12767</v>
      </c>
      <c r="B12768" t="s">
        <v>0</v>
      </c>
      <c r="C12768">
        <v>120</v>
      </c>
      <c r="D12768">
        <v>3500</v>
      </c>
      <c r="E12768">
        <v>80499668</v>
      </c>
    </row>
    <row r="12769" spans="1:6" x14ac:dyDescent="0.25">
      <c r="A12769">
        <v>12768</v>
      </c>
      <c r="B12769">
        <v>42</v>
      </c>
      <c r="C12769">
        <v>0</v>
      </c>
      <c r="D12769">
        <v>0</v>
      </c>
      <c r="E12769">
        <v>0</v>
      </c>
      <c r="F12769">
        <v>0.2</v>
      </c>
    </row>
    <row r="12770" spans="1:6" x14ac:dyDescent="0.25">
      <c r="A12770">
        <v>12769</v>
      </c>
      <c r="B12770" t="s">
        <v>0</v>
      </c>
      <c r="C12770">
        <v>121</v>
      </c>
      <c r="D12770">
        <v>3500</v>
      </c>
      <c r="E12770">
        <v>80499806</v>
      </c>
    </row>
    <row r="12771" spans="1:6" x14ac:dyDescent="0.25">
      <c r="A12771">
        <v>12770</v>
      </c>
      <c r="B12771">
        <v>44</v>
      </c>
      <c r="C12771">
        <v>0</v>
      </c>
      <c r="D12771">
        <v>0</v>
      </c>
      <c r="E12771">
        <v>0</v>
      </c>
      <c r="F12771">
        <v>-7.86438E-2</v>
      </c>
    </row>
    <row r="12772" spans="1:6" x14ac:dyDescent="0.25">
      <c r="A12772">
        <v>12771</v>
      </c>
      <c r="B12772">
        <v>45</v>
      </c>
      <c r="C12772">
        <v>0</v>
      </c>
      <c r="D12772">
        <v>0</v>
      </c>
      <c r="E12772">
        <v>0</v>
      </c>
      <c r="F12772">
        <v>515.51099999999997</v>
      </c>
    </row>
    <row r="12773" spans="1:6" x14ac:dyDescent="0.25">
      <c r="A12773">
        <v>12772</v>
      </c>
      <c r="B12773">
        <v>46</v>
      </c>
      <c r="C12773">
        <v>0</v>
      </c>
      <c r="D12773">
        <v>0</v>
      </c>
      <c r="E12773">
        <v>0</v>
      </c>
      <c r="F12773">
        <v>0</v>
      </c>
    </row>
    <row r="12774" spans="1:6" x14ac:dyDescent="0.25">
      <c r="A12774">
        <v>12773</v>
      </c>
      <c r="B12774">
        <v>2</v>
      </c>
      <c r="C12774">
        <v>0</v>
      </c>
      <c r="D12774">
        <v>0</v>
      </c>
      <c r="E12774">
        <v>0</v>
      </c>
      <c r="F12774">
        <v>240.71</v>
      </c>
    </row>
    <row r="12775" spans="1:6" x14ac:dyDescent="0.25">
      <c r="A12775">
        <v>12774</v>
      </c>
      <c r="B12775">
        <v>10</v>
      </c>
      <c r="C12775">
        <v>1</v>
      </c>
      <c r="D12775">
        <v>0</v>
      </c>
      <c r="E12775">
        <v>0</v>
      </c>
      <c r="F12775">
        <v>5049</v>
      </c>
    </row>
    <row r="12776" spans="1:6" x14ac:dyDescent="0.25">
      <c r="A12776">
        <v>12775</v>
      </c>
      <c r="B12776">
        <v>13</v>
      </c>
      <c r="C12776">
        <v>0</v>
      </c>
      <c r="D12776">
        <v>0</v>
      </c>
      <c r="E12776">
        <v>0</v>
      </c>
      <c r="F12776">
        <v>1611</v>
      </c>
    </row>
    <row r="12777" spans="1:6" x14ac:dyDescent="0.25">
      <c r="A12777">
        <v>12776</v>
      </c>
      <c r="B12777">
        <v>41</v>
      </c>
      <c r="C12777">
        <v>0</v>
      </c>
      <c r="D12777">
        <v>0</v>
      </c>
      <c r="E12777">
        <v>0</v>
      </c>
      <c r="F12777">
        <v>1</v>
      </c>
    </row>
    <row r="12778" spans="1:6" x14ac:dyDescent="0.25">
      <c r="A12778">
        <v>12777</v>
      </c>
      <c r="B12778">
        <v>42</v>
      </c>
      <c r="C12778">
        <v>0</v>
      </c>
      <c r="D12778">
        <v>0</v>
      </c>
      <c r="E12778">
        <v>0</v>
      </c>
      <c r="F12778">
        <v>0.2</v>
      </c>
    </row>
    <row r="12779" spans="1:6" x14ac:dyDescent="0.25">
      <c r="A12779">
        <v>12778</v>
      </c>
      <c r="B12779">
        <v>43</v>
      </c>
      <c r="C12779">
        <v>0</v>
      </c>
      <c r="D12779">
        <v>0</v>
      </c>
      <c r="E12779">
        <v>0</v>
      </c>
      <c r="F12779">
        <v>0</v>
      </c>
    </row>
    <row r="12780" spans="1:6" x14ac:dyDescent="0.25">
      <c r="A12780">
        <v>12779</v>
      </c>
      <c r="B12780">
        <v>44</v>
      </c>
      <c r="C12780">
        <v>0</v>
      </c>
      <c r="D12780">
        <v>0</v>
      </c>
      <c r="E12780">
        <v>0</v>
      </c>
      <c r="F12780">
        <v>4.4494600000000002E-2</v>
      </c>
    </row>
    <row r="12781" spans="1:6" x14ac:dyDescent="0.25">
      <c r="A12781">
        <v>12780</v>
      </c>
      <c r="B12781">
        <v>45</v>
      </c>
      <c r="C12781">
        <v>0</v>
      </c>
      <c r="D12781">
        <v>0</v>
      </c>
      <c r="E12781">
        <v>0</v>
      </c>
      <c r="F12781">
        <v>515.51099999999997</v>
      </c>
    </row>
    <row r="12782" spans="1:6" x14ac:dyDescent="0.25">
      <c r="A12782">
        <v>12781</v>
      </c>
      <c r="B12782">
        <v>46</v>
      </c>
      <c r="C12782">
        <v>0</v>
      </c>
      <c r="D12782">
        <v>0</v>
      </c>
      <c r="E12782">
        <v>0</v>
      </c>
      <c r="F12782">
        <v>0</v>
      </c>
    </row>
    <row r="12783" spans="1:6" x14ac:dyDescent="0.25">
      <c r="A12783">
        <v>12782</v>
      </c>
      <c r="B12783" t="s">
        <v>0</v>
      </c>
      <c r="C12783">
        <v>127</v>
      </c>
      <c r="D12783">
        <v>3500</v>
      </c>
      <c r="E12783">
        <v>80500634</v>
      </c>
    </row>
    <row r="12784" spans="1:6" x14ac:dyDescent="0.25">
      <c r="A12784">
        <v>12783</v>
      </c>
      <c r="B12784">
        <v>2</v>
      </c>
      <c r="C12784">
        <v>0</v>
      </c>
      <c r="D12784">
        <v>0</v>
      </c>
      <c r="E12784">
        <v>0</v>
      </c>
      <c r="F12784">
        <v>240.71199999999999</v>
      </c>
    </row>
    <row r="12785" spans="1:6" x14ac:dyDescent="0.25">
      <c r="A12785">
        <v>12784</v>
      </c>
      <c r="B12785">
        <v>10</v>
      </c>
      <c r="C12785">
        <v>1</v>
      </c>
      <c r="D12785">
        <v>0</v>
      </c>
      <c r="E12785">
        <v>0</v>
      </c>
      <c r="F12785">
        <v>5049</v>
      </c>
    </row>
    <row r="12786" spans="1:6" x14ac:dyDescent="0.25">
      <c r="A12786">
        <v>12785</v>
      </c>
      <c r="B12786" t="s">
        <v>0</v>
      </c>
      <c r="C12786">
        <v>128</v>
      </c>
      <c r="D12786">
        <v>3500</v>
      </c>
      <c r="E12786">
        <v>80500772</v>
      </c>
    </row>
    <row r="12787" spans="1:6" x14ac:dyDescent="0.25">
      <c r="A12787">
        <v>12786</v>
      </c>
      <c r="B12787">
        <v>13</v>
      </c>
      <c r="C12787">
        <v>0</v>
      </c>
      <c r="D12787">
        <v>0</v>
      </c>
      <c r="E12787">
        <v>0</v>
      </c>
      <c r="F12787">
        <v>1611</v>
      </c>
    </row>
    <row r="12788" spans="1:6" x14ac:dyDescent="0.25">
      <c r="A12788">
        <v>12787</v>
      </c>
      <c r="B12788">
        <v>41</v>
      </c>
      <c r="C12788">
        <v>0</v>
      </c>
      <c r="D12788">
        <v>0</v>
      </c>
      <c r="E12788">
        <v>0</v>
      </c>
      <c r="F12788">
        <v>1</v>
      </c>
    </row>
    <row r="12789" spans="1:6" x14ac:dyDescent="0.25">
      <c r="A12789">
        <v>12788</v>
      </c>
      <c r="B12789" t="s">
        <v>0</v>
      </c>
      <c r="C12789">
        <v>129</v>
      </c>
      <c r="D12789">
        <v>3500</v>
      </c>
      <c r="E12789">
        <v>80500910</v>
      </c>
    </row>
    <row r="12790" spans="1:6" x14ac:dyDescent="0.25">
      <c r="A12790">
        <v>12789</v>
      </c>
      <c r="B12790">
        <v>42</v>
      </c>
      <c r="C12790">
        <v>0</v>
      </c>
      <c r="D12790">
        <v>0</v>
      </c>
      <c r="E12790">
        <v>0</v>
      </c>
      <c r="F12790">
        <v>0.2</v>
      </c>
    </row>
    <row r="12791" spans="1:6" x14ac:dyDescent="0.25">
      <c r="A12791">
        <v>12790</v>
      </c>
      <c r="B12791">
        <v>43</v>
      </c>
      <c r="C12791">
        <v>0</v>
      </c>
      <c r="D12791">
        <v>0</v>
      </c>
      <c r="E12791">
        <v>0</v>
      </c>
      <c r="F12791">
        <v>0</v>
      </c>
    </row>
    <row r="12792" spans="1:6" x14ac:dyDescent="0.25">
      <c r="A12792">
        <v>12791</v>
      </c>
      <c r="B12792" t="s">
        <v>0</v>
      </c>
      <c r="C12792">
        <v>130</v>
      </c>
      <c r="D12792">
        <v>3500</v>
      </c>
      <c r="E12792">
        <v>80501048</v>
      </c>
    </row>
    <row r="12793" spans="1:6" x14ac:dyDescent="0.25">
      <c r="A12793">
        <v>12792</v>
      </c>
      <c r="B12793">
        <v>44</v>
      </c>
      <c r="C12793">
        <v>0</v>
      </c>
      <c r="D12793">
        <v>0</v>
      </c>
      <c r="E12793">
        <v>0</v>
      </c>
      <c r="F12793">
        <v>0.21781900000000001</v>
      </c>
    </row>
    <row r="12794" spans="1:6" x14ac:dyDescent="0.25">
      <c r="A12794">
        <v>12793</v>
      </c>
      <c r="B12794">
        <v>45</v>
      </c>
      <c r="C12794">
        <v>0</v>
      </c>
      <c r="D12794">
        <v>0</v>
      </c>
      <c r="E12794">
        <v>0</v>
      </c>
      <c r="F12794">
        <v>515.51099999999997</v>
      </c>
    </row>
    <row r="12795" spans="1:6" x14ac:dyDescent="0.25">
      <c r="A12795">
        <v>12794</v>
      </c>
      <c r="B12795" t="s">
        <v>0</v>
      </c>
      <c r="C12795">
        <v>131</v>
      </c>
      <c r="D12795">
        <v>3500</v>
      </c>
      <c r="E12795">
        <v>80501186</v>
      </c>
    </row>
    <row r="12796" spans="1:6" x14ac:dyDescent="0.25">
      <c r="A12796">
        <v>12795</v>
      </c>
      <c r="B12796">
        <v>2</v>
      </c>
      <c r="C12796">
        <v>0</v>
      </c>
      <c r="D12796">
        <v>0</v>
      </c>
      <c r="E12796">
        <v>0</v>
      </c>
      <c r="F12796">
        <v>240.71299999999999</v>
      </c>
    </row>
    <row r="12797" spans="1:6" x14ac:dyDescent="0.25">
      <c r="A12797">
        <v>12796</v>
      </c>
      <c r="B12797" t="s">
        <v>0</v>
      </c>
      <c r="C12797">
        <v>132</v>
      </c>
      <c r="D12797">
        <v>3500</v>
      </c>
      <c r="E12797">
        <v>80501324</v>
      </c>
    </row>
    <row r="12798" spans="1:6" x14ac:dyDescent="0.25">
      <c r="A12798">
        <v>12797</v>
      </c>
      <c r="B12798">
        <v>13</v>
      </c>
      <c r="C12798">
        <v>0</v>
      </c>
      <c r="D12798">
        <v>0</v>
      </c>
      <c r="E12798">
        <v>0</v>
      </c>
      <c r="F12798">
        <v>1611</v>
      </c>
    </row>
    <row r="12799" spans="1:6" x14ac:dyDescent="0.25">
      <c r="A12799">
        <v>12798</v>
      </c>
      <c r="B12799" t="s">
        <v>0</v>
      </c>
      <c r="C12799">
        <v>133</v>
      </c>
      <c r="D12799">
        <v>3500</v>
      </c>
      <c r="E12799">
        <v>80501462</v>
      </c>
    </row>
    <row r="12800" spans="1:6" x14ac:dyDescent="0.25">
      <c r="A12800">
        <v>12799</v>
      </c>
      <c r="B12800">
        <v>42</v>
      </c>
      <c r="C12800">
        <v>0</v>
      </c>
      <c r="D12800">
        <v>0</v>
      </c>
      <c r="E12800">
        <v>0</v>
      </c>
      <c r="F12800">
        <v>0.2</v>
      </c>
    </row>
    <row r="12801" spans="1:6" x14ac:dyDescent="0.25">
      <c r="A12801">
        <v>12800</v>
      </c>
      <c r="B12801" t="s">
        <v>0</v>
      </c>
      <c r="C12801">
        <v>134</v>
      </c>
      <c r="D12801">
        <v>3500</v>
      </c>
      <c r="E12801">
        <v>80501600</v>
      </c>
    </row>
    <row r="12802" spans="1:6" x14ac:dyDescent="0.25">
      <c r="A12802">
        <v>12801</v>
      </c>
      <c r="B12802">
        <v>44</v>
      </c>
      <c r="C12802">
        <v>0</v>
      </c>
      <c r="D12802">
        <v>0</v>
      </c>
      <c r="E12802">
        <v>0</v>
      </c>
      <c r="F12802">
        <v>0.36769099999999999</v>
      </c>
    </row>
    <row r="12803" spans="1:6" x14ac:dyDescent="0.25">
      <c r="A12803">
        <v>12802</v>
      </c>
      <c r="B12803" t="s">
        <v>0</v>
      </c>
      <c r="C12803">
        <v>135</v>
      </c>
      <c r="D12803">
        <v>3500</v>
      </c>
      <c r="E12803">
        <v>80501738</v>
      </c>
    </row>
    <row r="12804" spans="1:6" x14ac:dyDescent="0.25">
      <c r="A12804">
        <v>12803</v>
      </c>
      <c r="B12804">
        <v>46</v>
      </c>
      <c r="C12804">
        <v>0</v>
      </c>
      <c r="D12804">
        <v>0</v>
      </c>
      <c r="E12804">
        <v>0</v>
      </c>
      <c r="F12804">
        <v>0</v>
      </c>
    </row>
    <row r="12805" spans="1:6" x14ac:dyDescent="0.25">
      <c r="A12805">
        <v>12804</v>
      </c>
      <c r="B12805">
        <v>2</v>
      </c>
      <c r="C12805">
        <v>0</v>
      </c>
      <c r="D12805">
        <v>0</v>
      </c>
      <c r="E12805">
        <v>0</v>
      </c>
      <c r="F12805">
        <v>240.715</v>
      </c>
    </row>
    <row r="12806" spans="1:6" x14ac:dyDescent="0.25">
      <c r="A12806">
        <v>12805</v>
      </c>
      <c r="B12806">
        <v>10</v>
      </c>
      <c r="C12806">
        <v>1</v>
      </c>
      <c r="D12806">
        <v>0</v>
      </c>
      <c r="E12806">
        <v>0</v>
      </c>
      <c r="F12806">
        <v>5049</v>
      </c>
    </row>
    <row r="12807" spans="1:6" x14ac:dyDescent="0.25">
      <c r="A12807">
        <v>12806</v>
      </c>
      <c r="B12807">
        <v>13</v>
      </c>
      <c r="C12807">
        <v>0</v>
      </c>
      <c r="D12807">
        <v>0</v>
      </c>
      <c r="E12807">
        <v>0</v>
      </c>
      <c r="F12807">
        <v>1611</v>
      </c>
    </row>
    <row r="12808" spans="1:6" x14ac:dyDescent="0.25">
      <c r="A12808">
        <v>12807</v>
      </c>
      <c r="B12808">
        <v>41</v>
      </c>
      <c r="C12808">
        <v>0</v>
      </c>
      <c r="D12808">
        <v>0</v>
      </c>
      <c r="E12808">
        <v>0</v>
      </c>
      <c r="F12808">
        <v>1</v>
      </c>
    </row>
    <row r="12809" spans="1:6" x14ac:dyDescent="0.25">
      <c r="A12809">
        <v>12808</v>
      </c>
      <c r="B12809">
        <v>42</v>
      </c>
      <c r="C12809">
        <v>0</v>
      </c>
      <c r="D12809">
        <v>0</v>
      </c>
      <c r="E12809">
        <v>0</v>
      </c>
      <c r="F12809">
        <v>0.2</v>
      </c>
    </row>
    <row r="12810" spans="1:6" x14ac:dyDescent="0.25">
      <c r="A12810">
        <v>12809</v>
      </c>
      <c r="B12810">
        <v>43</v>
      </c>
      <c r="C12810">
        <v>0</v>
      </c>
      <c r="D12810">
        <v>0</v>
      </c>
      <c r="E12810">
        <v>0</v>
      </c>
      <c r="F12810">
        <v>0</v>
      </c>
    </row>
    <row r="12811" spans="1:6" x14ac:dyDescent="0.25">
      <c r="A12811">
        <v>12810</v>
      </c>
      <c r="B12811">
        <v>44</v>
      </c>
      <c r="C12811">
        <v>0</v>
      </c>
      <c r="D12811">
        <v>0</v>
      </c>
      <c r="E12811">
        <v>0</v>
      </c>
      <c r="F12811">
        <v>0.490448</v>
      </c>
    </row>
    <row r="12812" spans="1:6" x14ac:dyDescent="0.25">
      <c r="A12812">
        <v>12811</v>
      </c>
      <c r="B12812">
        <v>45</v>
      </c>
      <c r="C12812">
        <v>0</v>
      </c>
      <c r="D12812">
        <v>0</v>
      </c>
      <c r="E12812">
        <v>0</v>
      </c>
      <c r="F12812">
        <v>515.51199999999994</v>
      </c>
    </row>
    <row r="12813" spans="1:6" x14ac:dyDescent="0.25">
      <c r="A12813">
        <v>12812</v>
      </c>
      <c r="B12813">
        <v>46</v>
      </c>
      <c r="C12813">
        <v>0</v>
      </c>
      <c r="D12813">
        <v>0</v>
      </c>
      <c r="E12813">
        <v>0</v>
      </c>
      <c r="F12813">
        <v>0</v>
      </c>
    </row>
    <row r="12814" spans="1:6" x14ac:dyDescent="0.25">
      <c r="A12814">
        <v>12813</v>
      </c>
      <c r="B12814">
        <v>2</v>
      </c>
      <c r="C12814">
        <v>0</v>
      </c>
      <c r="D12814">
        <v>0</v>
      </c>
      <c r="E12814">
        <v>0</v>
      </c>
      <c r="F12814">
        <v>240.71600000000001</v>
      </c>
    </row>
    <row r="12815" spans="1:6" x14ac:dyDescent="0.25">
      <c r="A12815">
        <v>12814</v>
      </c>
      <c r="B12815">
        <v>10</v>
      </c>
      <c r="C12815">
        <v>1</v>
      </c>
      <c r="D12815">
        <v>0</v>
      </c>
      <c r="E12815">
        <v>0</v>
      </c>
      <c r="F12815">
        <v>5053</v>
      </c>
    </row>
    <row r="12816" spans="1:6" x14ac:dyDescent="0.25">
      <c r="A12816">
        <v>12815</v>
      </c>
      <c r="B12816" t="s">
        <v>0</v>
      </c>
      <c r="C12816">
        <v>141</v>
      </c>
      <c r="D12816">
        <v>3500</v>
      </c>
      <c r="E12816">
        <v>80502566</v>
      </c>
    </row>
    <row r="12817" spans="1:6" x14ac:dyDescent="0.25">
      <c r="A12817">
        <v>12816</v>
      </c>
      <c r="B12817">
        <v>13</v>
      </c>
      <c r="C12817">
        <v>0</v>
      </c>
      <c r="D12817">
        <v>0</v>
      </c>
      <c r="E12817">
        <v>0</v>
      </c>
      <c r="F12817">
        <v>1611</v>
      </c>
    </row>
    <row r="12818" spans="1:6" x14ac:dyDescent="0.25">
      <c r="A12818">
        <v>12817</v>
      </c>
      <c r="B12818">
        <v>41</v>
      </c>
      <c r="C12818">
        <v>0</v>
      </c>
      <c r="D12818">
        <v>0</v>
      </c>
      <c r="E12818">
        <v>0</v>
      </c>
      <c r="F12818">
        <v>1</v>
      </c>
    </row>
    <row r="12819" spans="1:6" x14ac:dyDescent="0.25">
      <c r="A12819">
        <v>12818</v>
      </c>
      <c r="B12819" t="s">
        <v>0</v>
      </c>
      <c r="C12819">
        <v>142</v>
      </c>
      <c r="D12819">
        <v>3500</v>
      </c>
      <c r="E12819">
        <v>80502704</v>
      </c>
    </row>
    <row r="12820" spans="1:6" x14ac:dyDescent="0.25">
      <c r="A12820">
        <v>12819</v>
      </c>
      <c r="B12820">
        <v>42</v>
      </c>
      <c r="C12820">
        <v>0</v>
      </c>
      <c r="D12820">
        <v>0</v>
      </c>
      <c r="E12820">
        <v>0</v>
      </c>
      <c r="F12820">
        <v>0.2</v>
      </c>
    </row>
    <row r="12821" spans="1:6" x14ac:dyDescent="0.25">
      <c r="A12821">
        <v>12820</v>
      </c>
      <c r="B12821">
        <v>43</v>
      </c>
      <c r="C12821">
        <v>0</v>
      </c>
      <c r="D12821">
        <v>0</v>
      </c>
      <c r="E12821">
        <v>0</v>
      </c>
      <c r="F12821">
        <v>0</v>
      </c>
    </row>
    <row r="12822" spans="1:6" x14ac:dyDescent="0.25">
      <c r="A12822">
        <v>12821</v>
      </c>
      <c r="B12822" t="s">
        <v>0</v>
      </c>
      <c r="C12822">
        <v>143</v>
      </c>
      <c r="D12822">
        <v>3500</v>
      </c>
      <c r="E12822">
        <v>80502842</v>
      </c>
    </row>
    <row r="12823" spans="1:6" x14ac:dyDescent="0.25">
      <c r="A12823">
        <v>12822</v>
      </c>
      <c r="B12823">
        <v>44</v>
      </c>
      <c r="C12823">
        <v>0</v>
      </c>
      <c r="D12823">
        <v>0</v>
      </c>
      <c r="E12823">
        <v>0</v>
      </c>
      <c r="F12823">
        <v>0.664551</v>
      </c>
    </row>
    <row r="12824" spans="1:6" x14ac:dyDescent="0.25">
      <c r="A12824">
        <v>12823</v>
      </c>
      <c r="B12824">
        <v>45</v>
      </c>
      <c r="C12824">
        <v>0</v>
      </c>
      <c r="D12824">
        <v>0</v>
      </c>
      <c r="E12824">
        <v>0</v>
      </c>
      <c r="F12824">
        <v>515.51199999999994</v>
      </c>
    </row>
    <row r="12825" spans="1:6" x14ac:dyDescent="0.25">
      <c r="A12825">
        <v>12824</v>
      </c>
      <c r="B12825" t="s">
        <v>0</v>
      </c>
      <c r="C12825">
        <v>144</v>
      </c>
      <c r="D12825">
        <v>3500</v>
      </c>
      <c r="E12825">
        <v>80502980</v>
      </c>
    </row>
    <row r="12826" spans="1:6" x14ac:dyDescent="0.25">
      <c r="A12826">
        <v>12825</v>
      </c>
      <c r="B12826">
        <v>46</v>
      </c>
      <c r="C12826">
        <v>0</v>
      </c>
      <c r="D12826">
        <v>0</v>
      </c>
      <c r="E12826">
        <v>0</v>
      </c>
      <c r="F12826">
        <v>0</v>
      </c>
    </row>
    <row r="12827" spans="1:6" x14ac:dyDescent="0.25">
      <c r="A12827">
        <v>12826</v>
      </c>
      <c r="B12827">
        <v>2</v>
      </c>
      <c r="C12827">
        <v>0</v>
      </c>
      <c r="D12827">
        <v>0</v>
      </c>
      <c r="E12827">
        <v>0</v>
      </c>
      <c r="F12827">
        <v>240.71600000000001</v>
      </c>
    </row>
    <row r="12828" spans="1:6" x14ac:dyDescent="0.25">
      <c r="A12828">
        <v>12827</v>
      </c>
      <c r="B12828" t="s">
        <v>0</v>
      </c>
      <c r="C12828">
        <v>145</v>
      </c>
      <c r="D12828">
        <v>3500</v>
      </c>
      <c r="E12828">
        <v>80503118</v>
      </c>
    </row>
    <row r="12829" spans="1:6" x14ac:dyDescent="0.25">
      <c r="A12829">
        <v>12828</v>
      </c>
      <c r="B12829">
        <v>13</v>
      </c>
      <c r="C12829">
        <v>0</v>
      </c>
      <c r="D12829">
        <v>0</v>
      </c>
      <c r="E12829">
        <v>0</v>
      </c>
      <c r="F12829">
        <v>1611</v>
      </c>
    </row>
    <row r="12830" spans="1:6" x14ac:dyDescent="0.25">
      <c r="A12830">
        <v>12829</v>
      </c>
      <c r="B12830" t="s">
        <v>0</v>
      </c>
      <c r="C12830">
        <v>146</v>
      </c>
      <c r="D12830">
        <v>3500</v>
      </c>
      <c r="E12830">
        <v>80503256</v>
      </c>
    </row>
    <row r="12831" spans="1:6" x14ac:dyDescent="0.25">
      <c r="A12831">
        <v>12830</v>
      </c>
      <c r="B12831">
        <v>42</v>
      </c>
      <c r="C12831">
        <v>0</v>
      </c>
      <c r="D12831">
        <v>0</v>
      </c>
      <c r="E12831">
        <v>0</v>
      </c>
      <c r="F12831">
        <v>0.2</v>
      </c>
    </row>
    <row r="12832" spans="1:6" x14ac:dyDescent="0.25">
      <c r="A12832">
        <v>12831</v>
      </c>
      <c r="B12832" t="s">
        <v>0</v>
      </c>
      <c r="C12832">
        <v>147</v>
      </c>
      <c r="D12832">
        <v>3500</v>
      </c>
      <c r="E12832">
        <v>80503394</v>
      </c>
    </row>
    <row r="12833" spans="1:6" x14ac:dyDescent="0.25">
      <c r="A12833">
        <v>12832</v>
      </c>
      <c r="B12833">
        <v>44</v>
      </c>
      <c r="C12833">
        <v>0</v>
      </c>
      <c r="D12833">
        <v>0</v>
      </c>
      <c r="E12833">
        <v>0</v>
      </c>
      <c r="F12833">
        <v>0.78915400000000002</v>
      </c>
    </row>
    <row r="12834" spans="1:6" x14ac:dyDescent="0.25">
      <c r="A12834">
        <v>12833</v>
      </c>
      <c r="B12834" t="s">
        <v>0</v>
      </c>
      <c r="C12834">
        <v>148</v>
      </c>
      <c r="D12834">
        <v>3500</v>
      </c>
      <c r="E12834">
        <v>80503532</v>
      </c>
    </row>
    <row r="12835" spans="1:6" x14ac:dyDescent="0.25">
      <c r="A12835">
        <v>12834</v>
      </c>
      <c r="B12835">
        <v>46</v>
      </c>
      <c r="C12835">
        <v>0</v>
      </c>
      <c r="D12835">
        <v>0</v>
      </c>
      <c r="E12835">
        <v>0</v>
      </c>
      <c r="F12835">
        <v>0</v>
      </c>
    </row>
    <row r="12836" spans="1:6" x14ac:dyDescent="0.25">
      <c r="A12836">
        <v>12835</v>
      </c>
      <c r="B12836" t="s">
        <v>0</v>
      </c>
      <c r="C12836">
        <v>149</v>
      </c>
      <c r="D12836">
        <v>3500</v>
      </c>
      <c r="E12836">
        <v>80503670</v>
      </c>
    </row>
    <row r="12837" spans="1:6" x14ac:dyDescent="0.25">
      <c r="A12837">
        <v>12836</v>
      </c>
      <c r="B12837">
        <v>10</v>
      </c>
      <c r="C12837">
        <v>1</v>
      </c>
      <c r="D12837">
        <v>0</v>
      </c>
      <c r="E12837">
        <v>0</v>
      </c>
      <c r="F12837">
        <v>5054</v>
      </c>
    </row>
    <row r="12838" spans="1:6" x14ac:dyDescent="0.25">
      <c r="A12838">
        <v>12837</v>
      </c>
      <c r="B12838">
        <v>13</v>
      </c>
      <c r="C12838">
        <v>0</v>
      </c>
      <c r="D12838">
        <v>0</v>
      </c>
      <c r="E12838">
        <v>0</v>
      </c>
      <c r="F12838">
        <v>1611</v>
      </c>
    </row>
    <row r="12839" spans="1:6" x14ac:dyDescent="0.25">
      <c r="A12839">
        <v>12838</v>
      </c>
      <c r="B12839">
        <v>41</v>
      </c>
      <c r="C12839">
        <v>0</v>
      </c>
      <c r="D12839">
        <v>0</v>
      </c>
      <c r="E12839">
        <v>0</v>
      </c>
      <c r="F12839">
        <v>1</v>
      </c>
    </row>
    <row r="12840" spans="1:6" x14ac:dyDescent="0.25">
      <c r="A12840">
        <v>12839</v>
      </c>
      <c r="B12840">
        <v>42</v>
      </c>
      <c r="C12840">
        <v>0</v>
      </c>
      <c r="D12840">
        <v>0</v>
      </c>
      <c r="E12840">
        <v>0</v>
      </c>
      <c r="F12840">
        <v>0.2</v>
      </c>
    </row>
    <row r="12841" spans="1:6" x14ac:dyDescent="0.25">
      <c r="A12841">
        <v>12840</v>
      </c>
      <c r="B12841">
        <v>43</v>
      </c>
      <c r="C12841">
        <v>0</v>
      </c>
      <c r="D12841">
        <v>0</v>
      </c>
      <c r="E12841">
        <v>0</v>
      </c>
      <c r="F12841">
        <v>0</v>
      </c>
    </row>
    <row r="12842" spans="1:6" x14ac:dyDescent="0.25">
      <c r="A12842">
        <v>12841</v>
      </c>
      <c r="B12842">
        <v>44</v>
      </c>
      <c r="C12842">
        <v>0</v>
      </c>
      <c r="D12842">
        <v>0</v>
      </c>
      <c r="E12842">
        <v>0</v>
      </c>
      <c r="F12842">
        <v>0.93843100000000002</v>
      </c>
    </row>
    <row r="12843" spans="1:6" x14ac:dyDescent="0.25">
      <c r="A12843">
        <v>12842</v>
      </c>
      <c r="B12843">
        <v>45</v>
      </c>
      <c r="C12843">
        <v>0</v>
      </c>
      <c r="D12843">
        <v>0</v>
      </c>
      <c r="E12843">
        <v>0</v>
      </c>
      <c r="F12843">
        <v>515.51300000000003</v>
      </c>
    </row>
    <row r="12844" spans="1:6" x14ac:dyDescent="0.25">
      <c r="A12844">
        <v>12843</v>
      </c>
      <c r="B12844">
        <v>46</v>
      </c>
      <c r="C12844">
        <v>0</v>
      </c>
      <c r="D12844">
        <v>0</v>
      </c>
      <c r="E12844">
        <v>0</v>
      </c>
      <c r="F12844">
        <v>0</v>
      </c>
    </row>
    <row r="12845" spans="1:6" x14ac:dyDescent="0.25">
      <c r="A12845">
        <v>12844</v>
      </c>
      <c r="B12845">
        <v>2</v>
      </c>
      <c r="C12845">
        <v>0</v>
      </c>
      <c r="D12845">
        <v>0</v>
      </c>
      <c r="E12845">
        <v>0</v>
      </c>
      <c r="F12845">
        <v>240.71700000000001</v>
      </c>
    </row>
    <row r="12846" spans="1:6" x14ac:dyDescent="0.25">
      <c r="A12846">
        <v>12845</v>
      </c>
      <c r="B12846">
        <v>10</v>
      </c>
      <c r="C12846">
        <v>1</v>
      </c>
      <c r="D12846">
        <v>0</v>
      </c>
      <c r="E12846">
        <v>0</v>
      </c>
      <c r="F12846">
        <v>5055</v>
      </c>
    </row>
    <row r="12847" spans="1:6" x14ac:dyDescent="0.25">
      <c r="A12847">
        <v>12846</v>
      </c>
      <c r="B12847">
        <v>13</v>
      </c>
      <c r="C12847">
        <v>0</v>
      </c>
      <c r="D12847">
        <v>0</v>
      </c>
      <c r="E12847">
        <v>0</v>
      </c>
      <c r="F12847">
        <v>1611</v>
      </c>
    </row>
    <row r="12848" spans="1:6" x14ac:dyDescent="0.25">
      <c r="A12848">
        <v>12847</v>
      </c>
      <c r="B12848">
        <v>41</v>
      </c>
      <c r="C12848">
        <v>0</v>
      </c>
      <c r="D12848">
        <v>0</v>
      </c>
      <c r="E12848">
        <v>0</v>
      </c>
      <c r="F12848">
        <v>1</v>
      </c>
    </row>
    <row r="12849" spans="1:6" x14ac:dyDescent="0.25">
      <c r="A12849">
        <v>12848</v>
      </c>
      <c r="B12849" t="s">
        <v>0</v>
      </c>
      <c r="C12849">
        <v>155</v>
      </c>
      <c r="D12849">
        <v>3500</v>
      </c>
      <c r="E12849">
        <v>80504498</v>
      </c>
    </row>
    <row r="12850" spans="1:6" x14ac:dyDescent="0.25">
      <c r="A12850">
        <v>12849</v>
      </c>
      <c r="B12850">
        <v>42</v>
      </c>
      <c r="C12850">
        <v>0</v>
      </c>
      <c r="D12850">
        <v>0</v>
      </c>
      <c r="E12850">
        <v>0</v>
      </c>
      <c r="F12850">
        <v>0.2</v>
      </c>
    </row>
    <row r="12851" spans="1:6" x14ac:dyDescent="0.25">
      <c r="A12851">
        <v>12850</v>
      </c>
      <c r="B12851">
        <v>43</v>
      </c>
      <c r="C12851">
        <v>0</v>
      </c>
      <c r="D12851">
        <v>0</v>
      </c>
      <c r="E12851">
        <v>0</v>
      </c>
      <c r="F12851">
        <v>0</v>
      </c>
    </row>
    <row r="12852" spans="1:6" x14ac:dyDescent="0.25">
      <c r="A12852">
        <v>12851</v>
      </c>
      <c r="B12852" t="s">
        <v>0</v>
      </c>
      <c r="C12852">
        <v>156</v>
      </c>
      <c r="D12852">
        <v>3500</v>
      </c>
      <c r="E12852">
        <v>80504636</v>
      </c>
    </row>
    <row r="12853" spans="1:6" x14ac:dyDescent="0.25">
      <c r="A12853">
        <v>12852</v>
      </c>
      <c r="B12853">
        <v>44</v>
      </c>
      <c r="C12853">
        <v>0</v>
      </c>
      <c r="D12853">
        <v>0</v>
      </c>
      <c r="E12853">
        <v>0</v>
      </c>
      <c r="F12853">
        <v>1.1130500000000001</v>
      </c>
    </row>
    <row r="12854" spans="1:6" x14ac:dyDescent="0.25">
      <c r="A12854">
        <v>12853</v>
      </c>
      <c r="B12854">
        <v>45</v>
      </c>
      <c r="C12854">
        <v>0</v>
      </c>
      <c r="D12854">
        <v>0</v>
      </c>
      <c r="E12854">
        <v>0</v>
      </c>
      <c r="F12854">
        <v>515.51400000000001</v>
      </c>
    </row>
    <row r="12855" spans="1:6" x14ac:dyDescent="0.25">
      <c r="A12855">
        <v>12854</v>
      </c>
      <c r="B12855" t="s">
        <v>0</v>
      </c>
      <c r="C12855">
        <v>157</v>
      </c>
      <c r="D12855">
        <v>3500</v>
      </c>
      <c r="E12855">
        <v>80504774</v>
      </c>
    </row>
    <row r="12856" spans="1:6" x14ac:dyDescent="0.25">
      <c r="A12856">
        <v>12855</v>
      </c>
      <c r="B12856">
        <v>46</v>
      </c>
      <c r="C12856">
        <v>0</v>
      </c>
      <c r="D12856">
        <v>0</v>
      </c>
      <c r="E12856">
        <v>0</v>
      </c>
      <c r="F12856">
        <v>0</v>
      </c>
    </row>
    <row r="12857" spans="1:6" x14ac:dyDescent="0.25">
      <c r="A12857">
        <v>12856</v>
      </c>
      <c r="B12857">
        <v>2</v>
      </c>
      <c r="C12857">
        <v>0</v>
      </c>
      <c r="D12857">
        <v>0</v>
      </c>
      <c r="E12857">
        <v>0</v>
      </c>
      <c r="F12857">
        <v>240.71799999999999</v>
      </c>
    </row>
    <row r="12858" spans="1:6" x14ac:dyDescent="0.25">
      <c r="A12858">
        <v>12857</v>
      </c>
      <c r="B12858" t="s">
        <v>0</v>
      </c>
      <c r="C12858">
        <v>158</v>
      </c>
      <c r="D12858">
        <v>3500</v>
      </c>
      <c r="E12858">
        <v>80504912</v>
      </c>
    </row>
    <row r="12859" spans="1:6" x14ac:dyDescent="0.25">
      <c r="A12859">
        <v>12858</v>
      </c>
      <c r="B12859">
        <v>10</v>
      </c>
      <c r="C12859">
        <v>1</v>
      </c>
      <c r="D12859">
        <v>0</v>
      </c>
      <c r="E12859">
        <v>0</v>
      </c>
      <c r="F12859">
        <v>5055</v>
      </c>
    </row>
    <row r="12860" spans="1:6" x14ac:dyDescent="0.25">
      <c r="A12860">
        <v>12859</v>
      </c>
      <c r="B12860">
        <v>13</v>
      </c>
      <c r="C12860">
        <v>0</v>
      </c>
      <c r="D12860">
        <v>0</v>
      </c>
      <c r="E12860">
        <v>0</v>
      </c>
      <c r="F12860">
        <v>1611</v>
      </c>
    </row>
    <row r="12861" spans="1:6" x14ac:dyDescent="0.25">
      <c r="A12861">
        <v>12860</v>
      </c>
      <c r="B12861" t="s">
        <v>0</v>
      </c>
      <c r="C12861">
        <v>159</v>
      </c>
      <c r="D12861">
        <v>3500</v>
      </c>
      <c r="E12861">
        <v>80505050</v>
      </c>
    </row>
    <row r="12862" spans="1:6" x14ac:dyDescent="0.25">
      <c r="A12862">
        <v>12861</v>
      </c>
      <c r="B12862">
        <v>41</v>
      </c>
      <c r="C12862">
        <v>0</v>
      </c>
      <c r="D12862">
        <v>0</v>
      </c>
      <c r="E12862">
        <v>0</v>
      </c>
      <c r="F12862">
        <v>1</v>
      </c>
    </row>
    <row r="12863" spans="1:6" x14ac:dyDescent="0.25">
      <c r="A12863">
        <v>12862</v>
      </c>
      <c r="B12863">
        <v>42</v>
      </c>
      <c r="C12863">
        <v>0</v>
      </c>
      <c r="D12863">
        <v>0</v>
      </c>
      <c r="E12863">
        <v>0</v>
      </c>
      <c r="F12863">
        <v>0.2</v>
      </c>
    </row>
    <row r="12864" spans="1:6" x14ac:dyDescent="0.25">
      <c r="A12864">
        <v>12863</v>
      </c>
      <c r="B12864" t="s">
        <v>0</v>
      </c>
      <c r="C12864">
        <v>160</v>
      </c>
      <c r="D12864">
        <v>3500</v>
      </c>
      <c r="E12864">
        <v>80505187</v>
      </c>
    </row>
    <row r="12865" spans="1:6" x14ac:dyDescent="0.25">
      <c r="A12865">
        <v>12864</v>
      </c>
      <c r="B12865">
        <v>44</v>
      </c>
      <c r="C12865">
        <v>0</v>
      </c>
      <c r="D12865">
        <v>0</v>
      </c>
      <c r="E12865">
        <v>0</v>
      </c>
      <c r="F12865">
        <v>1.2376400000000001</v>
      </c>
    </row>
    <row r="12866" spans="1:6" x14ac:dyDescent="0.25">
      <c r="A12866">
        <v>12865</v>
      </c>
      <c r="B12866" t="s">
        <v>0</v>
      </c>
      <c r="C12866">
        <v>161</v>
      </c>
      <c r="D12866">
        <v>3500</v>
      </c>
      <c r="E12866">
        <v>80505325</v>
      </c>
    </row>
    <row r="12867" spans="1:6" x14ac:dyDescent="0.25">
      <c r="A12867">
        <v>12866</v>
      </c>
      <c r="B12867">
        <v>46</v>
      </c>
      <c r="C12867">
        <v>0</v>
      </c>
      <c r="D12867">
        <v>0</v>
      </c>
      <c r="E12867">
        <v>0</v>
      </c>
      <c r="F12867">
        <v>0</v>
      </c>
    </row>
    <row r="12868" spans="1:6" x14ac:dyDescent="0.25">
      <c r="A12868">
        <v>12867</v>
      </c>
      <c r="B12868" t="s">
        <v>0</v>
      </c>
      <c r="C12868">
        <v>162</v>
      </c>
      <c r="D12868">
        <v>3500</v>
      </c>
      <c r="E12868">
        <v>80505463</v>
      </c>
    </row>
    <row r="12869" spans="1:6" x14ac:dyDescent="0.25">
      <c r="A12869">
        <v>12868</v>
      </c>
      <c r="B12869">
        <v>10</v>
      </c>
      <c r="C12869">
        <v>1</v>
      </c>
      <c r="D12869">
        <v>0</v>
      </c>
      <c r="E12869">
        <v>0</v>
      </c>
      <c r="F12869">
        <v>5056</v>
      </c>
    </row>
    <row r="12870" spans="1:6" x14ac:dyDescent="0.25">
      <c r="A12870">
        <v>12869</v>
      </c>
      <c r="B12870" t="s">
        <v>0</v>
      </c>
      <c r="C12870">
        <v>163</v>
      </c>
      <c r="D12870">
        <v>3500</v>
      </c>
      <c r="E12870">
        <v>80505601</v>
      </c>
    </row>
    <row r="12871" spans="1:6" x14ac:dyDescent="0.25">
      <c r="A12871">
        <v>12870</v>
      </c>
      <c r="B12871">
        <v>41</v>
      </c>
      <c r="C12871">
        <v>0</v>
      </c>
      <c r="D12871">
        <v>0</v>
      </c>
      <c r="E12871">
        <v>0</v>
      </c>
      <c r="F12871">
        <v>1</v>
      </c>
    </row>
    <row r="12872" spans="1:6" x14ac:dyDescent="0.25">
      <c r="A12872">
        <v>12871</v>
      </c>
      <c r="B12872" t="s">
        <v>0</v>
      </c>
      <c r="C12872">
        <v>164</v>
      </c>
      <c r="D12872">
        <v>3500</v>
      </c>
      <c r="E12872">
        <v>80505739</v>
      </c>
    </row>
    <row r="12873" spans="1:6" x14ac:dyDescent="0.25">
      <c r="A12873">
        <v>12872</v>
      </c>
      <c r="B12873">
        <v>42</v>
      </c>
      <c r="C12873">
        <v>0</v>
      </c>
      <c r="D12873">
        <v>0</v>
      </c>
      <c r="E12873">
        <v>0</v>
      </c>
      <c r="F12873">
        <v>0.2</v>
      </c>
    </row>
    <row r="12874" spans="1:6" x14ac:dyDescent="0.25">
      <c r="A12874">
        <v>12873</v>
      </c>
      <c r="B12874">
        <v>43</v>
      </c>
      <c r="C12874">
        <v>0</v>
      </c>
      <c r="D12874">
        <v>0</v>
      </c>
      <c r="E12874">
        <v>0</v>
      </c>
      <c r="F12874">
        <v>0</v>
      </c>
    </row>
    <row r="12875" spans="1:6" x14ac:dyDescent="0.25">
      <c r="A12875">
        <v>12874</v>
      </c>
      <c r="B12875">
        <v>44</v>
      </c>
      <c r="C12875">
        <v>0</v>
      </c>
      <c r="D12875">
        <v>0</v>
      </c>
      <c r="E12875">
        <v>0</v>
      </c>
      <c r="F12875">
        <v>1.41232</v>
      </c>
    </row>
    <row r="12876" spans="1:6" x14ac:dyDescent="0.25">
      <c r="A12876">
        <v>12875</v>
      </c>
      <c r="B12876">
        <v>45</v>
      </c>
      <c r="C12876">
        <v>0</v>
      </c>
      <c r="D12876">
        <v>0</v>
      </c>
      <c r="E12876">
        <v>0</v>
      </c>
      <c r="F12876">
        <v>515.51599999999996</v>
      </c>
    </row>
    <row r="12877" spans="1:6" x14ac:dyDescent="0.25">
      <c r="A12877">
        <v>12876</v>
      </c>
      <c r="B12877">
        <v>46</v>
      </c>
      <c r="C12877">
        <v>0</v>
      </c>
      <c r="D12877">
        <v>0</v>
      </c>
      <c r="E12877">
        <v>0</v>
      </c>
      <c r="F12877">
        <v>0</v>
      </c>
    </row>
    <row r="12878" spans="1:6" x14ac:dyDescent="0.25">
      <c r="A12878">
        <v>12877</v>
      </c>
      <c r="B12878">
        <v>2</v>
      </c>
      <c r="C12878">
        <v>0</v>
      </c>
      <c r="D12878">
        <v>0</v>
      </c>
      <c r="E12878">
        <v>0</v>
      </c>
      <c r="F12878">
        <v>240.715</v>
      </c>
    </row>
    <row r="12879" spans="1:6" x14ac:dyDescent="0.25">
      <c r="A12879">
        <v>12878</v>
      </c>
      <c r="B12879">
        <v>10</v>
      </c>
      <c r="C12879">
        <v>1</v>
      </c>
      <c r="D12879">
        <v>0</v>
      </c>
      <c r="E12879">
        <v>0</v>
      </c>
      <c r="F12879">
        <v>5056</v>
      </c>
    </row>
    <row r="12880" spans="1:6" x14ac:dyDescent="0.25">
      <c r="A12880">
        <v>12879</v>
      </c>
      <c r="B12880">
        <v>13</v>
      </c>
      <c r="C12880">
        <v>0</v>
      </c>
      <c r="D12880">
        <v>0</v>
      </c>
      <c r="E12880">
        <v>0</v>
      </c>
      <c r="F12880">
        <v>1611</v>
      </c>
    </row>
    <row r="12881" spans="1:6" x14ac:dyDescent="0.25">
      <c r="A12881">
        <v>12880</v>
      </c>
      <c r="B12881">
        <v>41</v>
      </c>
      <c r="C12881">
        <v>0</v>
      </c>
      <c r="D12881">
        <v>0</v>
      </c>
      <c r="E12881">
        <v>0</v>
      </c>
      <c r="F12881">
        <v>1</v>
      </c>
    </row>
    <row r="12882" spans="1:6" x14ac:dyDescent="0.25">
      <c r="A12882">
        <v>12881</v>
      </c>
      <c r="B12882">
        <v>42</v>
      </c>
      <c r="C12882">
        <v>0</v>
      </c>
      <c r="D12882">
        <v>0</v>
      </c>
      <c r="E12882">
        <v>0</v>
      </c>
      <c r="F12882">
        <v>0.2</v>
      </c>
    </row>
    <row r="12883" spans="1:6" x14ac:dyDescent="0.25">
      <c r="A12883">
        <v>12882</v>
      </c>
      <c r="B12883">
        <v>43</v>
      </c>
      <c r="C12883">
        <v>0</v>
      </c>
      <c r="D12883">
        <v>0</v>
      </c>
      <c r="E12883">
        <v>0</v>
      </c>
      <c r="F12883">
        <v>0</v>
      </c>
    </row>
    <row r="12884" spans="1:6" x14ac:dyDescent="0.25">
      <c r="A12884">
        <v>12883</v>
      </c>
      <c r="B12884">
        <v>44</v>
      </c>
      <c r="C12884">
        <v>0</v>
      </c>
      <c r="D12884">
        <v>0</v>
      </c>
      <c r="E12884">
        <v>0</v>
      </c>
      <c r="F12884">
        <v>1.5620700000000001</v>
      </c>
    </row>
    <row r="12885" spans="1:6" x14ac:dyDescent="0.25">
      <c r="A12885">
        <v>12884</v>
      </c>
      <c r="B12885" t="s">
        <v>0</v>
      </c>
      <c r="C12885">
        <v>170</v>
      </c>
      <c r="D12885">
        <v>3500</v>
      </c>
      <c r="E12885">
        <v>80506567</v>
      </c>
    </row>
    <row r="12886" spans="1:6" x14ac:dyDescent="0.25">
      <c r="A12886">
        <v>12885</v>
      </c>
      <c r="B12886">
        <v>45</v>
      </c>
      <c r="C12886">
        <v>0</v>
      </c>
      <c r="D12886">
        <v>0</v>
      </c>
      <c r="E12886">
        <v>0</v>
      </c>
      <c r="F12886">
        <v>515.51700000000005</v>
      </c>
    </row>
    <row r="12887" spans="1:6" x14ac:dyDescent="0.25">
      <c r="A12887">
        <v>12886</v>
      </c>
      <c r="B12887">
        <v>46</v>
      </c>
      <c r="C12887">
        <v>0</v>
      </c>
      <c r="D12887">
        <v>0</v>
      </c>
      <c r="E12887">
        <v>0</v>
      </c>
      <c r="F12887">
        <v>0</v>
      </c>
    </row>
    <row r="12888" spans="1:6" x14ac:dyDescent="0.25">
      <c r="A12888">
        <v>12887</v>
      </c>
      <c r="B12888" t="s">
        <v>0</v>
      </c>
      <c r="C12888">
        <v>171</v>
      </c>
      <c r="D12888">
        <v>3500</v>
      </c>
      <c r="E12888">
        <v>80506705</v>
      </c>
    </row>
    <row r="12889" spans="1:6" x14ac:dyDescent="0.25">
      <c r="A12889">
        <v>12888</v>
      </c>
      <c r="B12889">
        <v>2</v>
      </c>
      <c r="C12889">
        <v>0</v>
      </c>
      <c r="D12889">
        <v>0</v>
      </c>
      <c r="E12889">
        <v>0</v>
      </c>
      <c r="F12889">
        <v>240.71799999999999</v>
      </c>
    </row>
    <row r="12890" spans="1:6" x14ac:dyDescent="0.25">
      <c r="A12890">
        <v>12889</v>
      </c>
      <c r="B12890">
        <v>10</v>
      </c>
      <c r="C12890">
        <v>1</v>
      </c>
      <c r="D12890">
        <v>0</v>
      </c>
      <c r="E12890">
        <v>0</v>
      </c>
      <c r="F12890">
        <v>5057</v>
      </c>
    </row>
    <row r="12891" spans="1:6" x14ac:dyDescent="0.25">
      <c r="A12891">
        <v>12890</v>
      </c>
      <c r="B12891" t="s">
        <v>0</v>
      </c>
      <c r="C12891">
        <v>172</v>
      </c>
      <c r="D12891">
        <v>3500</v>
      </c>
      <c r="E12891">
        <v>80506843</v>
      </c>
    </row>
    <row r="12892" spans="1:6" x14ac:dyDescent="0.25">
      <c r="A12892">
        <v>12891</v>
      </c>
      <c r="B12892">
        <v>13</v>
      </c>
      <c r="C12892">
        <v>0</v>
      </c>
      <c r="D12892">
        <v>0</v>
      </c>
      <c r="E12892">
        <v>0</v>
      </c>
      <c r="F12892">
        <v>1611</v>
      </c>
    </row>
    <row r="12893" spans="1:6" x14ac:dyDescent="0.25">
      <c r="A12893">
        <v>12892</v>
      </c>
      <c r="B12893">
        <v>41</v>
      </c>
      <c r="C12893">
        <v>0</v>
      </c>
      <c r="D12893">
        <v>0</v>
      </c>
      <c r="E12893">
        <v>0</v>
      </c>
      <c r="F12893">
        <v>1</v>
      </c>
    </row>
    <row r="12894" spans="1:6" x14ac:dyDescent="0.25">
      <c r="A12894">
        <v>12893</v>
      </c>
      <c r="B12894" t="s">
        <v>0</v>
      </c>
      <c r="C12894">
        <v>173</v>
      </c>
      <c r="D12894">
        <v>3500</v>
      </c>
      <c r="E12894">
        <v>80506981</v>
      </c>
    </row>
    <row r="12895" spans="1:6" x14ac:dyDescent="0.25">
      <c r="A12895">
        <v>12894</v>
      </c>
      <c r="B12895">
        <v>42</v>
      </c>
      <c r="C12895">
        <v>0</v>
      </c>
      <c r="D12895">
        <v>0</v>
      </c>
      <c r="E12895">
        <v>0</v>
      </c>
      <c r="F12895">
        <v>0.2</v>
      </c>
    </row>
    <row r="12896" spans="1:6" x14ac:dyDescent="0.25">
      <c r="A12896">
        <v>12895</v>
      </c>
      <c r="B12896">
        <v>43</v>
      </c>
      <c r="C12896">
        <v>0</v>
      </c>
      <c r="D12896">
        <v>0</v>
      </c>
      <c r="E12896">
        <v>0</v>
      </c>
      <c r="F12896">
        <v>0</v>
      </c>
    </row>
    <row r="12897" spans="1:6" x14ac:dyDescent="0.25">
      <c r="A12897">
        <v>12896</v>
      </c>
      <c r="B12897" t="s">
        <v>0</v>
      </c>
      <c r="C12897">
        <v>174</v>
      </c>
      <c r="D12897">
        <v>3500</v>
      </c>
      <c r="E12897">
        <v>80507119</v>
      </c>
    </row>
    <row r="12898" spans="1:6" x14ac:dyDescent="0.25">
      <c r="A12898">
        <v>12897</v>
      </c>
      <c r="B12898">
        <v>45</v>
      </c>
      <c r="C12898">
        <v>0</v>
      </c>
      <c r="D12898">
        <v>0</v>
      </c>
      <c r="E12898">
        <v>0</v>
      </c>
      <c r="F12898">
        <v>515.51800000000003</v>
      </c>
    </row>
    <row r="12899" spans="1:6" x14ac:dyDescent="0.25">
      <c r="A12899">
        <v>12898</v>
      </c>
      <c r="B12899" t="s">
        <v>0</v>
      </c>
      <c r="C12899">
        <v>175</v>
      </c>
      <c r="D12899">
        <v>3500</v>
      </c>
      <c r="E12899">
        <v>80507257</v>
      </c>
    </row>
    <row r="12900" spans="1:6" x14ac:dyDescent="0.25">
      <c r="A12900">
        <v>12899</v>
      </c>
      <c r="B12900">
        <v>2</v>
      </c>
      <c r="C12900">
        <v>0</v>
      </c>
      <c r="D12900">
        <v>0</v>
      </c>
      <c r="E12900">
        <v>0</v>
      </c>
      <c r="F12900">
        <v>240.71899999999999</v>
      </c>
    </row>
    <row r="12901" spans="1:6" x14ac:dyDescent="0.25">
      <c r="A12901">
        <v>12900</v>
      </c>
      <c r="B12901" t="s">
        <v>0</v>
      </c>
      <c r="C12901">
        <v>176</v>
      </c>
      <c r="D12901">
        <v>3500</v>
      </c>
      <c r="E12901">
        <v>80507395</v>
      </c>
    </row>
    <row r="12902" spans="1:6" x14ac:dyDescent="0.25">
      <c r="A12902">
        <v>12901</v>
      </c>
      <c r="B12902">
        <v>13</v>
      </c>
      <c r="C12902">
        <v>0</v>
      </c>
      <c r="D12902">
        <v>0</v>
      </c>
      <c r="E12902">
        <v>0</v>
      </c>
      <c r="F12902">
        <v>1611</v>
      </c>
    </row>
    <row r="12903" spans="1:6" x14ac:dyDescent="0.25">
      <c r="A12903">
        <v>12902</v>
      </c>
      <c r="B12903" t="s">
        <v>0</v>
      </c>
      <c r="C12903">
        <v>177</v>
      </c>
      <c r="D12903">
        <v>3500</v>
      </c>
      <c r="E12903">
        <v>80507533</v>
      </c>
    </row>
    <row r="12904" spans="1:6" x14ac:dyDescent="0.25">
      <c r="A12904">
        <v>12903</v>
      </c>
      <c r="B12904">
        <v>42</v>
      </c>
      <c r="C12904">
        <v>0</v>
      </c>
      <c r="D12904">
        <v>0</v>
      </c>
      <c r="E12904">
        <v>0</v>
      </c>
      <c r="F12904">
        <v>0.2</v>
      </c>
    </row>
    <row r="12905" spans="1:6" x14ac:dyDescent="0.25">
      <c r="A12905">
        <v>12904</v>
      </c>
      <c r="B12905" t="s">
        <v>0</v>
      </c>
      <c r="C12905">
        <v>178</v>
      </c>
      <c r="D12905">
        <v>3500</v>
      </c>
      <c r="E12905">
        <v>80507671</v>
      </c>
    </row>
    <row r="12906" spans="1:6" x14ac:dyDescent="0.25">
      <c r="A12906">
        <v>12905</v>
      </c>
      <c r="B12906">
        <v>44</v>
      </c>
      <c r="C12906">
        <v>0</v>
      </c>
      <c r="D12906">
        <v>0</v>
      </c>
      <c r="E12906">
        <v>0</v>
      </c>
      <c r="F12906">
        <v>1.8614999999999999</v>
      </c>
    </row>
    <row r="12907" spans="1:6" x14ac:dyDescent="0.25">
      <c r="A12907">
        <v>12906</v>
      </c>
      <c r="B12907">
        <v>45</v>
      </c>
      <c r="C12907">
        <v>0</v>
      </c>
      <c r="D12907">
        <v>0</v>
      </c>
      <c r="E12907">
        <v>0</v>
      </c>
      <c r="F12907">
        <v>515.52</v>
      </c>
    </row>
    <row r="12908" spans="1:6" x14ac:dyDescent="0.25">
      <c r="A12908">
        <v>12907</v>
      </c>
      <c r="B12908">
        <v>46</v>
      </c>
      <c r="C12908">
        <v>0</v>
      </c>
      <c r="D12908">
        <v>0</v>
      </c>
      <c r="E12908">
        <v>0</v>
      </c>
      <c r="F12908">
        <v>0</v>
      </c>
    </row>
    <row r="12909" spans="1:6" x14ac:dyDescent="0.25">
      <c r="A12909">
        <v>12908</v>
      </c>
      <c r="B12909">
        <v>2</v>
      </c>
      <c r="C12909">
        <v>0</v>
      </c>
      <c r="D12909">
        <v>0</v>
      </c>
      <c r="E12909">
        <v>0</v>
      </c>
      <c r="F12909">
        <v>240.71899999999999</v>
      </c>
    </row>
    <row r="12910" spans="1:6" x14ac:dyDescent="0.25">
      <c r="A12910">
        <v>12909</v>
      </c>
      <c r="B12910">
        <v>10</v>
      </c>
      <c r="C12910">
        <v>1</v>
      </c>
      <c r="D12910">
        <v>0</v>
      </c>
      <c r="E12910">
        <v>0</v>
      </c>
      <c r="F12910">
        <v>5057</v>
      </c>
    </row>
    <row r="12911" spans="1:6" x14ac:dyDescent="0.25">
      <c r="A12911">
        <v>12910</v>
      </c>
      <c r="B12911">
        <v>13</v>
      </c>
      <c r="C12911">
        <v>0</v>
      </c>
      <c r="D12911">
        <v>0</v>
      </c>
      <c r="E12911">
        <v>0</v>
      </c>
      <c r="F12911">
        <v>1611</v>
      </c>
    </row>
    <row r="12912" spans="1:6" x14ac:dyDescent="0.25">
      <c r="A12912">
        <v>12911</v>
      </c>
      <c r="B12912">
        <v>41</v>
      </c>
      <c r="C12912">
        <v>0</v>
      </c>
      <c r="D12912">
        <v>0</v>
      </c>
      <c r="E12912">
        <v>0</v>
      </c>
      <c r="F12912">
        <v>1</v>
      </c>
    </row>
    <row r="12913" spans="1:6" x14ac:dyDescent="0.25">
      <c r="A12913">
        <v>12912</v>
      </c>
      <c r="B12913">
        <v>42</v>
      </c>
      <c r="C12913">
        <v>0</v>
      </c>
      <c r="D12913">
        <v>0</v>
      </c>
      <c r="E12913">
        <v>0</v>
      </c>
      <c r="F12913">
        <v>0.2</v>
      </c>
    </row>
    <row r="12914" spans="1:6" x14ac:dyDescent="0.25">
      <c r="A12914">
        <v>12913</v>
      </c>
      <c r="B12914">
        <v>43</v>
      </c>
      <c r="C12914">
        <v>0</v>
      </c>
      <c r="D12914">
        <v>0</v>
      </c>
      <c r="E12914">
        <v>0</v>
      </c>
      <c r="F12914">
        <v>0</v>
      </c>
    </row>
    <row r="12915" spans="1:6" x14ac:dyDescent="0.25">
      <c r="A12915">
        <v>12914</v>
      </c>
      <c r="B12915">
        <v>44</v>
      </c>
      <c r="C12915">
        <v>0</v>
      </c>
      <c r="D12915">
        <v>0</v>
      </c>
      <c r="E12915">
        <v>0</v>
      </c>
      <c r="F12915">
        <v>2.0113799999999999</v>
      </c>
    </row>
    <row r="12916" spans="1:6" x14ac:dyDescent="0.25">
      <c r="A12916">
        <v>12915</v>
      </c>
      <c r="B12916" t="s">
        <v>0</v>
      </c>
      <c r="C12916">
        <v>3</v>
      </c>
      <c r="D12916">
        <v>3501</v>
      </c>
      <c r="E12916">
        <v>80508362</v>
      </c>
    </row>
    <row r="12917" spans="1:6" x14ac:dyDescent="0.25">
      <c r="A12917">
        <v>12916</v>
      </c>
      <c r="B12917">
        <v>45</v>
      </c>
      <c r="C12917">
        <v>0</v>
      </c>
      <c r="D12917">
        <v>0</v>
      </c>
      <c r="E12917">
        <v>0</v>
      </c>
      <c r="F12917">
        <v>515.52099999999996</v>
      </c>
    </row>
    <row r="12918" spans="1:6" x14ac:dyDescent="0.25">
      <c r="A12918">
        <v>12917</v>
      </c>
      <c r="B12918">
        <v>46</v>
      </c>
      <c r="C12918">
        <v>0</v>
      </c>
      <c r="D12918">
        <v>0</v>
      </c>
      <c r="E12918">
        <v>0</v>
      </c>
      <c r="F12918">
        <v>0</v>
      </c>
    </row>
    <row r="12919" spans="1:6" x14ac:dyDescent="0.25">
      <c r="A12919">
        <v>12918</v>
      </c>
      <c r="B12919" t="s">
        <v>0</v>
      </c>
      <c r="C12919">
        <v>4</v>
      </c>
      <c r="D12919">
        <v>3501</v>
      </c>
      <c r="E12919">
        <v>80508500</v>
      </c>
    </row>
    <row r="12920" spans="1:6" x14ac:dyDescent="0.25">
      <c r="A12920">
        <v>12919</v>
      </c>
      <c r="B12920">
        <v>2</v>
      </c>
      <c r="C12920">
        <v>0</v>
      </c>
      <c r="D12920">
        <v>0</v>
      </c>
      <c r="E12920">
        <v>0</v>
      </c>
      <c r="F12920">
        <v>240.71899999999999</v>
      </c>
    </row>
    <row r="12921" spans="1:6" x14ac:dyDescent="0.25">
      <c r="A12921">
        <v>12920</v>
      </c>
      <c r="B12921">
        <v>10</v>
      </c>
      <c r="C12921">
        <v>1</v>
      </c>
      <c r="D12921">
        <v>0</v>
      </c>
      <c r="E12921">
        <v>0</v>
      </c>
      <c r="F12921">
        <v>5058</v>
      </c>
    </row>
    <row r="12922" spans="1:6" x14ac:dyDescent="0.25">
      <c r="A12922">
        <v>12921</v>
      </c>
      <c r="B12922" t="s">
        <v>0</v>
      </c>
      <c r="C12922">
        <v>5</v>
      </c>
      <c r="D12922">
        <v>3501</v>
      </c>
      <c r="E12922">
        <v>80508638</v>
      </c>
    </row>
    <row r="12923" spans="1:6" x14ac:dyDescent="0.25">
      <c r="A12923">
        <v>12922</v>
      </c>
      <c r="B12923">
        <v>13</v>
      </c>
      <c r="C12923">
        <v>0</v>
      </c>
      <c r="D12923">
        <v>0</v>
      </c>
      <c r="E12923">
        <v>0</v>
      </c>
      <c r="F12923">
        <v>1611</v>
      </c>
    </row>
    <row r="12924" spans="1:6" x14ac:dyDescent="0.25">
      <c r="A12924">
        <v>12923</v>
      </c>
      <c r="B12924">
        <v>41</v>
      </c>
      <c r="C12924">
        <v>0</v>
      </c>
      <c r="D12924">
        <v>0</v>
      </c>
      <c r="E12924">
        <v>0</v>
      </c>
      <c r="F12924">
        <v>1</v>
      </c>
    </row>
    <row r="12925" spans="1:6" x14ac:dyDescent="0.25">
      <c r="A12925">
        <v>12924</v>
      </c>
      <c r="B12925" t="s">
        <v>0</v>
      </c>
      <c r="C12925">
        <v>6</v>
      </c>
      <c r="D12925">
        <v>3501</v>
      </c>
      <c r="E12925">
        <v>80508776</v>
      </c>
    </row>
    <row r="12926" spans="1:6" x14ac:dyDescent="0.25">
      <c r="A12926">
        <v>12925</v>
      </c>
      <c r="B12926">
        <v>42</v>
      </c>
      <c r="C12926">
        <v>0</v>
      </c>
      <c r="D12926">
        <v>0</v>
      </c>
      <c r="E12926">
        <v>0</v>
      </c>
      <c r="F12926">
        <v>0.2</v>
      </c>
    </row>
    <row r="12927" spans="1:6" x14ac:dyDescent="0.25">
      <c r="A12927">
        <v>12926</v>
      </c>
      <c r="B12927">
        <v>43</v>
      </c>
      <c r="C12927">
        <v>0</v>
      </c>
      <c r="D12927">
        <v>0</v>
      </c>
      <c r="E12927">
        <v>0</v>
      </c>
      <c r="F12927">
        <v>0</v>
      </c>
    </row>
    <row r="12928" spans="1:6" x14ac:dyDescent="0.25">
      <c r="A12928">
        <v>12927</v>
      </c>
      <c r="B12928" t="s">
        <v>0</v>
      </c>
      <c r="C12928">
        <v>7</v>
      </c>
      <c r="D12928">
        <v>3501</v>
      </c>
      <c r="E12928">
        <v>80508914</v>
      </c>
    </row>
    <row r="12929" spans="1:6" x14ac:dyDescent="0.25">
      <c r="A12929">
        <v>12928</v>
      </c>
      <c r="B12929">
        <v>44</v>
      </c>
      <c r="C12929">
        <v>0</v>
      </c>
      <c r="D12929">
        <v>0</v>
      </c>
      <c r="E12929">
        <v>0</v>
      </c>
      <c r="F12929">
        <v>2.1938800000000001</v>
      </c>
    </row>
    <row r="12930" spans="1:6" x14ac:dyDescent="0.25">
      <c r="A12930">
        <v>12929</v>
      </c>
      <c r="B12930">
        <v>45</v>
      </c>
      <c r="C12930">
        <v>0</v>
      </c>
      <c r="D12930">
        <v>0</v>
      </c>
      <c r="E12930">
        <v>0</v>
      </c>
      <c r="F12930">
        <v>515.52200000000005</v>
      </c>
    </row>
    <row r="12931" spans="1:6" x14ac:dyDescent="0.25">
      <c r="A12931">
        <v>12930</v>
      </c>
      <c r="B12931" t="s">
        <v>0</v>
      </c>
      <c r="C12931">
        <v>8</v>
      </c>
      <c r="D12931">
        <v>3501</v>
      </c>
      <c r="E12931">
        <v>80509052</v>
      </c>
    </row>
    <row r="12932" spans="1:6" x14ac:dyDescent="0.25">
      <c r="A12932">
        <v>12931</v>
      </c>
      <c r="B12932">
        <v>2</v>
      </c>
      <c r="C12932">
        <v>0</v>
      </c>
      <c r="D12932">
        <v>0</v>
      </c>
      <c r="E12932">
        <v>0</v>
      </c>
      <c r="F12932">
        <v>240.71899999999999</v>
      </c>
    </row>
    <row r="12933" spans="1:6" x14ac:dyDescent="0.25">
      <c r="A12933">
        <v>12932</v>
      </c>
      <c r="B12933" t="s">
        <v>0</v>
      </c>
      <c r="C12933">
        <v>9</v>
      </c>
      <c r="D12933">
        <v>3501</v>
      </c>
      <c r="E12933">
        <v>80509190</v>
      </c>
    </row>
    <row r="12934" spans="1:6" x14ac:dyDescent="0.25">
      <c r="A12934">
        <v>12933</v>
      </c>
      <c r="B12934">
        <v>13</v>
      </c>
      <c r="C12934">
        <v>0</v>
      </c>
      <c r="D12934">
        <v>0</v>
      </c>
      <c r="E12934">
        <v>0</v>
      </c>
      <c r="F12934">
        <v>1611</v>
      </c>
    </row>
    <row r="12935" spans="1:6" x14ac:dyDescent="0.25">
      <c r="A12935">
        <v>12934</v>
      </c>
      <c r="B12935" t="s">
        <v>0</v>
      </c>
      <c r="C12935">
        <v>10</v>
      </c>
      <c r="D12935">
        <v>3501</v>
      </c>
      <c r="E12935">
        <v>80509328</v>
      </c>
    </row>
    <row r="12936" spans="1:6" x14ac:dyDescent="0.25">
      <c r="A12936">
        <v>12935</v>
      </c>
      <c r="B12936">
        <v>42</v>
      </c>
      <c r="C12936">
        <v>0</v>
      </c>
      <c r="D12936">
        <v>0</v>
      </c>
      <c r="E12936">
        <v>0</v>
      </c>
      <c r="F12936">
        <v>0.2</v>
      </c>
    </row>
    <row r="12937" spans="1:6" x14ac:dyDescent="0.25">
      <c r="A12937">
        <v>12936</v>
      </c>
      <c r="B12937" t="s">
        <v>0</v>
      </c>
      <c r="C12937">
        <v>11</v>
      </c>
      <c r="D12937">
        <v>3501</v>
      </c>
      <c r="E12937">
        <v>80509466</v>
      </c>
    </row>
    <row r="12938" spans="1:6" x14ac:dyDescent="0.25">
      <c r="A12938">
        <v>12937</v>
      </c>
      <c r="B12938">
        <v>44</v>
      </c>
      <c r="C12938">
        <v>0</v>
      </c>
      <c r="D12938">
        <v>0</v>
      </c>
      <c r="E12938">
        <v>0</v>
      </c>
      <c r="F12938">
        <v>2.31081</v>
      </c>
    </row>
    <row r="12939" spans="1:6" x14ac:dyDescent="0.25">
      <c r="A12939">
        <v>12938</v>
      </c>
      <c r="B12939" t="s">
        <v>0</v>
      </c>
      <c r="C12939">
        <v>12</v>
      </c>
      <c r="D12939">
        <v>3501</v>
      </c>
      <c r="E12939">
        <v>80509604</v>
      </c>
    </row>
    <row r="12940" spans="1:6" x14ac:dyDescent="0.25">
      <c r="A12940">
        <v>12939</v>
      </c>
      <c r="B12940">
        <v>46</v>
      </c>
      <c r="C12940">
        <v>0</v>
      </c>
      <c r="D12940">
        <v>0</v>
      </c>
      <c r="E12940">
        <v>0</v>
      </c>
      <c r="F12940">
        <v>0</v>
      </c>
    </row>
    <row r="12941" spans="1:6" x14ac:dyDescent="0.25">
      <c r="A12941">
        <v>12940</v>
      </c>
      <c r="B12941">
        <v>2</v>
      </c>
      <c r="C12941">
        <v>0</v>
      </c>
      <c r="D12941">
        <v>0</v>
      </c>
      <c r="E12941">
        <v>0</v>
      </c>
      <c r="F12941">
        <v>240.71899999999999</v>
      </c>
    </row>
    <row r="12942" spans="1:6" x14ac:dyDescent="0.25">
      <c r="A12942">
        <v>12941</v>
      </c>
      <c r="B12942">
        <v>10</v>
      </c>
      <c r="C12942">
        <v>1</v>
      </c>
      <c r="D12942">
        <v>0</v>
      </c>
      <c r="E12942">
        <v>0</v>
      </c>
      <c r="F12942">
        <v>5059</v>
      </c>
    </row>
    <row r="12943" spans="1:6" x14ac:dyDescent="0.25">
      <c r="A12943">
        <v>12942</v>
      </c>
      <c r="B12943">
        <v>13</v>
      </c>
      <c r="C12943">
        <v>0</v>
      </c>
      <c r="D12943">
        <v>0</v>
      </c>
      <c r="E12943">
        <v>0</v>
      </c>
      <c r="F12943">
        <v>1611</v>
      </c>
    </row>
    <row r="12944" spans="1:6" x14ac:dyDescent="0.25">
      <c r="A12944">
        <v>12943</v>
      </c>
      <c r="B12944">
        <v>41</v>
      </c>
      <c r="C12944">
        <v>0</v>
      </c>
      <c r="D12944">
        <v>0</v>
      </c>
      <c r="E12944">
        <v>0</v>
      </c>
      <c r="F12944">
        <v>1</v>
      </c>
    </row>
    <row r="12945" spans="1:6" x14ac:dyDescent="0.25">
      <c r="A12945">
        <v>12944</v>
      </c>
      <c r="B12945">
        <v>42</v>
      </c>
      <c r="C12945">
        <v>0</v>
      </c>
      <c r="D12945">
        <v>0</v>
      </c>
      <c r="E12945">
        <v>0</v>
      </c>
      <c r="F12945">
        <v>0.2</v>
      </c>
    </row>
    <row r="12946" spans="1:6" x14ac:dyDescent="0.25">
      <c r="A12946">
        <v>12945</v>
      </c>
      <c r="B12946">
        <v>43</v>
      </c>
      <c r="C12946">
        <v>0</v>
      </c>
      <c r="D12946">
        <v>0</v>
      </c>
      <c r="E12946">
        <v>0</v>
      </c>
      <c r="F12946">
        <v>0</v>
      </c>
    </row>
    <row r="12947" spans="1:6" x14ac:dyDescent="0.25">
      <c r="A12947">
        <v>12946</v>
      </c>
      <c r="B12947">
        <v>44</v>
      </c>
      <c r="C12947">
        <v>0</v>
      </c>
      <c r="D12947">
        <v>0</v>
      </c>
      <c r="E12947">
        <v>0</v>
      </c>
      <c r="F12947">
        <v>2.4609100000000002</v>
      </c>
    </row>
    <row r="12948" spans="1:6" x14ac:dyDescent="0.25">
      <c r="A12948">
        <v>12947</v>
      </c>
      <c r="B12948">
        <v>45</v>
      </c>
      <c r="C12948">
        <v>0</v>
      </c>
      <c r="D12948">
        <v>0</v>
      </c>
      <c r="E12948">
        <v>0</v>
      </c>
      <c r="F12948">
        <v>515.52499999999998</v>
      </c>
    </row>
    <row r="12949" spans="1:6" x14ac:dyDescent="0.25">
      <c r="A12949">
        <v>12948</v>
      </c>
      <c r="B12949">
        <v>46</v>
      </c>
      <c r="C12949">
        <v>0</v>
      </c>
      <c r="D12949">
        <v>0</v>
      </c>
      <c r="E12949">
        <v>0</v>
      </c>
      <c r="F12949">
        <v>0</v>
      </c>
    </row>
    <row r="12950" spans="1:6" x14ac:dyDescent="0.25">
      <c r="A12950">
        <v>12949</v>
      </c>
      <c r="B12950">
        <v>2</v>
      </c>
      <c r="C12950">
        <v>0</v>
      </c>
      <c r="D12950">
        <v>0</v>
      </c>
      <c r="E12950">
        <v>0</v>
      </c>
      <c r="F12950">
        <v>240.71899999999999</v>
      </c>
    </row>
    <row r="12951" spans="1:6" x14ac:dyDescent="0.25">
      <c r="A12951">
        <v>12950</v>
      </c>
      <c r="B12951">
        <v>10</v>
      </c>
      <c r="C12951">
        <v>1</v>
      </c>
      <c r="D12951">
        <v>0</v>
      </c>
      <c r="E12951">
        <v>0</v>
      </c>
      <c r="F12951">
        <v>5060</v>
      </c>
    </row>
    <row r="12952" spans="1:6" x14ac:dyDescent="0.25">
      <c r="A12952">
        <v>12951</v>
      </c>
      <c r="B12952" t="s">
        <v>0</v>
      </c>
      <c r="C12952">
        <v>18</v>
      </c>
      <c r="D12952">
        <v>3501</v>
      </c>
      <c r="E12952">
        <v>80510431</v>
      </c>
    </row>
    <row r="12953" spans="1:6" x14ac:dyDescent="0.25">
      <c r="A12953">
        <v>12952</v>
      </c>
      <c r="B12953">
        <v>13</v>
      </c>
      <c r="C12953">
        <v>0</v>
      </c>
      <c r="D12953">
        <v>0</v>
      </c>
      <c r="E12953">
        <v>0</v>
      </c>
      <c r="F12953">
        <v>1611</v>
      </c>
    </row>
    <row r="12954" spans="1:6" x14ac:dyDescent="0.25">
      <c r="A12954">
        <v>12953</v>
      </c>
      <c r="B12954">
        <v>41</v>
      </c>
      <c r="C12954">
        <v>0</v>
      </c>
      <c r="D12954">
        <v>0</v>
      </c>
      <c r="E12954">
        <v>0</v>
      </c>
      <c r="F12954">
        <v>1</v>
      </c>
    </row>
    <row r="12955" spans="1:6" x14ac:dyDescent="0.25">
      <c r="A12955">
        <v>12954</v>
      </c>
      <c r="B12955" t="s">
        <v>0</v>
      </c>
      <c r="C12955">
        <v>19</v>
      </c>
      <c r="D12955">
        <v>3501</v>
      </c>
      <c r="E12955">
        <v>80510569</v>
      </c>
    </row>
    <row r="12956" spans="1:6" x14ac:dyDescent="0.25">
      <c r="A12956">
        <v>12955</v>
      </c>
      <c r="B12956">
        <v>42</v>
      </c>
      <c r="C12956">
        <v>0</v>
      </c>
      <c r="D12956">
        <v>0</v>
      </c>
      <c r="E12956">
        <v>0</v>
      </c>
      <c r="F12956">
        <v>0.2</v>
      </c>
    </row>
    <row r="12957" spans="1:6" x14ac:dyDescent="0.25">
      <c r="A12957">
        <v>12956</v>
      </c>
      <c r="B12957">
        <v>43</v>
      </c>
      <c r="C12957">
        <v>0</v>
      </c>
      <c r="D12957">
        <v>0</v>
      </c>
      <c r="E12957">
        <v>0</v>
      </c>
      <c r="F12957">
        <v>0</v>
      </c>
    </row>
    <row r="12958" spans="1:6" x14ac:dyDescent="0.25">
      <c r="A12958">
        <v>12957</v>
      </c>
      <c r="B12958" t="s">
        <v>0</v>
      </c>
      <c r="C12958">
        <v>20</v>
      </c>
      <c r="D12958">
        <v>3501</v>
      </c>
      <c r="E12958">
        <v>80510707</v>
      </c>
    </row>
    <row r="12959" spans="1:6" x14ac:dyDescent="0.25">
      <c r="A12959">
        <v>12958</v>
      </c>
      <c r="B12959">
        <v>44</v>
      </c>
      <c r="C12959">
        <v>0</v>
      </c>
      <c r="D12959">
        <v>0</v>
      </c>
      <c r="E12959">
        <v>0</v>
      </c>
      <c r="F12959">
        <v>2.6376499999999998</v>
      </c>
    </row>
    <row r="12960" spans="1:6" x14ac:dyDescent="0.25">
      <c r="A12960">
        <v>12959</v>
      </c>
      <c r="B12960">
        <v>45</v>
      </c>
      <c r="C12960">
        <v>0</v>
      </c>
      <c r="D12960">
        <v>0</v>
      </c>
      <c r="E12960">
        <v>0</v>
      </c>
      <c r="F12960">
        <v>515.52700000000004</v>
      </c>
    </row>
    <row r="12961" spans="1:6" x14ac:dyDescent="0.25">
      <c r="A12961">
        <v>12960</v>
      </c>
      <c r="B12961" t="s">
        <v>0</v>
      </c>
      <c r="C12961">
        <v>21</v>
      </c>
      <c r="D12961">
        <v>3501</v>
      </c>
      <c r="E12961">
        <v>80510845</v>
      </c>
    </row>
    <row r="12962" spans="1:6" x14ac:dyDescent="0.25">
      <c r="A12962">
        <v>12961</v>
      </c>
      <c r="B12962">
        <v>46</v>
      </c>
      <c r="C12962">
        <v>0</v>
      </c>
      <c r="D12962">
        <v>0</v>
      </c>
      <c r="E12962">
        <v>0</v>
      </c>
      <c r="F12962">
        <v>0</v>
      </c>
    </row>
    <row r="12963" spans="1:6" x14ac:dyDescent="0.25">
      <c r="A12963">
        <v>12962</v>
      </c>
      <c r="B12963">
        <v>2</v>
      </c>
      <c r="C12963">
        <v>0</v>
      </c>
      <c r="D12963">
        <v>0</v>
      </c>
      <c r="E12963">
        <v>0</v>
      </c>
      <c r="F12963">
        <v>240.715</v>
      </c>
    </row>
    <row r="12964" spans="1:6" x14ac:dyDescent="0.25">
      <c r="A12964">
        <v>12963</v>
      </c>
      <c r="B12964" t="s">
        <v>0</v>
      </c>
      <c r="C12964">
        <v>22</v>
      </c>
      <c r="D12964">
        <v>3501</v>
      </c>
      <c r="E12964">
        <v>80510983</v>
      </c>
    </row>
    <row r="12965" spans="1:6" x14ac:dyDescent="0.25">
      <c r="A12965">
        <v>12964</v>
      </c>
      <c r="B12965">
        <v>10</v>
      </c>
      <c r="C12965">
        <v>1</v>
      </c>
      <c r="D12965">
        <v>0</v>
      </c>
      <c r="E12965">
        <v>0</v>
      </c>
      <c r="F12965">
        <v>5060</v>
      </c>
    </row>
    <row r="12966" spans="1:6" x14ac:dyDescent="0.25">
      <c r="A12966">
        <v>12965</v>
      </c>
      <c r="B12966">
        <v>13</v>
      </c>
      <c r="C12966">
        <v>0</v>
      </c>
      <c r="D12966">
        <v>0</v>
      </c>
      <c r="E12966">
        <v>0</v>
      </c>
      <c r="F12966">
        <v>1611</v>
      </c>
    </row>
    <row r="12967" spans="1:6" x14ac:dyDescent="0.25">
      <c r="A12967">
        <v>12966</v>
      </c>
      <c r="B12967" t="s">
        <v>0</v>
      </c>
      <c r="C12967">
        <v>23</v>
      </c>
      <c r="D12967">
        <v>3501</v>
      </c>
      <c r="E12967">
        <v>80511121</v>
      </c>
    </row>
    <row r="12968" spans="1:6" x14ac:dyDescent="0.25">
      <c r="A12968">
        <v>12967</v>
      </c>
      <c r="B12968">
        <v>42</v>
      </c>
      <c r="C12968">
        <v>0</v>
      </c>
      <c r="D12968">
        <v>0</v>
      </c>
      <c r="E12968">
        <v>0</v>
      </c>
      <c r="F12968">
        <v>0.2</v>
      </c>
    </row>
    <row r="12969" spans="1:6" x14ac:dyDescent="0.25">
      <c r="A12969">
        <v>12968</v>
      </c>
      <c r="B12969" t="s">
        <v>0</v>
      </c>
      <c r="C12969">
        <v>24</v>
      </c>
      <c r="D12969">
        <v>3501</v>
      </c>
      <c r="E12969">
        <v>80511259</v>
      </c>
    </row>
    <row r="12970" spans="1:6" x14ac:dyDescent="0.25">
      <c r="A12970">
        <v>12969</v>
      </c>
      <c r="B12970">
        <v>44</v>
      </c>
      <c r="C12970">
        <v>0</v>
      </c>
      <c r="D12970">
        <v>0</v>
      </c>
      <c r="E12970">
        <v>0</v>
      </c>
      <c r="F12970">
        <v>2.7606199999999999</v>
      </c>
    </row>
    <row r="12971" spans="1:6" x14ac:dyDescent="0.25">
      <c r="A12971">
        <v>12970</v>
      </c>
      <c r="B12971" t="s">
        <v>0</v>
      </c>
      <c r="C12971">
        <v>25</v>
      </c>
      <c r="D12971">
        <v>3501</v>
      </c>
      <c r="E12971">
        <v>80511397</v>
      </c>
    </row>
    <row r="12972" spans="1:6" x14ac:dyDescent="0.25">
      <c r="A12972">
        <v>12971</v>
      </c>
      <c r="B12972">
        <v>46</v>
      </c>
      <c r="C12972">
        <v>0</v>
      </c>
      <c r="D12972">
        <v>0</v>
      </c>
      <c r="E12972">
        <v>0</v>
      </c>
      <c r="F12972">
        <v>0</v>
      </c>
    </row>
    <row r="12973" spans="1:6" x14ac:dyDescent="0.25">
      <c r="A12973">
        <v>12972</v>
      </c>
      <c r="B12973" t="s">
        <v>0</v>
      </c>
      <c r="C12973">
        <v>26</v>
      </c>
      <c r="D12973">
        <v>3501</v>
      </c>
      <c r="E12973">
        <v>80511535</v>
      </c>
    </row>
    <row r="12974" spans="1:6" x14ac:dyDescent="0.25">
      <c r="A12974">
        <v>12973</v>
      </c>
      <c r="B12974">
        <v>10</v>
      </c>
      <c r="C12974">
        <v>1</v>
      </c>
      <c r="D12974">
        <v>0</v>
      </c>
      <c r="E12974">
        <v>0</v>
      </c>
      <c r="F12974">
        <v>5061</v>
      </c>
    </row>
    <row r="12975" spans="1:6" x14ac:dyDescent="0.25">
      <c r="A12975">
        <v>12974</v>
      </c>
      <c r="B12975" t="s">
        <v>0</v>
      </c>
      <c r="C12975">
        <v>27</v>
      </c>
      <c r="D12975">
        <v>3501</v>
      </c>
      <c r="E12975">
        <v>80511673</v>
      </c>
    </row>
    <row r="12976" spans="1:6" x14ac:dyDescent="0.25">
      <c r="A12976">
        <v>12975</v>
      </c>
      <c r="B12976">
        <v>41</v>
      </c>
      <c r="C12976">
        <v>0</v>
      </c>
      <c r="D12976">
        <v>0</v>
      </c>
      <c r="E12976">
        <v>0</v>
      </c>
      <c r="F12976">
        <v>1</v>
      </c>
    </row>
    <row r="12977" spans="1:6" x14ac:dyDescent="0.25">
      <c r="A12977">
        <v>12976</v>
      </c>
      <c r="B12977">
        <v>42</v>
      </c>
      <c r="C12977">
        <v>0</v>
      </c>
      <c r="D12977">
        <v>0</v>
      </c>
      <c r="E12977">
        <v>0</v>
      </c>
      <c r="F12977">
        <v>0.2</v>
      </c>
    </row>
    <row r="12978" spans="1:6" x14ac:dyDescent="0.25">
      <c r="A12978">
        <v>12977</v>
      </c>
      <c r="B12978">
        <v>43</v>
      </c>
      <c r="C12978">
        <v>0</v>
      </c>
      <c r="D12978">
        <v>0</v>
      </c>
      <c r="E12978">
        <v>0</v>
      </c>
      <c r="F12978">
        <v>0</v>
      </c>
    </row>
    <row r="12979" spans="1:6" x14ac:dyDescent="0.25">
      <c r="A12979">
        <v>12978</v>
      </c>
      <c r="B12979">
        <v>44</v>
      </c>
      <c r="C12979">
        <v>0</v>
      </c>
      <c r="D12979">
        <v>0</v>
      </c>
      <c r="E12979">
        <v>0</v>
      </c>
      <c r="F12979">
        <v>2.91072</v>
      </c>
    </row>
    <row r="12980" spans="1:6" x14ac:dyDescent="0.25">
      <c r="A12980">
        <v>12979</v>
      </c>
      <c r="B12980">
        <v>45</v>
      </c>
      <c r="C12980">
        <v>0</v>
      </c>
      <c r="D12980">
        <v>0</v>
      </c>
      <c r="E12980">
        <v>0</v>
      </c>
      <c r="F12980">
        <v>515.53099999999995</v>
      </c>
    </row>
    <row r="12981" spans="1:6" x14ac:dyDescent="0.25">
      <c r="A12981">
        <v>12980</v>
      </c>
      <c r="B12981">
        <v>46</v>
      </c>
      <c r="C12981">
        <v>0</v>
      </c>
      <c r="D12981">
        <v>0</v>
      </c>
      <c r="E12981">
        <v>0</v>
      </c>
      <c r="F12981">
        <v>0</v>
      </c>
    </row>
    <row r="12982" spans="1:6" x14ac:dyDescent="0.25">
      <c r="A12982">
        <v>12981</v>
      </c>
      <c r="B12982">
        <v>2</v>
      </c>
      <c r="C12982">
        <v>0</v>
      </c>
      <c r="D12982">
        <v>0</v>
      </c>
      <c r="E12982">
        <v>0</v>
      </c>
      <c r="F12982">
        <v>240.71899999999999</v>
      </c>
    </row>
    <row r="12983" spans="1:6" x14ac:dyDescent="0.25">
      <c r="A12983">
        <v>12982</v>
      </c>
      <c r="B12983">
        <v>10</v>
      </c>
      <c r="C12983">
        <v>1</v>
      </c>
      <c r="D12983">
        <v>0</v>
      </c>
      <c r="E12983">
        <v>0</v>
      </c>
      <c r="F12983">
        <v>5061</v>
      </c>
    </row>
    <row r="12984" spans="1:6" x14ac:dyDescent="0.25">
      <c r="A12984">
        <v>12983</v>
      </c>
      <c r="B12984">
        <v>13</v>
      </c>
      <c r="C12984">
        <v>0</v>
      </c>
      <c r="D12984">
        <v>0</v>
      </c>
      <c r="E12984">
        <v>0</v>
      </c>
      <c r="F12984">
        <v>1611</v>
      </c>
    </row>
    <row r="12985" spans="1:6" x14ac:dyDescent="0.25">
      <c r="A12985">
        <v>12984</v>
      </c>
      <c r="B12985">
        <v>41</v>
      </c>
      <c r="C12985">
        <v>0</v>
      </c>
      <c r="D12985">
        <v>0</v>
      </c>
      <c r="E12985">
        <v>0</v>
      </c>
      <c r="F12985">
        <v>1</v>
      </c>
    </row>
    <row r="12986" spans="1:6" x14ac:dyDescent="0.25">
      <c r="A12986">
        <v>12985</v>
      </c>
      <c r="B12986">
        <v>42</v>
      </c>
      <c r="C12986">
        <v>0</v>
      </c>
      <c r="D12986">
        <v>0</v>
      </c>
      <c r="E12986">
        <v>0</v>
      </c>
      <c r="F12986">
        <v>0.2</v>
      </c>
    </row>
    <row r="12987" spans="1:6" x14ac:dyDescent="0.25">
      <c r="A12987">
        <v>12986</v>
      </c>
      <c r="B12987">
        <v>43</v>
      </c>
      <c r="C12987">
        <v>0</v>
      </c>
      <c r="D12987">
        <v>0</v>
      </c>
      <c r="E12987">
        <v>0</v>
      </c>
      <c r="F12987">
        <v>0</v>
      </c>
    </row>
    <row r="12988" spans="1:6" x14ac:dyDescent="0.25">
      <c r="A12988">
        <v>12987</v>
      </c>
      <c r="B12988" t="s">
        <v>0</v>
      </c>
      <c r="C12988">
        <v>33</v>
      </c>
      <c r="D12988">
        <v>3501</v>
      </c>
      <c r="E12988">
        <v>80512501</v>
      </c>
    </row>
    <row r="12989" spans="1:6" x14ac:dyDescent="0.25">
      <c r="A12989">
        <v>12988</v>
      </c>
      <c r="B12989">
        <v>44</v>
      </c>
      <c r="C12989">
        <v>0</v>
      </c>
      <c r="D12989">
        <v>0</v>
      </c>
      <c r="E12989">
        <v>0</v>
      </c>
      <c r="F12989">
        <v>3.08569</v>
      </c>
    </row>
    <row r="12990" spans="1:6" x14ac:dyDescent="0.25">
      <c r="A12990">
        <v>12989</v>
      </c>
      <c r="B12990">
        <v>45</v>
      </c>
      <c r="C12990">
        <v>0</v>
      </c>
      <c r="D12990">
        <v>0</v>
      </c>
      <c r="E12990">
        <v>0</v>
      </c>
      <c r="F12990">
        <v>515.53300000000002</v>
      </c>
    </row>
    <row r="12991" spans="1:6" x14ac:dyDescent="0.25">
      <c r="A12991">
        <v>12990</v>
      </c>
      <c r="B12991" t="s">
        <v>0</v>
      </c>
      <c r="C12991">
        <v>34</v>
      </c>
      <c r="D12991">
        <v>3501</v>
      </c>
      <c r="E12991">
        <v>80512639</v>
      </c>
    </row>
    <row r="12992" spans="1:6" x14ac:dyDescent="0.25">
      <c r="A12992">
        <v>12991</v>
      </c>
      <c r="B12992">
        <v>46</v>
      </c>
      <c r="C12992">
        <v>0</v>
      </c>
      <c r="D12992">
        <v>0</v>
      </c>
      <c r="E12992">
        <v>0</v>
      </c>
      <c r="F12992">
        <v>0</v>
      </c>
    </row>
    <row r="12993" spans="1:6" x14ac:dyDescent="0.25">
      <c r="A12993">
        <v>12992</v>
      </c>
      <c r="B12993">
        <v>2</v>
      </c>
      <c r="C12993">
        <v>0</v>
      </c>
      <c r="D12993">
        <v>0</v>
      </c>
      <c r="E12993">
        <v>0</v>
      </c>
      <c r="F12993">
        <v>240.71899999999999</v>
      </c>
    </row>
    <row r="12994" spans="1:6" x14ac:dyDescent="0.25">
      <c r="A12994">
        <v>12993</v>
      </c>
      <c r="B12994" t="s">
        <v>0</v>
      </c>
      <c r="C12994">
        <v>35</v>
      </c>
      <c r="D12994">
        <v>3501</v>
      </c>
      <c r="E12994">
        <v>80512777</v>
      </c>
    </row>
    <row r="12995" spans="1:6" x14ac:dyDescent="0.25">
      <c r="A12995">
        <v>12994</v>
      </c>
      <c r="B12995">
        <v>10</v>
      </c>
      <c r="C12995">
        <v>1</v>
      </c>
      <c r="D12995">
        <v>0</v>
      </c>
      <c r="E12995">
        <v>0</v>
      </c>
      <c r="F12995">
        <v>5062</v>
      </c>
    </row>
    <row r="12996" spans="1:6" x14ac:dyDescent="0.25">
      <c r="A12996">
        <v>12995</v>
      </c>
      <c r="B12996">
        <v>13</v>
      </c>
      <c r="C12996">
        <v>0</v>
      </c>
      <c r="D12996">
        <v>0</v>
      </c>
      <c r="E12996">
        <v>0</v>
      </c>
      <c r="F12996">
        <v>1611</v>
      </c>
    </row>
    <row r="12997" spans="1:6" x14ac:dyDescent="0.25">
      <c r="A12997">
        <v>12996</v>
      </c>
      <c r="B12997" t="s">
        <v>0</v>
      </c>
      <c r="C12997">
        <v>36</v>
      </c>
      <c r="D12997">
        <v>3501</v>
      </c>
      <c r="E12997">
        <v>80512915</v>
      </c>
    </row>
    <row r="12998" spans="1:6" x14ac:dyDescent="0.25">
      <c r="A12998">
        <v>12997</v>
      </c>
      <c r="B12998">
        <v>41</v>
      </c>
      <c r="C12998">
        <v>0</v>
      </c>
      <c r="D12998">
        <v>0</v>
      </c>
      <c r="E12998">
        <v>0</v>
      </c>
      <c r="F12998">
        <v>1</v>
      </c>
    </row>
    <row r="12999" spans="1:6" x14ac:dyDescent="0.25">
      <c r="A12999">
        <v>12998</v>
      </c>
      <c r="B12999">
        <v>42</v>
      </c>
      <c r="C12999">
        <v>0</v>
      </c>
      <c r="D12999">
        <v>0</v>
      </c>
      <c r="E12999">
        <v>0</v>
      </c>
      <c r="F12999">
        <v>0.2</v>
      </c>
    </row>
    <row r="13000" spans="1:6" x14ac:dyDescent="0.25">
      <c r="A13000">
        <v>12999</v>
      </c>
      <c r="B13000" t="s">
        <v>0</v>
      </c>
      <c r="C13000">
        <v>37</v>
      </c>
      <c r="D13000">
        <v>3501</v>
      </c>
      <c r="E13000">
        <v>80513053</v>
      </c>
    </row>
    <row r="13001" spans="1:6" x14ac:dyDescent="0.25">
      <c r="A13001">
        <v>13000</v>
      </c>
      <c r="B13001">
        <v>44</v>
      </c>
      <c r="C13001">
        <v>0</v>
      </c>
      <c r="D13001">
        <v>0</v>
      </c>
      <c r="E13001">
        <v>0</v>
      </c>
      <c r="F13001">
        <v>3.1689500000000002</v>
      </c>
    </row>
    <row r="13002" spans="1:6" x14ac:dyDescent="0.25">
      <c r="A13002">
        <v>13001</v>
      </c>
      <c r="B13002" t="s">
        <v>0</v>
      </c>
      <c r="C13002">
        <v>38</v>
      </c>
      <c r="D13002">
        <v>3501</v>
      </c>
      <c r="E13002">
        <v>80513190</v>
      </c>
    </row>
    <row r="13003" spans="1:6" x14ac:dyDescent="0.25">
      <c r="A13003">
        <v>13002</v>
      </c>
      <c r="B13003">
        <v>46</v>
      </c>
      <c r="C13003">
        <v>0</v>
      </c>
      <c r="D13003">
        <v>0</v>
      </c>
      <c r="E13003">
        <v>0</v>
      </c>
      <c r="F13003">
        <v>0</v>
      </c>
    </row>
    <row r="13004" spans="1:6" x14ac:dyDescent="0.25">
      <c r="A13004">
        <v>13003</v>
      </c>
      <c r="B13004" t="s">
        <v>0</v>
      </c>
      <c r="C13004">
        <v>39</v>
      </c>
      <c r="D13004">
        <v>3501</v>
      </c>
      <c r="E13004">
        <v>80513328</v>
      </c>
    </row>
    <row r="13005" spans="1:6" x14ac:dyDescent="0.25">
      <c r="A13005">
        <v>13004</v>
      </c>
      <c r="B13005">
        <v>10</v>
      </c>
      <c r="C13005">
        <v>1</v>
      </c>
      <c r="D13005">
        <v>0</v>
      </c>
      <c r="E13005">
        <v>0</v>
      </c>
      <c r="F13005">
        <v>5061</v>
      </c>
    </row>
    <row r="13006" spans="1:6" x14ac:dyDescent="0.25">
      <c r="A13006">
        <v>13005</v>
      </c>
      <c r="B13006" t="s">
        <v>0</v>
      </c>
      <c r="C13006">
        <v>40</v>
      </c>
      <c r="D13006">
        <v>3501</v>
      </c>
      <c r="E13006">
        <v>80513466</v>
      </c>
    </row>
    <row r="13007" spans="1:6" x14ac:dyDescent="0.25">
      <c r="A13007">
        <v>13006</v>
      </c>
      <c r="B13007">
        <v>41</v>
      </c>
      <c r="C13007">
        <v>0</v>
      </c>
      <c r="D13007">
        <v>0</v>
      </c>
      <c r="E13007">
        <v>0</v>
      </c>
      <c r="F13007">
        <v>1</v>
      </c>
    </row>
    <row r="13008" spans="1:6" x14ac:dyDescent="0.25">
      <c r="A13008">
        <v>13007</v>
      </c>
      <c r="B13008" t="s">
        <v>0</v>
      </c>
      <c r="C13008">
        <v>41</v>
      </c>
      <c r="D13008">
        <v>3501</v>
      </c>
      <c r="E13008">
        <v>80513603</v>
      </c>
    </row>
    <row r="13009" spans="1:6" x14ac:dyDescent="0.25">
      <c r="A13009">
        <v>13008</v>
      </c>
      <c r="B13009">
        <v>43</v>
      </c>
      <c r="C13009">
        <v>0</v>
      </c>
      <c r="D13009">
        <v>0</v>
      </c>
      <c r="E13009">
        <v>0</v>
      </c>
      <c r="F13009">
        <v>0</v>
      </c>
    </row>
    <row r="13010" spans="1:6" x14ac:dyDescent="0.25">
      <c r="A13010">
        <v>13009</v>
      </c>
      <c r="B13010">
        <v>44</v>
      </c>
      <c r="C13010">
        <v>0</v>
      </c>
      <c r="D13010">
        <v>0</v>
      </c>
      <c r="E13010">
        <v>0</v>
      </c>
      <c r="F13010">
        <v>3.2621799999999999</v>
      </c>
    </row>
    <row r="13011" spans="1:6" x14ac:dyDescent="0.25">
      <c r="A13011">
        <v>13010</v>
      </c>
      <c r="B13011">
        <v>45</v>
      </c>
      <c r="C13011">
        <v>0</v>
      </c>
      <c r="D13011">
        <v>0</v>
      </c>
      <c r="E13011">
        <v>0</v>
      </c>
      <c r="F13011">
        <v>515.53800000000001</v>
      </c>
    </row>
    <row r="13012" spans="1:6" x14ac:dyDescent="0.25">
      <c r="A13012">
        <v>13011</v>
      </c>
      <c r="B13012">
        <v>46</v>
      </c>
      <c r="C13012">
        <v>0</v>
      </c>
      <c r="D13012">
        <v>0</v>
      </c>
      <c r="E13012">
        <v>0</v>
      </c>
      <c r="F13012">
        <v>0</v>
      </c>
    </row>
    <row r="13013" spans="1:6" x14ac:dyDescent="0.25">
      <c r="A13013">
        <v>13012</v>
      </c>
      <c r="B13013">
        <v>2</v>
      </c>
      <c r="C13013">
        <v>0</v>
      </c>
      <c r="D13013">
        <v>0</v>
      </c>
      <c r="E13013">
        <v>0</v>
      </c>
      <c r="F13013">
        <v>240.84200000000001</v>
      </c>
    </row>
    <row r="13014" spans="1:6" x14ac:dyDescent="0.25">
      <c r="A13014">
        <v>13013</v>
      </c>
      <c r="B13014">
        <v>10</v>
      </c>
      <c r="C13014">
        <v>1</v>
      </c>
      <c r="D13014">
        <v>0</v>
      </c>
      <c r="E13014">
        <v>0</v>
      </c>
      <c r="F13014">
        <v>5060</v>
      </c>
    </row>
    <row r="13015" spans="1:6" x14ac:dyDescent="0.25">
      <c r="A13015">
        <v>13014</v>
      </c>
      <c r="B13015">
        <v>13</v>
      </c>
      <c r="C13015">
        <v>0</v>
      </c>
      <c r="D13015">
        <v>0</v>
      </c>
      <c r="E13015">
        <v>0</v>
      </c>
      <c r="F13015">
        <v>1611</v>
      </c>
    </row>
    <row r="13016" spans="1:6" x14ac:dyDescent="0.25">
      <c r="A13016">
        <v>13015</v>
      </c>
      <c r="B13016">
        <v>41</v>
      </c>
      <c r="C13016">
        <v>0</v>
      </c>
      <c r="D13016">
        <v>0</v>
      </c>
      <c r="E13016">
        <v>0</v>
      </c>
      <c r="F13016">
        <v>1</v>
      </c>
    </row>
    <row r="13017" spans="1:6" x14ac:dyDescent="0.25">
      <c r="A13017">
        <v>13016</v>
      </c>
      <c r="B13017">
        <v>42</v>
      </c>
      <c r="C13017">
        <v>0</v>
      </c>
      <c r="D13017">
        <v>0</v>
      </c>
      <c r="E13017">
        <v>0</v>
      </c>
      <c r="F13017">
        <v>0.2</v>
      </c>
    </row>
    <row r="13018" spans="1:6" x14ac:dyDescent="0.25">
      <c r="A13018">
        <v>13017</v>
      </c>
      <c r="B13018">
        <v>43</v>
      </c>
      <c r="C13018">
        <v>0</v>
      </c>
      <c r="D13018">
        <v>0</v>
      </c>
      <c r="E13018">
        <v>0</v>
      </c>
      <c r="F13018">
        <v>0</v>
      </c>
    </row>
    <row r="13019" spans="1:6" x14ac:dyDescent="0.25">
      <c r="A13019">
        <v>13018</v>
      </c>
      <c r="B13019">
        <v>44</v>
      </c>
      <c r="C13019">
        <v>0</v>
      </c>
      <c r="D13019">
        <v>0</v>
      </c>
      <c r="E13019">
        <v>0</v>
      </c>
      <c r="F13019">
        <v>3.3557899999999998</v>
      </c>
    </row>
    <row r="13020" spans="1:6" x14ac:dyDescent="0.25">
      <c r="A13020">
        <v>13019</v>
      </c>
      <c r="B13020">
        <v>45</v>
      </c>
      <c r="C13020">
        <v>0</v>
      </c>
      <c r="D13020">
        <v>0</v>
      </c>
      <c r="E13020">
        <v>0</v>
      </c>
      <c r="F13020">
        <v>515.54</v>
      </c>
    </row>
    <row r="13021" spans="1:6" x14ac:dyDescent="0.25">
      <c r="A13021">
        <v>13020</v>
      </c>
      <c r="B13021" t="s">
        <v>0</v>
      </c>
      <c r="C13021">
        <v>47</v>
      </c>
      <c r="D13021">
        <v>3501</v>
      </c>
      <c r="E13021">
        <v>80514429</v>
      </c>
    </row>
    <row r="13022" spans="1:6" x14ac:dyDescent="0.25">
      <c r="A13022">
        <v>13021</v>
      </c>
      <c r="B13022">
        <v>46</v>
      </c>
      <c r="C13022">
        <v>0</v>
      </c>
      <c r="D13022">
        <v>0</v>
      </c>
      <c r="E13022">
        <v>0</v>
      </c>
      <c r="F13022">
        <v>0</v>
      </c>
    </row>
    <row r="13023" spans="1:6" x14ac:dyDescent="0.25">
      <c r="A13023">
        <v>13022</v>
      </c>
      <c r="B13023">
        <v>2</v>
      </c>
      <c r="C13023">
        <v>0</v>
      </c>
      <c r="D13023">
        <v>0</v>
      </c>
      <c r="E13023">
        <v>0</v>
      </c>
      <c r="F13023">
        <v>240.88399999999999</v>
      </c>
    </row>
    <row r="13024" spans="1:6" x14ac:dyDescent="0.25">
      <c r="A13024">
        <v>13023</v>
      </c>
      <c r="B13024" t="s">
        <v>0</v>
      </c>
      <c r="C13024">
        <v>48</v>
      </c>
      <c r="D13024">
        <v>3501</v>
      </c>
      <c r="E13024">
        <v>80514567</v>
      </c>
    </row>
    <row r="13025" spans="1:6" x14ac:dyDescent="0.25">
      <c r="A13025">
        <v>13024</v>
      </c>
      <c r="B13025">
        <v>10</v>
      </c>
      <c r="C13025">
        <v>1</v>
      </c>
      <c r="D13025">
        <v>0</v>
      </c>
      <c r="E13025">
        <v>0</v>
      </c>
      <c r="F13025">
        <v>5059</v>
      </c>
    </row>
    <row r="13026" spans="1:6" x14ac:dyDescent="0.25">
      <c r="A13026">
        <v>13025</v>
      </c>
      <c r="B13026">
        <v>13</v>
      </c>
      <c r="C13026">
        <v>0</v>
      </c>
      <c r="D13026">
        <v>0</v>
      </c>
      <c r="E13026">
        <v>0</v>
      </c>
      <c r="F13026">
        <v>1611</v>
      </c>
    </row>
    <row r="13027" spans="1:6" x14ac:dyDescent="0.25">
      <c r="A13027">
        <v>13026</v>
      </c>
      <c r="B13027" t="s">
        <v>0</v>
      </c>
      <c r="C13027">
        <v>49</v>
      </c>
      <c r="D13027">
        <v>3501</v>
      </c>
      <c r="E13027">
        <v>80514705</v>
      </c>
    </row>
    <row r="13028" spans="1:6" x14ac:dyDescent="0.25">
      <c r="A13028">
        <v>13027</v>
      </c>
      <c r="B13028">
        <v>41</v>
      </c>
      <c r="C13028">
        <v>0</v>
      </c>
      <c r="D13028">
        <v>0</v>
      </c>
      <c r="E13028">
        <v>0</v>
      </c>
      <c r="F13028">
        <v>1</v>
      </c>
    </row>
    <row r="13029" spans="1:6" x14ac:dyDescent="0.25">
      <c r="A13029">
        <v>13028</v>
      </c>
      <c r="B13029">
        <v>42</v>
      </c>
      <c r="C13029">
        <v>0</v>
      </c>
      <c r="D13029">
        <v>0</v>
      </c>
      <c r="E13029">
        <v>0</v>
      </c>
      <c r="F13029">
        <v>0.2</v>
      </c>
    </row>
    <row r="13030" spans="1:6" x14ac:dyDescent="0.25">
      <c r="A13030">
        <v>13029</v>
      </c>
      <c r="B13030" t="s">
        <v>0</v>
      </c>
      <c r="C13030">
        <v>50</v>
      </c>
      <c r="D13030">
        <v>3501</v>
      </c>
      <c r="E13030">
        <v>80514842</v>
      </c>
    </row>
    <row r="13031" spans="1:6" x14ac:dyDescent="0.25">
      <c r="A13031">
        <v>13030</v>
      </c>
      <c r="B13031">
        <v>43</v>
      </c>
      <c r="C13031">
        <v>0</v>
      </c>
      <c r="D13031">
        <v>0</v>
      </c>
      <c r="E13031">
        <v>0</v>
      </c>
      <c r="F13031">
        <v>0</v>
      </c>
    </row>
    <row r="13032" spans="1:6" x14ac:dyDescent="0.25">
      <c r="A13032">
        <v>13031</v>
      </c>
      <c r="B13032">
        <v>44</v>
      </c>
      <c r="C13032">
        <v>0</v>
      </c>
      <c r="D13032">
        <v>0</v>
      </c>
      <c r="E13032">
        <v>0</v>
      </c>
      <c r="F13032">
        <v>3.47</v>
      </c>
    </row>
    <row r="13033" spans="1:6" x14ac:dyDescent="0.25">
      <c r="A13033">
        <v>13032</v>
      </c>
      <c r="B13033" t="s">
        <v>0</v>
      </c>
      <c r="C13033">
        <v>51</v>
      </c>
      <c r="D13033">
        <v>3501</v>
      </c>
      <c r="E13033">
        <v>80514980</v>
      </c>
    </row>
    <row r="13034" spans="1:6" x14ac:dyDescent="0.25">
      <c r="A13034">
        <v>13033</v>
      </c>
      <c r="B13034">
        <v>45</v>
      </c>
      <c r="C13034">
        <v>0</v>
      </c>
      <c r="D13034">
        <v>0</v>
      </c>
      <c r="E13034">
        <v>0</v>
      </c>
      <c r="F13034">
        <v>515.54300000000001</v>
      </c>
    </row>
    <row r="13035" spans="1:6" x14ac:dyDescent="0.25">
      <c r="A13035">
        <v>13034</v>
      </c>
      <c r="B13035">
        <v>46</v>
      </c>
      <c r="C13035">
        <v>0</v>
      </c>
      <c r="D13035">
        <v>0</v>
      </c>
      <c r="E13035">
        <v>0</v>
      </c>
      <c r="F13035">
        <v>0</v>
      </c>
    </row>
    <row r="13036" spans="1:6" x14ac:dyDescent="0.25">
      <c r="A13036">
        <v>13035</v>
      </c>
      <c r="B13036" t="s">
        <v>0</v>
      </c>
      <c r="C13036">
        <v>52</v>
      </c>
      <c r="D13036">
        <v>3501</v>
      </c>
      <c r="E13036">
        <v>80515118</v>
      </c>
    </row>
    <row r="13037" spans="1:6" x14ac:dyDescent="0.25">
      <c r="A13037">
        <v>13036</v>
      </c>
      <c r="B13037">
        <v>10</v>
      </c>
      <c r="C13037">
        <v>1</v>
      </c>
      <c r="D13037">
        <v>0</v>
      </c>
      <c r="E13037">
        <v>0</v>
      </c>
      <c r="F13037">
        <v>5059</v>
      </c>
    </row>
    <row r="13038" spans="1:6" x14ac:dyDescent="0.25">
      <c r="A13038">
        <v>13037</v>
      </c>
      <c r="B13038" t="s">
        <v>0</v>
      </c>
      <c r="C13038">
        <v>53</v>
      </c>
      <c r="D13038">
        <v>3501</v>
      </c>
      <c r="E13038">
        <v>80515255</v>
      </c>
    </row>
    <row r="13039" spans="1:6" x14ac:dyDescent="0.25">
      <c r="A13039">
        <v>13038</v>
      </c>
      <c r="B13039">
        <v>41</v>
      </c>
      <c r="C13039">
        <v>0</v>
      </c>
      <c r="D13039">
        <v>0</v>
      </c>
      <c r="E13039">
        <v>0</v>
      </c>
      <c r="F13039">
        <v>1</v>
      </c>
    </row>
    <row r="13040" spans="1:6" x14ac:dyDescent="0.25">
      <c r="A13040">
        <v>13039</v>
      </c>
      <c r="B13040" t="s">
        <v>0</v>
      </c>
      <c r="C13040">
        <v>54</v>
      </c>
      <c r="D13040">
        <v>3501</v>
      </c>
      <c r="E13040">
        <v>80515393</v>
      </c>
    </row>
    <row r="13041" spans="1:6" x14ac:dyDescent="0.25">
      <c r="A13041">
        <v>13040</v>
      </c>
      <c r="B13041">
        <v>43</v>
      </c>
      <c r="C13041">
        <v>0</v>
      </c>
      <c r="D13041">
        <v>0</v>
      </c>
      <c r="E13041">
        <v>0</v>
      </c>
      <c r="F13041">
        <v>0</v>
      </c>
    </row>
    <row r="13042" spans="1:6" x14ac:dyDescent="0.25">
      <c r="A13042">
        <v>13041</v>
      </c>
      <c r="B13042" t="s">
        <v>0</v>
      </c>
      <c r="C13042">
        <v>55</v>
      </c>
      <c r="D13042">
        <v>3501</v>
      </c>
      <c r="E13042">
        <v>80515531</v>
      </c>
    </row>
    <row r="13043" spans="1:6" x14ac:dyDescent="0.25">
      <c r="A13043">
        <v>13042</v>
      </c>
      <c r="B13043">
        <v>45</v>
      </c>
      <c r="C13043">
        <v>0</v>
      </c>
      <c r="D13043">
        <v>0</v>
      </c>
      <c r="E13043">
        <v>0</v>
      </c>
      <c r="F13043">
        <v>515.54600000000005</v>
      </c>
    </row>
    <row r="13044" spans="1:6" x14ac:dyDescent="0.25">
      <c r="A13044">
        <v>13043</v>
      </c>
      <c r="B13044" t="s">
        <v>0</v>
      </c>
      <c r="C13044">
        <v>56</v>
      </c>
      <c r="D13044">
        <v>3501</v>
      </c>
      <c r="E13044">
        <v>80515668</v>
      </c>
    </row>
    <row r="13045" spans="1:6" x14ac:dyDescent="0.25">
      <c r="A13045">
        <v>13044</v>
      </c>
      <c r="B13045">
        <v>2</v>
      </c>
      <c r="C13045">
        <v>0</v>
      </c>
      <c r="D13045">
        <v>0</v>
      </c>
      <c r="E13045">
        <v>0</v>
      </c>
      <c r="F13045">
        <v>240.952</v>
      </c>
    </row>
    <row r="13046" spans="1:6" x14ac:dyDescent="0.25">
      <c r="A13046">
        <v>13045</v>
      </c>
      <c r="B13046">
        <v>10</v>
      </c>
      <c r="C13046">
        <v>1</v>
      </c>
      <c r="D13046">
        <v>0</v>
      </c>
      <c r="E13046">
        <v>0</v>
      </c>
      <c r="F13046">
        <v>5059</v>
      </c>
    </row>
    <row r="13047" spans="1:6" x14ac:dyDescent="0.25">
      <c r="A13047">
        <v>13046</v>
      </c>
      <c r="B13047">
        <v>13</v>
      </c>
      <c r="C13047">
        <v>0</v>
      </c>
      <c r="D13047">
        <v>0</v>
      </c>
      <c r="E13047">
        <v>0</v>
      </c>
      <c r="F13047">
        <v>1611</v>
      </c>
    </row>
    <row r="13048" spans="1:6" x14ac:dyDescent="0.25">
      <c r="A13048">
        <v>13047</v>
      </c>
      <c r="B13048">
        <v>41</v>
      </c>
      <c r="C13048">
        <v>0</v>
      </c>
      <c r="D13048">
        <v>0</v>
      </c>
      <c r="E13048">
        <v>0</v>
      </c>
      <c r="F13048">
        <v>1</v>
      </c>
    </row>
    <row r="13049" spans="1:6" x14ac:dyDescent="0.25">
      <c r="A13049">
        <v>13048</v>
      </c>
      <c r="B13049">
        <v>42</v>
      </c>
      <c r="C13049">
        <v>0</v>
      </c>
      <c r="D13049">
        <v>0</v>
      </c>
      <c r="E13049">
        <v>0</v>
      </c>
      <c r="F13049">
        <v>0.2</v>
      </c>
    </row>
    <row r="13050" spans="1:6" x14ac:dyDescent="0.25">
      <c r="A13050">
        <v>13049</v>
      </c>
      <c r="B13050">
        <v>43</v>
      </c>
      <c r="C13050">
        <v>0</v>
      </c>
      <c r="D13050">
        <v>0</v>
      </c>
      <c r="E13050">
        <v>0</v>
      </c>
      <c r="F13050">
        <v>0</v>
      </c>
    </row>
    <row r="13051" spans="1:6" x14ac:dyDescent="0.25">
      <c r="A13051">
        <v>13050</v>
      </c>
      <c r="B13051">
        <v>44</v>
      </c>
      <c r="C13051">
        <v>0</v>
      </c>
      <c r="D13051">
        <v>0</v>
      </c>
      <c r="E13051">
        <v>0</v>
      </c>
      <c r="F13051">
        <v>3.7111399999999999</v>
      </c>
    </row>
    <row r="13052" spans="1:6" x14ac:dyDescent="0.25">
      <c r="A13052">
        <v>13051</v>
      </c>
      <c r="B13052">
        <v>45</v>
      </c>
      <c r="C13052">
        <v>0</v>
      </c>
      <c r="D13052">
        <v>0</v>
      </c>
      <c r="E13052">
        <v>0</v>
      </c>
      <c r="F13052">
        <v>515.548</v>
      </c>
    </row>
    <row r="13053" spans="1:6" x14ac:dyDescent="0.25">
      <c r="A13053">
        <v>13052</v>
      </c>
      <c r="B13053">
        <v>46</v>
      </c>
      <c r="C13053">
        <v>0</v>
      </c>
      <c r="D13053">
        <v>0</v>
      </c>
      <c r="E13053">
        <v>0</v>
      </c>
      <c r="F13053">
        <v>0</v>
      </c>
    </row>
    <row r="13054" spans="1:6" x14ac:dyDescent="0.25">
      <c r="A13054">
        <v>13053</v>
      </c>
      <c r="B13054">
        <v>2</v>
      </c>
      <c r="C13054">
        <v>0</v>
      </c>
      <c r="D13054">
        <v>0</v>
      </c>
      <c r="E13054">
        <v>0</v>
      </c>
      <c r="F13054">
        <v>240.97399999999999</v>
      </c>
    </row>
    <row r="13055" spans="1:6" x14ac:dyDescent="0.25">
      <c r="A13055">
        <v>13054</v>
      </c>
      <c r="B13055">
        <v>10</v>
      </c>
      <c r="C13055">
        <v>1</v>
      </c>
      <c r="D13055">
        <v>0</v>
      </c>
      <c r="E13055">
        <v>0</v>
      </c>
      <c r="F13055">
        <v>5059</v>
      </c>
    </row>
    <row r="13056" spans="1:6" x14ac:dyDescent="0.25">
      <c r="A13056">
        <v>13055</v>
      </c>
      <c r="B13056">
        <v>13</v>
      </c>
      <c r="C13056">
        <v>0</v>
      </c>
      <c r="D13056">
        <v>0</v>
      </c>
      <c r="E13056">
        <v>0</v>
      </c>
      <c r="F13056">
        <v>1611</v>
      </c>
    </row>
    <row r="13057" spans="1:6" x14ac:dyDescent="0.25">
      <c r="A13057">
        <v>13056</v>
      </c>
      <c r="B13057" t="s">
        <v>0</v>
      </c>
      <c r="C13057">
        <v>62</v>
      </c>
      <c r="D13057">
        <v>3501</v>
      </c>
      <c r="E13057">
        <v>80516494</v>
      </c>
    </row>
    <row r="13058" spans="1:6" x14ac:dyDescent="0.25">
      <c r="A13058">
        <v>13057</v>
      </c>
      <c r="B13058">
        <v>41</v>
      </c>
      <c r="C13058">
        <v>0</v>
      </c>
      <c r="D13058">
        <v>0</v>
      </c>
      <c r="E13058">
        <v>0</v>
      </c>
      <c r="F13058">
        <v>1</v>
      </c>
    </row>
    <row r="13059" spans="1:6" x14ac:dyDescent="0.25">
      <c r="A13059">
        <v>13058</v>
      </c>
      <c r="B13059">
        <v>42</v>
      </c>
      <c r="C13059">
        <v>0</v>
      </c>
      <c r="D13059">
        <v>0</v>
      </c>
      <c r="E13059">
        <v>0</v>
      </c>
      <c r="F13059">
        <v>0.2</v>
      </c>
    </row>
    <row r="13060" spans="1:6" x14ac:dyDescent="0.25">
      <c r="A13060">
        <v>13059</v>
      </c>
      <c r="B13060" t="s">
        <v>0</v>
      </c>
      <c r="C13060">
        <v>63</v>
      </c>
      <c r="D13060">
        <v>3501</v>
      </c>
      <c r="E13060">
        <v>80516632</v>
      </c>
    </row>
    <row r="13061" spans="1:6" x14ac:dyDescent="0.25">
      <c r="A13061">
        <v>13060</v>
      </c>
      <c r="B13061">
        <v>43</v>
      </c>
      <c r="C13061">
        <v>0</v>
      </c>
      <c r="D13061">
        <v>0</v>
      </c>
      <c r="E13061">
        <v>0</v>
      </c>
      <c r="F13061">
        <v>0</v>
      </c>
    </row>
    <row r="13062" spans="1:6" x14ac:dyDescent="0.25">
      <c r="A13062">
        <v>13061</v>
      </c>
      <c r="B13062">
        <v>44</v>
      </c>
      <c r="C13062">
        <v>0</v>
      </c>
      <c r="D13062">
        <v>0</v>
      </c>
      <c r="E13062">
        <v>0</v>
      </c>
      <c r="F13062">
        <v>3.8429099999999998</v>
      </c>
    </row>
    <row r="13063" spans="1:6" x14ac:dyDescent="0.25">
      <c r="A13063">
        <v>13062</v>
      </c>
      <c r="B13063" t="s">
        <v>0</v>
      </c>
      <c r="C13063">
        <v>64</v>
      </c>
      <c r="D13063">
        <v>3501</v>
      </c>
      <c r="E13063">
        <v>80516770</v>
      </c>
    </row>
    <row r="13064" spans="1:6" x14ac:dyDescent="0.25">
      <c r="A13064">
        <v>13063</v>
      </c>
      <c r="B13064">
        <v>45</v>
      </c>
      <c r="C13064">
        <v>0</v>
      </c>
      <c r="D13064">
        <v>0</v>
      </c>
      <c r="E13064">
        <v>0</v>
      </c>
      <c r="F13064">
        <v>515.55100000000004</v>
      </c>
    </row>
    <row r="13065" spans="1:6" x14ac:dyDescent="0.25">
      <c r="A13065">
        <v>13064</v>
      </c>
      <c r="B13065">
        <v>46</v>
      </c>
      <c r="C13065">
        <v>0</v>
      </c>
      <c r="D13065">
        <v>0</v>
      </c>
      <c r="E13065">
        <v>0</v>
      </c>
      <c r="F13065">
        <v>0</v>
      </c>
    </row>
    <row r="13066" spans="1:6" x14ac:dyDescent="0.25">
      <c r="A13066">
        <v>13065</v>
      </c>
      <c r="B13066" t="s">
        <v>0</v>
      </c>
      <c r="C13066">
        <v>65</v>
      </c>
      <c r="D13066">
        <v>3501</v>
      </c>
      <c r="E13066">
        <v>80516908</v>
      </c>
    </row>
    <row r="13067" spans="1:6" x14ac:dyDescent="0.25">
      <c r="A13067">
        <v>13066</v>
      </c>
      <c r="B13067">
        <v>2</v>
      </c>
      <c r="C13067">
        <v>0</v>
      </c>
      <c r="D13067">
        <v>0</v>
      </c>
      <c r="E13067">
        <v>0</v>
      </c>
      <c r="F13067">
        <v>240.995</v>
      </c>
    </row>
    <row r="13068" spans="1:6" x14ac:dyDescent="0.25">
      <c r="A13068">
        <v>13067</v>
      </c>
      <c r="B13068">
        <v>10</v>
      </c>
      <c r="C13068">
        <v>1</v>
      </c>
      <c r="D13068">
        <v>0</v>
      </c>
      <c r="E13068">
        <v>0</v>
      </c>
      <c r="F13068">
        <v>5059</v>
      </c>
    </row>
    <row r="13069" spans="1:6" x14ac:dyDescent="0.25">
      <c r="A13069">
        <v>13068</v>
      </c>
      <c r="B13069" t="s">
        <v>0</v>
      </c>
      <c r="C13069">
        <v>66</v>
      </c>
      <c r="D13069">
        <v>3501</v>
      </c>
      <c r="E13069">
        <v>80517046</v>
      </c>
    </row>
    <row r="13070" spans="1:6" x14ac:dyDescent="0.25">
      <c r="A13070">
        <v>13069</v>
      </c>
      <c r="B13070">
        <v>13</v>
      </c>
      <c r="C13070">
        <v>0</v>
      </c>
      <c r="D13070">
        <v>0</v>
      </c>
      <c r="E13070">
        <v>0</v>
      </c>
      <c r="F13070">
        <v>1611</v>
      </c>
    </row>
    <row r="13071" spans="1:6" x14ac:dyDescent="0.25">
      <c r="A13071">
        <v>13070</v>
      </c>
      <c r="B13071">
        <v>41</v>
      </c>
      <c r="C13071">
        <v>0</v>
      </c>
      <c r="D13071">
        <v>0</v>
      </c>
      <c r="E13071">
        <v>0</v>
      </c>
      <c r="F13071">
        <v>1</v>
      </c>
    </row>
    <row r="13072" spans="1:6" x14ac:dyDescent="0.25">
      <c r="A13072">
        <v>13071</v>
      </c>
      <c r="B13072" t="s">
        <v>0</v>
      </c>
      <c r="C13072">
        <v>67</v>
      </c>
      <c r="D13072">
        <v>3501</v>
      </c>
      <c r="E13072">
        <v>80517184</v>
      </c>
    </row>
    <row r="13073" spans="1:6" x14ac:dyDescent="0.25">
      <c r="A13073">
        <v>13072</v>
      </c>
      <c r="B13073">
        <v>43</v>
      </c>
      <c r="C13073">
        <v>0</v>
      </c>
      <c r="D13073">
        <v>0</v>
      </c>
      <c r="E13073">
        <v>0</v>
      </c>
      <c r="F13073">
        <v>0</v>
      </c>
    </row>
    <row r="13074" spans="1:6" x14ac:dyDescent="0.25">
      <c r="A13074">
        <v>13073</v>
      </c>
      <c r="B13074" t="s">
        <v>0</v>
      </c>
      <c r="C13074">
        <v>68</v>
      </c>
      <c r="D13074">
        <v>3501</v>
      </c>
      <c r="E13074">
        <v>80517321</v>
      </c>
    </row>
    <row r="13075" spans="1:6" x14ac:dyDescent="0.25">
      <c r="A13075">
        <v>13074</v>
      </c>
      <c r="B13075">
        <v>45</v>
      </c>
      <c r="C13075">
        <v>0</v>
      </c>
      <c r="D13075">
        <v>0</v>
      </c>
      <c r="E13075">
        <v>0</v>
      </c>
      <c r="F13075">
        <v>515.55399999999997</v>
      </c>
    </row>
    <row r="13076" spans="1:6" x14ac:dyDescent="0.25">
      <c r="A13076">
        <v>13075</v>
      </c>
      <c r="B13076" t="s">
        <v>0</v>
      </c>
      <c r="C13076">
        <v>69</v>
      </c>
      <c r="D13076">
        <v>3501</v>
      </c>
      <c r="E13076">
        <v>80517459</v>
      </c>
    </row>
    <row r="13077" spans="1:6" x14ac:dyDescent="0.25">
      <c r="A13077">
        <v>13076</v>
      </c>
      <c r="B13077">
        <v>2</v>
      </c>
      <c r="C13077">
        <v>0</v>
      </c>
      <c r="D13077">
        <v>0</v>
      </c>
      <c r="E13077">
        <v>0</v>
      </c>
      <c r="F13077">
        <v>241.00800000000001</v>
      </c>
    </row>
    <row r="13078" spans="1:6" x14ac:dyDescent="0.25">
      <c r="A13078">
        <v>13077</v>
      </c>
      <c r="B13078" t="s">
        <v>0</v>
      </c>
      <c r="C13078">
        <v>70</v>
      </c>
      <c r="D13078">
        <v>3501</v>
      </c>
      <c r="E13078">
        <v>80517597</v>
      </c>
    </row>
    <row r="13079" spans="1:6" x14ac:dyDescent="0.25">
      <c r="A13079">
        <v>13078</v>
      </c>
      <c r="B13079">
        <v>13</v>
      </c>
      <c r="C13079">
        <v>0</v>
      </c>
      <c r="D13079">
        <v>0</v>
      </c>
      <c r="E13079">
        <v>0</v>
      </c>
      <c r="F13079">
        <v>1611</v>
      </c>
    </row>
    <row r="13080" spans="1:6" x14ac:dyDescent="0.25">
      <c r="A13080">
        <v>13079</v>
      </c>
      <c r="B13080" t="s">
        <v>0</v>
      </c>
      <c r="C13080">
        <v>71</v>
      </c>
      <c r="D13080">
        <v>3501</v>
      </c>
      <c r="E13080">
        <v>80517735</v>
      </c>
    </row>
    <row r="13081" spans="1:6" x14ac:dyDescent="0.25">
      <c r="A13081">
        <v>13080</v>
      </c>
      <c r="B13081">
        <v>42</v>
      </c>
      <c r="C13081">
        <v>0</v>
      </c>
      <c r="D13081">
        <v>0</v>
      </c>
      <c r="E13081">
        <v>0</v>
      </c>
      <c r="F13081">
        <v>0.2</v>
      </c>
    </row>
    <row r="13082" spans="1:6" x14ac:dyDescent="0.25">
      <c r="A13082">
        <v>13081</v>
      </c>
      <c r="B13082">
        <v>43</v>
      </c>
      <c r="C13082">
        <v>0</v>
      </c>
      <c r="D13082">
        <v>0</v>
      </c>
      <c r="E13082">
        <v>0</v>
      </c>
      <c r="F13082">
        <v>0</v>
      </c>
    </row>
    <row r="13083" spans="1:6" x14ac:dyDescent="0.25">
      <c r="A13083">
        <v>13082</v>
      </c>
      <c r="B13083">
        <v>44</v>
      </c>
      <c r="C13083">
        <v>0</v>
      </c>
      <c r="D13083">
        <v>0</v>
      </c>
      <c r="E13083">
        <v>0</v>
      </c>
      <c r="F13083">
        <v>4.1131599999999997</v>
      </c>
    </row>
    <row r="13084" spans="1:6" x14ac:dyDescent="0.25">
      <c r="A13084">
        <v>13083</v>
      </c>
      <c r="B13084">
        <v>45</v>
      </c>
      <c r="C13084">
        <v>0</v>
      </c>
      <c r="D13084">
        <v>0</v>
      </c>
      <c r="E13084">
        <v>0</v>
      </c>
      <c r="F13084">
        <v>515.55700000000002</v>
      </c>
    </row>
    <row r="13085" spans="1:6" x14ac:dyDescent="0.25">
      <c r="A13085">
        <v>13084</v>
      </c>
      <c r="B13085">
        <v>46</v>
      </c>
      <c r="C13085">
        <v>0</v>
      </c>
      <c r="D13085">
        <v>0</v>
      </c>
      <c r="E13085">
        <v>0</v>
      </c>
      <c r="F13085">
        <v>0</v>
      </c>
    </row>
    <row r="13086" spans="1:6" x14ac:dyDescent="0.25">
      <c r="A13086">
        <v>13085</v>
      </c>
      <c r="B13086">
        <v>2</v>
      </c>
      <c r="C13086">
        <v>0</v>
      </c>
      <c r="D13086">
        <v>0</v>
      </c>
      <c r="E13086">
        <v>0</v>
      </c>
      <c r="F13086">
        <v>241.01900000000001</v>
      </c>
    </row>
    <row r="13087" spans="1:6" x14ac:dyDescent="0.25">
      <c r="A13087">
        <v>13086</v>
      </c>
      <c r="B13087">
        <v>10</v>
      </c>
      <c r="C13087">
        <v>1</v>
      </c>
      <c r="D13087">
        <v>0</v>
      </c>
      <c r="E13087">
        <v>0</v>
      </c>
      <c r="F13087">
        <v>5059</v>
      </c>
    </row>
    <row r="13088" spans="1:6" x14ac:dyDescent="0.25">
      <c r="A13088">
        <v>13087</v>
      </c>
      <c r="B13088">
        <v>13</v>
      </c>
      <c r="C13088">
        <v>0</v>
      </c>
      <c r="D13088">
        <v>0</v>
      </c>
      <c r="E13088">
        <v>0</v>
      </c>
      <c r="F13088">
        <v>1611</v>
      </c>
    </row>
    <row r="13089" spans="1:6" x14ac:dyDescent="0.25">
      <c r="A13089">
        <v>13088</v>
      </c>
      <c r="B13089">
        <v>41</v>
      </c>
      <c r="C13089">
        <v>0</v>
      </c>
      <c r="D13089">
        <v>0</v>
      </c>
      <c r="E13089">
        <v>0</v>
      </c>
      <c r="F13089">
        <v>1</v>
      </c>
    </row>
    <row r="13090" spans="1:6" x14ac:dyDescent="0.25">
      <c r="A13090">
        <v>13089</v>
      </c>
      <c r="B13090">
        <v>42</v>
      </c>
      <c r="C13090">
        <v>0</v>
      </c>
      <c r="D13090">
        <v>0</v>
      </c>
      <c r="E13090">
        <v>0</v>
      </c>
      <c r="F13090">
        <v>0.2</v>
      </c>
    </row>
    <row r="13091" spans="1:6" x14ac:dyDescent="0.25">
      <c r="A13091">
        <v>13090</v>
      </c>
      <c r="B13091">
        <v>43</v>
      </c>
      <c r="C13091">
        <v>0</v>
      </c>
      <c r="D13091">
        <v>0</v>
      </c>
      <c r="E13091">
        <v>0</v>
      </c>
      <c r="F13091">
        <v>0</v>
      </c>
    </row>
    <row r="13092" spans="1:6" x14ac:dyDescent="0.25">
      <c r="A13092">
        <v>13091</v>
      </c>
      <c r="B13092">
        <v>44</v>
      </c>
      <c r="C13092">
        <v>0</v>
      </c>
      <c r="D13092">
        <v>0</v>
      </c>
      <c r="E13092">
        <v>0</v>
      </c>
      <c r="F13092">
        <v>4.2537799999999999</v>
      </c>
    </row>
    <row r="13093" spans="1:6" x14ac:dyDescent="0.25">
      <c r="A13093">
        <v>13092</v>
      </c>
      <c r="B13093" t="s">
        <v>0</v>
      </c>
      <c r="C13093">
        <v>77</v>
      </c>
      <c r="D13093">
        <v>3501</v>
      </c>
      <c r="E13093">
        <v>80518562</v>
      </c>
    </row>
    <row r="13094" spans="1:6" x14ac:dyDescent="0.25">
      <c r="A13094">
        <v>13093</v>
      </c>
      <c r="B13094">
        <v>45</v>
      </c>
      <c r="C13094">
        <v>0</v>
      </c>
      <c r="D13094">
        <v>0</v>
      </c>
      <c r="E13094">
        <v>0</v>
      </c>
      <c r="F13094">
        <v>515.55999999999995</v>
      </c>
    </row>
    <row r="13095" spans="1:6" x14ac:dyDescent="0.25">
      <c r="A13095">
        <v>13094</v>
      </c>
      <c r="B13095">
        <v>46</v>
      </c>
      <c r="C13095">
        <v>0</v>
      </c>
      <c r="D13095">
        <v>0</v>
      </c>
      <c r="E13095">
        <v>0</v>
      </c>
      <c r="F13095">
        <v>0</v>
      </c>
    </row>
    <row r="13096" spans="1:6" x14ac:dyDescent="0.25">
      <c r="A13096">
        <v>13095</v>
      </c>
      <c r="B13096" t="s">
        <v>0</v>
      </c>
      <c r="C13096">
        <v>78</v>
      </c>
      <c r="D13096">
        <v>3501</v>
      </c>
      <c r="E13096">
        <v>80518700</v>
      </c>
    </row>
    <row r="13097" spans="1:6" x14ac:dyDescent="0.25">
      <c r="A13097">
        <v>13096</v>
      </c>
      <c r="B13097">
        <v>2</v>
      </c>
      <c r="C13097">
        <v>0</v>
      </c>
      <c r="D13097">
        <v>0</v>
      </c>
      <c r="E13097">
        <v>0</v>
      </c>
      <c r="F13097">
        <v>241.029</v>
      </c>
    </row>
    <row r="13098" spans="1:6" x14ac:dyDescent="0.25">
      <c r="A13098">
        <v>13097</v>
      </c>
      <c r="B13098">
        <v>10</v>
      </c>
      <c r="C13098">
        <v>1</v>
      </c>
      <c r="D13098">
        <v>0</v>
      </c>
      <c r="E13098">
        <v>0</v>
      </c>
      <c r="F13098">
        <v>5060</v>
      </c>
    </row>
    <row r="13099" spans="1:6" x14ac:dyDescent="0.25">
      <c r="A13099">
        <v>13098</v>
      </c>
      <c r="B13099" t="s">
        <v>0</v>
      </c>
      <c r="C13099">
        <v>79</v>
      </c>
      <c r="D13099">
        <v>3501</v>
      </c>
      <c r="E13099">
        <v>80518838</v>
      </c>
    </row>
    <row r="13100" spans="1:6" x14ac:dyDescent="0.25">
      <c r="A13100">
        <v>13099</v>
      </c>
      <c r="B13100">
        <v>13</v>
      </c>
      <c r="C13100">
        <v>0</v>
      </c>
      <c r="D13100">
        <v>0</v>
      </c>
      <c r="E13100">
        <v>0</v>
      </c>
      <c r="F13100">
        <v>1611</v>
      </c>
    </row>
    <row r="13101" spans="1:6" x14ac:dyDescent="0.25">
      <c r="A13101">
        <v>13100</v>
      </c>
      <c r="B13101">
        <v>41</v>
      </c>
      <c r="C13101">
        <v>0</v>
      </c>
      <c r="D13101">
        <v>0</v>
      </c>
      <c r="E13101">
        <v>0</v>
      </c>
      <c r="F13101">
        <v>1</v>
      </c>
    </row>
    <row r="13102" spans="1:6" x14ac:dyDescent="0.25">
      <c r="A13102">
        <v>13101</v>
      </c>
      <c r="B13102" t="s">
        <v>0</v>
      </c>
      <c r="C13102">
        <v>80</v>
      </c>
      <c r="D13102">
        <v>3501</v>
      </c>
      <c r="E13102">
        <v>80518975</v>
      </c>
    </row>
    <row r="13103" spans="1:6" x14ac:dyDescent="0.25">
      <c r="A13103">
        <v>13102</v>
      </c>
      <c r="B13103">
        <v>42</v>
      </c>
      <c r="C13103">
        <v>0</v>
      </c>
      <c r="D13103">
        <v>0</v>
      </c>
      <c r="E13103">
        <v>0</v>
      </c>
      <c r="F13103">
        <v>0.2</v>
      </c>
    </row>
    <row r="13104" spans="1:6" x14ac:dyDescent="0.25">
      <c r="A13104">
        <v>13103</v>
      </c>
      <c r="B13104">
        <v>43</v>
      </c>
      <c r="C13104">
        <v>0</v>
      </c>
      <c r="D13104">
        <v>0</v>
      </c>
      <c r="E13104">
        <v>0</v>
      </c>
      <c r="F13104">
        <v>0</v>
      </c>
    </row>
    <row r="13105" spans="1:6" x14ac:dyDescent="0.25">
      <c r="A13105">
        <v>13104</v>
      </c>
      <c r="B13105" t="s">
        <v>0</v>
      </c>
      <c r="C13105">
        <v>81</v>
      </c>
      <c r="D13105">
        <v>3501</v>
      </c>
      <c r="E13105">
        <v>80519113</v>
      </c>
    </row>
    <row r="13106" spans="1:6" x14ac:dyDescent="0.25">
      <c r="A13106">
        <v>13105</v>
      </c>
      <c r="B13106">
        <v>44</v>
      </c>
      <c r="C13106">
        <v>0</v>
      </c>
      <c r="D13106">
        <v>0</v>
      </c>
      <c r="E13106">
        <v>0</v>
      </c>
      <c r="F13106">
        <v>4.4192200000000001</v>
      </c>
    </row>
    <row r="13107" spans="1:6" x14ac:dyDescent="0.25">
      <c r="A13107">
        <v>13106</v>
      </c>
      <c r="B13107">
        <v>45</v>
      </c>
      <c r="C13107">
        <v>0</v>
      </c>
      <c r="D13107">
        <v>0</v>
      </c>
      <c r="E13107">
        <v>0</v>
      </c>
      <c r="F13107">
        <v>515.56299999999999</v>
      </c>
    </row>
    <row r="13108" spans="1:6" x14ac:dyDescent="0.25">
      <c r="A13108">
        <v>13107</v>
      </c>
      <c r="B13108" t="s">
        <v>0</v>
      </c>
      <c r="C13108">
        <v>82</v>
      </c>
      <c r="D13108">
        <v>3501</v>
      </c>
      <c r="E13108">
        <v>80519251</v>
      </c>
    </row>
    <row r="13109" spans="1:6" x14ac:dyDescent="0.25">
      <c r="A13109">
        <v>13108</v>
      </c>
      <c r="B13109">
        <v>2</v>
      </c>
      <c r="C13109">
        <v>0</v>
      </c>
      <c r="D13109">
        <v>0</v>
      </c>
      <c r="E13109">
        <v>0</v>
      </c>
      <c r="F13109">
        <v>241.03700000000001</v>
      </c>
    </row>
    <row r="13110" spans="1:6" x14ac:dyDescent="0.25">
      <c r="A13110">
        <v>13109</v>
      </c>
      <c r="B13110" t="s">
        <v>0</v>
      </c>
      <c r="C13110">
        <v>83</v>
      </c>
      <c r="D13110">
        <v>3501</v>
      </c>
      <c r="E13110">
        <v>80519389</v>
      </c>
    </row>
    <row r="13111" spans="1:6" x14ac:dyDescent="0.25">
      <c r="A13111">
        <v>13110</v>
      </c>
      <c r="B13111">
        <v>13</v>
      </c>
      <c r="C13111">
        <v>0</v>
      </c>
      <c r="D13111">
        <v>0</v>
      </c>
      <c r="E13111">
        <v>0</v>
      </c>
      <c r="F13111">
        <v>1611</v>
      </c>
    </row>
    <row r="13112" spans="1:6" x14ac:dyDescent="0.25">
      <c r="A13112">
        <v>13111</v>
      </c>
      <c r="B13112" t="s">
        <v>0</v>
      </c>
      <c r="C13112">
        <v>84</v>
      </c>
      <c r="D13112">
        <v>3501</v>
      </c>
      <c r="E13112">
        <v>80519527</v>
      </c>
    </row>
    <row r="13113" spans="1:6" x14ac:dyDescent="0.25">
      <c r="A13113">
        <v>13112</v>
      </c>
      <c r="B13113">
        <v>42</v>
      </c>
      <c r="C13113">
        <v>0</v>
      </c>
      <c r="D13113">
        <v>0</v>
      </c>
      <c r="E13113">
        <v>0</v>
      </c>
      <c r="F13113">
        <v>0.2</v>
      </c>
    </row>
    <row r="13114" spans="1:6" x14ac:dyDescent="0.25">
      <c r="A13114">
        <v>13113</v>
      </c>
      <c r="B13114" t="s">
        <v>0</v>
      </c>
      <c r="C13114">
        <v>85</v>
      </c>
      <c r="D13114">
        <v>3501</v>
      </c>
      <c r="E13114">
        <v>80519665</v>
      </c>
    </row>
    <row r="13115" spans="1:6" x14ac:dyDescent="0.25">
      <c r="A13115">
        <v>13114</v>
      </c>
      <c r="B13115">
        <v>44</v>
      </c>
      <c r="C13115">
        <v>0</v>
      </c>
      <c r="D13115">
        <v>0</v>
      </c>
      <c r="E13115">
        <v>0</v>
      </c>
      <c r="F13115">
        <v>4.5384099999999998</v>
      </c>
    </row>
    <row r="13116" spans="1:6" x14ac:dyDescent="0.25">
      <c r="A13116">
        <v>13115</v>
      </c>
      <c r="B13116" t="s">
        <v>0</v>
      </c>
      <c r="C13116">
        <v>86</v>
      </c>
      <c r="D13116">
        <v>3501</v>
      </c>
      <c r="E13116">
        <v>80519803</v>
      </c>
    </row>
    <row r="13117" spans="1:6" x14ac:dyDescent="0.25">
      <c r="A13117">
        <v>13116</v>
      </c>
      <c r="B13117">
        <v>46</v>
      </c>
      <c r="C13117">
        <v>0</v>
      </c>
      <c r="D13117">
        <v>0</v>
      </c>
      <c r="E13117">
        <v>0</v>
      </c>
      <c r="F13117">
        <v>0</v>
      </c>
    </row>
    <row r="13118" spans="1:6" x14ac:dyDescent="0.25">
      <c r="A13118">
        <v>13117</v>
      </c>
      <c r="B13118">
        <v>2</v>
      </c>
      <c r="C13118">
        <v>0</v>
      </c>
      <c r="D13118">
        <v>0</v>
      </c>
      <c r="E13118">
        <v>0</v>
      </c>
      <c r="F13118">
        <v>241.04300000000001</v>
      </c>
    </row>
    <row r="13119" spans="1:6" x14ac:dyDescent="0.25">
      <c r="A13119">
        <v>13118</v>
      </c>
      <c r="B13119">
        <v>10</v>
      </c>
      <c r="C13119">
        <v>1</v>
      </c>
      <c r="D13119">
        <v>0</v>
      </c>
      <c r="E13119">
        <v>0</v>
      </c>
      <c r="F13119">
        <v>5060</v>
      </c>
    </row>
    <row r="13120" spans="1:6" x14ac:dyDescent="0.25">
      <c r="A13120">
        <v>13119</v>
      </c>
      <c r="B13120">
        <v>13</v>
      </c>
      <c r="C13120">
        <v>0</v>
      </c>
      <c r="D13120">
        <v>0</v>
      </c>
      <c r="E13120">
        <v>0</v>
      </c>
      <c r="F13120">
        <v>1611</v>
      </c>
    </row>
    <row r="13121" spans="1:6" x14ac:dyDescent="0.25">
      <c r="A13121">
        <v>13120</v>
      </c>
      <c r="B13121">
        <v>41</v>
      </c>
      <c r="C13121">
        <v>0</v>
      </c>
      <c r="D13121">
        <v>0</v>
      </c>
      <c r="E13121">
        <v>0</v>
      </c>
      <c r="F13121">
        <v>1</v>
      </c>
    </row>
    <row r="13122" spans="1:6" x14ac:dyDescent="0.25">
      <c r="A13122">
        <v>13121</v>
      </c>
      <c r="B13122">
        <v>42</v>
      </c>
      <c r="C13122">
        <v>0</v>
      </c>
      <c r="D13122">
        <v>0</v>
      </c>
      <c r="E13122">
        <v>0</v>
      </c>
      <c r="F13122">
        <v>0.2</v>
      </c>
    </row>
    <row r="13123" spans="1:6" x14ac:dyDescent="0.25">
      <c r="A13123">
        <v>13122</v>
      </c>
      <c r="B13123">
        <v>43</v>
      </c>
      <c r="C13123">
        <v>0</v>
      </c>
      <c r="D13123">
        <v>0</v>
      </c>
      <c r="E13123">
        <v>0</v>
      </c>
      <c r="F13123">
        <v>0</v>
      </c>
    </row>
    <row r="13124" spans="1:6" x14ac:dyDescent="0.25">
      <c r="A13124">
        <v>13123</v>
      </c>
      <c r="B13124">
        <v>44</v>
      </c>
      <c r="C13124">
        <v>0</v>
      </c>
      <c r="D13124">
        <v>0</v>
      </c>
      <c r="E13124">
        <v>0</v>
      </c>
      <c r="F13124">
        <v>4.6833</v>
      </c>
    </row>
    <row r="13125" spans="1:6" x14ac:dyDescent="0.25">
      <c r="A13125">
        <v>13124</v>
      </c>
      <c r="B13125">
        <v>45</v>
      </c>
      <c r="C13125">
        <v>0</v>
      </c>
      <c r="D13125">
        <v>0</v>
      </c>
      <c r="E13125">
        <v>0</v>
      </c>
      <c r="F13125">
        <v>515.57000000000005</v>
      </c>
    </row>
    <row r="13126" spans="1:6" x14ac:dyDescent="0.25">
      <c r="A13126">
        <v>13125</v>
      </c>
      <c r="B13126">
        <v>46</v>
      </c>
      <c r="C13126">
        <v>0</v>
      </c>
      <c r="D13126">
        <v>0</v>
      </c>
      <c r="E13126">
        <v>0</v>
      </c>
      <c r="F13126">
        <v>0</v>
      </c>
    </row>
    <row r="13127" spans="1:6" x14ac:dyDescent="0.25">
      <c r="A13127">
        <v>13126</v>
      </c>
      <c r="B13127">
        <v>2</v>
      </c>
      <c r="C13127">
        <v>0</v>
      </c>
      <c r="D13127">
        <v>0</v>
      </c>
      <c r="E13127">
        <v>0</v>
      </c>
      <c r="F13127">
        <v>241.048</v>
      </c>
    </row>
    <row r="13128" spans="1:6" x14ac:dyDescent="0.25">
      <c r="A13128">
        <v>13127</v>
      </c>
      <c r="B13128">
        <v>10</v>
      </c>
      <c r="C13128">
        <v>1</v>
      </c>
      <c r="D13128">
        <v>0</v>
      </c>
      <c r="E13128">
        <v>0</v>
      </c>
      <c r="F13128">
        <v>5061</v>
      </c>
    </row>
    <row r="13129" spans="1:6" x14ac:dyDescent="0.25">
      <c r="A13129">
        <v>13128</v>
      </c>
      <c r="B13129" t="s">
        <v>0</v>
      </c>
      <c r="C13129">
        <v>92</v>
      </c>
      <c r="D13129">
        <v>3501</v>
      </c>
      <c r="E13129">
        <v>80520631</v>
      </c>
    </row>
    <row r="13130" spans="1:6" x14ac:dyDescent="0.25">
      <c r="A13130">
        <v>13129</v>
      </c>
      <c r="B13130">
        <v>13</v>
      </c>
      <c r="C13130">
        <v>0</v>
      </c>
      <c r="D13130">
        <v>0</v>
      </c>
      <c r="E13130">
        <v>0</v>
      </c>
      <c r="F13130">
        <v>1611</v>
      </c>
    </row>
    <row r="13131" spans="1:6" x14ac:dyDescent="0.25">
      <c r="A13131">
        <v>13130</v>
      </c>
      <c r="B13131">
        <v>41</v>
      </c>
      <c r="C13131">
        <v>0</v>
      </c>
      <c r="D13131">
        <v>0</v>
      </c>
      <c r="E13131">
        <v>0</v>
      </c>
      <c r="F13131">
        <v>1</v>
      </c>
    </row>
    <row r="13132" spans="1:6" x14ac:dyDescent="0.25">
      <c r="A13132">
        <v>13131</v>
      </c>
      <c r="B13132" t="s">
        <v>0</v>
      </c>
      <c r="C13132">
        <v>93</v>
      </c>
      <c r="D13132">
        <v>3501</v>
      </c>
      <c r="E13132">
        <v>80520769</v>
      </c>
    </row>
    <row r="13133" spans="1:6" x14ac:dyDescent="0.25">
      <c r="A13133">
        <v>13132</v>
      </c>
      <c r="B13133">
        <v>42</v>
      </c>
      <c r="C13133">
        <v>0</v>
      </c>
      <c r="D13133">
        <v>0</v>
      </c>
      <c r="E13133">
        <v>0</v>
      </c>
      <c r="F13133">
        <v>0.2</v>
      </c>
    </row>
    <row r="13134" spans="1:6" x14ac:dyDescent="0.25">
      <c r="A13134">
        <v>13133</v>
      </c>
      <c r="B13134">
        <v>43</v>
      </c>
      <c r="C13134">
        <v>0</v>
      </c>
      <c r="D13134">
        <v>0</v>
      </c>
      <c r="E13134">
        <v>0</v>
      </c>
      <c r="F13134">
        <v>0</v>
      </c>
    </row>
    <row r="13135" spans="1:6" x14ac:dyDescent="0.25">
      <c r="A13135">
        <v>13134</v>
      </c>
      <c r="B13135" t="s">
        <v>0</v>
      </c>
      <c r="C13135">
        <v>94</v>
      </c>
      <c r="D13135">
        <v>3501</v>
      </c>
      <c r="E13135">
        <v>80520907</v>
      </c>
    </row>
    <row r="13136" spans="1:6" x14ac:dyDescent="0.25">
      <c r="A13136">
        <v>13135</v>
      </c>
      <c r="B13136">
        <v>44</v>
      </c>
      <c r="C13136">
        <v>0</v>
      </c>
      <c r="D13136">
        <v>0</v>
      </c>
      <c r="E13136">
        <v>0</v>
      </c>
      <c r="F13136">
        <v>4.8533600000000003</v>
      </c>
    </row>
    <row r="13137" spans="1:6" x14ac:dyDescent="0.25">
      <c r="A13137">
        <v>13136</v>
      </c>
      <c r="B13137">
        <v>45</v>
      </c>
      <c r="C13137">
        <v>0</v>
      </c>
      <c r="D13137">
        <v>0</v>
      </c>
      <c r="E13137">
        <v>0</v>
      </c>
      <c r="F13137">
        <v>515.57299999999998</v>
      </c>
    </row>
    <row r="13138" spans="1:6" x14ac:dyDescent="0.25">
      <c r="A13138">
        <v>13137</v>
      </c>
      <c r="B13138" t="s">
        <v>0</v>
      </c>
      <c r="C13138">
        <v>95</v>
      </c>
      <c r="D13138">
        <v>3501</v>
      </c>
      <c r="E13138">
        <v>80521045</v>
      </c>
    </row>
    <row r="13139" spans="1:6" x14ac:dyDescent="0.25">
      <c r="A13139">
        <v>13138</v>
      </c>
      <c r="B13139">
        <v>46</v>
      </c>
      <c r="C13139">
        <v>0</v>
      </c>
      <c r="D13139">
        <v>0</v>
      </c>
      <c r="E13139">
        <v>0</v>
      </c>
      <c r="F13139">
        <v>0</v>
      </c>
    </row>
    <row r="13140" spans="1:6" x14ac:dyDescent="0.25">
      <c r="A13140">
        <v>13139</v>
      </c>
      <c r="B13140">
        <v>2</v>
      </c>
      <c r="C13140">
        <v>0</v>
      </c>
      <c r="D13140">
        <v>0</v>
      </c>
      <c r="E13140">
        <v>0</v>
      </c>
      <c r="F13140">
        <v>241.05199999999999</v>
      </c>
    </row>
    <row r="13141" spans="1:6" x14ac:dyDescent="0.25">
      <c r="A13141">
        <v>13140</v>
      </c>
      <c r="B13141" t="s">
        <v>0</v>
      </c>
      <c r="C13141">
        <v>96</v>
      </c>
      <c r="D13141">
        <v>3501</v>
      </c>
      <c r="E13141">
        <v>80521183</v>
      </c>
    </row>
    <row r="13142" spans="1:6" x14ac:dyDescent="0.25">
      <c r="A13142">
        <v>13141</v>
      </c>
      <c r="B13142">
        <v>10</v>
      </c>
      <c r="C13142">
        <v>1</v>
      </c>
      <c r="D13142">
        <v>0</v>
      </c>
      <c r="E13142">
        <v>0</v>
      </c>
      <c r="F13142">
        <v>5061</v>
      </c>
    </row>
    <row r="13143" spans="1:6" x14ac:dyDescent="0.25">
      <c r="A13143">
        <v>13142</v>
      </c>
      <c r="B13143">
        <v>13</v>
      </c>
      <c r="C13143">
        <v>0</v>
      </c>
      <c r="D13143">
        <v>0</v>
      </c>
      <c r="E13143">
        <v>0</v>
      </c>
      <c r="F13143">
        <v>1611</v>
      </c>
    </row>
    <row r="13144" spans="1:6" x14ac:dyDescent="0.25">
      <c r="A13144">
        <v>13143</v>
      </c>
      <c r="B13144" t="s">
        <v>0</v>
      </c>
      <c r="C13144">
        <v>97</v>
      </c>
      <c r="D13144">
        <v>3501</v>
      </c>
      <c r="E13144">
        <v>80521321</v>
      </c>
    </row>
    <row r="13145" spans="1:6" x14ac:dyDescent="0.25">
      <c r="A13145">
        <v>13144</v>
      </c>
      <c r="B13145">
        <v>42</v>
      </c>
      <c r="C13145">
        <v>0</v>
      </c>
      <c r="D13145">
        <v>0</v>
      </c>
      <c r="E13145">
        <v>0</v>
      </c>
      <c r="F13145">
        <v>0.2</v>
      </c>
    </row>
    <row r="13146" spans="1:6" x14ac:dyDescent="0.25">
      <c r="A13146">
        <v>13145</v>
      </c>
      <c r="B13146" t="s">
        <v>0</v>
      </c>
      <c r="C13146">
        <v>98</v>
      </c>
      <c r="D13146">
        <v>3501</v>
      </c>
      <c r="E13146">
        <v>80521459</v>
      </c>
    </row>
    <row r="13147" spans="1:6" x14ac:dyDescent="0.25">
      <c r="A13147">
        <v>13146</v>
      </c>
      <c r="B13147">
        <v>44</v>
      </c>
      <c r="C13147">
        <v>0</v>
      </c>
      <c r="D13147">
        <v>0</v>
      </c>
      <c r="E13147">
        <v>0</v>
      </c>
      <c r="F13147">
        <v>4.9750699999999997</v>
      </c>
    </row>
    <row r="13148" spans="1:6" x14ac:dyDescent="0.25">
      <c r="A13148">
        <v>13147</v>
      </c>
      <c r="B13148" t="s">
        <v>0</v>
      </c>
      <c r="C13148">
        <v>99</v>
      </c>
      <c r="D13148">
        <v>3501</v>
      </c>
      <c r="E13148">
        <v>80521596</v>
      </c>
    </row>
    <row r="13149" spans="1:6" x14ac:dyDescent="0.25">
      <c r="A13149">
        <v>13148</v>
      </c>
      <c r="B13149">
        <v>46</v>
      </c>
      <c r="C13149">
        <v>0</v>
      </c>
      <c r="D13149">
        <v>0</v>
      </c>
      <c r="E13149">
        <v>0</v>
      </c>
      <c r="F13149">
        <v>0</v>
      </c>
    </row>
    <row r="13150" spans="1:6" x14ac:dyDescent="0.25">
      <c r="A13150">
        <v>13149</v>
      </c>
      <c r="B13150" t="s">
        <v>0</v>
      </c>
      <c r="C13150">
        <v>100</v>
      </c>
      <c r="D13150">
        <v>3501</v>
      </c>
      <c r="E13150">
        <v>80521734</v>
      </c>
    </row>
    <row r="13151" spans="1:6" x14ac:dyDescent="0.25">
      <c r="A13151">
        <v>13150</v>
      </c>
      <c r="B13151">
        <v>10</v>
      </c>
      <c r="C13151">
        <v>1</v>
      </c>
      <c r="D13151">
        <v>0</v>
      </c>
      <c r="E13151">
        <v>0</v>
      </c>
      <c r="F13151">
        <v>5062</v>
      </c>
    </row>
    <row r="13152" spans="1:6" x14ac:dyDescent="0.25">
      <c r="A13152">
        <v>13151</v>
      </c>
      <c r="B13152" t="s">
        <v>0</v>
      </c>
      <c r="C13152">
        <v>101</v>
      </c>
      <c r="D13152">
        <v>3501</v>
      </c>
      <c r="E13152">
        <v>80521872</v>
      </c>
    </row>
    <row r="13153" spans="1:6" x14ac:dyDescent="0.25">
      <c r="A13153">
        <v>13152</v>
      </c>
      <c r="B13153">
        <v>41</v>
      </c>
      <c r="C13153">
        <v>0</v>
      </c>
      <c r="D13153">
        <v>0</v>
      </c>
      <c r="E13153">
        <v>0</v>
      </c>
      <c r="F13153">
        <v>1</v>
      </c>
    </row>
    <row r="13154" spans="1:6" x14ac:dyDescent="0.25">
      <c r="A13154">
        <v>13153</v>
      </c>
      <c r="B13154">
        <v>42</v>
      </c>
      <c r="C13154">
        <v>0</v>
      </c>
      <c r="D13154">
        <v>0</v>
      </c>
      <c r="E13154">
        <v>0</v>
      </c>
      <c r="F13154">
        <v>0.2</v>
      </c>
    </row>
    <row r="13155" spans="1:6" x14ac:dyDescent="0.25">
      <c r="A13155">
        <v>13154</v>
      </c>
      <c r="B13155">
        <v>43</v>
      </c>
      <c r="C13155">
        <v>0</v>
      </c>
      <c r="D13155">
        <v>0</v>
      </c>
      <c r="E13155">
        <v>0</v>
      </c>
      <c r="F13155">
        <v>0</v>
      </c>
    </row>
    <row r="13156" spans="1:6" x14ac:dyDescent="0.25">
      <c r="A13156">
        <v>13155</v>
      </c>
      <c r="B13156">
        <v>44</v>
      </c>
      <c r="C13156">
        <v>0</v>
      </c>
      <c r="D13156">
        <v>0</v>
      </c>
      <c r="E13156">
        <v>0</v>
      </c>
      <c r="F13156">
        <v>5.1227</v>
      </c>
    </row>
    <row r="13157" spans="1:6" x14ac:dyDescent="0.25">
      <c r="A13157">
        <v>13156</v>
      </c>
      <c r="B13157">
        <v>45</v>
      </c>
      <c r="C13157">
        <v>0</v>
      </c>
      <c r="D13157">
        <v>0</v>
      </c>
      <c r="E13157">
        <v>0</v>
      </c>
      <c r="F13157">
        <v>515.58000000000004</v>
      </c>
    </row>
    <row r="13158" spans="1:6" x14ac:dyDescent="0.25">
      <c r="A13158">
        <v>13157</v>
      </c>
      <c r="B13158">
        <v>46</v>
      </c>
      <c r="C13158">
        <v>0</v>
      </c>
      <c r="D13158">
        <v>0</v>
      </c>
      <c r="E13158">
        <v>0</v>
      </c>
      <c r="F13158">
        <v>0</v>
      </c>
    </row>
    <row r="13159" spans="1:6" x14ac:dyDescent="0.25">
      <c r="A13159">
        <v>13158</v>
      </c>
      <c r="B13159">
        <v>2</v>
      </c>
      <c r="C13159">
        <v>0</v>
      </c>
      <c r="D13159">
        <v>0</v>
      </c>
      <c r="E13159">
        <v>0</v>
      </c>
      <c r="F13159">
        <v>241.05799999999999</v>
      </c>
    </row>
    <row r="13160" spans="1:6" x14ac:dyDescent="0.25">
      <c r="A13160">
        <v>13159</v>
      </c>
      <c r="B13160">
        <v>10</v>
      </c>
      <c r="C13160">
        <v>1</v>
      </c>
      <c r="D13160">
        <v>0</v>
      </c>
      <c r="E13160">
        <v>0</v>
      </c>
      <c r="F13160">
        <v>5062</v>
      </c>
    </row>
    <row r="13161" spans="1:6" x14ac:dyDescent="0.25">
      <c r="A13161">
        <v>13160</v>
      </c>
      <c r="B13161">
        <v>13</v>
      </c>
      <c r="C13161">
        <v>0</v>
      </c>
      <c r="D13161">
        <v>0</v>
      </c>
      <c r="E13161">
        <v>0</v>
      </c>
      <c r="F13161">
        <v>1611</v>
      </c>
    </row>
    <row r="13162" spans="1:6" x14ac:dyDescent="0.25">
      <c r="A13162">
        <v>13161</v>
      </c>
      <c r="B13162">
        <v>41</v>
      </c>
      <c r="C13162">
        <v>0</v>
      </c>
      <c r="D13162">
        <v>0</v>
      </c>
      <c r="E13162">
        <v>0</v>
      </c>
      <c r="F13162">
        <v>1</v>
      </c>
    </row>
    <row r="13163" spans="1:6" x14ac:dyDescent="0.25">
      <c r="A13163">
        <v>13162</v>
      </c>
      <c r="B13163">
        <v>42</v>
      </c>
      <c r="C13163">
        <v>0</v>
      </c>
      <c r="D13163">
        <v>0</v>
      </c>
      <c r="E13163">
        <v>0</v>
      </c>
      <c r="F13163">
        <v>0.2</v>
      </c>
    </row>
    <row r="13164" spans="1:6" x14ac:dyDescent="0.25">
      <c r="A13164">
        <v>13163</v>
      </c>
      <c r="B13164">
        <v>43</v>
      </c>
      <c r="C13164">
        <v>0</v>
      </c>
      <c r="D13164">
        <v>0</v>
      </c>
      <c r="E13164">
        <v>0</v>
      </c>
      <c r="F13164">
        <v>0</v>
      </c>
    </row>
    <row r="13165" spans="1:6" x14ac:dyDescent="0.25">
      <c r="A13165">
        <v>13164</v>
      </c>
      <c r="B13165">
        <v>44</v>
      </c>
      <c r="C13165">
        <v>0</v>
      </c>
      <c r="D13165">
        <v>0</v>
      </c>
      <c r="E13165">
        <v>0</v>
      </c>
      <c r="F13165">
        <v>5.2703199999999999</v>
      </c>
    </row>
    <row r="13166" spans="1:6" x14ac:dyDescent="0.25">
      <c r="A13166">
        <v>13165</v>
      </c>
      <c r="B13166">
        <v>45</v>
      </c>
      <c r="C13166">
        <v>0</v>
      </c>
      <c r="D13166">
        <v>0</v>
      </c>
      <c r="E13166">
        <v>0</v>
      </c>
      <c r="F13166">
        <v>515.58399999999995</v>
      </c>
    </row>
    <row r="13167" spans="1:6" x14ac:dyDescent="0.25">
      <c r="A13167">
        <v>13166</v>
      </c>
      <c r="B13167" t="s">
        <v>0</v>
      </c>
      <c r="C13167">
        <v>108</v>
      </c>
      <c r="D13167">
        <v>3501</v>
      </c>
      <c r="E13167">
        <v>80522836</v>
      </c>
    </row>
    <row r="13168" spans="1:6" x14ac:dyDescent="0.25">
      <c r="A13168">
        <v>13167</v>
      </c>
      <c r="B13168">
        <v>46</v>
      </c>
      <c r="C13168">
        <v>0</v>
      </c>
      <c r="D13168">
        <v>0</v>
      </c>
      <c r="E13168">
        <v>0</v>
      </c>
      <c r="F13168">
        <v>0</v>
      </c>
    </row>
    <row r="13169" spans="1:6" x14ac:dyDescent="0.25">
      <c r="A13169">
        <v>13168</v>
      </c>
      <c r="B13169">
        <v>2</v>
      </c>
      <c r="C13169">
        <v>0</v>
      </c>
      <c r="D13169">
        <v>0</v>
      </c>
      <c r="E13169">
        <v>0</v>
      </c>
      <c r="F13169">
        <v>241.06</v>
      </c>
    </row>
    <row r="13170" spans="1:6" x14ac:dyDescent="0.25">
      <c r="A13170">
        <v>13169</v>
      </c>
      <c r="B13170" t="s">
        <v>0</v>
      </c>
      <c r="C13170">
        <v>109</v>
      </c>
      <c r="D13170">
        <v>3501</v>
      </c>
      <c r="E13170">
        <v>80522974</v>
      </c>
    </row>
    <row r="13171" spans="1:6" x14ac:dyDescent="0.25">
      <c r="A13171">
        <v>13170</v>
      </c>
      <c r="B13171">
        <v>10</v>
      </c>
      <c r="C13171">
        <v>1</v>
      </c>
      <c r="D13171">
        <v>0</v>
      </c>
      <c r="E13171">
        <v>0</v>
      </c>
      <c r="F13171">
        <v>5063</v>
      </c>
    </row>
    <row r="13172" spans="1:6" x14ac:dyDescent="0.25">
      <c r="A13172">
        <v>13171</v>
      </c>
      <c r="B13172">
        <v>13</v>
      </c>
      <c r="C13172">
        <v>0</v>
      </c>
      <c r="D13172">
        <v>0</v>
      </c>
      <c r="E13172">
        <v>0</v>
      </c>
      <c r="F13172">
        <v>1611</v>
      </c>
    </row>
    <row r="13173" spans="1:6" x14ac:dyDescent="0.25">
      <c r="A13173">
        <v>13172</v>
      </c>
      <c r="B13173" t="s">
        <v>0</v>
      </c>
      <c r="C13173">
        <v>110</v>
      </c>
      <c r="D13173">
        <v>3501</v>
      </c>
      <c r="E13173">
        <v>80523112</v>
      </c>
    </row>
    <row r="13174" spans="1:6" x14ac:dyDescent="0.25">
      <c r="A13174">
        <v>13173</v>
      </c>
      <c r="B13174">
        <v>41</v>
      </c>
      <c r="C13174">
        <v>0</v>
      </c>
      <c r="D13174">
        <v>0</v>
      </c>
      <c r="E13174">
        <v>0</v>
      </c>
      <c r="F13174">
        <v>1</v>
      </c>
    </row>
    <row r="13175" spans="1:6" x14ac:dyDescent="0.25">
      <c r="A13175">
        <v>13174</v>
      </c>
      <c r="B13175">
        <v>42</v>
      </c>
      <c r="C13175">
        <v>0</v>
      </c>
      <c r="D13175">
        <v>0</v>
      </c>
      <c r="E13175">
        <v>0</v>
      </c>
      <c r="F13175">
        <v>0.2</v>
      </c>
    </row>
    <row r="13176" spans="1:6" x14ac:dyDescent="0.25">
      <c r="A13176">
        <v>13175</v>
      </c>
      <c r="B13176" t="s">
        <v>0</v>
      </c>
      <c r="C13176">
        <v>111</v>
      </c>
      <c r="D13176">
        <v>3501</v>
      </c>
      <c r="E13176">
        <v>80523249</v>
      </c>
    </row>
    <row r="13177" spans="1:6" x14ac:dyDescent="0.25">
      <c r="A13177">
        <v>13176</v>
      </c>
      <c r="B13177">
        <v>43</v>
      </c>
      <c r="C13177">
        <v>0</v>
      </c>
      <c r="D13177">
        <v>0</v>
      </c>
      <c r="E13177">
        <v>0</v>
      </c>
      <c r="F13177">
        <v>0</v>
      </c>
    </row>
    <row r="13178" spans="1:6" x14ac:dyDescent="0.25">
      <c r="A13178">
        <v>13177</v>
      </c>
      <c r="B13178">
        <v>44</v>
      </c>
      <c r="C13178">
        <v>0</v>
      </c>
      <c r="D13178">
        <v>0</v>
      </c>
      <c r="E13178">
        <v>0</v>
      </c>
      <c r="F13178">
        <v>5.4187799999999999</v>
      </c>
    </row>
    <row r="13179" spans="1:6" x14ac:dyDescent="0.25">
      <c r="A13179">
        <v>13178</v>
      </c>
      <c r="B13179" t="s">
        <v>0</v>
      </c>
      <c r="C13179">
        <v>112</v>
      </c>
      <c r="D13179">
        <v>3501</v>
      </c>
      <c r="E13179">
        <v>80523387</v>
      </c>
    </row>
    <row r="13180" spans="1:6" x14ac:dyDescent="0.25">
      <c r="A13180">
        <v>13179</v>
      </c>
      <c r="B13180">
        <v>46</v>
      </c>
      <c r="C13180">
        <v>0</v>
      </c>
      <c r="D13180">
        <v>0</v>
      </c>
      <c r="E13180">
        <v>0</v>
      </c>
      <c r="F13180">
        <v>0</v>
      </c>
    </row>
    <row r="13181" spans="1:6" x14ac:dyDescent="0.25">
      <c r="A13181">
        <v>13180</v>
      </c>
      <c r="B13181" t="s">
        <v>0</v>
      </c>
      <c r="C13181">
        <v>113</v>
      </c>
      <c r="D13181">
        <v>3501</v>
      </c>
      <c r="E13181">
        <v>80523525</v>
      </c>
    </row>
    <row r="13182" spans="1:6" x14ac:dyDescent="0.25">
      <c r="A13182">
        <v>13181</v>
      </c>
      <c r="B13182">
        <v>10</v>
      </c>
      <c r="C13182">
        <v>1</v>
      </c>
      <c r="D13182">
        <v>0</v>
      </c>
      <c r="E13182">
        <v>0</v>
      </c>
      <c r="F13182">
        <v>5063</v>
      </c>
    </row>
    <row r="13183" spans="1:6" x14ac:dyDescent="0.25">
      <c r="A13183">
        <v>13182</v>
      </c>
      <c r="B13183" t="s">
        <v>0</v>
      </c>
      <c r="C13183">
        <v>114</v>
      </c>
      <c r="D13183">
        <v>3501</v>
      </c>
      <c r="E13183">
        <v>80523662</v>
      </c>
    </row>
    <row r="13184" spans="1:6" x14ac:dyDescent="0.25">
      <c r="A13184">
        <v>13183</v>
      </c>
      <c r="B13184">
        <v>41</v>
      </c>
      <c r="C13184">
        <v>0</v>
      </c>
      <c r="D13184">
        <v>0</v>
      </c>
      <c r="E13184">
        <v>0</v>
      </c>
      <c r="F13184">
        <v>1</v>
      </c>
    </row>
    <row r="13185" spans="1:6" x14ac:dyDescent="0.25">
      <c r="A13185">
        <v>13184</v>
      </c>
      <c r="B13185" t="s">
        <v>0</v>
      </c>
      <c r="C13185">
        <v>115</v>
      </c>
      <c r="D13185">
        <v>3501</v>
      </c>
      <c r="E13185">
        <v>80523800</v>
      </c>
    </row>
    <row r="13186" spans="1:6" x14ac:dyDescent="0.25">
      <c r="A13186">
        <v>13185</v>
      </c>
      <c r="B13186">
        <v>43</v>
      </c>
      <c r="C13186">
        <v>0</v>
      </c>
      <c r="D13186">
        <v>0</v>
      </c>
      <c r="E13186">
        <v>0</v>
      </c>
      <c r="F13186">
        <v>0</v>
      </c>
    </row>
    <row r="13187" spans="1:6" x14ac:dyDescent="0.25">
      <c r="A13187">
        <v>13186</v>
      </c>
      <c r="B13187" t="s">
        <v>0</v>
      </c>
      <c r="C13187">
        <v>116</v>
      </c>
      <c r="D13187">
        <v>3501</v>
      </c>
      <c r="E13187">
        <v>80523938</v>
      </c>
    </row>
    <row r="13188" spans="1:6" x14ac:dyDescent="0.25">
      <c r="A13188">
        <v>13187</v>
      </c>
      <c r="B13188">
        <v>45</v>
      </c>
      <c r="C13188">
        <v>0</v>
      </c>
      <c r="D13188">
        <v>0</v>
      </c>
      <c r="E13188">
        <v>0</v>
      </c>
      <c r="F13188">
        <v>515.59199999999998</v>
      </c>
    </row>
    <row r="13189" spans="1:6" x14ac:dyDescent="0.25">
      <c r="A13189">
        <v>13188</v>
      </c>
      <c r="B13189">
        <v>46</v>
      </c>
      <c r="C13189">
        <v>0</v>
      </c>
      <c r="D13189">
        <v>0</v>
      </c>
      <c r="E13189">
        <v>0</v>
      </c>
      <c r="F13189">
        <v>0</v>
      </c>
    </row>
    <row r="13190" spans="1:6" x14ac:dyDescent="0.25">
      <c r="A13190">
        <v>13189</v>
      </c>
      <c r="B13190">
        <v>2</v>
      </c>
      <c r="C13190">
        <v>0</v>
      </c>
      <c r="D13190">
        <v>0</v>
      </c>
      <c r="E13190">
        <v>0</v>
      </c>
      <c r="F13190">
        <v>241.06200000000001</v>
      </c>
    </row>
    <row r="13191" spans="1:6" x14ac:dyDescent="0.25">
      <c r="A13191">
        <v>13190</v>
      </c>
      <c r="B13191">
        <v>10</v>
      </c>
      <c r="C13191">
        <v>1</v>
      </c>
      <c r="D13191">
        <v>0</v>
      </c>
      <c r="E13191">
        <v>0</v>
      </c>
      <c r="F13191">
        <v>5064</v>
      </c>
    </row>
    <row r="13192" spans="1:6" x14ac:dyDescent="0.25">
      <c r="A13192">
        <v>13191</v>
      </c>
      <c r="B13192">
        <v>13</v>
      </c>
      <c r="C13192">
        <v>0</v>
      </c>
      <c r="D13192">
        <v>0</v>
      </c>
      <c r="E13192">
        <v>0</v>
      </c>
      <c r="F13192">
        <v>1611</v>
      </c>
    </row>
    <row r="13193" spans="1:6" x14ac:dyDescent="0.25">
      <c r="A13193">
        <v>13192</v>
      </c>
      <c r="B13193">
        <v>41</v>
      </c>
      <c r="C13193">
        <v>0</v>
      </c>
      <c r="D13193">
        <v>0</v>
      </c>
      <c r="E13193">
        <v>0</v>
      </c>
      <c r="F13193">
        <v>1</v>
      </c>
    </row>
    <row r="13194" spans="1:6" x14ac:dyDescent="0.25">
      <c r="A13194">
        <v>13193</v>
      </c>
      <c r="B13194">
        <v>42</v>
      </c>
      <c r="C13194">
        <v>0</v>
      </c>
      <c r="D13194">
        <v>0</v>
      </c>
      <c r="E13194">
        <v>0</v>
      </c>
      <c r="F13194">
        <v>0.2</v>
      </c>
    </row>
    <row r="13195" spans="1:6" x14ac:dyDescent="0.25">
      <c r="A13195">
        <v>13194</v>
      </c>
      <c r="B13195">
        <v>43</v>
      </c>
      <c r="C13195">
        <v>0</v>
      </c>
      <c r="D13195">
        <v>0</v>
      </c>
      <c r="E13195">
        <v>0</v>
      </c>
      <c r="F13195">
        <v>0</v>
      </c>
    </row>
    <row r="13196" spans="1:6" x14ac:dyDescent="0.25">
      <c r="A13196">
        <v>13195</v>
      </c>
      <c r="B13196">
        <v>44</v>
      </c>
      <c r="C13196">
        <v>0</v>
      </c>
      <c r="D13196">
        <v>0</v>
      </c>
      <c r="E13196">
        <v>0</v>
      </c>
      <c r="F13196">
        <v>5.7162600000000001</v>
      </c>
    </row>
    <row r="13197" spans="1:6" x14ac:dyDescent="0.25">
      <c r="A13197">
        <v>13196</v>
      </c>
      <c r="B13197">
        <v>45</v>
      </c>
      <c r="C13197">
        <v>0</v>
      </c>
      <c r="D13197">
        <v>0</v>
      </c>
      <c r="E13197">
        <v>0</v>
      </c>
      <c r="F13197">
        <v>515.596</v>
      </c>
    </row>
    <row r="13198" spans="1:6" x14ac:dyDescent="0.25">
      <c r="A13198">
        <v>13197</v>
      </c>
      <c r="B13198">
        <v>46</v>
      </c>
      <c r="C13198">
        <v>0</v>
      </c>
      <c r="D13198">
        <v>0</v>
      </c>
      <c r="E13198">
        <v>0</v>
      </c>
      <c r="F13198">
        <v>0</v>
      </c>
    </row>
    <row r="13199" spans="1:6" x14ac:dyDescent="0.25">
      <c r="A13199">
        <v>13198</v>
      </c>
      <c r="B13199">
        <v>2</v>
      </c>
      <c r="C13199">
        <v>0</v>
      </c>
      <c r="D13199">
        <v>0</v>
      </c>
      <c r="E13199">
        <v>0</v>
      </c>
      <c r="F13199">
        <v>241.06299999999999</v>
      </c>
    </row>
    <row r="13200" spans="1:6" x14ac:dyDescent="0.25">
      <c r="A13200">
        <v>13199</v>
      </c>
      <c r="B13200" t="s">
        <v>0</v>
      </c>
      <c r="C13200">
        <v>122</v>
      </c>
      <c r="D13200">
        <v>3501</v>
      </c>
      <c r="E13200">
        <v>80524765</v>
      </c>
    </row>
    <row r="13201" spans="1:6" x14ac:dyDescent="0.25">
      <c r="A13201">
        <v>13200</v>
      </c>
      <c r="B13201">
        <v>10</v>
      </c>
      <c r="C13201">
        <v>1</v>
      </c>
      <c r="D13201">
        <v>0</v>
      </c>
      <c r="E13201">
        <v>0</v>
      </c>
      <c r="F13201">
        <v>5064</v>
      </c>
    </row>
    <row r="13202" spans="1:6" x14ac:dyDescent="0.25">
      <c r="A13202">
        <v>13201</v>
      </c>
      <c r="B13202">
        <v>13</v>
      </c>
      <c r="C13202">
        <v>0</v>
      </c>
      <c r="D13202">
        <v>0</v>
      </c>
      <c r="E13202">
        <v>0</v>
      </c>
      <c r="F13202">
        <v>1611</v>
      </c>
    </row>
    <row r="13203" spans="1:6" x14ac:dyDescent="0.25">
      <c r="A13203">
        <v>13202</v>
      </c>
      <c r="B13203" t="s">
        <v>0</v>
      </c>
      <c r="C13203">
        <v>123</v>
      </c>
      <c r="D13203">
        <v>3501</v>
      </c>
      <c r="E13203">
        <v>80524902</v>
      </c>
    </row>
    <row r="13204" spans="1:6" x14ac:dyDescent="0.25">
      <c r="A13204">
        <v>13203</v>
      </c>
      <c r="B13204">
        <v>41</v>
      </c>
      <c r="C13204">
        <v>0</v>
      </c>
      <c r="D13204">
        <v>0</v>
      </c>
      <c r="E13204">
        <v>0</v>
      </c>
      <c r="F13204">
        <v>1</v>
      </c>
    </row>
    <row r="13205" spans="1:6" x14ac:dyDescent="0.25">
      <c r="A13205">
        <v>13204</v>
      </c>
      <c r="B13205">
        <v>42</v>
      </c>
      <c r="C13205">
        <v>0</v>
      </c>
      <c r="D13205">
        <v>0</v>
      </c>
      <c r="E13205">
        <v>0</v>
      </c>
      <c r="F13205">
        <v>0.2</v>
      </c>
    </row>
    <row r="13206" spans="1:6" x14ac:dyDescent="0.25">
      <c r="A13206">
        <v>13205</v>
      </c>
      <c r="B13206" t="s">
        <v>0</v>
      </c>
      <c r="C13206">
        <v>124</v>
      </c>
      <c r="D13206">
        <v>3501</v>
      </c>
      <c r="E13206">
        <v>80525040</v>
      </c>
    </row>
    <row r="13207" spans="1:6" x14ac:dyDescent="0.25">
      <c r="A13207">
        <v>13206</v>
      </c>
      <c r="B13207">
        <v>43</v>
      </c>
      <c r="C13207">
        <v>0</v>
      </c>
      <c r="D13207">
        <v>0</v>
      </c>
      <c r="E13207">
        <v>0</v>
      </c>
      <c r="F13207">
        <v>0</v>
      </c>
    </row>
    <row r="13208" spans="1:6" x14ac:dyDescent="0.25">
      <c r="A13208">
        <v>13207</v>
      </c>
      <c r="B13208">
        <v>44</v>
      </c>
      <c r="C13208">
        <v>0</v>
      </c>
      <c r="D13208">
        <v>0</v>
      </c>
      <c r="E13208">
        <v>0</v>
      </c>
      <c r="F13208">
        <v>5.8654799999999998</v>
      </c>
    </row>
    <row r="13209" spans="1:6" x14ac:dyDescent="0.25">
      <c r="A13209">
        <v>13208</v>
      </c>
      <c r="B13209" t="s">
        <v>0</v>
      </c>
      <c r="C13209">
        <v>125</v>
      </c>
      <c r="D13209">
        <v>3501</v>
      </c>
      <c r="E13209">
        <v>80525178</v>
      </c>
    </row>
    <row r="13210" spans="1:6" x14ac:dyDescent="0.25">
      <c r="A13210">
        <v>13209</v>
      </c>
      <c r="B13210">
        <v>45</v>
      </c>
      <c r="C13210">
        <v>0</v>
      </c>
      <c r="D13210">
        <v>0</v>
      </c>
      <c r="E13210">
        <v>0</v>
      </c>
      <c r="F13210">
        <v>515.601</v>
      </c>
    </row>
    <row r="13211" spans="1:6" x14ac:dyDescent="0.25">
      <c r="A13211">
        <v>13210</v>
      </c>
      <c r="B13211">
        <v>46</v>
      </c>
      <c r="C13211">
        <v>0</v>
      </c>
      <c r="D13211">
        <v>0</v>
      </c>
      <c r="E13211">
        <v>0</v>
      </c>
      <c r="F13211">
        <v>0</v>
      </c>
    </row>
    <row r="13212" spans="1:6" x14ac:dyDescent="0.25">
      <c r="A13212">
        <v>13211</v>
      </c>
      <c r="B13212" t="s">
        <v>0</v>
      </c>
      <c r="C13212">
        <v>126</v>
      </c>
      <c r="D13212">
        <v>3501</v>
      </c>
      <c r="E13212">
        <v>80525315</v>
      </c>
    </row>
    <row r="13213" spans="1:6" x14ac:dyDescent="0.25">
      <c r="A13213">
        <v>13212</v>
      </c>
      <c r="B13213">
        <v>2</v>
      </c>
      <c r="C13213">
        <v>0</v>
      </c>
      <c r="D13213">
        <v>0</v>
      </c>
      <c r="E13213">
        <v>0</v>
      </c>
      <c r="F13213">
        <v>241.06399999999999</v>
      </c>
    </row>
    <row r="13214" spans="1:6" x14ac:dyDescent="0.25">
      <c r="A13214">
        <v>13213</v>
      </c>
      <c r="B13214">
        <v>10</v>
      </c>
      <c r="C13214">
        <v>1</v>
      </c>
      <c r="D13214">
        <v>0</v>
      </c>
      <c r="E13214">
        <v>0</v>
      </c>
      <c r="F13214">
        <v>5065</v>
      </c>
    </row>
    <row r="13215" spans="1:6" x14ac:dyDescent="0.25">
      <c r="A13215">
        <v>13214</v>
      </c>
      <c r="B13215" t="s">
        <v>0</v>
      </c>
      <c r="C13215">
        <v>127</v>
      </c>
      <c r="D13215">
        <v>3501</v>
      </c>
      <c r="E13215">
        <v>80525453</v>
      </c>
    </row>
    <row r="13216" spans="1:6" x14ac:dyDescent="0.25">
      <c r="A13216">
        <v>13215</v>
      </c>
      <c r="B13216">
        <v>41</v>
      </c>
      <c r="C13216">
        <v>0</v>
      </c>
      <c r="D13216">
        <v>0</v>
      </c>
      <c r="E13216">
        <v>0</v>
      </c>
      <c r="F13216">
        <v>1</v>
      </c>
    </row>
    <row r="13217" spans="1:6" x14ac:dyDescent="0.25">
      <c r="A13217">
        <v>13216</v>
      </c>
      <c r="B13217" t="s">
        <v>0</v>
      </c>
      <c r="C13217">
        <v>128</v>
      </c>
      <c r="D13217">
        <v>3501</v>
      </c>
      <c r="E13217">
        <v>80525591</v>
      </c>
    </row>
    <row r="13218" spans="1:6" x14ac:dyDescent="0.25">
      <c r="A13218">
        <v>13217</v>
      </c>
      <c r="B13218">
        <v>43</v>
      </c>
      <c r="C13218">
        <v>0</v>
      </c>
      <c r="D13218">
        <v>0</v>
      </c>
      <c r="E13218">
        <v>0</v>
      </c>
      <c r="F13218">
        <v>0</v>
      </c>
    </row>
    <row r="13219" spans="1:6" x14ac:dyDescent="0.25">
      <c r="A13219">
        <v>13218</v>
      </c>
      <c r="B13219" t="s">
        <v>0</v>
      </c>
      <c r="C13219">
        <v>129</v>
      </c>
      <c r="D13219">
        <v>3501</v>
      </c>
      <c r="E13219">
        <v>80525728</v>
      </c>
    </row>
    <row r="13220" spans="1:6" x14ac:dyDescent="0.25">
      <c r="A13220">
        <v>13219</v>
      </c>
      <c r="B13220">
        <v>45</v>
      </c>
      <c r="C13220">
        <v>0</v>
      </c>
      <c r="D13220">
        <v>0</v>
      </c>
      <c r="E13220">
        <v>0</v>
      </c>
      <c r="F13220">
        <v>515.60500000000002</v>
      </c>
    </row>
    <row r="13221" spans="1:6" x14ac:dyDescent="0.25">
      <c r="A13221">
        <v>13220</v>
      </c>
      <c r="B13221" t="s">
        <v>0</v>
      </c>
      <c r="C13221">
        <v>130</v>
      </c>
      <c r="D13221">
        <v>3501</v>
      </c>
      <c r="E13221">
        <v>80525866</v>
      </c>
    </row>
    <row r="13222" spans="1:6" x14ac:dyDescent="0.25">
      <c r="A13222">
        <v>13221</v>
      </c>
      <c r="B13222">
        <v>2</v>
      </c>
      <c r="C13222">
        <v>0</v>
      </c>
      <c r="D13222">
        <v>0</v>
      </c>
      <c r="E13222">
        <v>0</v>
      </c>
      <c r="F13222">
        <v>241.065</v>
      </c>
    </row>
    <row r="13223" spans="1:6" x14ac:dyDescent="0.25">
      <c r="A13223">
        <v>13222</v>
      </c>
      <c r="B13223" t="s">
        <v>0</v>
      </c>
      <c r="C13223">
        <v>131</v>
      </c>
      <c r="D13223">
        <v>3501</v>
      </c>
      <c r="E13223">
        <v>80526004</v>
      </c>
    </row>
    <row r="13224" spans="1:6" x14ac:dyDescent="0.25">
      <c r="A13224">
        <v>13223</v>
      </c>
      <c r="B13224">
        <v>10</v>
      </c>
      <c r="C13224">
        <v>1</v>
      </c>
      <c r="D13224">
        <v>0</v>
      </c>
      <c r="E13224">
        <v>0</v>
      </c>
      <c r="F13224">
        <v>5065</v>
      </c>
    </row>
    <row r="13225" spans="1:6" x14ac:dyDescent="0.25">
      <c r="A13225">
        <v>13224</v>
      </c>
      <c r="B13225">
        <v>13</v>
      </c>
      <c r="C13225">
        <v>0</v>
      </c>
      <c r="D13225">
        <v>0</v>
      </c>
      <c r="E13225">
        <v>0</v>
      </c>
      <c r="F13225">
        <v>1611</v>
      </c>
    </row>
    <row r="13226" spans="1:6" x14ac:dyDescent="0.25">
      <c r="A13226">
        <v>13225</v>
      </c>
      <c r="B13226">
        <v>41</v>
      </c>
      <c r="C13226">
        <v>0</v>
      </c>
      <c r="D13226">
        <v>0</v>
      </c>
      <c r="E13226">
        <v>0</v>
      </c>
      <c r="F13226">
        <v>1</v>
      </c>
    </row>
    <row r="13227" spans="1:6" x14ac:dyDescent="0.25">
      <c r="A13227">
        <v>13226</v>
      </c>
      <c r="B13227">
        <v>42</v>
      </c>
      <c r="C13227">
        <v>0</v>
      </c>
      <c r="D13227">
        <v>0</v>
      </c>
      <c r="E13227">
        <v>0</v>
      </c>
      <c r="F13227">
        <v>0.2</v>
      </c>
    </row>
    <row r="13228" spans="1:6" x14ac:dyDescent="0.25">
      <c r="A13228">
        <v>13227</v>
      </c>
      <c r="B13228">
        <v>43</v>
      </c>
      <c r="C13228">
        <v>0</v>
      </c>
      <c r="D13228">
        <v>0</v>
      </c>
      <c r="E13228">
        <v>0</v>
      </c>
      <c r="F13228">
        <v>0</v>
      </c>
    </row>
    <row r="13229" spans="1:6" x14ac:dyDescent="0.25">
      <c r="A13229">
        <v>13228</v>
      </c>
      <c r="B13229">
        <v>44</v>
      </c>
      <c r="C13229">
        <v>0</v>
      </c>
      <c r="D13229">
        <v>0</v>
      </c>
      <c r="E13229">
        <v>0</v>
      </c>
      <c r="F13229">
        <v>6.16411</v>
      </c>
    </row>
    <row r="13230" spans="1:6" x14ac:dyDescent="0.25">
      <c r="A13230">
        <v>13229</v>
      </c>
      <c r="B13230">
        <v>45</v>
      </c>
      <c r="C13230">
        <v>0</v>
      </c>
      <c r="D13230">
        <v>0</v>
      </c>
      <c r="E13230">
        <v>0</v>
      </c>
      <c r="F13230">
        <v>515.61</v>
      </c>
    </row>
    <row r="13231" spans="1:6" x14ac:dyDescent="0.25">
      <c r="A13231">
        <v>13230</v>
      </c>
      <c r="B13231">
        <v>46</v>
      </c>
      <c r="C13231">
        <v>0</v>
      </c>
      <c r="D13231">
        <v>0</v>
      </c>
      <c r="E13231">
        <v>0</v>
      </c>
      <c r="F13231">
        <v>0</v>
      </c>
    </row>
    <row r="13232" spans="1:6" x14ac:dyDescent="0.25">
      <c r="A13232">
        <v>13231</v>
      </c>
      <c r="B13232">
        <v>2</v>
      </c>
      <c r="C13232">
        <v>0</v>
      </c>
      <c r="D13232">
        <v>0</v>
      </c>
      <c r="E13232">
        <v>0</v>
      </c>
      <c r="F13232">
        <v>241.066</v>
      </c>
    </row>
    <row r="13233" spans="1:6" x14ac:dyDescent="0.25">
      <c r="A13233">
        <v>13232</v>
      </c>
      <c r="B13233">
        <v>10</v>
      </c>
      <c r="C13233">
        <v>1</v>
      </c>
      <c r="D13233">
        <v>0</v>
      </c>
      <c r="E13233">
        <v>0</v>
      </c>
      <c r="F13233">
        <v>5066</v>
      </c>
    </row>
    <row r="13234" spans="1:6" x14ac:dyDescent="0.25">
      <c r="A13234">
        <v>13233</v>
      </c>
      <c r="B13234">
        <v>13</v>
      </c>
      <c r="C13234">
        <v>0</v>
      </c>
      <c r="D13234">
        <v>0</v>
      </c>
      <c r="E13234">
        <v>0</v>
      </c>
      <c r="F13234">
        <v>1611</v>
      </c>
    </row>
    <row r="13235" spans="1:6" x14ac:dyDescent="0.25">
      <c r="A13235">
        <v>13234</v>
      </c>
      <c r="B13235">
        <v>41</v>
      </c>
      <c r="C13235">
        <v>0</v>
      </c>
      <c r="D13235">
        <v>0</v>
      </c>
      <c r="E13235">
        <v>0</v>
      </c>
      <c r="F13235">
        <v>1</v>
      </c>
    </row>
    <row r="13236" spans="1:6" x14ac:dyDescent="0.25">
      <c r="A13236">
        <v>13235</v>
      </c>
      <c r="B13236" t="s">
        <v>0</v>
      </c>
      <c r="C13236">
        <v>137</v>
      </c>
      <c r="D13236">
        <v>3501</v>
      </c>
      <c r="E13236">
        <v>80526830</v>
      </c>
    </row>
    <row r="13237" spans="1:6" x14ac:dyDescent="0.25">
      <c r="A13237">
        <v>13236</v>
      </c>
      <c r="B13237">
        <v>42</v>
      </c>
      <c r="C13237">
        <v>0</v>
      </c>
      <c r="D13237">
        <v>0</v>
      </c>
      <c r="E13237">
        <v>0</v>
      </c>
      <c r="F13237">
        <v>0.2</v>
      </c>
    </row>
    <row r="13238" spans="1:6" x14ac:dyDescent="0.25">
      <c r="A13238">
        <v>13237</v>
      </c>
      <c r="B13238">
        <v>43</v>
      </c>
      <c r="C13238">
        <v>0</v>
      </c>
      <c r="D13238">
        <v>0</v>
      </c>
      <c r="E13238">
        <v>0</v>
      </c>
      <c r="F13238">
        <v>0</v>
      </c>
    </row>
    <row r="13239" spans="1:6" x14ac:dyDescent="0.25">
      <c r="A13239">
        <v>13238</v>
      </c>
      <c r="B13239" t="s">
        <v>0</v>
      </c>
      <c r="C13239">
        <v>138</v>
      </c>
      <c r="D13239">
        <v>3501</v>
      </c>
      <c r="E13239">
        <v>80526967</v>
      </c>
    </row>
    <row r="13240" spans="1:6" x14ac:dyDescent="0.25">
      <c r="A13240">
        <v>13239</v>
      </c>
      <c r="B13240">
        <v>44</v>
      </c>
      <c r="C13240">
        <v>0</v>
      </c>
      <c r="D13240">
        <v>0</v>
      </c>
      <c r="E13240">
        <v>0</v>
      </c>
      <c r="F13240">
        <v>6.3383799999999999</v>
      </c>
    </row>
    <row r="13241" spans="1:6" x14ac:dyDescent="0.25">
      <c r="A13241">
        <v>13240</v>
      </c>
      <c r="B13241">
        <v>45</v>
      </c>
      <c r="C13241">
        <v>0</v>
      </c>
      <c r="D13241">
        <v>0</v>
      </c>
      <c r="E13241">
        <v>0</v>
      </c>
      <c r="F13241">
        <v>515.61400000000003</v>
      </c>
    </row>
    <row r="13242" spans="1:6" x14ac:dyDescent="0.25">
      <c r="A13242">
        <v>13241</v>
      </c>
      <c r="B13242" t="s">
        <v>0</v>
      </c>
      <c r="C13242">
        <v>139</v>
      </c>
      <c r="D13242">
        <v>3501</v>
      </c>
      <c r="E13242">
        <v>80527105</v>
      </c>
    </row>
    <row r="13243" spans="1:6" x14ac:dyDescent="0.25">
      <c r="A13243">
        <v>13242</v>
      </c>
      <c r="B13243">
        <v>46</v>
      </c>
      <c r="C13243">
        <v>0</v>
      </c>
      <c r="D13243">
        <v>0</v>
      </c>
      <c r="E13243">
        <v>0</v>
      </c>
      <c r="F13243">
        <v>0</v>
      </c>
    </row>
    <row r="13244" spans="1:6" x14ac:dyDescent="0.25">
      <c r="A13244">
        <v>13243</v>
      </c>
      <c r="B13244">
        <v>2</v>
      </c>
      <c r="C13244">
        <v>0</v>
      </c>
      <c r="D13244">
        <v>0</v>
      </c>
      <c r="E13244">
        <v>0</v>
      </c>
      <c r="F13244">
        <v>241.066</v>
      </c>
    </row>
    <row r="13245" spans="1:6" x14ac:dyDescent="0.25">
      <c r="A13245">
        <v>13244</v>
      </c>
      <c r="B13245" t="s">
        <v>0</v>
      </c>
      <c r="C13245">
        <v>140</v>
      </c>
      <c r="D13245">
        <v>3501</v>
      </c>
      <c r="E13245">
        <v>80527243</v>
      </c>
    </row>
    <row r="13246" spans="1:6" x14ac:dyDescent="0.25">
      <c r="A13246">
        <v>13245</v>
      </c>
      <c r="B13246">
        <v>10</v>
      </c>
      <c r="C13246">
        <v>1</v>
      </c>
      <c r="D13246">
        <v>0</v>
      </c>
      <c r="E13246">
        <v>0</v>
      </c>
      <c r="F13246">
        <v>5066</v>
      </c>
    </row>
    <row r="13247" spans="1:6" x14ac:dyDescent="0.25">
      <c r="A13247">
        <v>13246</v>
      </c>
      <c r="B13247">
        <v>13</v>
      </c>
      <c r="C13247">
        <v>0</v>
      </c>
      <c r="D13247">
        <v>0</v>
      </c>
      <c r="E13247">
        <v>0</v>
      </c>
      <c r="F13247">
        <v>1611</v>
      </c>
    </row>
    <row r="13248" spans="1:6" x14ac:dyDescent="0.25">
      <c r="A13248">
        <v>13247</v>
      </c>
      <c r="B13248" t="s">
        <v>0</v>
      </c>
      <c r="C13248">
        <v>141</v>
      </c>
      <c r="D13248">
        <v>3501</v>
      </c>
      <c r="E13248">
        <v>80527380</v>
      </c>
    </row>
    <row r="13249" spans="1:6" x14ac:dyDescent="0.25">
      <c r="A13249">
        <v>13248</v>
      </c>
      <c r="B13249">
        <v>42</v>
      </c>
      <c r="C13249">
        <v>0</v>
      </c>
      <c r="D13249">
        <v>0</v>
      </c>
      <c r="E13249">
        <v>0</v>
      </c>
      <c r="F13249">
        <v>0.2</v>
      </c>
    </row>
    <row r="13250" spans="1:6" x14ac:dyDescent="0.25">
      <c r="A13250">
        <v>13249</v>
      </c>
      <c r="B13250" t="s">
        <v>0</v>
      </c>
      <c r="C13250">
        <v>142</v>
      </c>
      <c r="D13250">
        <v>3501</v>
      </c>
      <c r="E13250">
        <v>80527518</v>
      </c>
    </row>
    <row r="13251" spans="1:6" x14ac:dyDescent="0.25">
      <c r="A13251">
        <v>13250</v>
      </c>
      <c r="B13251">
        <v>44</v>
      </c>
      <c r="C13251">
        <v>0</v>
      </c>
      <c r="D13251">
        <v>0</v>
      </c>
      <c r="E13251">
        <v>0</v>
      </c>
      <c r="F13251">
        <v>6.4878200000000001</v>
      </c>
    </row>
    <row r="13252" spans="1:6" x14ac:dyDescent="0.25">
      <c r="A13252">
        <v>13251</v>
      </c>
      <c r="B13252" t="s">
        <v>0</v>
      </c>
      <c r="C13252">
        <v>143</v>
      </c>
      <c r="D13252">
        <v>3501</v>
      </c>
      <c r="E13252">
        <v>80527656</v>
      </c>
    </row>
    <row r="13253" spans="1:6" x14ac:dyDescent="0.25">
      <c r="A13253">
        <v>13252</v>
      </c>
      <c r="B13253">
        <v>46</v>
      </c>
      <c r="C13253">
        <v>0</v>
      </c>
      <c r="D13253">
        <v>0</v>
      </c>
      <c r="E13253">
        <v>0</v>
      </c>
      <c r="F13253">
        <v>0</v>
      </c>
    </row>
    <row r="13254" spans="1:6" x14ac:dyDescent="0.25">
      <c r="A13254">
        <v>13253</v>
      </c>
      <c r="B13254" t="s">
        <v>0</v>
      </c>
      <c r="C13254">
        <v>144</v>
      </c>
      <c r="D13254">
        <v>3501</v>
      </c>
      <c r="E13254">
        <v>80527793</v>
      </c>
    </row>
    <row r="13255" spans="1:6" x14ac:dyDescent="0.25">
      <c r="A13255">
        <v>13254</v>
      </c>
      <c r="B13255">
        <v>10</v>
      </c>
      <c r="C13255">
        <v>1</v>
      </c>
      <c r="D13255">
        <v>0</v>
      </c>
      <c r="E13255">
        <v>0</v>
      </c>
      <c r="F13255">
        <v>5067</v>
      </c>
    </row>
    <row r="13256" spans="1:6" x14ac:dyDescent="0.25">
      <c r="A13256">
        <v>13255</v>
      </c>
      <c r="B13256" t="s">
        <v>0</v>
      </c>
      <c r="C13256">
        <v>145</v>
      </c>
      <c r="D13256">
        <v>3501</v>
      </c>
      <c r="E13256">
        <v>80527931</v>
      </c>
    </row>
    <row r="13257" spans="1:6" x14ac:dyDescent="0.25">
      <c r="A13257">
        <v>13256</v>
      </c>
      <c r="B13257">
        <v>41</v>
      </c>
      <c r="C13257">
        <v>0</v>
      </c>
      <c r="D13257">
        <v>0</v>
      </c>
      <c r="E13257">
        <v>0</v>
      </c>
      <c r="F13257">
        <v>1</v>
      </c>
    </row>
    <row r="13258" spans="1:6" x14ac:dyDescent="0.25">
      <c r="A13258">
        <v>13257</v>
      </c>
      <c r="B13258">
        <v>42</v>
      </c>
      <c r="C13258">
        <v>0</v>
      </c>
      <c r="D13258">
        <v>0</v>
      </c>
      <c r="E13258">
        <v>0</v>
      </c>
      <c r="F13258">
        <v>0.2</v>
      </c>
    </row>
    <row r="13259" spans="1:6" x14ac:dyDescent="0.25">
      <c r="A13259">
        <v>13258</v>
      </c>
      <c r="B13259">
        <v>43</v>
      </c>
      <c r="C13259">
        <v>0</v>
      </c>
      <c r="D13259">
        <v>0</v>
      </c>
      <c r="E13259">
        <v>0</v>
      </c>
      <c r="F13259">
        <v>0</v>
      </c>
    </row>
    <row r="13260" spans="1:6" x14ac:dyDescent="0.25">
      <c r="A13260">
        <v>13259</v>
      </c>
      <c r="B13260">
        <v>44</v>
      </c>
      <c r="C13260">
        <v>0</v>
      </c>
      <c r="D13260">
        <v>0</v>
      </c>
      <c r="E13260">
        <v>0</v>
      </c>
      <c r="F13260">
        <v>6.6126399999999999</v>
      </c>
    </row>
    <row r="13261" spans="1:6" x14ac:dyDescent="0.25">
      <c r="A13261">
        <v>13260</v>
      </c>
      <c r="B13261">
        <v>45</v>
      </c>
      <c r="C13261">
        <v>0</v>
      </c>
      <c r="D13261">
        <v>0</v>
      </c>
      <c r="E13261">
        <v>0</v>
      </c>
      <c r="F13261">
        <v>515.62400000000002</v>
      </c>
    </row>
    <row r="13262" spans="1:6" x14ac:dyDescent="0.25">
      <c r="A13262">
        <v>13261</v>
      </c>
      <c r="B13262">
        <v>46</v>
      </c>
      <c r="C13262">
        <v>0</v>
      </c>
      <c r="D13262">
        <v>0</v>
      </c>
      <c r="E13262">
        <v>0</v>
      </c>
      <c r="F13262">
        <v>0</v>
      </c>
    </row>
    <row r="13263" spans="1:6" x14ac:dyDescent="0.25">
      <c r="A13263">
        <v>13262</v>
      </c>
      <c r="B13263">
        <v>2</v>
      </c>
      <c r="C13263">
        <v>0</v>
      </c>
      <c r="D13263">
        <v>0</v>
      </c>
      <c r="E13263">
        <v>0</v>
      </c>
      <c r="F13263">
        <v>241.06700000000001</v>
      </c>
    </row>
    <row r="13264" spans="1:6" x14ac:dyDescent="0.25">
      <c r="A13264">
        <v>13263</v>
      </c>
      <c r="B13264">
        <v>10</v>
      </c>
      <c r="C13264">
        <v>1</v>
      </c>
      <c r="D13264">
        <v>0</v>
      </c>
      <c r="E13264">
        <v>0</v>
      </c>
      <c r="F13264">
        <v>5067</v>
      </c>
    </row>
    <row r="13265" spans="1:6" x14ac:dyDescent="0.25">
      <c r="A13265">
        <v>13264</v>
      </c>
      <c r="B13265">
        <v>13</v>
      </c>
      <c r="C13265">
        <v>0</v>
      </c>
      <c r="D13265">
        <v>0</v>
      </c>
      <c r="E13265">
        <v>0</v>
      </c>
      <c r="F13265">
        <v>1611</v>
      </c>
    </row>
    <row r="13266" spans="1:6" x14ac:dyDescent="0.25">
      <c r="A13266">
        <v>13265</v>
      </c>
      <c r="B13266">
        <v>41</v>
      </c>
      <c r="C13266">
        <v>0</v>
      </c>
      <c r="D13266">
        <v>0</v>
      </c>
      <c r="E13266">
        <v>0</v>
      </c>
      <c r="F13266">
        <v>1</v>
      </c>
    </row>
    <row r="13267" spans="1:6" x14ac:dyDescent="0.25">
      <c r="A13267">
        <v>13266</v>
      </c>
      <c r="B13267">
        <v>42</v>
      </c>
      <c r="C13267">
        <v>0</v>
      </c>
      <c r="D13267">
        <v>0</v>
      </c>
      <c r="E13267">
        <v>0</v>
      </c>
      <c r="F13267">
        <v>0.2</v>
      </c>
    </row>
    <row r="13268" spans="1:6" x14ac:dyDescent="0.25">
      <c r="A13268">
        <v>13267</v>
      </c>
      <c r="B13268">
        <v>43</v>
      </c>
      <c r="C13268">
        <v>0</v>
      </c>
      <c r="D13268">
        <v>0</v>
      </c>
      <c r="E13268">
        <v>0</v>
      </c>
      <c r="F13268">
        <v>0</v>
      </c>
    </row>
    <row r="13269" spans="1:6" x14ac:dyDescent="0.25">
      <c r="A13269">
        <v>13268</v>
      </c>
      <c r="B13269" t="s">
        <v>0</v>
      </c>
      <c r="C13269">
        <v>151</v>
      </c>
      <c r="D13269">
        <v>3501</v>
      </c>
      <c r="E13269">
        <v>80528757</v>
      </c>
    </row>
    <row r="13270" spans="1:6" x14ac:dyDescent="0.25">
      <c r="A13270">
        <v>13269</v>
      </c>
      <c r="B13270">
        <v>44</v>
      </c>
      <c r="C13270">
        <v>0</v>
      </c>
      <c r="D13270">
        <v>0</v>
      </c>
      <c r="E13270">
        <v>0</v>
      </c>
      <c r="F13270">
        <v>6.7874800000000004</v>
      </c>
    </row>
    <row r="13271" spans="1:6" x14ac:dyDescent="0.25">
      <c r="A13271">
        <v>13270</v>
      </c>
      <c r="B13271">
        <v>45</v>
      </c>
      <c r="C13271">
        <v>0</v>
      </c>
      <c r="D13271">
        <v>0</v>
      </c>
      <c r="E13271">
        <v>0</v>
      </c>
      <c r="F13271">
        <v>515.62800000000004</v>
      </c>
    </row>
    <row r="13272" spans="1:6" x14ac:dyDescent="0.25">
      <c r="A13272">
        <v>13271</v>
      </c>
      <c r="B13272" t="s">
        <v>0</v>
      </c>
      <c r="C13272">
        <v>152</v>
      </c>
      <c r="D13272">
        <v>3501</v>
      </c>
      <c r="E13272">
        <v>80528895</v>
      </c>
    </row>
    <row r="13273" spans="1:6" x14ac:dyDescent="0.25">
      <c r="A13273">
        <v>13272</v>
      </c>
      <c r="B13273">
        <v>46</v>
      </c>
      <c r="C13273">
        <v>0</v>
      </c>
      <c r="D13273">
        <v>0</v>
      </c>
      <c r="E13273">
        <v>0</v>
      </c>
      <c r="F13273">
        <v>0</v>
      </c>
    </row>
    <row r="13274" spans="1:6" x14ac:dyDescent="0.25">
      <c r="A13274">
        <v>13273</v>
      </c>
      <c r="B13274">
        <v>2</v>
      </c>
      <c r="C13274">
        <v>0</v>
      </c>
      <c r="D13274">
        <v>0</v>
      </c>
      <c r="E13274">
        <v>0</v>
      </c>
      <c r="F13274">
        <v>241.06700000000001</v>
      </c>
    </row>
    <row r="13275" spans="1:6" x14ac:dyDescent="0.25">
      <c r="A13275">
        <v>13274</v>
      </c>
      <c r="B13275" t="s">
        <v>0</v>
      </c>
      <c r="C13275">
        <v>153</v>
      </c>
      <c r="D13275">
        <v>3501</v>
      </c>
      <c r="E13275">
        <v>80529032</v>
      </c>
    </row>
    <row r="13276" spans="1:6" x14ac:dyDescent="0.25">
      <c r="A13276">
        <v>13275</v>
      </c>
      <c r="B13276">
        <v>10</v>
      </c>
      <c r="C13276">
        <v>1</v>
      </c>
      <c r="D13276">
        <v>0</v>
      </c>
      <c r="E13276">
        <v>0</v>
      </c>
      <c r="F13276">
        <v>5068</v>
      </c>
    </row>
    <row r="13277" spans="1:6" x14ac:dyDescent="0.25">
      <c r="A13277">
        <v>13276</v>
      </c>
      <c r="B13277">
        <v>13</v>
      </c>
      <c r="C13277">
        <v>0</v>
      </c>
      <c r="D13277">
        <v>0</v>
      </c>
      <c r="E13277">
        <v>0</v>
      </c>
      <c r="F13277">
        <v>1611</v>
      </c>
    </row>
    <row r="13278" spans="1:6" x14ac:dyDescent="0.25">
      <c r="A13278">
        <v>13277</v>
      </c>
      <c r="B13278" t="s">
        <v>0</v>
      </c>
      <c r="C13278">
        <v>154</v>
      </c>
      <c r="D13278">
        <v>3501</v>
      </c>
      <c r="E13278">
        <v>80529170</v>
      </c>
    </row>
    <row r="13279" spans="1:6" x14ac:dyDescent="0.25">
      <c r="A13279">
        <v>13278</v>
      </c>
      <c r="B13279">
        <v>41</v>
      </c>
      <c r="C13279">
        <v>0</v>
      </c>
      <c r="D13279">
        <v>0</v>
      </c>
      <c r="E13279">
        <v>0</v>
      </c>
      <c r="F13279">
        <v>1</v>
      </c>
    </row>
    <row r="13280" spans="1:6" x14ac:dyDescent="0.25">
      <c r="A13280">
        <v>13279</v>
      </c>
      <c r="B13280">
        <v>42</v>
      </c>
      <c r="C13280">
        <v>0</v>
      </c>
      <c r="D13280">
        <v>0</v>
      </c>
      <c r="E13280">
        <v>0</v>
      </c>
      <c r="F13280">
        <v>0.2</v>
      </c>
    </row>
    <row r="13281" spans="1:6" x14ac:dyDescent="0.25">
      <c r="A13281">
        <v>13280</v>
      </c>
      <c r="B13281" t="s">
        <v>0</v>
      </c>
      <c r="C13281">
        <v>155</v>
      </c>
      <c r="D13281">
        <v>3501</v>
      </c>
      <c r="E13281">
        <v>80529308</v>
      </c>
    </row>
    <row r="13282" spans="1:6" x14ac:dyDescent="0.25">
      <c r="A13282">
        <v>13281</v>
      </c>
      <c r="B13282">
        <v>43</v>
      </c>
      <c r="C13282">
        <v>0</v>
      </c>
      <c r="D13282">
        <v>0</v>
      </c>
      <c r="E13282">
        <v>0</v>
      </c>
      <c r="F13282">
        <v>0</v>
      </c>
    </row>
    <row r="13283" spans="1:6" x14ac:dyDescent="0.25">
      <c r="A13283">
        <v>13282</v>
      </c>
      <c r="B13283">
        <v>44</v>
      </c>
      <c r="C13283">
        <v>0</v>
      </c>
      <c r="D13283">
        <v>0</v>
      </c>
      <c r="E13283">
        <v>0</v>
      </c>
      <c r="F13283">
        <v>6.93736</v>
      </c>
    </row>
    <row r="13284" spans="1:6" x14ac:dyDescent="0.25">
      <c r="A13284">
        <v>13283</v>
      </c>
      <c r="B13284" t="s">
        <v>0</v>
      </c>
      <c r="C13284">
        <v>156</v>
      </c>
      <c r="D13284">
        <v>3501</v>
      </c>
      <c r="E13284">
        <v>80529445</v>
      </c>
    </row>
    <row r="13285" spans="1:6" x14ac:dyDescent="0.25">
      <c r="A13285">
        <v>13284</v>
      </c>
      <c r="B13285">
        <v>46</v>
      </c>
      <c r="C13285">
        <v>0</v>
      </c>
      <c r="D13285">
        <v>0</v>
      </c>
      <c r="E13285">
        <v>0</v>
      </c>
      <c r="F13285">
        <v>0</v>
      </c>
    </row>
    <row r="13286" spans="1:6" x14ac:dyDescent="0.25">
      <c r="A13286">
        <v>13285</v>
      </c>
      <c r="B13286" t="s">
        <v>0</v>
      </c>
      <c r="C13286">
        <v>157</v>
      </c>
      <c r="D13286">
        <v>3501</v>
      </c>
      <c r="E13286">
        <v>80529583</v>
      </c>
    </row>
    <row r="13287" spans="1:6" x14ac:dyDescent="0.25">
      <c r="A13287">
        <v>13286</v>
      </c>
      <c r="B13287">
        <v>10</v>
      </c>
      <c r="C13287">
        <v>1</v>
      </c>
      <c r="D13287">
        <v>0</v>
      </c>
      <c r="E13287">
        <v>0</v>
      </c>
      <c r="F13287">
        <v>5069</v>
      </c>
    </row>
    <row r="13288" spans="1:6" x14ac:dyDescent="0.25">
      <c r="A13288">
        <v>13287</v>
      </c>
      <c r="B13288" t="s">
        <v>0</v>
      </c>
      <c r="C13288">
        <v>158</v>
      </c>
      <c r="D13288">
        <v>3501</v>
      </c>
      <c r="E13288">
        <v>80529721</v>
      </c>
    </row>
    <row r="13289" spans="1:6" x14ac:dyDescent="0.25">
      <c r="A13289">
        <v>13288</v>
      </c>
      <c r="B13289">
        <v>41</v>
      </c>
      <c r="C13289">
        <v>0</v>
      </c>
      <c r="D13289">
        <v>0</v>
      </c>
      <c r="E13289">
        <v>0</v>
      </c>
      <c r="F13289">
        <v>1</v>
      </c>
    </row>
    <row r="13290" spans="1:6" x14ac:dyDescent="0.25">
      <c r="A13290">
        <v>13289</v>
      </c>
      <c r="B13290" t="s">
        <v>0</v>
      </c>
      <c r="C13290">
        <v>159</v>
      </c>
      <c r="D13290">
        <v>3501</v>
      </c>
      <c r="E13290">
        <v>80529859</v>
      </c>
    </row>
    <row r="13291" spans="1:6" x14ac:dyDescent="0.25">
      <c r="A13291">
        <v>13290</v>
      </c>
      <c r="B13291">
        <v>43</v>
      </c>
      <c r="C13291">
        <v>0</v>
      </c>
      <c r="D13291">
        <v>0</v>
      </c>
      <c r="E13291">
        <v>0</v>
      </c>
      <c r="F13291">
        <v>0</v>
      </c>
    </row>
    <row r="13292" spans="1:6" x14ac:dyDescent="0.25">
      <c r="A13292">
        <v>13291</v>
      </c>
      <c r="B13292" t="s">
        <v>0</v>
      </c>
      <c r="C13292">
        <v>160</v>
      </c>
      <c r="D13292">
        <v>3501</v>
      </c>
      <c r="E13292">
        <v>80529997</v>
      </c>
    </row>
    <row r="13293" spans="1:6" x14ac:dyDescent="0.25">
      <c r="A13293">
        <v>13292</v>
      </c>
      <c r="B13293">
        <v>45</v>
      </c>
      <c r="C13293">
        <v>0</v>
      </c>
      <c r="D13293">
        <v>0</v>
      </c>
      <c r="E13293">
        <v>0</v>
      </c>
      <c r="F13293">
        <v>515.63800000000003</v>
      </c>
    </row>
    <row r="13294" spans="1:6" x14ac:dyDescent="0.25">
      <c r="A13294">
        <v>13293</v>
      </c>
      <c r="B13294">
        <v>46</v>
      </c>
      <c r="C13294">
        <v>0</v>
      </c>
      <c r="D13294">
        <v>0</v>
      </c>
      <c r="E13294">
        <v>0</v>
      </c>
      <c r="F13294">
        <v>0</v>
      </c>
    </row>
    <row r="13295" spans="1:6" x14ac:dyDescent="0.25">
      <c r="A13295">
        <v>13294</v>
      </c>
      <c r="B13295">
        <v>2</v>
      </c>
      <c r="C13295">
        <v>0</v>
      </c>
      <c r="D13295">
        <v>0</v>
      </c>
      <c r="E13295">
        <v>0</v>
      </c>
      <c r="F13295">
        <v>241.06700000000001</v>
      </c>
    </row>
    <row r="13296" spans="1:6" x14ac:dyDescent="0.25">
      <c r="A13296">
        <v>13295</v>
      </c>
      <c r="B13296">
        <v>10</v>
      </c>
      <c r="C13296">
        <v>1</v>
      </c>
      <c r="D13296">
        <v>0</v>
      </c>
      <c r="E13296">
        <v>0</v>
      </c>
      <c r="F13296">
        <v>5069</v>
      </c>
    </row>
    <row r="13297" spans="1:6" x14ac:dyDescent="0.25">
      <c r="A13297">
        <v>13296</v>
      </c>
      <c r="B13297">
        <v>13</v>
      </c>
      <c r="C13297">
        <v>0</v>
      </c>
      <c r="D13297">
        <v>0</v>
      </c>
      <c r="E13297">
        <v>0</v>
      </c>
      <c r="F13297">
        <v>1612</v>
      </c>
    </row>
    <row r="13298" spans="1:6" x14ac:dyDescent="0.25">
      <c r="A13298">
        <v>13297</v>
      </c>
      <c r="B13298">
        <v>41</v>
      </c>
      <c r="C13298">
        <v>0</v>
      </c>
      <c r="D13298">
        <v>0</v>
      </c>
      <c r="E13298">
        <v>0</v>
      </c>
      <c r="F13298">
        <v>1</v>
      </c>
    </row>
    <row r="13299" spans="1:6" x14ac:dyDescent="0.25">
      <c r="A13299">
        <v>13298</v>
      </c>
      <c r="B13299">
        <v>42</v>
      </c>
      <c r="C13299">
        <v>0</v>
      </c>
      <c r="D13299">
        <v>0</v>
      </c>
      <c r="E13299">
        <v>0</v>
      </c>
      <c r="F13299">
        <v>0.2</v>
      </c>
    </row>
    <row r="13300" spans="1:6" x14ac:dyDescent="0.25">
      <c r="A13300">
        <v>13299</v>
      </c>
      <c r="B13300">
        <v>43</v>
      </c>
      <c r="C13300">
        <v>0</v>
      </c>
      <c r="D13300">
        <v>0</v>
      </c>
      <c r="E13300">
        <v>0</v>
      </c>
      <c r="F13300">
        <v>0</v>
      </c>
    </row>
    <row r="13301" spans="1:6" x14ac:dyDescent="0.25">
      <c r="A13301">
        <v>13300</v>
      </c>
      <c r="B13301">
        <v>44</v>
      </c>
      <c r="C13301">
        <v>0</v>
      </c>
      <c r="D13301">
        <v>0</v>
      </c>
      <c r="E13301">
        <v>0</v>
      </c>
      <c r="F13301">
        <v>7.2370299999999999</v>
      </c>
    </row>
    <row r="13302" spans="1:6" x14ac:dyDescent="0.25">
      <c r="A13302">
        <v>13301</v>
      </c>
      <c r="B13302">
        <v>45</v>
      </c>
      <c r="C13302">
        <v>0</v>
      </c>
      <c r="D13302">
        <v>0</v>
      </c>
      <c r="E13302">
        <v>0</v>
      </c>
      <c r="F13302">
        <v>515.64300000000003</v>
      </c>
    </row>
    <row r="13303" spans="1:6" x14ac:dyDescent="0.25">
      <c r="A13303">
        <v>13302</v>
      </c>
      <c r="B13303">
        <v>46</v>
      </c>
      <c r="C13303">
        <v>0</v>
      </c>
      <c r="D13303">
        <v>0</v>
      </c>
      <c r="E13303">
        <v>0</v>
      </c>
      <c r="F13303">
        <v>0</v>
      </c>
    </row>
    <row r="13304" spans="1:6" x14ac:dyDescent="0.25">
      <c r="A13304">
        <v>13303</v>
      </c>
      <c r="B13304">
        <v>2</v>
      </c>
      <c r="C13304">
        <v>0</v>
      </c>
      <c r="D13304">
        <v>0</v>
      </c>
      <c r="E13304">
        <v>0</v>
      </c>
      <c r="F13304">
        <v>241.06700000000001</v>
      </c>
    </row>
    <row r="13305" spans="1:6" x14ac:dyDescent="0.25">
      <c r="A13305">
        <v>13304</v>
      </c>
      <c r="B13305" t="s">
        <v>0</v>
      </c>
      <c r="C13305">
        <v>166</v>
      </c>
      <c r="D13305">
        <v>3501</v>
      </c>
      <c r="E13305">
        <v>80530824</v>
      </c>
    </row>
    <row r="13306" spans="1:6" x14ac:dyDescent="0.25">
      <c r="A13306">
        <v>13305</v>
      </c>
      <c r="B13306">
        <v>10</v>
      </c>
      <c r="C13306">
        <v>1</v>
      </c>
      <c r="D13306">
        <v>0</v>
      </c>
      <c r="E13306">
        <v>0</v>
      </c>
      <c r="F13306">
        <v>5070</v>
      </c>
    </row>
    <row r="13307" spans="1:6" x14ac:dyDescent="0.25">
      <c r="A13307">
        <v>13306</v>
      </c>
      <c r="B13307">
        <v>13</v>
      </c>
      <c r="C13307">
        <v>0</v>
      </c>
      <c r="D13307">
        <v>0</v>
      </c>
      <c r="E13307">
        <v>0</v>
      </c>
      <c r="F13307">
        <v>1612</v>
      </c>
    </row>
    <row r="13308" spans="1:6" x14ac:dyDescent="0.25">
      <c r="A13308">
        <v>13307</v>
      </c>
      <c r="B13308" t="s">
        <v>0</v>
      </c>
      <c r="C13308">
        <v>167</v>
      </c>
      <c r="D13308">
        <v>3501</v>
      </c>
      <c r="E13308">
        <v>80530962</v>
      </c>
    </row>
    <row r="13309" spans="1:6" x14ac:dyDescent="0.25">
      <c r="A13309">
        <v>13308</v>
      </c>
      <c r="B13309">
        <v>41</v>
      </c>
      <c r="C13309">
        <v>0</v>
      </c>
      <c r="D13309">
        <v>0</v>
      </c>
      <c r="E13309">
        <v>0</v>
      </c>
      <c r="F13309">
        <v>1</v>
      </c>
    </row>
    <row r="13310" spans="1:6" x14ac:dyDescent="0.25">
      <c r="A13310">
        <v>13309</v>
      </c>
      <c r="B13310">
        <v>42</v>
      </c>
      <c r="C13310">
        <v>0</v>
      </c>
      <c r="D13310">
        <v>0</v>
      </c>
      <c r="E13310">
        <v>0</v>
      </c>
      <c r="F13310">
        <v>0.2</v>
      </c>
    </row>
    <row r="13311" spans="1:6" x14ac:dyDescent="0.25">
      <c r="A13311">
        <v>13310</v>
      </c>
      <c r="B13311" t="s">
        <v>0</v>
      </c>
      <c r="C13311">
        <v>168</v>
      </c>
      <c r="D13311">
        <v>3501</v>
      </c>
      <c r="E13311">
        <v>80531100</v>
      </c>
    </row>
    <row r="13312" spans="1:6" x14ac:dyDescent="0.25">
      <c r="A13312">
        <v>13311</v>
      </c>
      <c r="B13312">
        <v>43</v>
      </c>
      <c r="C13312">
        <v>0</v>
      </c>
      <c r="D13312">
        <v>0</v>
      </c>
      <c r="E13312">
        <v>0</v>
      </c>
      <c r="F13312">
        <v>0</v>
      </c>
    </row>
    <row r="13313" spans="1:6" x14ac:dyDescent="0.25">
      <c r="A13313">
        <v>13312</v>
      </c>
      <c r="B13313">
        <v>44</v>
      </c>
      <c r="C13313">
        <v>0</v>
      </c>
      <c r="D13313">
        <v>0</v>
      </c>
      <c r="E13313">
        <v>0</v>
      </c>
      <c r="F13313">
        <v>7.3869899999999999</v>
      </c>
    </row>
    <row r="13314" spans="1:6" x14ac:dyDescent="0.25">
      <c r="A13314">
        <v>13313</v>
      </c>
      <c r="B13314" t="s">
        <v>0</v>
      </c>
      <c r="C13314">
        <v>169</v>
      </c>
      <c r="D13314">
        <v>3501</v>
      </c>
      <c r="E13314">
        <v>80531238</v>
      </c>
    </row>
    <row r="13315" spans="1:6" x14ac:dyDescent="0.25">
      <c r="A13315">
        <v>13314</v>
      </c>
      <c r="B13315">
        <v>45</v>
      </c>
      <c r="C13315">
        <v>0</v>
      </c>
      <c r="D13315">
        <v>0</v>
      </c>
      <c r="E13315">
        <v>0</v>
      </c>
      <c r="F13315">
        <v>515.649</v>
      </c>
    </row>
    <row r="13316" spans="1:6" x14ac:dyDescent="0.25">
      <c r="A13316">
        <v>13315</v>
      </c>
      <c r="B13316">
        <v>46</v>
      </c>
      <c r="C13316">
        <v>0</v>
      </c>
      <c r="D13316">
        <v>0</v>
      </c>
      <c r="E13316">
        <v>0</v>
      </c>
      <c r="F13316">
        <v>0</v>
      </c>
    </row>
    <row r="13317" spans="1:6" x14ac:dyDescent="0.25">
      <c r="A13317">
        <v>13316</v>
      </c>
      <c r="B13317" t="s">
        <v>0</v>
      </c>
      <c r="C13317">
        <v>170</v>
      </c>
      <c r="D13317">
        <v>3501</v>
      </c>
      <c r="E13317">
        <v>80531376</v>
      </c>
    </row>
    <row r="13318" spans="1:6" x14ac:dyDescent="0.25">
      <c r="A13318">
        <v>13317</v>
      </c>
      <c r="B13318">
        <v>2</v>
      </c>
      <c r="C13318">
        <v>0</v>
      </c>
      <c r="D13318">
        <v>0</v>
      </c>
      <c r="E13318">
        <v>0</v>
      </c>
      <c r="F13318">
        <v>241.06700000000001</v>
      </c>
    </row>
    <row r="13319" spans="1:6" x14ac:dyDescent="0.25">
      <c r="A13319">
        <v>13318</v>
      </c>
      <c r="B13319">
        <v>10</v>
      </c>
      <c r="C13319">
        <v>1</v>
      </c>
      <c r="D13319">
        <v>0</v>
      </c>
      <c r="E13319">
        <v>0</v>
      </c>
      <c r="F13319">
        <v>5070</v>
      </c>
    </row>
    <row r="13320" spans="1:6" x14ac:dyDescent="0.25">
      <c r="A13320">
        <v>13319</v>
      </c>
      <c r="B13320" t="s">
        <v>0</v>
      </c>
      <c r="C13320">
        <v>171</v>
      </c>
      <c r="D13320">
        <v>3501</v>
      </c>
      <c r="E13320">
        <v>80531514</v>
      </c>
    </row>
    <row r="13321" spans="1:6" x14ac:dyDescent="0.25">
      <c r="A13321">
        <v>13320</v>
      </c>
      <c r="B13321">
        <v>41</v>
      </c>
      <c r="C13321">
        <v>0</v>
      </c>
      <c r="D13321">
        <v>0</v>
      </c>
      <c r="E13321">
        <v>0</v>
      </c>
      <c r="F13321">
        <v>1</v>
      </c>
    </row>
    <row r="13322" spans="1:6" x14ac:dyDescent="0.25">
      <c r="A13322">
        <v>13321</v>
      </c>
      <c r="B13322" t="s">
        <v>0</v>
      </c>
      <c r="C13322">
        <v>172</v>
      </c>
      <c r="D13322">
        <v>3501</v>
      </c>
      <c r="E13322">
        <v>80531652</v>
      </c>
    </row>
    <row r="13323" spans="1:6" x14ac:dyDescent="0.25">
      <c r="A13323">
        <v>13322</v>
      </c>
      <c r="B13323">
        <v>43</v>
      </c>
      <c r="C13323">
        <v>0</v>
      </c>
      <c r="D13323">
        <v>0</v>
      </c>
      <c r="E13323">
        <v>0</v>
      </c>
      <c r="F13323">
        <v>0</v>
      </c>
    </row>
    <row r="13324" spans="1:6" x14ac:dyDescent="0.25">
      <c r="A13324">
        <v>13323</v>
      </c>
      <c r="B13324" t="s">
        <v>0</v>
      </c>
      <c r="C13324">
        <v>173</v>
      </c>
      <c r="D13324">
        <v>3501</v>
      </c>
      <c r="E13324">
        <v>80531790</v>
      </c>
    </row>
    <row r="13325" spans="1:6" x14ac:dyDescent="0.25">
      <c r="A13325">
        <v>13324</v>
      </c>
      <c r="B13325">
        <v>45</v>
      </c>
      <c r="C13325">
        <v>0</v>
      </c>
      <c r="D13325">
        <v>0</v>
      </c>
      <c r="E13325">
        <v>0</v>
      </c>
      <c r="F13325">
        <v>515.654</v>
      </c>
    </row>
    <row r="13326" spans="1:6" x14ac:dyDescent="0.25">
      <c r="A13326">
        <v>13325</v>
      </c>
      <c r="B13326" t="s">
        <v>0</v>
      </c>
      <c r="C13326">
        <v>174</v>
      </c>
      <c r="D13326">
        <v>3501</v>
      </c>
      <c r="E13326">
        <v>80531927</v>
      </c>
    </row>
    <row r="13327" spans="1:6" x14ac:dyDescent="0.25">
      <c r="A13327">
        <v>13326</v>
      </c>
      <c r="B13327">
        <v>2</v>
      </c>
      <c r="C13327">
        <v>0</v>
      </c>
      <c r="D13327">
        <v>0</v>
      </c>
      <c r="E13327">
        <v>0</v>
      </c>
      <c r="F13327">
        <v>241.06700000000001</v>
      </c>
    </row>
    <row r="13328" spans="1:6" x14ac:dyDescent="0.25">
      <c r="A13328">
        <v>13327</v>
      </c>
      <c r="B13328" t="s">
        <v>0</v>
      </c>
      <c r="C13328">
        <v>175</v>
      </c>
      <c r="D13328">
        <v>3501</v>
      </c>
      <c r="E13328">
        <v>80532065</v>
      </c>
    </row>
    <row r="13329" spans="1:6" x14ac:dyDescent="0.25">
      <c r="A13329">
        <v>13328</v>
      </c>
      <c r="B13329">
        <v>10</v>
      </c>
      <c r="C13329">
        <v>1</v>
      </c>
      <c r="D13329">
        <v>0</v>
      </c>
      <c r="E13329">
        <v>0</v>
      </c>
      <c r="F13329">
        <v>5071</v>
      </c>
    </row>
    <row r="13330" spans="1:6" x14ac:dyDescent="0.25">
      <c r="A13330">
        <v>13329</v>
      </c>
      <c r="B13330">
        <v>13</v>
      </c>
      <c r="C13330">
        <v>0</v>
      </c>
      <c r="D13330">
        <v>0</v>
      </c>
      <c r="E13330">
        <v>0</v>
      </c>
      <c r="F13330">
        <v>1612</v>
      </c>
    </row>
    <row r="13331" spans="1:6" x14ac:dyDescent="0.25">
      <c r="A13331">
        <v>13330</v>
      </c>
      <c r="B13331">
        <v>41</v>
      </c>
      <c r="C13331">
        <v>0</v>
      </c>
      <c r="D13331">
        <v>0</v>
      </c>
      <c r="E13331">
        <v>0</v>
      </c>
      <c r="F13331">
        <v>1</v>
      </c>
    </row>
    <row r="13332" spans="1:6" x14ac:dyDescent="0.25">
      <c r="A13332">
        <v>13331</v>
      </c>
      <c r="B13332">
        <v>42</v>
      </c>
      <c r="C13332">
        <v>0</v>
      </c>
      <c r="D13332">
        <v>0</v>
      </c>
      <c r="E13332">
        <v>0</v>
      </c>
      <c r="F13332">
        <v>0.2</v>
      </c>
    </row>
    <row r="13333" spans="1:6" x14ac:dyDescent="0.25">
      <c r="A13333">
        <v>13332</v>
      </c>
      <c r="B13333">
        <v>43</v>
      </c>
      <c r="C13333">
        <v>0</v>
      </c>
      <c r="D13333">
        <v>0</v>
      </c>
      <c r="E13333">
        <v>0</v>
      </c>
      <c r="F13333">
        <v>0</v>
      </c>
    </row>
    <row r="13334" spans="1:6" x14ac:dyDescent="0.25">
      <c r="A13334">
        <v>13333</v>
      </c>
      <c r="B13334">
        <v>44</v>
      </c>
      <c r="C13334">
        <v>0</v>
      </c>
      <c r="D13334">
        <v>0</v>
      </c>
      <c r="E13334">
        <v>0</v>
      </c>
      <c r="F13334">
        <v>7.68689</v>
      </c>
    </row>
    <row r="13335" spans="1:6" x14ac:dyDescent="0.25">
      <c r="A13335">
        <v>13334</v>
      </c>
      <c r="B13335">
        <v>45</v>
      </c>
      <c r="C13335">
        <v>0</v>
      </c>
      <c r="D13335">
        <v>0</v>
      </c>
      <c r="E13335">
        <v>0</v>
      </c>
      <c r="F13335">
        <v>515.66099999999994</v>
      </c>
    </row>
    <row r="13336" spans="1:6" x14ac:dyDescent="0.25">
      <c r="A13336">
        <v>13335</v>
      </c>
      <c r="B13336">
        <v>46</v>
      </c>
      <c r="C13336">
        <v>0</v>
      </c>
      <c r="D13336">
        <v>0</v>
      </c>
      <c r="E13336">
        <v>0</v>
      </c>
      <c r="F13336">
        <v>0</v>
      </c>
    </row>
    <row r="13337" spans="1:6" x14ac:dyDescent="0.25">
      <c r="A13337">
        <v>13336</v>
      </c>
      <c r="B13337">
        <v>2</v>
      </c>
      <c r="C13337">
        <v>0</v>
      </c>
      <c r="D13337">
        <v>0</v>
      </c>
      <c r="E13337">
        <v>0</v>
      </c>
      <c r="F13337">
        <v>241.06700000000001</v>
      </c>
    </row>
    <row r="13338" spans="1:6" x14ac:dyDescent="0.25">
      <c r="A13338">
        <v>13337</v>
      </c>
      <c r="B13338">
        <v>10</v>
      </c>
      <c r="C13338">
        <v>1</v>
      </c>
      <c r="D13338">
        <v>0</v>
      </c>
      <c r="E13338">
        <v>0</v>
      </c>
      <c r="F13338">
        <v>5071</v>
      </c>
    </row>
    <row r="13339" spans="1:6" x14ac:dyDescent="0.25">
      <c r="A13339">
        <v>13338</v>
      </c>
      <c r="B13339">
        <v>13</v>
      </c>
      <c r="C13339">
        <v>0</v>
      </c>
      <c r="D13339">
        <v>0</v>
      </c>
      <c r="E13339">
        <v>0</v>
      </c>
      <c r="F13339">
        <v>1612</v>
      </c>
    </row>
    <row r="13340" spans="1:6" x14ac:dyDescent="0.25">
      <c r="A13340">
        <v>13339</v>
      </c>
      <c r="B13340">
        <v>41</v>
      </c>
      <c r="C13340">
        <v>0</v>
      </c>
      <c r="D13340">
        <v>0</v>
      </c>
      <c r="E13340">
        <v>0</v>
      </c>
      <c r="F13340">
        <v>1</v>
      </c>
    </row>
    <row r="13341" spans="1:6" x14ac:dyDescent="0.25">
      <c r="A13341">
        <v>13340</v>
      </c>
      <c r="B13341" t="s">
        <v>0</v>
      </c>
      <c r="C13341">
        <v>1</v>
      </c>
      <c r="D13341">
        <v>3502</v>
      </c>
      <c r="E13341">
        <v>80532894</v>
      </c>
    </row>
    <row r="13342" spans="1:6" x14ac:dyDescent="0.25">
      <c r="A13342">
        <v>13341</v>
      </c>
      <c r="B13342">
        <v>42</v>
      </c>
      <c r="C13342">
        <v>0</v>
      </c>
      <c r="D13342">
        <v>0</v>
      </c>
      <c r="E13342">
        <v>0</v>
      </c>
      <c r="F13342">
        <v>0.2</v>
      </c>
    </row>
    <row r="13343" spans="1:6" x14ac:dyDescent="0.25">
      <c r="A13343">
        <v>13342</v>
      </c>
      <c r="B13343">
        <v>43</v>
      </c>
      <c r="C13343">
        <v>0</v>
      </c>
      <c r="D13343">
        <v>0</v>
      </c>
      <c r="E13343">
        <v>0</v>
      </c>
      <c r="F13343">
        <v>0</v>
      </c>
    </row>
    <row r="13344" spans="1:6" x14ac:dyDescent="0.25">
      <c r="A13344">
        <v>13343</v>
      </c>
      <c r="B13344" t="s">
        <v>0</v>
      </c>
      <c r="C13344">
        <v>2</v>
      </c>
      <c r="D13344">
        <v>3502</v>
      </c>
      <c r="E13344">
        <v>80533032</v>
      </c>
    </row>
    <row r="13345" spans="1:6" x14ac:dyDescent="0.25">
      <c r="A13345">
        <v>13344</v>
      </c>
      <c r="B13345">
        <v>44</v>
      </c>
      <c r="C13345">
        <v>0</v>
      </c>
      <c r="D13345">
        <v>0</v>
      </c>
      <c r="E13345">
        <v>0</v>
      </c>
      <c r="F13345">
        <v>7.8616599999999996</v>
      </c>
    </row>
    <row r="13346" spans="1:6" x14ac:dyDescent="0.25">
      <c r="A13346">
        <v>13345</v>
      </c>
      <c r="B13346">
        <v>45</v>
      </c>
      <c r="C13346">
        <v>0</v>
      </c>
      <c r="D13346">
        <v>0</v>
      </c>
      <c r="E13346">
        <v>0</v>
      </c>
      <c r="F13346">
        <v>515.66300000000001</v>
      </c>
    </row>
    <row r="13347" spans="1:6" x14ac:dyDescent="0.25">
      <c r="A13347">
        <v>13346</v>
      </c>
      <c r="B13347" t="s">
        <v>0</v>
      </c>
      <c r="C13347">
        <v>3</v>
      </c>
      <c r="D13347">
        <v>3502</v>
      </c>
      <c r="E13347">
        <v>80533170</v>
      </c>
    </row>
    <row r="13348" spans="1:6" x14ac:dyDescent="0.25">
      <c r="A13348">
        <v>13347</v>
      </c>
      <c r="B13348">
        <v>46</v>
      </c>
      <c r="C13348">
        <v>0</v>
      </c>
      <c r="D13348">
        <v>0</v>
      </c>
      <c r="E13348">
        <v>0</v>
      </c>
      <c r="F13348">
        <v>0</v>
      </c>
    </row>
    <row r="13349" spans="1:6" x14ac:dyDescent="0.25">
      <c r="A13349">
        <v>13348</v>
      </c>
      <c r="B13349">
        <v>2</v>
      </c>
      <c r="C13349">
        <v>0</v>
      </c>
      <c r="D13349">
        <v>0</v>
      </c>
      <c r="E13349">
        <v>0</v>
      </c>
      <c r="F13349">
        <v>241.06700000000001</v>
      </c>
    </row>
    <row r="13350" spans="1:6" x14ac:dyDescent="0.25">
      <c r="A13350">
        <v>13349</v>
      </c>
      <c r="B13350" t="s">
        <v>0</v>
      </c>
      <c r="C13350">
        <v>4</v>
      </c>
      <c r="D13350">
        <v>3502</v>
      </c>
      <c r="E13350">
        <v>80533308</v>
      </c>
    </row>
    <row r="13351" spans="1:6" x14ac:dyDescent="0.25">
      <c r="A13351">
        <v>13350</v>
      </c>
      <c r="B13351">
        <v>10</v>
      </c>
      <c r="C13351">
        <v>1</v>
      </c>
      <c r="D13351">
        <v>0</v>
      </c>
      <c r="E13351">
        <v>0</v>
      </c>
      <c r="F13351">
        <v>5072</v>
      </c>
    </row>
    <row r="13352" spans="1:6" x14ac:dyDescent="0.25">
      <c r="A13352">
        <v>13351</v>
      </c>
      <c r="B13352">
        <v>13</v>
      </c>
      <c r="C13352">
        <v>0</v>
      </c>
      <c r="D13352">
        <v>0</v>
      </c>
      <c r="E13352">
        <v>0</v>
      </c>
      <c r="F13352">
        <v>1612</v>
      </c>
    </row>
    <row r="13353" spans="1:6" x14ac:dyDescent="0.25">
      <c r="A13353">
        <v>13352</v>
      </c>
      <c r="B13353" t="s">
        <v>0</v>
      </c>
      <c r="C13353">
        <v>5</v>
      </c>
      <c r="D13353">
        <v>3502</v>
      </c>
      <c r="E13353">
        <v>80533446</v>
      </c>
    </row>
    <row r="13354" spans="1:6" x14ac:dyDescent="0.25">
      <c r="A13354">
        <v>13353</v>
      </c>
      <c r="B13354">
        <v>42</v>
      </c>
      <c r="C13354">
        <v>0</v>
      </c>
      <c r="D13354">
        <v>0</v>
      </c>
      <c r="E13354">
        <v>0</v>
      </c>
      <c r="F13354">
        <v>0.2</v>
      </c>
    </row>
    <row r="13355" spans="1:6" x14ac:dyDescent="0.25">
      <c r="A13355">
        <v>13354</v>
      </c>
      <c r="B13355" t="s">
        <v>0</v>
      </c>
      <c r="C13355">
        <v>6</v>
      </c>
      <c r="D13355">
        <v>3502</v>
      </c>
      <c r="E13355">
        <v>80533583</v>
      </c>
    </row>
    <row r="13356" spans="1:6" x14ac:dyDescent="0.25">
      <c r="A13356">
        <v>13355</v>
      </c>
      <c r="B13356">
        <v>44</v>
      </c>
      <c r="C13356">
        <v>0</v>
      </c>
      <c r="D13356">
        <v>0</v>
      </c>
      <c r="E13356">
        <v>0</v>
      </c>
      <c r="F13356">
        <v>7.9865899999999996</v>
      </c>
    </row>
    <row r="13357" spans="1:6" x14ac:dyDescent="0.25">
      <c r="A13357">
        <v>13356</v>
      </c>
      <c r="B13357" t="s">
        <v>0</v>
      </c>
      <c r="C13357">
        <v>7</v>
      </c>
      <c r="D13357">
        <v>3502</v>
      </c>
      <c r="E13357">
        <v>80533721</v>
      </c>
    </row>
    <row r="13358" spans="1:6" x14ac:dyDescent="0.25">
      <c r="A13358">
        <v>13357</v>
      </c>
      <c r="B13358">
        <v>46</v>
      </c>
      <c r="C13358">
        <v>0</v>
      </c>
      <c r="D13358">
        <v>0</v>
      </c>
      <c r="E13358">
        <v>0</v>
      </c>
      <c r="F13358">
        <v>0</v>
      </c>
    </row>
    <row r="13359" spans="1:6" x14ac:dyDescent="0.25">
      <c r="A13359">
        <v>13358</v>
      </c>
      <c r="B13359" t="s">
        <v>0</v>
      </c>
      <c r="C13359">
        <v>8</v>
      </c>
      <c r="D13359">
        <v>3502</v>
      </c>
      <c r="E13359">
        <v>80533859</v>
      </c>
    </row>
    <row r="13360" spans="1:6" x14ac:dyDescent="0.25">
      <c r="A13360">
        <v>13359</v>
      </c>
      <c r="B13360">
        <v>10</v>
      </c>
      <c r="C13360">
        <v>1</v>
      </c>
      <c r="D13360">
        <v>0</v>
      </c>
      <c r="E13360">
        <v>0</v>
      </c>
      <c r="F13360">
        <v>5091</v>
      </c>
    </row>
    <row r="13361" spans="1:6" x14ac:dyDescent="0.25">
      <c r="A13361">
        <v>13360</v>
      </c>
      <c r="B13361" t="s">
        <v>0</v>
      </c>
      <c r="C13361">
        <v>9</v>
      </c>
      <c r="D13361">
        <v>3502</v>
      </c>
      <c r="E13361">
        <v>80533997</v>
      </c>
    </row>
    <row r="13362" spans="1:6" x14ac:dyDescent="0.25">
      <c r="A13362">
        <v>13361</v>
      </c>
      <c r="B13362">
        <v>41</v>
      </c>
      <c r="C13362">
        <v>0</v>
      </c>
      <c r="D13362">
        <v>0</v>
      </c>
      <c r="E13362">
        <v>0</v>
      </c>
      <c r="F13362">
        <v>1</v>
      </c>
    </row>
    <row r="13363" spans="1:6" x14ac:dyDescent="0.25">
      <c r="A13363">
        <v>13362</v>
      </c>
      <c r="B13363">
        <v>42</v>
      </c>
      <c r="C13363">
        <v>0</v>
      </c>
      <c r="D13363">
        <v>0</v>
      </c>
      <c r="E13363">
        <v>0</v>
      </c>
      <c r="F13363">
        <v>0.2</v>
      </c>
    </row>
    <row r="13364" spans="1:6" x14ac:dyDescent="0.25">
      <c r="A13364">
        <v>13363</v>
      </c>
      <c r="B13364">
        <v>43</v>
      </c>
      <c r="C13364">
        <v>0</v>
      </c>
      <c r="D13364">
        <v>0</v>
      </c>
      <c r="E13364">
        <v>0</v>
      </c>
      <c r="F13364">
        <v>0</v>
      </c>
    </row>
    <row r="13365" spans="1:6" x14ac:dyDescent="0.25">
      <c r="A13365">
        <v>13364</v>
      </c>
      <c r="B13365">
        <v>44</v>
      </c>
      <c r="C13365">
        <v>0</v>
      </c>
      <c r="D13365">
        <v>0</v>
      </c>
      <c r="E13365">
        <v>0</v>
      </c>
      <c r="F13365">
        <v>8.1399699999999999</v>
      </c>
    </row>
    <row r="13366" spans="1:6" x14ac:dyDescent="0.25">
      <c r="A13366">
        <v>13365</v>
      </c>
      <c r="B13366">
        <v>45</v>
      </c>
      <c r="C13366">
        <v>0</v>
      </c>
      <c r="D13366">
        <v>0</v>
      </c>
      <c r="E13366">
        <v>0</v>
      </c>
      <c r="F13366">
        <v>515.67899999999997</v>
      </c>
    </row>
    <row r="13367" spans="1:6" x14ac:dyDescent="0.25">
      <c r="A13367">
        <v>13366</v>
      </c>
      <c r="B13367">
        <v>46</v>
      </c>
      <c r="C13367">
        <v>0</v>
      </c>
      <c r="D13367">
        <v>0</v>
      </c>
      <c r="E13367">
        <v>0</v>
      </c>
      <c r="F13367">
        <v>0</v>
      </c>
    </row>
    <row r="13368" spans="1:6" x14ac:dyDescent="0.25">
      <c r="A13368">
        <v>13367</v>
      </c>
      <c r="B13368">
        <v>2</v>
      </c>
      <c r="C13368">
        <v>0</v>
      </c>
      <c r="D13368">
        <v>0</v>
      </c>
      <c r="E13368">
        <v>0</v>
      </c>
      <c r="F13368">
        <v>241.06700000000001</v>
      </c>
    </row>
    <row r="13369" spans="1:6" x14ac:dyDescent="0.25">
      <c r="A13369">
        <v>13368</v>
      </c>
      <c r="B13369">
        <v>10</v>
      </c>
      <c r="C13369">
        <v>1</v>
      </c>
      <c r="D13369">
        <v>0</v>
      </c>
      <c r="E13369">
        <v>0</v>
      </c>
      <c r="F13369">
        <v>5092</v>
      </c>
    </row>
    <row r="13370" spans="1:6" x14ac:dyDescent="0.25">
      <c r="A13370">
        <v>13369</v>
      </c>
      <c r="B13370">
        <v>13</v>
      </c>
      <c r="C13370">
        <v>0</v>
      </c>
      <c r="D13370">
        <v>0</v>
      </c>
      <c r="E13370">
        <v>0</v>
      </c>
      <c r="F13370">
        <v>1612</v>
      </c>
    </row>
    <row r="13371" spans="1:6" x14ac:dyDescent="0.25">
      <c r="A13371">
        <v>13370</v>
      </c>
      <c r="B13371">
        <v>41</v>
      </c>
      <c r="C13371">
        <v>0</v>
      </c>
      <c r="D13371">
        <v>0</v>
      </c>
      <c r="E13371">
        <v>0</v>
      </c>
      <c r="F13371">
        <v>1</v>
      </c>
    </row>
    <row r="13372" spans="1:6" x14ac:dyDescent="0.25">
      <c r="A13372">
        <v>13371</v>
      </c>
      <c r="B13372">
        <v>42</v>
      </c>
      <c r="C13372">
        <v>0</v>
      </c>
      <c r="D13372">
        <v>0</v>
      </c>
      <c r="E13372">
        <v>0</v>
      </c>
      <c r="F13372">
        <v>0.2</v>
      </c>
    </row>
    <row r="13373" spans="1:6" x14ac:dyDescent="0.25">
      <c r="A13373">
        <v>13372</v>
      </c>
      <c r="B13373">
        <v>43</v>
      </c>
      <c r="C13373">
        <v>0</v>
      </c>
      <c r="D13373">
        <v>0</v>
      </c>
      <c r="E13373">
        <v>0</v>
      </c>
      <c r="F13373">
        <v>0</v>
      </c>
    </row>
    <row r="13374" spans="1:6" x14ac:dyDescent="0.25">
      <c r="A13374">
        <v>13373</v>
      </c>
      <c r="B13374">
        <v>44</v>
      </c>
      <c r="C13374">
        <v>0</v>
      </c>
      <c r="D13374">
        <v>0</v>
      </c>
      <c r="E13374">
        <v>0</v>
      </c>
      <c r="F13374">
        <v>8.3110499999999998</v>
      </c>
    </row>
    <row r="13375" spans="1:6" x14ac:dyDescent="0.25">
      <c r="A13375">
        <v>13374</v>
      </c>
      <c r="B13375">
        <v>45</v>
      </c>
      <c r="C13375">
        <v>0</v>
      </c>
      <c r="D13375">
        <v>0</v>
      </c>
      <c r="E13375">
        <v>0</v>
      </c>
      <c r="F13375">
        <v>515.68799999999999</v>
      </c>
    </row>
    <row r="13376" spans="1:6" x14ac:dyDescent="0.25">
      <c r="A13376">
        <v>13375</v>
      </c>
      <c r="B13376" t="s">
        <v>0</v>
      </c>
      <c r="C13376">
        <v>16</v>
      </c>
      <c r="D13376">
        <v>3502</v>
      </c>
      <c r="E13376">
        <v>80534961</v>
      </c>
    </row>
    <row r="13377" spans="1:6" x14ac:dyDescent="0.25">
      <c r="A13377">
        <v>13376</v>
      </c>
      <c r="B13377">
        <v>46</v>
      </c>
      <c r="C13377">
        <v>0</v>
      </c>
      <c r="D13377">
        <v>0</v>
      </c>
      <c r="E13377">
        <v>0</v>
      </c>
      <c r="F13377">
        <v>0</v>
      </c>
    </row>
    <row r="13378" spans="1:6" x14ac:dyDescent="0.25">
      <c r="A13378">
        <v>13377</v>
      </c>
      <c r="B13378">
        <v>2</v>
      </c>
      <c r="C13378">
        <v>0</v>
      </c>
      <c r="D13378">
        <v>0</v>
      </c>
      <c r="E13378">
        <v>0</v>
      </c>
      <c r="F13378">
        <v>241.06800000000001</v>
      </c>
    </row>
    <row r="13379" spans="1:6" x14ac:dyDescent="0.25">
      <c r="A13379">
        <v>13378</v>
      </c>
      <c r="B13379" t="s">
        <v>0</v>
      </c>
      <c r="C13379">
        <v>17</v>
      </c>
      <c r="D13379">
        <v>3502</v>
      </c>
      <c r="E13379">
        <v>80535099</v>
      </c>
    </row>
    <row r="13380" spans="1:6" x14ac:dyDescent="0.25">
      <c r="A13380">
        <v>13379</v>
      </c>
      <c r="B13380">
        <v>10</v>
      </c>
      <c r="C13380">
        <v>1</v>
      </c>
      <c r="D13380">
        <v>0</v>
      </c>
      <c r="E13380">
        <v>0</v>
      </c>
      <c r="F13380">
        <v>5093</v>
      </c>
    </row>
    <row r="13381" spans="1:6" x14ac:dyDescent="0.25">
      <c r="A13381">
        <v>13380</v>
      </c>
      <c r="B13381">
        <v>13</v>
      </c>
      <c r="C13381">
        <v>0</v>
      </c>
      <c r="D13381">
        <v>0</v>
      </c>
      <c r="E13381">
        <v>0</v>
      </c>
      <c r="F13381">
        <v>1612</v>
      </c>
    </row>
    <row r="13382" spans="1:6" x14ac:dyDescent="0.25">
      <c r="A13382">
        <v>13381</v>
      </c>
      <c r="B13382" t="s">
        <v>0</v>
      </c>
      <c r="C13382">
        <v>18</v>
      </c>
      <c r="D13382">
        <v>3502</v>
      </c>
      <c r="E13382">
        <v>80535237</v>
      </c>
    </row>
    <row r="13383" spans="1:6" x14ac:dyDescent="0.25">
      <c r="A13383">
        <v>13382</v>
      </c>
      <c r="B13383">
        <v>41</v>
      </c>
      <c r="C13383">
        <v>0</v>
      </c>
      <c r="D13383">
        <v>0</v>
      </c>
      <c r="E13383">
        <v>0</v>
      </c>
      <c r="F13383">
        <v>1</v>
      </c>
    </row>
    <row r="13384" spans="1:6" x14ac:dyDescent="0.25">
      <c r="A13384">
        <v>13383</v>
      </c>
      <c r="B13384">
        <v>42</v>
      </c>
      <c r="C13384">
        <v>0</v>
      </c>
      <c r="D13384">
        <v>0</v>
      </c>
      <c r="E13384">
        <v>0</v>
      </c>
      <c r="F13384">
        <v>0.2</v>
      </c>
    </row>
    <row r="13385" spans="1:6" x14ac:dyDescent="0.25">
      <c r="A13385">
        <v>13384</v>
      </c>
      <c r="B13385" t="s">
        <v>0</v>
      </c>
      <c r="C13385">
        <v>19</v>
      </c>
      <c r="D13385">
        <v>3502</v>
      </c>
      <c r="E13385">
        <v>80535374</v>
      </c>
    </row>
    <row r="13386" spans="1:6" x14ac:dyDescent="0.25">
      <c r="A13386">
        <v>13385</v>
      </c>
      <c r="B13386">
        <v>43</v>
      </c>
      <c r="C13386">
        <v>0</v>
      </c>
      <c r="D13386">
        <v>0</v>
      </c>
      <c r="E13386">
        <v>0</v>
      </c>
      <c r="F13386">
        <v>0</v>
      </c>
    </row>
    <row r="13387" spans="1:6" x14ac:dyDescent="0.25">
      <c r="A13387">
        <v>13386</v>
      </c>
      <c r="B13387">
        <v>44</v>
      </c>
      <c r="C13387">
        <v>0</v>
      </c>
      <c r="D13387">
        <v>0</v>
      </c>
      <c r="E13387">
        <v>0</v>
      </c>
      <c r="F13387">
        <v>8.4357299999999995</v>
      </c>
    </row>
    <row r="13388" spans="1:6" x14ac:dyDescent="0.25">
      <c r="A13388">
        <v>13387</v>
      </c>
      <c r="B13388" t="s">
        <v>0</v>
      </c>
      <c r="C13388">
        <v>20</v>
      </c>
      <c r="D13388">
        <v>3502</v>
      </c>
      <c r="E13388">
        <v>80535512</v>
      </c>
    </row>
    <row r="13389" spans="1:6" x14ac:dyDescent="0.25">
      <c r="A13389">
        <v>13388</v>
      </c>
      <c r="B13389">
        <v>46</v>
      </c>
      <c r="C13389">
        <v>0</v>
      </c>
      <c r="D13389">
        <v>0</v>
      </c>
      <c r="E13389">
        <v>0</v>
      </c>
      <c r="F13389">
        <v>0</v>
      </c>
    </row>
    <row r="13390" spans="1:6" x14ac:dyDescent="0.25">
      <c r="A13390">
        <v>13389</v>
      </c>
      <c r="B13390" t="s">
        <v>0</v>
      </c>
      <c r="C13390">
        <v>21</v>
      </c>
      <c r="D13390">
        <v>3502</v>
      </c>
      <c r="E13390">
        <v>80535650</v>
      </c>
    </row>
    <row r="13391" spans="1:6" x14ac:dyDescent="0.25">
      <c r="A13391">
        <v>13390</v>
      </c>
      <c r="B13391">
        <v>10</v>
      </c>
      <c r="C13391">
        <v>1</v>
      </c>
      <c r="D13391">
        <v>0</v>
      </c>
      <c r="E13391">
        <v>0</v>
      </c>
      <c r="F13391">
        <v>5093</v>
      </c>
    </row>
    <row r="13392" spans="1:6" x14ac:dyDescent="0.25">
      <c r="A13392">
        <v>13391</v>
      </c>
      <c r="B13392" t="s">
        <v>0</v>
      </c>
      <c r="C13392">
        <v>22</v>
      </c>
      <c r="D13392">
        <v>3502</v>
      </c>
      <c r="E13392">
        <v>80535788</v>
      </c>
    </row>
    <row r="13393" spans="1:6" x14ac:dyDescent="0.25">
      <c r="A13393">
        <v>13392</v>
      </c>
      <c r="B13393">
        <v>41</v>
      </c>
      <c r="C13393">
        <v>0</v>
      </c>
      <c r="D13393">
        <v>0</v>
      </c>
      <c r="E13393">
        <v>0</v>
      </c>
      <c r="F13393">
        <v>1</v>
      </c>
    </row>
    <row r="13394" spans="1:6" x14ac:dyDescent="0.25">
      <c r="A13394">
        <v>13393</v>
      </c>
      <c r="B13394" t="s">
        <v>0</v>
      </c>
      <c r="C13394">
        <v>23</v>
      </c>
      <c r="D13394">
        <v>3502</v>
      </c>
      <c r="E13394">
        <v>80535925</v>
      </c>
    </row>
    <row r="13395" spans="1:6" x14ac:dyDescent="0.25">
      <c r="A13395">
        <v>13394</v>
      </c>
      <c r="B13395">
        <v>43</v>
      </c>
      <c r="C13395">
        <v>0</v>
      </c>
      <c r="D13395">
        <v>0</v>
      </c>
      <c r="E13395">
        <v>0</v>
      </c>
      <c r="F13395">
        <v>0</v>
      </c>
    </row>
    <row r="13396" spans="1:6" x14ac:dyDescent="0.25">
      <c r="A13396">
        <v>13395</v>
      </c>
      <c r="B13396" t="s">
        <v>0</v>
      </c>
      <c r="C13396">
        <v>24</v>
      </c>
      <c r="D13396">
        <v>3502</v>
      </c>
      <c r="E13396">
        <v>80536062</v>
      </c>
    </row>
    <row r="13397" spans="1:6" x14ac:dyDescent="0.25">
      <c r="A13397">
        <v>13396</v>
      </c>
      <c r="B13397">
        <v>45</v>
      </c>
      <c r="C13397">
        <v>0</v>
      </c>
      <c r="D13397">
        <v>0</v>
      </c>
      <c r="E13397">
        <v>0</v>
      </c>
      <c r="F13397">
        <v>515.70899999999995</v>
      </c>
    </row>
    <row r="13398" spans="1:6" x14ac:dyDescent="0.25">
      <c r="A13398">
        <v>13397</v>
      </c>
      <c r="B13398">
        <v>46</v>
      </c>
      <c r="C13398">
        <v>0</v>
      </c>
      <c r="D13398">
        <v>0</v>
      </c>
      <c r="E13398">
        <v>0</v>
      </c>
      <c r="F13398">
        <v>0</v>
      </c>
    </row>
    <row r="13399" spans="1:6" x14ac:dyDescent="0.25">
      <c r="A13399">
        <v>13398</v>
      </c>
      <c r="B13399">
        <v>2</v>
      </c>
      <c r="C13399">
        <v>0</v>
      </c>
      <c r="D13399">
        <v>0</v>
      </c>
      <c r="E13399">
        <v>0</v>
      </c>
      <c r="F13399">
        <v>241.14699999999999</v>
      </c>
    </row>
    <row r="13400" spans="1:6" x14ac:dyDescent="0.25">
      <c r="A13400">
        <v>13399</v>
      </c>
      <c r="B13400">
        <v>10</v>
      </c>
      <c r="C13400">
        <v>1</v>
      </c>
      <c r="D13400">
        <v>0</v>
      </c>
      <c r="E13400">
        <v>0</v>
      </c>
      <c r="F13400">
        <v>5092</v>
      </c>
    </row>
    <row r="13401" spans="1:6" x14ac:dyDescent="0.25">
      <c r="A13401">
        <v>13400</v>
      </c>
      <c r="B13401">
        <v>13</v>
      </c>
      <c r="C13401">
        <v>0</v>
      </c>
      <c r="D13401">
        <v>0</v>
      </c>
      <c r="E13401">
        <v>0</v>
      </c>
      <c r="F13401">
        <v>1612</v>
      </c>
    </row>
    <row r="13402" spans="1:6" x14ac:dyDescent="0.25">
      <c r="A13402">
        <v>13401</v>
      </c>
      <c r="B13402">
        <v>41</v>
      </c>
      <c r="C13402">
        <v>0</v>
      </c>
      <c r="D13402">
        <v>0</v>
      </c>
      <c r="E13402">
        <v>0</v>
      </c>
      <c r="F13402">
        <v>1</v>
      </c>
    </row>
    <row r="13403" spans="1:6" x14ac:dyDescent="0.25">
      <c r="A13403">
        <v>13402</v>
      </c>
      <c r="B13403">
        <v>42</v>
      </c>
      <c r="C13403">
        <v>0</v>
      </c>
      <c r="D13403">
        <v>0</v>
      </c>
      <c r="E13403">
        <v>0</v>
      </c>
      <c r="F13403">
        <v>0.2</v>
      </c>
    </row>
    <row r="13404" spans="1:6" x14ac:dyDescent="0.25">
      <c r="A13404">
        <v>13403</v>
      </c>
      <c r="B13404">
        <v>43</v>
      </c>
      <c r="C13404">
        <v>0</v>
      </c>
      <c r="D13404">
        <v>0</v>
      </c>
      <c r="E13404">
        <v>0</v>
      </c>
      <c r="F13404">
        <v>0</v>
      </c>
    </row>
    <row r="13405" spans="1:6" x14ac:dyDescent="0.25">
      <c r="A13405">
        <v>13404</v>
      </c>
      <c r="B13405">
        <v>44</v>
      </c>
      <c r="C13405">
        <v>0</v>
      </c>
      <c r="D13405">
        <v>0</v>
      </c>
      <c r="E13405">
        <v>0</v>
      </c>
      <c r="F13405">
        <v>8.6435200000000005</v>
      </c>
    </row>
    <row r="13406" spans="1:6" x14ac:dyDescent="0.25">
      <c r="A13406">
        <v>13405</v>
      </c>
      <c r="B13406">
        <v>45</v>
      </c>
      <c r="C13406">
        <v>0</v>
      </c>
      <c r="D13406">
        <v>0</v>
      </c>
      <c r="E13406">
        <v>0</v>
      </c>
      <c r="F13406">
        <v>515.71900000000005</v>
      </c>
    </row>
    <row r="13407" spans="1:6" x14ac:dyDescent="0.25">
      <c r="A13407">
        <v>13406</v>
      </c>
      <c r="B13407">
        <v>46</v>
      </c>
      <c r="C13407">
        <v>0</v>
      </c>
      <c r="D13407">
        <v>0</v>
      </c>
      <c r="E13407">
        <v>0</v>
      </c>
      <c r="F13407">
        <v>0</v>
      </c>
    </row>
    <row r="13408" spans="1:6" x14ac:dyDescent="0.25">
      <c r="A13408">
        <v>13407</v>
      </c>
      <c r="B13408">
        <v>2</v>
      </c>
      <c r="C13408">
        <v>0</v>
      </c>
      <c r="D13408">
        <v>0</v>
      </c>
      <c r="E13408">
        <v>0</v>
      </c>
      <c r="F13408">
        <v>241.197</v>
      </c>
    </row>
    <row r="13409" spans="1:6" x14ac:dyDescent="0.25">
      <c r="A13409">
        <v>13408</v>
      </c>
      <c r="B13409">
        <v>10</v>
      </c>
      <c r="C13409">
        <v>1</v>
      </c>
      <c r="D13409">
        <v>0</v>
      </c>
      <c r="E13409">
        <v>0</v>
      </c>
      <c r="F13409">
        <v>5092</v>
      </c>
    </row>
    <row r="13410" spans="1:6" x14ac:dyDescent="0.25">
      <c r="A13410">
        <v>13409</v>
      </c>
      <c r="B13410">
        <v>13</v>
      </c>
      <c r="C13410">
        <v>0</v>
      </c>
      <c r="D13410">
        <v>0</v>
      </c>
      <c r="E13410">
        <v>0</v>
      </c>
      <c r="F13410">
        <v>1612</v>
      </c>
    </row>
    <row r="13411" spans="1:6" x14ac:dyDescent="0.25">
      <c r="A13411">
        <v>13410</v>
      </c>
      <c r="B13411" t="s">
        <v>0</v>
      </c>
      <c r="C13411">
        <v>31</v>
      </c>
      <c r="D13411">
        <v>3502</v>
      </c>
      <c r="E13411">
        <v>80537026</v>
      </c>
    </row>
    <row r="13412" spans="1:6" x14ac:dyDescent="0.25">
      <c r="A13412">
        <v>13411</v>
      </c>
      <c r="B13412">
        <v>41</v>
      </c>
      <c r="C13412">
        <v>0</v>
      </c>
      <c r="D13412">
        <v>0</v>
      </c>
      <c r="E13412">
        <v>0</v>
      </c>
      <c r="F13412">
        <v>1</v>
      </c>
    </row>
    <row r="13413" spans="1:6" x14ac:dyDescent="0.25">
      <c r="A13413">
        <v>13412</v>
      </c>
      <c r="B13413">
        <v>42</v>
      </c>
      <c r="C13413">
        <v>0</v>
      </c>
      <c r="D13413">
        <v>0</v>
      </c>
      <c r="E13413">
        <v>0</v>
      </c>
      <c r="F13413">
        <v>0.2</v>
      </c>
    </row>
    <row r="13414" spans="1:6" x14ac:dyDescent="0.25">
      <c r="A13414">
        <v>13413</v>
      </c>
      <c r="B13414" t="s">
        <v>0</v>
      </c>
      <c r="C13414">
        <v>32</v>
      </c>
      <c r="D13414">
        <v>3502</v>
      </c>
      <c r="E13414">
        <v>80537163</v>
      </c>
    </row>
    <row r="13415" spans="1:6" x14ac:dyDescent="0.25">
      <c r="A13415">
        <v>13414</v>
      </c>
      <c r="B13415">
        <v>43</v>
      </c>
      <c r="C13415">
        <v>0</v>
      </c>
      <c r="D13415">
        <v>0</v>
      </c>
      <c r="E13415">
        <v>0</v>
      </c>
      <c r="F13415">
        <v>0</v>
      </c>
    </row>
    <row r="13416" spans="1:6" x14ac:dyDescent="0.25">
      <c r="A13416">
        <v>13415</v>
      </c>
      <c r="B13416">
        <v>44</v>
      </c>
      <c r="C13416">
        <v>0</v>
      </c>
      <c r="D13416">
        <v>0</v>
      </c>
      <c r="E13416">
        <v>0</v>
      </c>
      <c r="F13416">
        <v>8.7255199999999995</v>
      </c>
    </row>
    <row r="13417" spans="1:6" x14ac:dyDescent="0.25">
      <c r="A13417">
        <v>13416</v>
      </c>
      <c r="B13417" t="s">
        <v>0</v>
      </c>
      <c r="C13417">
        <v>33</v>
      </c>
      <c r="D13417">
        <v>3502</v>
      </c>
      <c r="E13417">
        <v>80537301</v>
      </c>
    </row>
    <row r="13418" spans="1:6" x14ac:dyDescent="0.25">
      <c r="A13418">
        <v>13417</v>
      </c>
      <c r="B13418">
        <v>45</v>
      </c>
      <c r="C13418">
        <v>0</v>
      </c>
      <c r="D13418">
        <v>0</v>
      </c>
      <c r="E13418">
        <v>0</v>
      </c>
      <c r="F13418">
        <v>515.73099999999999</v>
      </c>
    </row>
    <row r="13419" spans="1:6" x14ac:dyDescent="0.25">
      <c r="A13419">
        <v>13418</v>
      </c>
      <c r="B13419">
        <v>46</v>
      </c>
      <c r="C13419">
        <v>0</v>
      </c>
      <c r="D13419">
        <v>0</v>
      </c>
      <c r="E13419">
        <v>0</v>
      </c>
      <c r="F13419">
        <v>0</v>
      </c>
    </row>
    <row r="13420" spans="1:6" x14ac:dyDescent="0.25">
      <c r="A13420">
        <v>13419</v>
      </c>
      <c r="B13420" t="s">
        <v>0</v>
      </c>
      <c r="C13420">
        <v>34</v>
      </c>
      <c r="D13420">
        <v>3502</v>
      </c>
      <c r="E13420">
        <v>80537439</v>
      </c>
    </row>
    <row r="13421" spans="1:6" x14ac:dyDescent="0.25">
      <c r="A13421">
        <v>13420</v>
      </c>
      <c r="B13421">
        <v>2</v>
      </c>
      <c r="C13421">
        <v>0</v>
      </c>
      <c r="D13421">
        <v>0</v>
      </c>
      <c r="E13421">
        <v>0</v>
      </c>
      <c r="F13421">
        <v>241.24700000000001</v>
      </c>
    </row>
    <row r="13422" spans="1:6" x14ac:dyDescent="0.25">
      <c r="A13422">
        <v>13421</v>
      </c>
      <c r="B13422">
        <v>10</v>
      </c>
      <c r="C13422">
        <v>1</v>
      </c>
      <c r="D13422">
        <v>0</v>
      </c>
      <c r="E13422">
        <v>0</v>
      </c>
      <c r="F13422">
        <v>5092</v>
      </c>
    </row>
    <row r="13423" spans="1:6" x14ac:dyDescent="0.25">
      <c r="A13423">
        <v>13422</v>
      </c>
      <c r="B13423" t="s">
        <v>0</v>
      </c>
      <c r="C13423">
        <v>35</v>
      </c>
      <c r="D13423">
        <v>3502</v>
      </c>
      <c r="E13423">
        <v>80537577</v>
      </c>
    </row>
    <row r="13424" spans="1:6" x14ac:dyDescent="0.25">
      <c r="A13424">
        <v>13423</v>
      </c>
      <c r="B13424">
        <v>41</v>
      </c>
      <c r="C13424">
        <v>0</v>
      </c>
      <c r="D13424">
        <v>0</v>
      </c>
      <c r="E13424">
        <v>0</v>
      </c>
      <c r="F13424">
        <v>1</v>
      </c>
    </row>
    <row r="13425" spans="1:6" x14ac:dyDescent="0.25">
      <c r="A13425">
        <v>13424</v>
      </c>
      <c r="B13425" t="s">
        <v>0</v>
      </c>
      <c r="C13425">
        <v>36</v>
      </c>
      <c r="D13425">
        <v>3502</v>
      </c>
      <c r="E13425">
        <v>80537715</v>
      </c>
    </row>
    <row r="13426" spans="1:6" x14ac:dyDescent="0.25">
      <c r="A13426">
        <v>13425</v>
      </c>
      <c r="B13426">
        <v>43</v>
      </c>
      <c r="C13426">
        <v>0</v>
      </c>
      <c r="D13426">
        <v>0</v>
      </c>
      <c r="E13426">
        <v>0</v>
      </c>
      <c r="F13426">
        <v>0</v>
      </c>
    </row>
    <row r="13427" spans="1:6" x14ac:dyDescent="0.25">
      <c r="A13427">
        <v>13426</v>
      </c>
      <c r="B13427" t="s">
        <v>0</v>
      </c>
      <c r="C13427">
        <v>37</v>
      </c>
      <c r="D13427">
        <v>3502</v>
      </c>
      <c r="E13427">
        <v>80537853</v>
      </c>
    </row>
    <row r="13428" spans="1:6" x14ac:dyDescent="0.25">
      <c r="A13428">
        <v>13427</v>
      </c>
      <c r="B13428">
        <v>45</v>
      </c>
      <c r="C13428">
        <v>0</v>
      </c>
      <c r="D13428">
        <v>0</v>
      </c>
      <c r="E13428">
        <v>0</v>
      </c>
      <c r="F13428">
        <v>515.74</v>
      </c>
    </row>
    <row r="13429" spans="1:6" x14ac:dyDescent="0.25">
      <c r="A13429">
        <v>13428</v>
      </c>
      <c r="B13429" t="s">
        <v>0</v>
      </c>
      <c r="C13429">
        <v>38</v>
      </c>
      <c r="D13429">
        <v>3502</v>
      </c>
      <c r="E13429">
        <v>80537990</v>
      </c>
    </row>
    <row r="13430" spans="1:6" x14ac:dyDescent="0.25">
      <c r="A13430">
        <v>13429</v>
      </c>
      <c r="B13430">
        <v>2</v>
      </c>
      <c r="C13430">
        <v>0</v>
      </c>
      <c r="D13430">
        <v>0</v>
      </c>
      <c r="E13430">
        <v>0</v>
      </c>
      <c r="F13430">
        <v>241.27799999999999</v>
      </c>
    </row>
    <row r="13431" spans="1:6" x14ac:dyDescent="0.25">
      <c r="A13431">
        <v>13430</v>
      </c>
      <c r="B13431" t="s">
        <v>0</v>
      </c>
      <c r="C13431">
        <v>39</v>
      </c>
      <c r="D13431">
        <v>3502</v>
      </c>
      <c r="E13431">
        <v>80538127</v>
      </c>
    </row>
    <row r="13432" spans="1:6" x14ac:dyDescent="0.25">
      <c r="A13432">
        <v>13431</v>
      </c>
      <c r="B13432">
        <v>13</v>
      </c>
      <c r="C13432">
        <v>0</v>
      </c>
      <c r="D13432">
        <v>0</v>
      </c>
      <c r="E13432">
        <v>0</v>
      </c>
      <c r="F13432">
        <v>1612</v>
      </c>
    </row>
    <row r="13433" spans="1:6" x14ac:dyDescent="0.25">
      <c r="A13433">
        <v>13432</v>
      </c>
      <c r="B13433">
        <v>41</v>
      </c>
      <c r="C13433">
        <v>0</v>
      </c>
      <c r="D13433">
        <v>0</v>
      </c>
      <c r="E13433">
        <v>0</v>
      </c>
      <c r="F13433">
        <v>1</v>
      </c>
    </row>
    <row r="13434" spans="1:6" x14ac:dyDescent="0.25">
      <c r="A13434">
        <v>13433</v>
      </c>
      <c r="B13434">
        <v>42</v>
      </c>
      <c r="C13434">
        <v>0</v>
      </c>
      <c r="D13434">
        <v>0</v>
      </c>
      <c r="E13434">
        <v>0</v>
      </c>
      <c r="F13434">
        <v>0.2</v>
      </c>
    </row>
    <row r="13435" spans="1:6" x14ac:dyDescent="0.25">
      <c r="A13435">
        <v>13434</v>
      </c>
      <c r="B13435">
        <v>43</v>
      </c>
      <c r="C13435">
        <v>0</v>
      </c>
      <c r="D13435">
        <v>0</v>
      </c>
      <c r="E13435">
        <v>0</v>
      </c>
      <c r="F13435">
        <v>0</v>
      </c>
    </row>
    <row r="13436" spans="1:6" x14ac:dyDescent="0.25">
      <c r="A13436">
        <v>13435</v>
      </c>
      <c r="B13436">
        <v>44</v>
      </c>
      <c r="C13436">
        <v>0</v>
      </c>
      <c r="D13436">
        <v>0</v>
      </c>
      <c r="E13436">
        <v>0</v>
      </c>
      <c r="F13436">
        <v>8.9815500000000004</v>
      </c>
    </row>
    <row r="13437" spans="1:6" x14ac:dyDescent="0.25">
      <c r="A13437">
        <v>13436</v>
      </c>
      <c r="B13437">
        <v>45</v>
      </c>
      <c r="C13437">
        <v>0</v>
      </c>
      <c r="D13437">
        <v>0</v>
      </c>
      <c r="E13437">
        <v>0</v>
      </c>
      <c r="F13437">
        <v>515.75</v>
      </c>
    </row>
    <row r="13438" spans="1:6" x14ac:dyDescent="0.25">
      <c r="A13438">
        <v>13437</v>
      </c>
      <c r="B13438">
        <v>46</v>
      </c>
      <c r="C13438">
        <v>0</v>
      </c>
      <c r="D13438">
        <v>0</v>
      </c>
      <c r="E13438">
        <v>0</v>
      </c>
      <c r="F13438">
        <v>0</v>
      </c>
    </row>
    <row r="13439" spans="1:6" x14ac:dyDescent="0.25">
      <c r="A13439">
        <v>13438</v>
      </c>
      <c r="B13439">
        <v>2</v>
      </c>
      <c r="C13439">
        <v>0</v>
      </c>
      <c r="D13439">
        <v>0</v>
      </c>
      <c r="E13439">
        <v>0</v>
      </c>
      <c r="F13439">
        <v>241.304</v>
      </c>
    </row>
    <row r="13440" spans="1:6" x14ac:dyDescent="0.25">
      <c r="A13440">
        <v>13439</v>
      </c>
      <c r="B13440">
        <v>10</v>
      </c>
      <c r="C13440">
        <v>1</v>
      </c>
      <c r="D13440">
        <v>0</v>
      </c>
      <c r="E13440">
        <v>0</v>
      </c>
      <c r="F13440">
        <v>5092</v>
      </c>
    </row>
    <row r="13441" spans="1:6" x14ac:dyDescent="0.25">
      <c r="A13441">
        <v>13440</v>
      </c>
      <c r="B13441">
        <v>13</v>
      </c>
      <c r="C13441">
        <v>0</v>
      </c>
      <c r="D13441">
        <v>0</v>
      </c>
      <c r="E13441">
        <v>0</v>
      </c>
      <c r="F13441">
        <v>1612</v>
      </c>
    </row>
    <row r="13442" spans="1:6" x14ac:dyDescent="0.25">
      <c r="A13442">
        <v>13441</v>
      </c>
      <c r="B13442">
        <v>41</v>
      </c>
      <c r="C13442">
        <v>0</v>
      </c>
      <c r="D13442">
        <v>0</v>
      </c>
      <c r="E13442">
        <v>0</v>
      </c>
      <c r="F13442">
        <v>1</v>
      </c>
    </row>
    <row r="13443" spans="1:6" x14ac:dyDescent="0.25">
      <c r="A13443">
        <v>13442</v>
      </c>
      <c r="B13443">
        <v>42</v>
      </c>
      <c r="C13443">
        <v>0</v>
      </c>
      <c r="D13443">
        <v>0</v>
      </c>
      <c r="E13443">
        <v>0</v>
      </c>
      <c r="F13443">
        <v>0.2</v>
      </c>
    </row>
    <row r="13444" spans="1:6" x14ac:dyDescent="0.25">
      <c r="A13444">
        <v>13443</v>
      </c>
      <c r="B13444" t="s">
        <v>0</v>
      </c>
      <c r="C13444">
        <v>45</v>
      </c>
      <c r="D13444">
        <v>3502</v>
      </c>
      <c r="E13444">
        <v>80538954</v>
      </c>
    </row>
    <row r="13445" spans="1:6" x14ac:dyDescent="0.25">
      <c r="A13445">
        <v>13444</v>
      </c>
      <c r="B13445">
        <v>43</v>
      </c>
      <c r="C13445">
        <v>0</v>
      </c>
      <c r="D13445">
        <v>0</v>
      </c>
      <c r="E13445">
        <v>0</v>
      </c>
      <c r="F13445">
        <v>0</v>
      </c>
    </row>
    <row r="13446" spans="1:6" x14ac:dyDescent="0.25">
      <c r="A13446">
        <v>13445</v>
      </c>
      <c r="B13446">
        <v>44</v>
      </c>
      <c r="C13446">
        <v>0</v>
      </c>
      <c r="D13446">
        <v>0</v>
      </c>
      <c r="E13446">
        <v>0</v>
      </c>
      <c r="F13446">
        <v>9.0926500000000008</v>
      </c>
    </row>
    <row r="13447" spans="1:6" x14ac:dyDescent="0.25">
      <c r="A13447">
        <v>13446</v>
      </c>
      <c r="B13447" t="s">
        <v>0</v>
      </c>
      <c r="C13447">
        <v>46</v>
      </c>
      <c r="D13447">
        <v>3502</v>
      </c>
      <c r="E13447">
        <v>80539091</v>
      </c>
    </row>
    <row r="13448" spans="1:6" x14ac:dyDescent="0.25">
      <c r="A13448">
        <v>13447</v>
      </c>
      <c r="B13448">
        <v>45</v>
      </c>
      <c r="C13448">
        <v>0</v>
      </c>
      <c r="D13448">
        <v>0</v>
      </c>
      <c r="E13448">
        <v>0</v>
      </c>
      <c r="F13448">
        <v>515.76300000000003</v>
      </c>
    </row>
    <row r="13449" spans="1:6" x14ac:dyDescent="0.25">
      <c r="A13449">
        <v>13448</v>
      </c>
      <c r="B13449">
        <v>46</v>
      </c>
      <c r="C13449">
        <v>0</v>
      </c>
      <c r="D13449">
        <v>0</v>
      </c>
      <c r="E13449">
        <v>0</v>
      </c>
      <c r="F13449">
        <v>0</v>
      </c>
    </row>
    <row r="13450" spans="1:6" x14ac:dyDescent="0.25">
      <c r="A13450">
        <v>13449</v>
      </c>
      <c r="B13450" t="s">
        <v>0</v>
      </c>
      <c r="C13450">
        <v>47</v>
      </c>
      <c r="D13450">
        <v>3502</v>
      </c>
      <c r="E13450">
        <v>80539228</v>
      </c>
    </row>
    <row r="13451" spans="1:6" x14ac:dyDescent="0.25">
      <c r="A13451">
        <v>13450</v>
      </c>
      <c r="B13451">
        <v>2</v>
      </c>
      <c r="C13451">
        <v>0</v>
      </c>
      <c r="D13451">
        <v>0</v>
      </c>
      <c r="E13451">
        <v>0</v>
      </c>
      <c r="F13451">
        <v>241.33</v>
      </c>
    </row>
    <row r="13452" spans="1:6" x14ac:dyDescent="0.25">
      <c r="A13452">
        <v>13451</v>
      </c>
      <c r="B13452">
        <v>10</v>
      </c>
      <c r="C13452">
        <v>1</v>
      </c>
      <c r="D13452">
        <v>0</v>
      </c>
      <c r="E13452">
        <v>0</v>
      </c>
      <c r="F13452">
        <v>5092</v>
      </c>
    </row>
    <row r="13453" spans="1:6" x14ac:dyDescent="0.25">
      <c r="A13453">
        <v>13452</v>
      </c>
      <c r="B13453" t="s">
        <v>0</v>
      </c>
      <c r="C13453">
        <v>48</v>
      </c>
      <c r="D13453">
        <v>3502</v>
      </c>
      <c r="E13453">
        <v>80539365</v>
      </c>
    </row>
    <row r="13454" spans="1:6" x14ac:dyDescent="0.25">
      <c r="A13454">
        <v>13453</v>
      </c>
      <c r="B13454">
        <v>13</v>
      </c>
      <c r="C13454">
        <v>0</v>
      </c>
      <c r="D13454">
        <v>0</v>
      </c>
      <c r="E13454">
        <v>0</v>
      </c>
      <c r="F13454">
        <v>1612</v>
      </c>
    </row>
    <row r="13455" spans="1:6" x14ac:dyDescent="0.25">
      <c r="A13455">
        <v>13454</v>
      </c>
      <c r="B13455">
        <v>41</v>
      </c>
      <c r="C13455">
        <v>0</v>
      </c>
      <c r="D13455">
        <v>0</v>
      </c>
      <c r="E13455">
        <v>0</v>
      </c>
      <c r="F13455">
        <v>1</v>
      </c>
    </row>
    <row r="13456" spans="1:6" x14ac:dyDescent="0.25">
      <c r="A13456">
        <v>13455</v>
      </c>
      <c r="B13456" t="s">
        <v>0</v>
      </c>
      <c r="C13456">
        <v>49</v>
      </c>
      <c r="D13456">
        <v>3502</v>
      </c>
      <c r="E13456">
        <v>80539503</v>
      </c>
    </row>
    <row r="13457" spans="1:6" x14ac:dyDescent="0.25">
      <c r="A13457">
        <v>13456</v>
      </c>
      <c r="B13457">
        <v>42</v>
      </c>
      <c r="C13457">
        <v>0</v>
      </c>
      <c r="D13457">
        <v>0</v>
      </c>
      <c r="E13457">
        <v>0</v>
      </c>
      <c r="F13457">
        <v>0.2</v>
      </c>
    </row>
    <row r="13458" spans="1:6" x14ac:dyDescent="0.25">
      <c r="A13458">
        <v>13457</v>
      </c>
      <c r="B13458">
        <v>43</v>
      </c>
      <c r="C13458">
        <v>0</v>
      </c>
      <c r="D13458">
        <v>0</v>
      </c>
      <c r="E13458">
        <v>0</v>
      </c>
      <c r="F13458">
        <v>0</v>
      </c>
    </row>
    <row r="13459" spans="1:6" x14ac:dyDescent="0.25">
      <c r="A13459">
        <v>13458</v>
      </c>
      <c r="B13459" t="s">
        <v>0</v>
      </c>
      <c r="C13459">
        <v>50</v>
      </c>
      <c r="D13459">
        <v>3502</v>
      </c>
      <c r="E13459">
        <v>80539641</v>
      </c>
    </row>
    <row r="13460" spans="1:6" x14ac:dyDescent="0.25">
      <c r="A13460">
        <v>13459</v>
      </c>
      <c r="B13460">
        <v>45</v>
      </c>
      <c r="C13460">
        <v>0</v>
      </c>
      <c r="D13460">
        <v>0</v>
      </c>
      <c r="E13460">
        <v>0</v>
      </c>
      <c r="F13460">
        <v>515.77300000000002</v>
      </c>
    </row>
    <row r="13461" spans="1:6" x14ac:dyDescent="0.25">
      <c r="A13461">
        <v>13460</v>
      </c>
      <c r="B13461" t="s">
        <v>0</v>
      </c>
      <c r="C13461">
        <v>51</v>
      </c>
      <c r="D13461">
        <v>3502</v>
      </c>
      <c r="E13461">
        <v>80539779</v>
      </c>
    </row>
    <row r="13462" spans="1:6" x14ac:dyDescent="0.25">
      <c r="A13462">
        <v>13461</v>
      </c>
      <c r="B13462">
        <v>2</v>
      </c>
      <c r="C13462">
        <v>0</v>
      </c>
      <c r="D13462">
        <v>0</v>
      </c>
      <c r="E13462">
        <v>0</v>
      </c>
      <c r="F13462">
        <v>241.346</v>
      </c>
    </row>
    <row r="13463" spans="1:6" x14ac:dyDescent="0.25">
      <c r="A13463">
        <v>13462</v>
      </c>
      <c r="B13463" t="s">
        <v>0</v>
      </c>
      <c r="C13463">
        <v>52</v>
      </c>
      <c r="D13463">
        <v>3502</v>
      </c>
      <c r="E13463">
        <v>80539916</v>
      </c>
    </row>
    <row r="13464" spans="1:6" x14ac:dyDescent="0.25">
      <c r="A13464">
        <v>13463</v>
      </c>
      <c r="B13464">
        <v>13</v>
      </c>
      <c r="C13464">
        <v>0</v>
      </c>
      <c r="D13464">
        <v>0</v>
      </c>
      <c r="E13464">
        <v>0</v>
      </c>
      <c r="F13464">
        <v>1612</v>
      </c>
    </row>
    <row r="13465" spans="1:6" x14ac:dyDescent="0.25">
      <c r="A13465">
        <v>13464</v>
      </c>
      <c r="B13465" t="s">
        <v>0</v>
      </c>
      <c r="C13465">
        <v>53</v>
      </c>
      <c r="D13465">
        <v>3502</v>
      </c>
      <c r="E13465">
        <v>80540053</v>
      </c>
    </row>
    <row r="13466" spans="1:6" x14ac:dyDescent="0.25">
      <c r="A13466">
        <v>13465</v>
      </c>
      <c r="B13466">
        <v>42</v>
      </c>
      <c r="C13466">
        <v>0</v>
      </c>
      <c r="D13466">
        <v>0</v>
      </c>
      <c r="E13466">
        <v>0</v>
      </c>
      <c r="F13466">
        <v>0.2</v>
      </c>
    </row>
    <row r="13467" spans="1:6" x14ac:dyDescent="0.25">
      <c r="A13467">
        <v>13466</v>
      </c>
      <c r="B13467" t="s">
        <v>0</v>
      </c>
      <c r="C13467">
        <v>54</v>
      </c>
      <c r="D13467">
        <v>3502</v>
      </c>
      <c r="E13467">
        <v>80540190</v>
      </c>
    </row>
    <row r="13468" spans="1:6" x14ac:dyDescent="0.25">
      <c r="A13468">
        <v>13467</v>
      </c>
      <c r="B13468">
        <v>44</v>
      </c>
      <c r="C13468">
        <v>0</v>
      </c>
      <c r="D13468">
        <v>0</v>
      </c>
      <c r="E13468">
        <v>0</v>
      </c>
      <c r="F13468">
        <v>9.3475300000000008</v>
      </c>
    </row>
    <row r="13469" spans="1:6" x14ac:dyDescent="0.25">
      <c r="A13469">
        <v>13468</v>
      </c>
      <c r="B13469">
        <v>45</v>
      </c>
      <c r="C13469">
        <v>0</v>
      </c>
      <c r="D13469">
        <v>0</v>
      </c>
      <c r="E13469">
        <v>0</v>
      </c>
      <c r="F13469">
        <v>515.78300000000002</v>
      </c>
    </row>
    <row r="13470" spans="1:6" x14ac:dyDescent="0.25">
      <c r="A13470">
        <v>13469</v>
      </c>
      <c r="B13470">
        <v>46</v>
      </c>
      <c r="C13470">
        <v>0</v>
      </c>
      <c r="D13470">
        <v>0</v>
      </c>
      <c r="E13470">
        <v>0</v>
      </c>
      <c r="F13470">
        <v>0</v>
      </c>
    </row>
    <row r="13471" spans="1:6" x14ac:dyDescent="0.25">
      <c r="A13471">
        <v>13470</v>
      </c>
      <c r="B13471">
        <v>2</v>
      </c>
      <c r="C13471">
        <v>0</v>
      </c>
      <c r="D13471">
        <v>0</v>
      </c>
      <c r="E13471">
        <v>0</v>
      </c>
      <c r="F13471">
        <v>241.35900000000001</v>
      </c>
    </row>
    <row r="13472" spans="1:6" x14ac:dyDescent="0.25">
      <c r="A13472">
        <v>13471</v>
      </c>
      <c r="B13472">
        <v>10</v>
      </c>
      <c r="C13472">
        <v>1</v>
      </c>
      <c r="D13472">
        <v>0</v>
      </c>
      <c r="E13472">
        <v>0</v>
      </c>
      <c r="F13472">
        <v>5093</v>
      </c>
    </row>
    <row r="13473" spans="1:6" x14ac:dyDescent="0.25">
      <c r="A13473">
        <v>13472</v>
      </c>
      <c r="B13473">
        <v>13</v>
      </c>
      <c r="C13473">
        <v>0</v>
      </c>
      <c r="D13473">
        <v>0</v>
      </c>
      <c r="E13473">
        <v>0</v>
      </c>
      <c r="F13473">
        <v>1612</v>
      </c>
    </row>
    <row r="13474" spans="1:6" x14ac:dyDescent="0.25">
      <c r="A13474">
        <v>13473</v>
      </c>
      <c r="B13474">
        <v>41</v>
      </c>
      <c r="C13474">
        <v>0</v>
      </c>
      <c r="D13474">
        <v>0</v>
      </c>
      <c r="E13474">
        <v>0</v>
      </c>
      <c r="F13474">
        <v>1</v>
      </c>
    </row>
    <row r="13475" spans="1:6" x14ac:dyDescent="0.25">
      <c r="A13475">
        <v>13474</v>
      </c>
      <c r="B13475">
        <v>42</v>
      </c>
      <c r="C13475">
        <v>0</v>
      </c>
      <c r="D13475">
        <v>0</v>
      </c>
      <c r="E13475">
        <v>0</v>
      </c>
      <c r="F13475">
        <v>0.2</v>
      </c>
    </row>
    <row r="13476" spans="1:6" x14ac:dyDescent="0.25">
      <c r="A13476">
        <v>13475</v>
      </c>
      <c r="B13476">
        <v>43</v>
      </c>
      <c r="C13476">
        <v>0</v>
      </c>
      <c r="D13476">
        <v>0</v>
      </c>
      <c r="E13476">
        <v>0</v>
      </c>
      <c r="F13476">
        <v>0</v>
      </c>
    </row>
    <row r="13477" spans="1:6" x14ac:dyDescent="0.25">
      <c r="A13477">
        <v>13476</v>
      </c>
      <c r="B13477">
        <v>44</v>
      </c>
      <c r="C13477">
        <v>0</v>
      </c>
      <c r="D13477">
        <v>0</v>
      </c>
      <c r="E13477">
        <v>0</v>
      </c>
      <c r="F13477">
        <v>9.4863</v>
      </c>
    </row>
    <row r="13478" spans="1:6" x14ac:dyDescent="0.25">
      <c r="A13478">
        <v>13477</v>
      </c>
      <c r="B13478">
        <v>45</v>
      </c>
      <c r="C13478">
        <v>0</v>
      </c>
      <c r="D13478">
        <v>0</v>
      </c>
      <c r="E13478">
        <v>0</v>
      </c>
      <c r="F13478">
        <v>515.79600000000005</v>
      </c>
    </row>
    <row r="13479" spans="1:6" x14ac:dyDescent="0.25">
      <c r="A13479">
        <v>13478</v>
      </c>
      <c r="B13479">
        <v>46</v>
      </c>
      <c r="C13479">
        <v>0</v>
      </c>
      <c r="D13479">
        <v>0</v>
      </c>
      <c r="E13479">
        <v>0</v>
      </c>
      <c r="F13479">
        <v>0</v>
      </c>
    </row>
    <row r="13480" spans="1:6" x14ac:dyDescent="0.25">
      <c r="A13480">
        <v>13479</v>
      </c>
      <c r="B13480">
        <v>2</v>
      </c>
      <c r="C13480">
        <v>0</v>
      </c>
      <c r="D13480">
        <v>0</v>
      </c>
      <c r="E13480">
        <v>0</v>
      </c>
      <c r="F13480">
        <v>241.37200000000001</v>
      </c>
    </row>
    <row r="13481" spans="1:6" x14ac:dyDescent="0.25">
      <c r="A13481">
        <v>13480</v>
      </c>
      <c r="B13481">
        <v>10</v>
      </c>
      <c r="C13481">
        <v>1</v>
      </c>
      <c r="D13481">
        <v>0</v>
      </c>
      <c r="E13481">
        <v>0</v>
      </c>
      <c r="F13481">
        <v>5094</v>
      </c>
    </row>
    <row r="13482" spans="1:6" x14ac:dyDescent="0.25">
      <c r="A13482">
        <v>13481</v>
      </c>
      <c r="B13482" t="s">
        <v>0</v>
      </c>
      <c r="C13482">
        <v>61</v>
      </c>
      <c r="D13482">
        <v>3502</v>
      </c>
      <c r="E13482">
        <v>80541154</v>
      </c>
    </row>
    <row r="13483" spans="1:6" x14ac:dyDescent="0.25">
      <c r="A13483">
        <v>13482</v>
      </c>
      <c r="B13483">
        <v>13</v>
      </c>
      <c r="C13483">
        <v>0</v>
      </c>
      <c r="D13483">
        <v>0</v>
      </c>
      <c r="E13483">
        <v>0</v>
      </c>
      <c r="F13483">
        <v>1612</v>
      </c>
    </row>
    <row r="13484" spans="1:6" x14ac:dyDescent="0.25">
      <c r="A13484">
        <v>13483</v>
      </c>
      <c r="B13484">
        <v>41</v>
      </c>
      <c r="C13484">
        <v>0</v>
      </c>
      <c r="D13484">
        <v>0</v>
      </c>
      <c r="E13484">
        <v>0</v>
      </c>
      <c r="F13484">
        <v>1</v>
      </c>
    </row>
    <row r="13485" spans="1:6" x14ac:dyDescent="0.25">
      <c r="A13485">
        <v>13484</v>
      </c>
      <c r="B13485" t="s">
        <v>0</v>
      </c>
      <c r="C13485">
        <v>62</v>
      </c>
      <c r="D13485">
        <v>3502</v>
      </c>
      <c r="E13485">
        <v>80541291</v>
      </c>
    </row>
    <row r="13486" spans="1:6" x14ac:dyDescent="0.25">
      <c r="A13486">
        <v>13485</v>
      </c>
      <c r="B13486">
        <v>42</v>
      </c>
      <c r="C13486">
        <v>0</v>
      </c>
      <c r="D13486">
        <v>0</v>
      </c>
      <c r="E13486">
        <v>0</v>
      </c>
      <c r="F13486">
        <v>0.2</v>
      </c>
    </row>
    <row r="13487" spans="1:6" x14ac:dyDescent="0.25">
      <c r="A13487">
        <v>13486</v>
      </c>
      <c r="B13487">
        <v>43</v>
      </c>
      <c r="C13487">
        <v>0</v>
      </c>
      <c r="D13487">
        <v>0</v>
      </c>
      <c r="E13487">
        <v>0</v>
      </c>
      <c r="F13487">
        <v>0</v>
      </c>
    </row>
    <row r="13488" spans="1:6" x14ac:dyDescent="0.25">
      <c r="A13488">
        <v>13487</v>
      </c>
      <c r="B13488" t="s">
        <v>0</v>
      </c>
      <c r="C13488">
        <v>63</v>
      </c>
      <c r="D13488">
        <v>3502</v>
      </c>
      <c r="E13488">
        <v>80541428</v>
      </c>
    </row>
    <row r="13489" spans="1:6" x14ac:dyDescent="0.25">
      <c r="A13489">
        <v>13488</v>
      </c>
      <c r="B13489">
        <v>44</v>
      </c>
      <c r="C13489">
        <v>0</v>
      </c>
      <c r="D13489">
        <v>0</v>
      </c>
      <c r="E13489">
        <v>0</v>
      </c>
      <c r="F13489">
        <v>9.6500900000000005</v>
      </c>
    </row>
    <row r="13490" spans="1:6" x14ac:dyDescent="0.25">
      <c r="A13490">
        <v>13489</v>
      </c>
      <c r="B13490">
        <v>45</v>
      </c>
      <c r="C13490">
        <v>0</v>
      </c>
      <c r="D13490">
        <v>0</v>
      </c>
      <c r="E13490">
        <v>0</v>
      </c>
      <c r="F13490">
        <v>515.80700000000002</v>
      </c>
    </row>
    <row r="13491" spans="1:6" x14ac:dyDescent="0.25">
      <c r="A13491">
        <v>13490</v>
      </c>
      <c r="B13491" t="s">
        <v>0</v>
      </c>
      <c r="C13491">
        <v>64</v>
      </c>
      <c r="D13491">
        <v>3502</v>
      </c>
      <c r="E13491">
        <v>80541566</v>
      </c>
    </row>
    <row r="13492" spans="1:6" x14ac:dyDescent="0.25">
      <c r="A13492">
        <v>13491</v>
      </c>
      <c r="B13492">
        <v>46</v>
      </c>
      <c r="C13492">
        <v>0</v>
      </c>
      <c r="D13492">
        <v>0</v>
      </c>
      <c r="E13492">
        <v>0</v>
      </c>
      <c r="F13492">
        <v>0</v>
      </c>
    </row>
    <row r="13493" spans="1:6" x14ac:dyDescent="0.25">
      <c r="A13493">
        <v>13492</v>
      </c>
      <c r="B13493">
        <v>2</v>
      </c>
      <c r="C13493">
        <v>0</v>
      </c>
      <c r="D13493">
        <v>0</v>
      </c>
      <c r="E13493">
        <v>0</v>
      </c>
      <c r="F13493">
        <v>241.37799999999999</v>
      </c>
    </row>
    <row r="13494" spans="1:6" x14ac:dyDescent="0.25">
      <c r="A13494">
        <v>13493</v>
      </c>
      <c r="B13494" t="s">
        <v>0</v>
      </c>
      <c r="C13494">
        <v>65</v>
      </c>
      <c r="D13494">
        <v>3502</v>
      </c>
      <c r="E13494">
        <v>80541704</v>
      </c>
    </row>
    <row r="13495" spans="1:6" x14ac:dyDescent="0.25">
      <c r="A13495">
        <v>13494</v>
      </c>
      <c r="B13495">
        <v>13</v>
      </c>
      <c r="C13495">
        <v>0</v>
      </c>
      <c r="D13495">
        <v>0</v>
      </c>
      <c r="E13495">
        <v>0</v>
      </c>
      <c r="F13495">
        <v>1612</v>
      </c>
    </row>
    <row r="13496" spans="1:6" x14ac:dyDescent="0.25">
      <c r="A13496">
        <v>13495</v>
      </c>
      <c r="B13496" t="s">
        <v>0</v>
      </c>
      <c r="C13496">
        <v>66</v>
      </c>
      <c r="D13496">
        <v>3502</v>
      </c>
      <c r="E13496">
        <v>80541842</v>
      </c>
    </row>
    <row r="13497" spans="1:6" x14ac:dyDescent="0.25">
      <c r="A13497">
        <v>13496</v>
      </c>
      <c r="B13497">
        <v>42</v>
      </c>
      <c r="C13497">
        <v>0</v>
      </c>
      <c r="D13497">
        <v>0</v>
      </c>
      <c r="E13497">
        <v>0</v>
      </c>
      <c r="F13497">
        <v>0.2</v>
      </c>
    </row>
    <row r="13498" spans="1:6" x14ac:dyDescent="0.25">
      <c r="A13498">
        <v>13497</v>
      </c>
      <c r="B13498" t="s">
        <v>0</v>
      </c>
      <c r="C13498">
        <v>67</v>
      </c>
      <c r="D13498">
        <v>3502</v>
      </c>
      <c r="E13498">
        <v>80541980</v>
      </c>
    </row>
    <row r="13499" spans="1:6" x14ac:dyDescent="0.25">
      <c r="A13499">
        <v>13498</v>
      </c>
      <c r="B13499">
        <v>44</v>
      </c>
      <c r="C13499">
        <v>0</v>
      </c>
      <c r="D13499">
        <v>0</v>
      </c>
      <c r="E13499">
        <v>0</v>
      </c>
      <c r="F13499">
        <v>9.7679600000000004</v>
      </c>
    </row>
    <row r="13500" spans="1:6" x14ac:dyDescent="0.25">
      <c r="A13500">
        <v>13499</v>
      </c>
      <c r="B13500" t="s">
        <v>0</v>
      </c>
      <c r="C13500">
        <v>68</v>
      </c>
      <c r="D13500">
        <v>3502</v>
      </c>
      <c r="E13500">
        <v>80542118</v>
      </c>
    </row>
    <row r="13501" spans="1:6" x14ac:dyDescent="0.25">
      <c r="A13501">
        <v>13500</v>
      </c>
      <c r="B13501">
        <v>46</v>
      </c>
      <c r="C13501">
        <v>0</v>
      </c>
      <c r="D13501">
        <v>0</v>
      </c>
      <c r="E13501">
        <v>0</v>
      </c>
      <c r="F13501">
        <v>0</v>
      </c>
    </row>
    <row r="13502" spans="1:6" x14ac:dyDescent="0.25">
      <c r="A13502">
        <v>13501</v>
      </c>
      <c r="B13502" t="s">
        <v>0</v>
      </c>
      <c r="C13502">
        <v>69</v>
      </c>
      <c r="D13502">
        <v>3502</v>
      </c>
      <c r="E13502">
        <v>80542255</v>
      </c>
    </row>
    <row r="13503" spans="1:6" x14ac:dyDescent="0.25">
      <c r="A13503">
        <v>13502</v>
      </c>
      <c r="B13503">
        <v>10</v>
      </c>
      <c r="C13503">
        <v>1</v>
      </c>
      <c r="D13503">
        <v>0</v>
      </c>
      <c r="E13503">
        <v>0</v>
      </c>
      <c r="F13503">
        <v>5095</v>
      </c>
    </row>
    <row r="13504" spans="1:6" x14ac:dyDescent="0.25">
      <c r="A13504">
        <v>13503</v>
      </c>
      <c r="B13504">
        <v>13</v>
      </c>
      <c r="C13504">
        <v>0</v>
      </c>
      <c r="D13504">
        <v>0</v>
      </c>
      <c r="E13504">
        <v>0</v>
      </c>
      <c r="F13504">
        <v>1612</v>
      </c>
    </row>
    <row r="13505" spans="1:6" x14ac:dyDescent="0.25">
      <c r="A13505">
        <v>13504</v>
      </c>
      <c r="B13505">
        <v>41</v>
      </c>
      <c r="C13505">
        <v>0</v>
      </c>
      <c r="D13505">
        <v>0</v>
      </c>
      <c r="E13505">
        <v>0</v>
      </c>
      <c r="F13505">
        <v>1</v>
      </c>
    </row>
    <row r="13506" spans="1:6" x14ac:dyDescent="0.25">
      <c r="A13506">
        <v>13505</v>
      </c>
      <c r="B13506">
        <v>42</v>
      </c>
      <c r="C13506">
        <v>0</v>
      </c>
      <c r="D13506">
        <v>0</v>
      </c>
      <c r="E13506">
        <v>0</v>
      </c>
      <c r="F13506">
        <v>0.2</v>
      </c>
    </row>
    <row r="13507" spans="1:6" x14ac:dyDescent="0.25">
      <c r="A13507">
        <v>13506</v>
      </c>
      <c r="B13507">
        <v>43</v>
      </c>
      <c r="C13507">
        <v>0</v>
      </c>
      <c r="D13507">
        <v>0</v>
      </c>
      <c r="E13507">
        <v>0</v>
      </c>
      <c r="F13507">
        <v>0</v>
      </c>
    </row>
    <row r="13508" spans="1:6" x14ac:dyDescent="0.25">
      <c r="A13508">
        <v>13507</v>
      </c>
      <c r="B13508">
        <v>44</v>
      </c>
      <c r="C13508">
        <v>0</v>
      </c>
      <c r="D13508">
        <v>0</v>
      </c>
      <c r="E13508">
        <v>0</v>
      </c>
      <c r="F13508">
        <v>9.9120299999999997</v>
      </c>
    </row>
    <row r="13509" spans="1:6" x14ac:dyDescent="0.25">
      <c r="A13509">
        <v>13508</v>
      </c>
      <c r="B13509">
        <v>45</v>
      </c>
      <c r="C13509">
        <v>0</v>
      </c>
      <c r="D13509">
        <v>0</v>
      </c>
      <c r="E13509">
        <v>0</v>
      </c>
      <c r="F13509">
        <v>515.83100000000002</v>
      </c>
    </row>
    <row r="13510" spans="1:6" x14ac:dyDescent="0.25">
      <c r="A13510">
        <v>13509</v>
      </c>
      <c r="B13510">
        <v>46</v>
      </c>
      <c r="C13510">
        <v>0</v>
      </c>
      <c r="D13510">
        <v>0</v>
      </c>
      <c r="E13510">
        <v>0</v>
      </c>
      <c r="F13510">
        <v>0</v>
      </c>
    </row>
    <row r="13511" spans="1:6" x14ac:dyDescent="0.25">
      <c r="A13511">
        <v>13510</v>
      </c>
      <c r="B13511">
        <v>2</v>
      </c>
      <c r="C13511">
        <v>0</v>
      </c>
      <c r="D13511">
        <v>0</v>
      </c>
      <c r="E13511">
        <v>0</v>
      </c>
      <c r="F13511">
        <v>241.39400000000001</v>
      </c>
    </row>
    <row r="13512" spans="1:6" x14ac:dyDescent="0.25">
      <c r="A13512">
        <v>13511</v>
      </c>
      <c r="B13512">
        <v>10</v>
      </c>
      <c r="C13512">
        <v>1</v>
      </c>
      <c r="D13512">
        <v>0</v>
      </c>
      <c r="E13512">
        <v>0</v>
      </c>
      <c r="F13512">
        <v>5096</v>
      </c>
    </row>
    <row r="13513" spans="1:6" x14ac:dyDescent="0.25">
      <c r="A13513">
        <v>13512</v>
      </c>
      <c r="B13513">
        <v>13</v>
      </c>
      <c r="C13513">
        <v>0</v>
      </c>
      <c r="D13513">
        <v>0</v>
      </c>
      <c r="E13513">
        <v>0</v>
      </c>
      <c r="F13513">
        <v>1612</v>
      </c>
    </row>
    <row r="13514" spans="1:6" x14ac:dyDescent="0.25">
      <c r="A13514">
        <v>13513</v>
      </c>
      <c r="B13514">
        <v>41</v>
      </c>
      <c r="C13514">
        <v>0</v>
      </c>
      <c r="D13514">
        <v>0</v>
      </c>
      <c r="E13514">
        <v>0</v>
      </c>
      <c r="F13514">
        <v>1</v>
      </c>
    </row>
    <row r="13515" spans="1:6" x14ac:dyDescent="0.25">
      <c r="A13515">
        <v>13514</v>
      </c>
      <c r="B13515">
        <v>42</v>
      </c>
      <c r="C13515">
        <v>0</v>
      </c>
      <c r="D13515">
        <v>0</v>
      </c>
      <c r="E13515">
        <v>0</v>
      </c>
      <c r="F13515">
        <v>0.2</v>
      </c>
    </row>
    <row r="13516" spans="1:6" x14ac:dyDescent="0.25">
      <c r="A13516">
        <v>13515</v>
      </c>
      <c r="B13516">
        <v>43</v>
      </c>
      <c r="C13516">
        <v>0</v>
      </c>
      <c r="D13516">
        <v>0</v>
      </c>
      <c r="E13516">
        <v>0</v>
      </c>
      <c r="F13516">
        <v>0</v>
      </c>
    </row>
    <row r="13517" spans="1:6" x14ac:dyDescent="0.25">
      <c r="A13517">
        <v>13516</v>
      </c>
      <c r="B13517" t="s">
        <v>0</v>
      </c>
      <c r="C13517">
        <v>76</v>
      </c>
      <c r="D13517">
        <v>3502</v>
      </c>
      <c r="E13517">
        <v>80543219</v>
      </c>
    </row>
    <row r="13518" spans="1:6" x14ac:dyDescent="0.25">
      <c r="A13518">
        <v>13517</v>
      </c>
      <c r="B13518">
        <v>44</v>
      </c>
      <c r="C13518">
        <v>0</v>
      </c>
      <c r="D13518">
        <v>0</v>
      </c>
      <c r="E13518">
        <v>0</v>
      </c>
      <c r="F13518">
        <v>10.081300000000001</v>
      </c>
    </row>
    <row r="13519" spans="1:6" x14ac:dyDescent="0.25">
      <c r="A13519">
        <v>13518</v>
      </c>
      <c r="B13519">
        <v>45</v>
      </c>
      <c r="C13519">
        <v>0</v>
      </c>
      <c r="D13519">
        <v>0</v>
      </c>
      <c r="E13519">
        <v>0</v>
      </c>
      <c r="F13519">
        <v>515.84199999999998</v>
      </c>
    </row>
    <row r="13520" spans="1:6" x14ac:dyDescent="0.25">
      <c r="A13520">
        <v>13519</v>
      </c>
      <c r="B13520" t="s">
        <v>0</v>
      </c>
      <c r="C13520">
        <v>77</v>
      </c>
      <c r="D13520">
        <v>3502</v>
      </c>
      <c r="E13520">
        <v>80543356</v>
      </c>
    </row>
    <row r="13521" spans="1:6" x14ac:dyDescent="0.25">
      <c r="A13521">
        <v>13520</v>
      </c>
      <c r="B13521">
        <v>46</v>
      </c>
      <c r="C13521">
        <v>0</v>
      </c>
      <c r="D13521">
        <v>0</v>
      </c>
      <c r="E13521">
        <v>0</v>
      </c>
      <c r="F13521">
        <v>0</v>
      </c>
    </row>
    <row r="13522" spans="1:6" x14ac:dyDescent="0.25">
      <c r="A13522">
        <v>13521</v>
      </c>
      <c r="B13522">
        <v>2</v>
      </c>
      <c r="C13522">
        <v>0</v>
      </c>
      <c r="D13522">
        <v>0</v>
      </c>
      <c r="E13522">
        <v>0</v>
      </c>
      <c r="F13522">
        <v>241.398</v>
      </c>
    </row>
    <row r="13523" spans="1:6" x14ac:dyDescent="0.25">
      <c r="A13523">
        <v>13522</v>
      </c>
      <c r="B13523" t="s">
        <v>0</v>
      </c>
      <c r="C13523">
        <v>78</v>
      </c>
      <c r="D13523">
        <v>3502</v>
      </c>
      <c r="E13523">
        <v>80543493</v>
      </c>
    </row>
    <row r="13524" spans="1:6" x14ac:dyDescent="0.25">
      <c r="A13524">
        <v>13523</v>
      </c>
      <c r="B13524">
        <v>10</v>
      </c>
      <c r="C13524">
        <v>1</v>
      </c>
      <c r="D13524">
        <v>0</v>
      </c>
      <c r="E13524">
        <v>0</v>
      </c>
      <c r="F13524">
        <v>5097</v>
      </c>
    </row>
    <row r="13525" spans="1:6" x14ac:dyDescent="0.25">
      <c r="A13525">
        <v>13524</v>
      </c>
      <c r="B13525">
        <v>13</v>
      </c>
      <c r="C13525">
        <v>0</v>
      </c>
      <c r="D13525">
        <v>0</v>
      </c>
      <c r="E13525">
        <v>0</v>
      </c>
      <c r="F13525">
        <v>1612</v>
      </c>
    </row>
    <row r="13526" spans="1:6" x14ac:dyDescent="0.25">
      <c r="A13526">
        <v>13525</v>
      </c>
      <c r="B13526" t="s">
        <v>0</v>
      </c>
      <c r="C13526">
        <v>79</v>
      </c>
      <c r="D13526">
        <v>3502</v>
      </c>
      <c r="E13526">
        <v>80543630</v>
      </c>
    </row>
    <row r="13527" spans="1:6" x14ac:dyDescent="0.25">
      <c r="A13527">
        <v>13526</v>
      </c>
      <c r="B13527">
        <v>41</v>
      </c>
      <c r="C13527">
        <v>0</v>
      </c>
      <c r="D13527">
        <v>0</v>
      </c>
      <c r="E13527">
        <v>0</v>
      </c>
      <c r="F13527">
        <v>1</v>
      </c>
    </row>
    <row r="13528" spans="1:6" x14ac:dyDescent="0.25">
      <c r="A13528">
        <v>13527</v>
      </c>
      <c r="B13528">
        <v>42</v>
      </c>
      <c r="C13528">
        <v>0</v>
      </c>
      <c r="D13528">
        <v>0</v>
      </c>
      <c r="E13528">
        <v>0</v>
      </c>
      <c r="F13528">
        <v>0.2</v>
      </c>
    </row>
    <row r="13529" spans="1:6" x14ac:dyDescent="0.25">
      <c r="A13529">
        <v>13528</v>
      </c>
      <c r="B13529" t="s">
        <v>0</v>
      </c>
      <c r="C13529">
        <v>80</v>
      </c>
      <c r="D13529">
        <v>3502</v>
      </c>
      <c r="E13529">
        <v>80543768</v>
      </c>
    </row>
    <row r="13530" spans="1:6" x14ac:dyDescent="0.25">
      <c r="A13530">
        <v>13529</v>
      </c>
      <c r="B13530">
        <v>44</v>
      </c>
      <c r="C13530">
        <v>0</v>
      </c>
      <c r="D13530">
        <v>0</v>
      </c>
      <c r="E13530">
        <v>0</v>
      </c>
      <c r="F13530">
        <v>10.2026</v>
      </c>
    </row>
    <row r="13531" spans="1:6" x14ac:dyDescent="0.25">
      <c r="A13531">
        <v>13530</v>
      </c>
      <c r="B13531" t="s">
        <v>0</v>
      </c>
      <c r="C13531">
        <v>81</v>
      </c>
      <c r="D13531">
        <v>3502</v>
      </c>
      <c r="E13531">
        <v>80543906</v>
      </c>
    </row>
    <row r="13532" spans="1:6" x14ac:dyDescent="0.25">
      <c r="A13532">
        <v>13531</v>
      </c>
      <c r="B13532">
        <v>46</v>
      </c>
      <c r="C13532">
        <v>0</v>
      </c>
      <c r="D13532">
        <v>0</v>
      </c>
      <c r="E13532">
        <v>0</v>
      </c>
      <c r="F13532">
        <v>0</v>
      </c>
    </row>
    <row r="13533" spans="1:6" x14ac:dyDescent="0.25">
      <c r="A13533">
        <v>13532</v>
      </c>
      <c r="B13533" t="s">
        <v>0</v>
      </c>
      <c r="C13533">
        <v>82</v>
      </c>
      <c r="D13533">
        <v>3502</v>
      </c>
      <c r="E13533">
        <v>80544044</v>
      </c>
    </row>
    <row r="13534" spans="1:6" x14ac:dyDescent="0.25">
      <c r="A13534">
        <v>13533</v>
      </c>
      <c r="B13534">
        <v>10</v>
      </c>
      <c r="C13534">
        <v>1</v>
      </c>
      <c r="D13534">
        <v>0</v>
      </c>
      <c r="E13534">
        <v>0</v>
      </c>
      <c r="F13534">
        <v>5098</v>
      </c>
    </row>
    <row r="13535" spans="1:6" x14ac:dyDescent="0.25">
      <c r="A13535">
        <v>13534</v>
      </c>
      <c r="B13535" t="s">
        <v>0</v>
      </c>
      <c r="C13535">
        <v>83</v>
      </c>
      <c r="D13535">
        <v>3502</v>
      </c>
      <c r="E13535">
        <v>80544182</v>
      </c>
    </row>
    <row r="13536" spans="1:6" x14ac:dyDescent="0.25">
      <c r="A13536">
        <v>13535</v>
      </c>
      <c r="B13536">
        <v>41</v>
      </c>
      <c r="C13536">
        <v>0</v>
      </c>
      <c r="D13536">
        <v>0</v>
      </c>
      <c r="E13536">
        <v>0</v>
      </c>
      <c r="F13536">
        <v>1</v>
      </c>
    </row>
    <row r="13537" spans="1:6" x14ac:dyDescent="0.25">
      <c r="A13537">
        <v>13536</v>
      </c>
      <c r="B13537" t="s">
        <v>0</v>
      </c>
      <c r="C13537">
        <v>84</v>
      </c>
      <c r="D13537">
        <v>3502</v>
      </c>
      <c r="E13537">
        <v>80544319</v>
      </c>
    </row>
    <row r="13538" spans="1:6" x14ac:dyDescent="0.25">
      <c r="A13538">
        <v>13537</v>
      </c>
      <c r="B13538">
        <v>43</v>
      </c>
      <c r="C13538">
        <v>0</v>
      </c>
      <c r="D13538">
        <v>0</v>
      </c>
      <c r="E13538">
        <v>0</v>
      </c>
      <c r="F13538">
        <v>0</v>
      </c>
    </row>
    <row r="13539" spans="1:6" x14ac:dyDescent="0.25">
      <c r="A13539">
        <v>13538</v>
      </c>
      <c r="B13539">
        <v>44</v>
      </c>
      <c r="C13539">
        <v>0</v>
      </c>
      <c r="D13539">
        <v>0</v>
      </c>
      <c r="E13539">
        <v>0</v>
      </c>
      <c r="F13539">
        <v>10.3497</v>
      </c>
    </row>
    <row r="13540" spans="1:6" x14ac:dyDescent="0.25">
      <c r="A13540">
        <v>13539</v>
      </c>
      <c r="B13540">
        <v>45</v>
      </c>
      <c r="C13540">
        <v>0</v>
      </c>
      <c r="D13540">
        <v>0</v>
      </c>
      <c r="E13540">
        <v>0</v>
      </c>
      <c r="F13540">
        <v>515.86800000000005</v>
      </c>
    </row>
    <row r="13541" spans="1:6" x14ac:dyDescent="0.25">
      <c r="A13541">
        <v>13540</v>
      </c>
      <c r="B13541">
        <v>46</v>
      </c>
      <c r="C13541">
        <v>0</v>
      </c>
      <c r="D13541">
        <v>0</v>
      </c>
      <c r="E13541">
        <v>0</v>
      </c>
      <c r="F13541">
        <v>0</v>
      </c>
    </row>
    <row r="13542" spans="1:6" x14ac:dyDescent="0.25">
      <c r="A13542">
        <v>13541</v>
      </c>
      <c r="B13542">
        <v>2</v>
      </c>
      <c r="C13542">
        <v>0</v>
      </c>
      <c r="D13542">
        <v>0</v>
      </c>
      <c r="E13542">
        <v>0</v>
      </c>
      <c r="F13542">
        <v>241.405</v>
      </c>
    </row>
    <row r="13543" spans="1:6" x14ac:dyDescent="0.25">
      <c r="A13543">
        <v>13542</v>
      </c>
      <c r="B13543">
        <v>10</v>
      </c>
      <c r="C13543">
        <v>1</v>
      </c>
      <c r="D13543">
        <v>0</v>
      </c>
      <c r="E13543">
        <v>0</v>
      </c>
      <c r="F13543">
        <v>5099</v>
      </c>
    </row>
    <row r="13544" spans="1:6" x14ac:dyDescent="0.25">
      <c r="A13544">
        <v>13543</v>
      </c>
      <c r="B13544">
        <v>13</v>
      </c>
      <c r="C13544">
        <v>0</v>
      </c>
      <c r="D13544">
        <v>0</v>
      </c>
      <c r="E13544">
        <v>0</v>
      </c>
      <c r="F13544">
        <v>1612</v>
      </c>
    </row>
    <row r="13545" spans="1:6" x14ac:dyDescent="0.25">
      <c r="A13545">
        <v>13544</v>
      </c>
      <c r="B13545">
        <v>41</v>
      </c>
      <c r="C13545">
        <v>0</v>
      </c>
      <c r="D13545">
        <v>0</v>
      </c>
      <c r="E13545">
        <v>0</v>
      </c>
      <c r="F13545">
        <v>1</v>
      </c>
    </row>
    <row r="13546" spans="1:6" x14ac:dyDescent="0.25">
      <c r="A13546">
        <v>13545</v>
      </c>
      <c r="B13546">
        <v>42</v>
      </c>
      <c r="C13546">
        <v>0</v>
      </c>
      <c r="D13546">
        <v>0</v>
      </c>
      <c r="E13546">
        <v>0</v>
      </c>
      <c r="F13546">
        <v>0.2</v>
      </c>
    </row>
    <row r="13547" spans="1:6" x14ac:dyDescent="0.25">
      <c r="A13547">
        <v>13546</v>
      </c>
      <c r="B13547">
        <v>43</v>
      </c>
      <c r="C13547">
        <v>0</v>
      </c>
      <c r="D13547">
        <v>0</v>
      </c>
      <c r="E13547">
        <v>0</v>
      </c>
      <c r="F13547">
        <v>0</v>
      </c>
    </row>
    <row r="13548" spans="1:6" x14ac:dyDescent="0.25">
      <c r="A13548">
        <v>13547</v>
      </c>
      <c r="B13548">
        <v>44</v>
      </c>
      <c r="C13548">
        <v>0</v>
      </c>
      <c r="D13548">
        <v>0</v>
      </c>
      <c r="E13548">
        <v>0</v>
      </c>
      <c r="F13548">
        <v>10.521699999999999</v>
      </c>
    </row>
    <row r="13549" spans="1:6" x14ac:dyDescent="0.25">
      <c r="A13549">
        <v>13548</v>
      </c>
      <c r="B13549">
        <v>45</v>
      </c>
      <c r="C13549">
        <v>0</v>
      </c>
      <c r="D13549">
        <v>0</v>
      </c>
      <c r="E13549">
        <v>0</v>
      </c>
      <c r="F13549">
        <v>515.87900000000002</v>
      </c>
    </row>
    <row r="13550" spans="1:6" x14ac:dyDescent="0.25">
      <c r="A13550">
        <v>13549</v>
      </c>
      <c r="B13550">
        <v>46</v>
      </c>
      <c r="C13550">
        <v>0</v>
      </c>
      <c r="D13550">
        <v>0</v>
      </c>
      <c r="E13550">
        <v>0</v>
      </c>
      <c r="F13550">
        <v>0</v>
      </c>
    </row>
    <row r="13551" spans="1:6" x14ac:dyDescent="0.25">
      <c r="A13551">
        <v>13550</v>
      </c>
      <c r="B13551">
        <v>2</v>
      </c>
      <c r="C13551">
        <v>0</v>
      </c>
      <c r="D13551">
        <v>0</v>
      </c>
      <c r="E13551">
        <v>0</v>
      </c>
      <c r="F13551">
        <v>241.40700000000001</v>
      </c>
    </row>
    <row r="13552" spans="1:6" x14ac:dyDescent="0.25">
      <c r="A13552">
        <v>13551</v>
      </c>
      <c r="B13552" t="s">
        <v>0</v>
      </c>
      <c r="C13552">
        <v>91</v>
      </c>
      <c r="D13552">
        <v>3502</v>
      </c>
      <c r="E13552">
        <v>80545283</v>
      </c>
    </row>
    <row r="13553" spans="1:6" x14ac:dyDescent="0.25">
      <c r="A13553">
        <v>13552</v>
      </c>
      <c r="B13553">
        <v>10</v>
      </c>
      <c r="C13553">
        <v>1</v>
      </c>
      <c r="D13553">
        <v>0</v>
      </c>
      <c r="E13553">
        <v>0</v>
      </c>
      <c r="F13553">
        <v>5099</v>
      </c>
    </row>
    <row r="13554" spans="1:6" x14ac:dyDescent="0.25">
      <c r="A13554">
        <v>13553</v>
      </c>
      <c r="B13554">
        <v>13</v>
      </c>
      <c r="C13554">
        <v>0</v>
      </c>
      <c r="D13554">
        <v>0</v>
      </c>
      <c r="E13554">
        <v>0</v>
      </c>
      <c r="F13554">
        <v>1612</v>
      </c>
    </row>
    <row r="13555" spans="1:6" x14ac:dyDescent="0.25">
      <c r="A13555">
        <v>13554</v>
      </c>
      <c r="B13555" t="s">
        <v>0</v>
      </c>
      <c r="C13555">
        <v>92</v>
      </c>
      <c r="D13555">
        <v>3502</v>
      </c>
      <c r="E13555">
        <v>80545420</v>
      </c>
    </row>
    <row r="13556" spans="1:6" x14ac:dyDescent="0.25">
      <c r="A13556">
        <v>13555</v>
      </c>
      <c r="B13556">
        <v>41</v>
      </c>
      <c r="C13556">
        <v>0</v>
      </c>
      <c r="D13556">
        <v>0</v>
      </c>
      <c r="E13556">
        <v>0</v>
      </c>
      <c r="F13556">
        <v>1</v>
      </c>
    </row>
    <row r="13557" spans="1:6" x14ac:dyDescent="0.25">
      <c r="A13557">
        <v>13556</v>
      </c>
      <c r="B13557">
        <v>42</v>
      </c>
      <c r="C13557">
        <v>0</v>
      </c>
      <c r="D13557">
        <v>0</v>
      </c>
      <c r="E13557">
        <v>0</v>
      </c>
      <c r="F13557">
        <v>0.2</v>
      </c>
    </row>
    <row r="13558" spans="1:6" x14ac:dyDescent="0.25">
      <c r="A13558">
        <v>13557</v>
      </c>
      <c r="B13558" t="s">
        <v>0</v>
      </c>
      <c r="C13558">
        <v>93</v>
      </c>
      <c r="D13558">
        <v>3502</v>
      </c>
      <c r="E13558">
        <v>80545557</v>
      </c>
    </row>
    <row r="13559" spans="1:6" x14ac:dyDescent="0.25">
      <c r="A13559">
        <v>13558</v>
      </c>
      <c r="B13559">
        <v>43</v>
      </c>
      <c r="C13559">
        <v>0</v>
      </c>
      <c r="D13559">
        <v>0</v>
      </c>
      <c r="E13559">
        <v>0</v>
      </c>
      <c r="F13559">
        <v>0</v>
      </c>
    </row>
    <row r="13560" spans="1:6" x14ac:dyDescent="0.25">
      <c r="A13560">
        <v>13559</v>
      </c>
      <c r="B13560">
        <v>44</v>
      </c>
      <c r="C13560">
        <v>0</v>
      </c>
      <c r="D13560">
        <v>0</v>
      </c>
      <c r="E13560">
        <v>0</v>
      </c>
      <c r="F13560">
        <v>10.6448</v>
      </c>
    </row>
    <row r="13561" spans="1:6" x14ac:dyDescent="0.25">
      <c r="A13561">
        <v>13560</v>
      </c>
      <c r="B13561" t="s">
        <v>0</v>
      </c>
      <c r="C13561">
        <v>94</v>
      </c>
      <c r="D13561">
        <v>3502</v>
      </c>
      <c r="E13561">
        <v>80545694</v>
      </c>
    </row>
    <row r="13562" spans="1:6" x14ac:dyDescent="0.25">
      <c r="A13562">
        <v>13561</v>
      </c>
      <c r="B13562">
        <v>45</v>
      </c>
      <c r="C13562">
        <v>0</v>
      </c>
      <c r="D13562">
        <v>0</v>
      </c>
      <c r="E13562">
        <v>0</v>
      </c>
      <c r="F13562">
        <v>515.89400000000001</v>
      </c>
    </row>
    <row r="13563" spans="1:6" x14ac:dyDescent="0.25">
      <c r="A13563">
        <v>13562</v>
      </c>
      <c r="B13563">
        <v>46</v>
      </c>
      <c r="C13563">
        <v>0</v>
      </c>
      <c r="D13563">
        <v>0</v>
      </c>
      <c r="E13563">
        <v>0</v>
      </c>
      <c r="F13563">
        <v>0</v>
      </c>
    </row>
    <row r="13564" spans="1:6" x14ac:dyDescent="0.25">
      <c r="A13564">
        <v>13563</v>
      </c>
      <c r="B13564" t="s">
        <v>0</v>
      </c>
      <c r="C13564">
        <v>95</v>
      </c>
      <c r="D13564">
        <v>3502</v>
      </c>
      <c r="E13564">
        <v>80545832</v>
      </c>
    </row>
    <row r="13565" spans="1:6" x14ac:dyDescent="0.25">
      <c r="A13565">
        <v>13564</v>
      </c>
      <c r="B13565">
        <v>10</v>
      </c>
      <c r="C13565">
        <v>1</v>
      </c>
      <c r="D13565">
        <v>0</v>
      </c>
      <c r="E13565">
        <v>0</v>
      </c>
      <c r="F13565">
        <v>5100</v>
      </c>
    </row>
    <row r="13566" spans="1:6" x14ac:dyDescent="0.25">
      <c r="A13566">
        <v>13565</v>
      </c>
      <c r="B13566" t="s">
        <v>0</v>
      </c>
      <c r="C13566">
        <v>96</v>
      </c>
      <c r="D13566">
        <v>3502</v>
      </c>
      <c r="E13566">
        <v>80545970</v>
      </c>
    </row>
    <row r="13567" spans="1:6" x14ac:dyDescent="0.25">
      <c r="A13567">
        <v>13566</v>
      </c>
      <c r="B13567">
        <v>41</v>
      </c>
      <c r="C13567">
        <v>0</v>
      </c>
      <c r="D13567">
        <v>0</v>
      </c>
      <c r="E13567">
        <v>0</v>
      </c>
      <c r="F13567">
        <v>1</v>
      </c>
    </row>
    <row r="13568" spans="1:6" x14ac:dyDescent="0.25">
      <c r="A13568">
        <v>13567</v>
      </c>
      <c r="B13568" t="s">
        <v>0</v>
      </c>
      <c r="C13568">
        <v>97</v>
      </c>
      <c r="D13568">
        <v>3502</v>
      </c>
      <c r="E13568">
        <v>80546108</v>
      </c>
    </row>
    <row r="13569" spans="1:6" x14ac:dyDescent="0.25">
      <c r="A13569">
        <v>13568</v>
      </c>
      <c r="B13569">
        <v>43</v>
      </c>
      <c r="C13569">
        <v>0</v>
      </c>
      <c r="D13569">
        <v>0</v>
      </c>
      <c r="E13569">
        <v>0</v>
      </c>
      <c r="F13569">
        <v>0</v>
      </c>
    </row>
    <row r="13570" spans="1:6" x14ac:dyDescent="0.25">
      <c r="A13570">
        <v>13569</v>
      </c>
      <c r="B13570" t="s">
        <v>0</v>
      </c>
      <c r="C13570">
        <v>98</v>
      </c>
      <c r="D13570">
        <v>3502</v>
      </c>
      <c r="E13570">
        <v>80546246</v>
      </c>
    </row>
    <row r="13571" spans="1:6" x14ac:dyDescent="0.25">
      <c r="A13571">
        <v>13570</v>
      </c>
      <c r="B13571">
        <v>45</v>
      </c>
      <c r="C13571">
        <v>0</v>
      </c>
      <c r="D13571">
        <v>0</v>
      </c>
      <c r="E13571">
        <v>0</v>
      </c>
      <c r="F13571">
        <v>515.90599999999995</v>
      </c>
    </row>
    <row r="13572" spans="1:6" x14ac:dyDescent="0.25">
      <c r="A13572">
        <v>13571</v>
      </c>
      <c r="B13572" t="s">
        <v>0</v>
      </c>
      <c r="C13572">
        <v>99</v>
      </c>
      <c r="D13572">
        <v>3502</v>
      </c>
      <c r="E13572">
        <v>80546384</v>
      </c>
    </row>
    <row r="13573" spans="1:6" x14ac:dyDescent="0.25">
      <c r="A13573">
        <v>13572</v>
      </c>
      <c r="B13573">
        <v>2</v>
      </c>
      <c r="C13573">
        <v>0</v>
      </c>
      <c r="D13573">
        <v>0</v>
      </c>
      <c r="E13573">
        <v>0</v>
      </c>
      <c r="F13573">
        <v>241.41</v>
      </c>
    </row>
    <row r="13574" spans="1:6" x14ac:dyDescent="0.25">
      <c r="A13574">
        <v>13573</v>
      </c>
      <c r="B13574">
        <v>10</v>
      </c>
      <c r="C13574">
        <v>1</v>
      </c>
      <c r="D13574">
        <v>0</v>
      </c>
      <c r="E13574">
        <v>0</v>
      </c>
      <c r="F13574">
        <v>5101</v>
      </c>
    </row>
    <row r="13575" spans="1:6" x14ac:dyDescent="0.25">
      <c r="A13575">
        <v>13574</v>
      </c>
      <c r="B13575">
        <v>13</v>
      </c>
      <c r="C13575">
        <v>0</v>
      </c>
      <c r="D13575">
        <v>0</v>
      </c>
      <c r="E13575">
        <v>0</v>
      </c>
      <c r="F13575">
        <v>1612</v>
      </c>
    </row>
    <row r="13576" spans="1:6" x14ac:dyDescent="0.25">
      <c r="A13576">
        <v>13575</v>
      </c>
      <c r="B13576">
        <v>41</v>
      </c>
      <c r="C13576">
        <v>0</v>
      </c>
      <c r="D13576">
        <v>0</v>
      </c>
      <c r="E13576">
        <v>0</v>
      </c>
      <c r="F13576">
        <v>1</v>
      </c>
    </row>
    <row r="13577" spans="1:6" x14ac:dyDescent="0.25">
      <c r="A13577">
        <v>13576</v>
      </c>
      <c r="B13577">
        <v>42</v>
      </c>
      <c r="C13577">
        <v>0</v>
      </c>
      <c r="D13577">
        <v>0</v>
      </c>
      <c r="E13577">
        <v>0</v>
      </c>
      <c r="F13577">
        <v>0.2</v>
      </c>
    </row>
    <row r="13578" spans="1:6" x14ac:dyDescent="0.25">
      <c r="A13578">
        <v>13577</v>
      </c>
      <c r="B13578">
        <v>43</v>
      </c>
      <c r="C13578">
        <v>0</v>
      </c>
      <c r="D13578">
        <v>0</v>
      </c>
      <c r="E13578">
        <v>0</v>
      </c>
      <c r="F13578">
        <v>0</v>
      </c>
    </row>
    <row r="13579" spans="1:6" x14ac:dyDescent="0.25">
      <c r="A13579">
        <v>13578</v>
      </c>
      <c r="B13579">
        <v>44</v>
      </c>
      <c r="C13579">
        <v>0</v>
      </c>
      <c r="D13579">
        <v>0</v>
      </c>
      <c r="E13579">
        <v>0</v>
      </c>
      <c r="F13579">
        <v>10.942600000000001</v>
      </c>
    </row>
    <row r="13580" spans="1:6" x14ac:dyDescent="0.25">
      <c r="A13580">
        <v>13579</v>
      </c>
      <c r="B13580">
        <v>45</v>
      </c>
      <c r="C13580">
        <v>0</v>
      </c>
      <c r="D13580">
        <v>0</v>
      </c>
      <c r="E13580">
        <v>0</v>
      </c>
      <c r="F13580">
        <v>515.91800000000001</v>
      </c>
    </row>
    <row r="13581" spans="1:6" x14ac:dyDescent="0.25">
      <c r="A13581">
        <v>13580</v>
      </c>
      <c r="B13581">
        <v>46</v>
      </c>
      <c r="C13581">
        <v>0</v>
      </c>
      <c r="D13581">
        <v>0</v>
      </c>
      <c r="E13581">
        <v>0</v>
      </c>
      <c r="F13581">
        <v>0</v>
      </c>
    </row>
    <row r="13582" spans="1:6" x14ac:dyDescent="0.25">
      <c r="A13582">
        <v>13581</v>
      </c>
      <c r="B13582">
        <v>2</v>
      </c>
      <c r="C13582">
        <v>0</v>
      </c>
      <c r="D13582">
        <v>0</v>
      </c>
      <c r="E13582">
        <v>0</v>
      </c>
      <c r="F13582">
        <v>241.41200000000001</v>
      </c>
    </row>
    <row r="13583" spans="1:6" x14ac:dyDescent="0.25">
      <c r="A13583">
        <v>13582</v>
      </c>
      <c r="B13583">
        <v>10</v>
      </c>
      <c r="C13583">
        <v>1</v>
      </c>
      <c r="D13583">
        <v>0</v>
      </c>
      <c r="E13583">
        <v>0</v>
      </c>
      <c r="F13583">
        <v>5102</v>
      </c>
    </row>
    <row r="13584" spans="1:6" x14ac:dyDescent="0.25">
      <c r="A13584">
        <v>13583</v>
      </c>
      <c r="B13584">
        <v>13</v>
      </c>
      <c r="C13584">
        <v>0</v>
      </c>
      <c r="D13584">
        <v>0</v>
      </c>
      <c r="E13584">
        <v>0</v>
      </c>
      <c r="F13584">
        <v>1612</v>
      </c>
    </row>
    <row r="13585" spans="1:6" x14ac:dyDescent="0.25">
      <c r="A13585">
        <v>13584</v>
      </c>
      <c r="B13585" t="s">
        <v>0</v>
      </c>
      <c r="C13585">
        <v>105</v>
      </c>
      <c r="D13585">
        <v>3502</v>
      </c>
      <c r="E13585">
        <v>80547210</v>
      </c>
    </row>
    <row r="13586" spans="1:6" x14ac:dyDescent="0.25">
      <c r="A13586">
        <v>13585</v>
      </c>
      <c r="B13586">
        <v>41</v>
      </c>
      <c r="C13586">
        <v>0</v>
      </c>
      <c r="D13586">
        <v>0</v>
      </c>
      <c r="E13586">
        <v>0</v>
      </c>
      <c r="F13586">
        <v>1</v>
      </c>
    </row>
    <row r="13587" spans="1:6" x14ac:dyDescent="0.25">
      <c r="A13587">
        <v>13586</v>
      </c>
      <c r="B13587">
        <v>42</v>
      </c>
      <c r="C13587">
        <v>0</v>
      </c>
      <c r="D13587">
        <v>0</v>
      </c>
      <c r="E13587">
        <v>0</v>
      </c>
      <c r="F13587">
        <v>0.2</v>
      </c>
    </row>
    <row r="13588" spans="1:6" x14ac:dyDescent="0.25">
      <c r="A13588">
        <v>13587</v>
      </c>
      <c r="B13588" t="s">
        <v>0</v>
      </c>
      <c r="C13588">
        <v>106</v>
      </c>
      <c r="D13588">
        <v>3502</v>
      </c>
      <c r="E13588">
        <v>80547348</v>
      </c>
    </row>
    <row r="13589" spans="1:6" x14ac:dyDescent="0.25">
      <c r="A13589">
        <v>13588</v>
      </c>
      <c r="B13589">
        <v>43</v>
      </c>
      <c r="C13589">
        <v>0</v>
      </c>
      <c r="D13589">
        <v>0</v>
      </c>
      <c r="E13589">
        <v>0</v>
      </c>
      <c r="F13589">
        <v>0</v>
      </c>
    </row>
    <row r="13590" spans="1:6" x14ac:dyDescent="0.25">
      <c r="A13590">
        <v>13589</v>
      </c>
      <c r="B13590">
        <v>44</v>
      </c>
      <c r="C13590">
        <v>0</v>
      </c>
      <c r="D13590">
        <v>0</v>
      </c>
      <c r="E13590">
        <v>0</v>
      </c>
      <c r="F13590">
        <v>11.0906</v>
      </c>
    </row>
    <row r="13591" spans="1:6" x14ac:dyDescent="0.25">
      <c r="A13591">
        <v>13590</v>
      </c>
      <c r="B13591" t="s">
        <v>0</v>
      </c>
      <c r="C13591">
        <v>107</v>
      </c>
      <c r="D13591">
        <v>3502</v>
      </c>
      <c r="E13591">
        <v>80547485</v>
      </c>
    </row>
    <row r="13592" spans="1:6" x14ac:dyDescent="0.25">
      <c r="A13592">
        <v>13591</v>
      </c>
      <c r="B13592">
        <v>45</v>
      </c>
      <c r="C13592">
        <v>0</v>
      </c>
      <c r="D13592">
        <v>0</v>
      </c>
      <c r="E13592">
        <v>0</v>
      </c>
      <c r="F13592">
        <v>515.93299999999999</v>
      </c>
    </row>
    <row r="13593" spans="1:6" x14ac:dyDescent="0.25">
      <c r="A13593">
        <v>13592</v>
      </c>
      <c r="B13593">
        <v>46</v>
      </c>
      <c r="C13593">
        <v>0</v>
      </c>
      <c r="D13593">
        <v>0</v>
      </c>
      <c r="E13593">
        <v>0</v>
      </c>
      <c r="F13593">
        <v>0</v>
      </c>
    </row>
    <row r="13594" spans="1:6" x14ac:dyDescent="0.25">
      <c r="A13594">
        <v>13593</v>
      </c>
      <c r="B13594" t="s">
        <v>0</v>
      </c>
      <c r="C13594">
        <v>108</v>
      </c>
      <c r="D13594">
        <v>3502</v>
      </c>
      <c r="E13594">
        <v>80547622</v>
      </c>
    </row>
    <row r="13595" spans="1:6" x14ac:dyDescent="0.25">
      <c r="A13595">
        <v>13594</v>
      </c>
      <c r="B13595">
        <v>2</v>
      </c>
      <c r="C13595">
        <v>0</v>
      </c>
      <c r="D13595">
        <v>0</v>
      </c>
      <c r="E13595">
        <v>0</v>
      </c>
      <c r="F13595">
        <v>241.41300000000001</v>
      </c>
    </row>
    <row r="13596" spans="1:6" x14ac:dyDescent="0.25">
      <c r="A13596">
        <v>13595</v>
      </c>
      <c r="B13596">
        <v>10</v>
      </c>
      <c r="C13596">
        <v>1</v>
      </c>
      <c r="D13596">
        <v>0</v>
      </c>
      <c r="E13596">
        <v>0</v>
      </c>
      <c r="F13596">
        <v>5103</v>
      </c>
    </row>
    <row r="13597" spans="1:6" x14ac:dyDescent="0.25">
      <c r="A13597">
        <v>13596</v>
      </c>
      <c r="B13597" t="s">
        <v>0</v>
      </c>
      <c r="C13597">
        <v>109</v>
      </c>
      <c r="D13597">
        <v>3502</v>
      </c>
      <c r="E13597">
        <v>80547759</v>
      </c>
    </row>
    <row r="13598" spans="1:6" x14ac:dyDescent="0.25">
      <c r="A13598">
        <v>13597</v>
      </c>
      <c r="B13598">
        <v>13</v>
      </c>
      <c r="C13598">
        <v>0</v>
      </c>
      <c r="D13598">
        <v>0</v>
      </c>
      <c r="E13598">
        <v>0</v>
      </c>
      <c r="F13598">
        <v>1612</v>
      </c>
    </row>
    <row r="13599" spans="1:6" x14ac:dyDescent="0.25">
      <c r="A13599">
        <v>13598</v>
      </c>
      <c r="B13599">
        <v>41</v>
      </c>
      <c r="C13599">
        <v>0</v>
      </c>
      <c r="D13599">
        <v>0</v>
      </c>
      <c r="E13599">
        <v>0</v>
      </c>
      <c r="F13599">
        <v>1</v>
      </c>
    </row>
    <row r="13600" spans="1:6" x14ac:dyDescent="0.25">
      <c r="A13600">
        <v>13599</v>
      </c>
      <c r="B13600" t="s">
        <v>0</v>
      </c>
      <c r="C13600">
        <v>110</v>
      </c>
      <c r="D13600">
        <v>3502</v>
      </c>
      <c r="E13600">
        <v>80547897</v>
      </c>
    </row>
    <row r="13601" spans="1:6" x14ac:dyDescent="0.25">
      <c r="A13601">
        <v>13600</v>
      </c>
      <c r="B13601">
        <v>43</v>
      </c>
      <c r="C13601">
        <v>0</v>
      </c>
      <c r="D13601">
        <v>0</v>
      </c>
      <c r="E13601">
        <v>0</v>
      </c>
      <c r="F13601">
        <v>0</v>
      </c>
    </row>
    <row r="13602" spans="1:6" x14ac:dyDescent="0.25">
      <c r="A13602">
        <v>13601</v>
      </c>
      <c r="B13602" t="s">
        <v>0</v>
      </c>
      <c r="C13602">
        <v>111</v>
      </c>
      <c r="D13602">
        <v>3502</v>
      </c>
      <c r="E13602">
        <v>80548035</v>
      </c>
    </row>
    <row r="13603" spans="1:6" x14ac:dyDescent="0.25">
      <c r="A13603">
        <v>13602</v>
      </c>
      <c r="B13603">
        <v>45</v>
      </c>
      <c r="C13603">
        <v>0</v>
      </c>
      <c r="D13603">
        <v>0</v>
      </c>
      <c r="E13603">
        <v>0</v>
      </c>
      <c r="F13603">
        <v>515.94600000000003</v>
      </c>
    </row>
    <row r="13604" spans="1:6" x14ac:dyDescent="0.25">
      <c r="A13604">
        <v>13603</v>
      </c>
      <c r="B13604" t="s">
        <v>0</v>
      </c>
      <c r="C13604">
        <v>112</v>
      </c>
      <c r="D13604">
        <v>3502</v>
      </c>
      <c r="E13604">
        <v>80548173</v>
      </c>
    </row>
    <row r="13605" spans="1:6" x14ac:dyDescent="0.25">
      <c r="A13605">
        <v>13604</v>
      </c>
      <c r="B13605">
        <v>2</v>
      </c>
      <c r="C13605">
        <v>0</v>
      </c>
      <c r="D13605">
        <v>0</v>
      </c>
      <c r="E13605">
        <v>0</v>
      </c>
      <c r="F13605">
        <v>241.41399999999999</v>
      </c>
    </row>
    <row r="13606" spans="1:6" x14ac:dyDescent="0.25">
      <c r="A13606">
        <v>13605</v>
      </c>
      <c r="B13606" t="s">
        <v>0</v>
      </c>
      <c r="C13606">
        <v>113</v>
      </c>
      <c r="D13606">
        <v>3502</v>
      </c>
      <c r="E13606">
        <v>80548311</v>
      </c>
    </row>
    <row r="13607" spans="1:6" x14ac:dyDescent="0.25">
      <c r="A13607">
        <v>13606</v>
      </c>
      <c r="B13607">
        <v>13</v>
      </c>
      <c r="C13607">
        <v>0</v>
      </c>
      <c r="D13607">
        <v>0</v>
      </c>
      <c r="E13607">
        <v>0</v>
      </c>
      <c r="F13607">
        <v>1612</v>
      </c>
    </row>
    <row r="13608" spans="1:6" x14ac:dyDescent="0.25">
      <c r="A13608">
        <v>13607</v>
      </c>
      <c r="B13608" t="s">
        <v>0</v>
      </c>
      <c r="C13608">
        <v>114</v>
      </c>
      <c r="D13608">
        <v>3502</v>
      </c>
      <c r="E13608">
        <v>80548449</v>
      </c>
    </row>
    <row r="13609" spans="1:6" x14ac:dyDescent="0.25">
      <c r="A13609">
        <v>13608</v>
      </c>
      <c r="B13609">
        <v>42</v>
      </c>
      <c r="C13609">
        <v>0</v>
      </c>
      <c r="D13609">
        <v>0</v>
      </c>
      <c r="E13609">
        <v>0</v>
      </c>
      <c r="F13609">
        <v>0.2</v>
      </c>
    </row>
    <row r="13610" spans="1:6" x14ac:dyDescent="0.25">
      <c r="A13610">
        <v>13609</v>
      </c>
      <c r="B13610">
        <v>43</v>
      </c>
      <c r="C13610">
        <v>0</v>
      </c>
      <c r="D13610">
        <v>0</v>
      </c>
      <c r="E13610">
        <v>0</v>
      </c>
      <c r="F13610">
        <v>0</v>
      </c>
    </row>
    <row r="13611" spans="1:6" x14ac:dyDescent="0.25">
      <c r="A13611">
        <v>13610</v>
      </c>
      <c r="B13611">
        <v>44</v>
      </c>
      <c r="C13611">
        <v>0</v>
      </c>
      <c r="D13611">
        <v>0</v>
      </c>
      <c r="E13611">
        <v>0</v>
      </c>
      <c r="F13611">
        <v>11.3889</v>
      </c>
    </row>
    <row r="13612" spans="1:6" x14ac:dyDescent="0.25">
      <c r="A13612">
        <v>13611</v>
      </c>
      <c r="B13612">
        <v>45</v>
      </c>
      <c r="C13612">
        <v>0</v>
      </c>
      <c r="D13612">
        <v>0</v>
      </c>
      <c r="E13612">
        <v>0</v>
      </c>
      <c r="F13612">
        <v>515.95799999999997</v>
      </c>
    </row>
    <row r="13613" spans="1:6" x14ac:dyDescent="0.25">
      <c r="A13613">
        <v>13612</v>
      </c>
      <c r="B13613">
        <v>46</v>
      </c>
      <c r="C13613">
        <v>0</v>
      </c>
      <c r="D13613">
        <v>0</v>
      </c>
      <c r="E13613">
        <v>0</v>
      </c>
      <c r="F13613">
        <v>0</v>
      </c>
    </row>
    <row r="13614" spans="1:6" x14ac:dyDescent="0.25">
      <c r="A13614">
        <v>13613</v>
      </c>
      <c r="B13614">
        <v>2</v>
      </c>
      <c r="C13614">
        <v>0</v>
      </c>
      <c r="D13614">
        <v>0</v>
      </c>
      <c r="E13614">
        <v>0</v>
      </c>
      <c r="F13614">
        <v>241.41399999999999</v>
      </c>
    </row>
    <row r="13615" spans="1:6" x14ac:dyDescent="0.25">
      <c r="A13615">
        <v>13614</v>
      </c>
      <c r="B13615">
        <v>10</v>
      </c>
      <c r="C13615">
        <v>1</v>
      </c>
      <c r="D13615">
        <v>0</v>
      </c>
      <c r="E13615">
        <v>0</v>
      </c>
      <c r="F13615">
        <v>5105</v>
      </c>
    </row>
    <row r="13616" spans="1:6" x14ac:dyDescent="0.25">
      <c r="A13616">
        <v>13615</v>
      </c>
      <c r="B13616">
        <v>13</v>
      </c>
      <c r="C13616">
        <v>0</v>
      </c>
      <c r="D13616">
        <v>0</v>
      </c>
      <c r="E13616">
        <v>0</v>
      </c>
      <c r="F13616">
        <v>1612</v>
      </c>
    </row>
    <row r="13617" spans="1:6" x14ac:dyDescent="0.25">
      <c r="A13617">
        <v>13616</v>
      </c>
      <c r="B13617">
        <v>41</v>
      </c>
      <c r="C13617">
        <v>0</v>
      </c>
      <c r="D13617">
        <v>0</v>
      </c>
      <c r="E13617">
        <v>0</v>
      </c>
      <c r="F13617">
        <v>1</v>
      </c>
    </row>
    <row r="13618" spans="1:6" x14ac:dyDescent="0.25">
      <c r="A13618">
        <v>13617</v>
      </c>
      <c r="B13618">
        <v>42</v>
      </c>
      <c r="C13618">
        <v>0</v>
      </c>
      <c r="D13618">
        <v>0</v>
      </c>
      <c r="E13618">
        <v>0</v>
      </c>
      <c r="F13618">
        <v>0.2</v>
      </c>
    </row>
    <row r="13619" spans="1:6" x14ac:dyDescent="0.25">
      <c r="A13619">
        <v>13618</v>
      </c>
      <c r="B13619">
        <v>43</v>
      </c>
      <c r="C13619">
        <v>0</v>
      </c>
      <c r="D13619">
        <v>0</v>
      </c>
      <c r="E13619">
        <v>0</v>
      </c>
      <c r="F13619">
        <v>0</v>
      </c>
    </row>
    <row r="13620" spans="1:6" x14ac:dyDescent="0.25">
      <c r="A13620">
        <v>13619</v>
      </c>
      <c r="B13620">
        <v>44</v>
      </c>
      <c r="C13620">
        <v>0</v>
      </c>
      <c r="D13620">
        <v>0</v>
      </c>
      <c r="E13620">
        <v>0</v>
      </c>
      <c r="F13620">
        <v>11.538399999999999</v>
      </c>
    </row>
    <row r="13621" spans="1:6" x14ac:dyDescent="0.25">
      <c r="A13621">
        <v>13620</v>
      </c>
      <c r="B13621">
        <v>45</v>
      </c>
      <c r="C13621">
        <v>0</v>
      </c>
      <c r="D13621">
        <v>0</v>
      </c>
      <c r="E13621">
        <v>0</v>
      </c>
      <c r="F13621">
        <v>515.97400000000005</v>
      </c>
    </row>
    <row r="13622" spans="1:6" x14ac:dyDescent="0.25">
      <c r="A13622">
        <v>13621</v>
      </c>
      <c r="B13622">
        <v>46</v>
      </c>
      <c r="C13622">
        <v>0</v>
      </c>
      <c r="D13622">
        <v>0</v>
      </c>
      <c r="E13622">
        <v>0</v>
      </c>
      <c r="F13622">
        <v>0</v>
      </c>
    </row>
    <row r="13623" spans="1:6" x14ac:dyDescent="0.25">
      <c r="A13623">
        <v>13622</v>
      </c>
      <c r="B13623" t="s">
        <v>0</v>
      </c>
      <c r="C13623">
        <v>121</v>
      </c>
      <c r="D13623">
        <v>3502</v>
      </c>
      <c r="E13623">
        <v>80549413</v>
      </c>
    </row>
    <row r="13624" spans="1:6" x14ac:dyDescent="0.25">
      <c r="A13624">
        <v>13623</v>
      </c>
      <c r="B13624">
        <v>2</v>
      </c>
      <c r="C13624">
        <v>0</v>
      </c>
      <c r="D13624">
        <v>0</v>
      </c>
      <c r="E13624">
        <v>0</v>
      </c>
      <c r="F13624">
        <v>241.41499999999999</v>
      </c>
    </row>
    <row r="13625" spans="1:6" x14ac:dyDescent="0.25">
      <c r="A13625">
        <v>13624</v>
      </c>
      <c r="B13625">
        <v>10</v>
      </c>
      <c r="C13625">
        <v>1</v>
      </c>
      <c r="D13625">
        <v>0</v>
      </c>
      <c r="E13625">
        <v>0</v>
      </c>
      <c r="F13625">
        <v>5106</v>
      </c>
    </row>
    <row r="13626" spans="1:6" x14ac:dyDescent="0.25">
      <c r="A13626">
        <v>13625</v>
      </c>
      <c r="B13626" t="s">
        <v>0</v>
      </c>
      <c r="C13626">
        <v>122</v>
      </c>
      <c r="D13626">
        <v>3502</v>
      </c>
      <c r="E13626">
        <v>80549551</v>
      </c>
    </row>
    <row r="13627" spans="1:6" x14ac:dyDescent="0.25">
      <c r="A13627">
        <v>13626</v>
      </c>
      <c r="B13627">
        <v>13</v>
      </c>
      <c r="C13627">
        <v>0</v>
      </c>
      <c r="D13627">
        <v>0</v>
      </c>
      <c r="E13627">
        <v>0</v>
      </c>
      <c r="F13627">
        <v>1612</v>
      </c>
    </row>
    <row r="13628" spans="1:6" x14ac:dyDescent="0.25">
      <c r="A13628">
        <v>13627</v>
      </c>
      <c r="B13628">
        <v>41</v>
      </c>
      <c r="C13628">
        <v>0</v>
      </c>
      <c r="D13628">
        <v>0</v>
      </c>
      <c r="E13628">
        <v>0</v>
      </c>
      <c r="F13628">
        <v>1</v>
      </c>
    </row>
    <row r="13629" spans="1:6" x14ac:dyDescent="0.25">
      <c r="A13629">
        <v>13628</v>
      </c>
      <c r="B13629" t="s">
        <v>0</v>
      </c>
      <c r="C13629">
        <v>123</v>
      </c>
      <c r="D13629">
        <v>3502</v>
      </c>
      <c r="E13629">
        <v>80549688</v>
      </c>
    </row>
    <row r="13630" spans="1:6" x14ac:dyDescent="0.25">
      <c r="A13630">
        <v>13629</v>
      </c>
      <c r="B13630">
        <v>42</v>
      </c>
      <c r="C13630">
        <v>0</v>
      </c>
      <c r="D13630">
        <v>0</v>
      </c>
      <c r="E13630">
        <v>0</v>
      </c>
      <c r="F13630">
        <v>0.2</v>
      </c>
    </row>
    <row r="13631" spans="1:6" x14ac:dyDescent="0.25">
      <c r="A13631">
        <v>13630</v>
      </c>
      <c r="B13631">
        <v>43</v>
      </c>
      <c r="C13631">
        <v>0</v>
      </c>
      <c r="D13631">
        <v>0</v>
      </c>
      <c r="E13631">
        <v>0</v>
      </c>
      <c r="F13631">
        <v>0</v>
      </c>
    </row>
    <row r="13632" spans="1:6" x14ac:dyDescent="0.25">
      <c r="A13632">
        <v>13631</v>
      </c>
      <c r="B13632" t="s">
        <v>0</v>
      </c>
      <c r="C13632">
        <v>124</v>
      </c>
      <c r="D13632">
        <v>3502</v>
      </c>
      <c r="E13632">
        <v>80549825</v>
      </c>
    </row>
    <row r="13633" spans="1:6" x14ac:dyDescent="0.25">
      <c r="A13633">
        <v>13632</v>
      </c>
      <c r="B13633">
        <v>44</v>
      </c>
      <c r="C13633">
        <v>0</v>
      </c>
      <c r="D13633">
        <v>0</v>
      </c>
      <c r="E13633">
        <v>0</v>
      </c>
      <c r="F13633">
        <v>11.712999999999999</v>
      </c>
    </row>
    <row r="13634" spans="1:6" x14ac:dyDescent="0.25">
      <c r="A13634">
        <v>13633</v>
      </c>
      <c r="B13634">
        <v>45</v>
      </c>
      <c r="C13634">
        <v>0</v>
      </c>
      <c r="D13634">
        <v>0</v>
      </c>
      <c r="E13634">
        <v>0</v>
      </c>
      <c r="F13634">
        <v>515.98699999999997</v>
      </c>
    </row>
    <row r="13635" spans="1:6" x14ac:dyDescent="0.25">
      <c r="A13635">
        <v>13634</v>
      </c>
      <c r="B13635" t="s">
        <v>0</v>
      </c>
      <c r="C13635">
        <v>125</v>
      </c>
      <c r="D13635">
        <v>3502</v>
      </c>
      <c r="E13635">
        <v>80549962</v>
      </c>
    </row>
    <row r="13636" spans="1:6" x14ac:dyDescent="0.25">
      <c r="A13636">
        <v>13635</v>
      </c>
      <c r="B13636">
        <v>2</v>
      </c>
      <c r="C13636">
        <v>0</v>
      </c>
      <c r="D13636">
        <v>0</v>
      </c>
      <c r="E13636">
        <v>0</v>
      </c>
      <c r="F13636">
        <v>241.41499999999999</v>
      </c>
    </row>
    <row r="13637" spans="1:6" x14ac:dyDescent="0.25">
      <c r="A13637">
        <v>13636</v>
      </c>
      <c r="B13637" t="s">
        <v>0</v>
      </c>
      <c r="C13637">
        <v>126</v>
      </c>
      <c r="D13637">
        <v>3502</v>
      </c>
      <c r="E13637">
        <v>80550100</v>
      </c>
    </row>
    <row r="13638" spans="1:6" x14ac:dyDescent="0.25">
      <c r="A13638">
        <v>13637</v>
      </c>
      <c r="B13638">
        <v>13</v>
      </c>
      <c r="C13638">
        <v>0</v>
      </c>
      <c r="D13638">
        <v>0</v>
      </c>
      <c r="E13638">
        <v>0</v>
      </c>
      <c r="F13638">
        <v>1612</v>
      </c>
    </row>
    <row r="13639" spans="1:6" x14ac:dyDescent="0.25">
      <c r="A13639">
        <v>13638</v>
      </c>
      <c r="B13639" t="s">
        <v>0</v>
      </c>
      <c r="C13639">
        <v>127</v>
      </c>
      <c r="D13639">
        <v>3502</v>
      </c>
      <c r="E13639">
        <v>80550238</v>
      </c>
    </row>
    <row r="13640" spans="1:6" x14ac:dyDescent="0.25">
      <c r="A13640">
        <v>13639</v>
      </c>
      <c r="B13640">
        <v>42</v>
      </c>
      <c r="C13640">
        <v>0</v>
      </c>
      <c r="D13640">
        <v>0</v>
      </c>
      <c r="E13640">
        <v>0</v>
      </c>
      <c r="F13640">
        <v>0.2</v>
      </c>
    </row>
    <row r="13641" spans="1:6" x14ac:dyDescent="0.25">
      <c r="A13641">
        <v>13640</v>
      </c>
      <c r="B13641" t="s">
        <v>0</v>
      </c>
      <c r="C13641">
        <v>128</v>
      </c>
      <c r="D13641">
        <v>3502</v>
      </c>
      <c r="E13641">
        <v>80550376</v>
      </c>
    </row>
    <row r="13642" spans="1:6" x14ac:dyDescent="0.25">
      <c r="A13642">
        <v>13641</v>
      </c>
      <c r="B13642">
        <v>44</v>
      </c>
      <c r="C13642">
        <v>0</v>
      </c>
      <c r="D13642">
        <v>0</v>
      </c>
      <c r="E13642">
        <v>0</v>
      </c>
      <c r="F13642">
        <v>11.8512</v>
      </c>
    </row>
    <row r="13643" spans="1:6" x14ac:dyDescent="0.25">
      <c r="A13643">
        <v>13642</v>
      </c>
      <c r="B13643" t="s">
        <v>0</v>
      </c>
      <c r="C13643">
        <v>129</v>
      </c>
      <c r="D13643">
        <v>3502</v>
      </c>
      <c r="E13643">
        <v>80550513</v>
      </c>
    </row>
    <row r="13644" spans="1:6" x14ac:dyDescent="0.25">
      <c r="A13644">
        <v>13643</v>
      </c>
      <c r="B13644">
        <v>46</v>
      </c>
      <c r="C13644">
        <v>0</v>
      </c>
      <c r="D13644">
        <v>0</v>
      </c>
      <c r="E13644">
        <v>0</v>
      </c>
      <c r="F13644">
        <v>0</v>
      </c>
    </row>
    <row r="13645" spans="1:6" x14ac:dyDescent="0.25">
      <c r="A13645">
        <v>13644</v>
      </c>
      <c r="B13645">
        <v>2</v>
      </c>
      <c r="C13645">
        <v>0</v>
      </c>
      <c r="D13645">
        <v>0</v>
      </c>
      <c r="E13645">
        <v>0</v>
      </c>
      <c r="F13645">
        <v>241.416</v>
      </c>
    </row>
    <row r="13646" spans="1:6" x14ac:dyDescent="0.25">
      <c r="A13646">
        <v>13645</v>
      </c>
      <c r="B13646">
        <v>10</v>
      </c>
      <c r="C13646">
        <v>1</v>
      </c>
      <c r="D13646">
        <v>0</v>
      </c>
      <c r="E13646">
        <v>0</v>
      </c>
      <c r="F13646">
        <v>5108</v>
      </c>
    </row>
    <row r="13647" spans="1:6" x14ac:dyDescent="0.25">
      <c r="A13647">
        <v>13646</v>
      </c>
      <c r="B13647">
        <v>13</v>
      </c>
      <c r="C13647">
        <v>0</v>
      </c>
      <c r="D13647">
        <v>0</v>
      </c>
      <c r="E13647">
        <v>0</v>
      </c>
      <c r="F13647">
        <v>1612</v>
      </c>
    </row>
    <row r="13648" spans="1:6" x14ac:dyDescent="0.25">
      <c r="A13648">
        <v>13647</v>
      </c>
      <c r="B13648">
        <v>41</v>
      </c>
      <c r="C13648">
        <v>0</v>
      </c>
      <c r="D13648">
        <v>0</v>
      </c>
      <c r="E13648">
        <v>0</v>
      </c>
      <c r="F13648">
        <v>1</v>
      </c>
    </row>
    <row r="13649" spans="1:6" x14ac:dyDescent="0.25">
      <c r="A13649">
        <v>13648</v>
      </c>
      <c r="B13649">
        <v>42</v>
      </c>
      <c r="C13649">
        <v>0</v>
      </c>
      <c r="D13649">
        <v>0</v>
      </c>
      <c r="E13649">
        <v>0</v>
      </c>
      <c r="F13649">
        <v>0.2</v>
      </c>
    </row>
    <row r="13650" spans="1:6" x14ac:dyDescent="0.25">
      <c r="A13650">
        <v>13649</v>
      </c>
      <c r="B13650">
        <v>43</v>
      </c>
      <c r="C13650">
        <v>0</v>
      </c>
      <c r="D13650">
        <v>0</v>
      </c>
      <c r="E13650">
        <v>0</v>
      </c>
      <c r="F13650">
        <v>0</v>
      </c>
    </row>
    <row r="13651" spans="1:6" x14ac:dyDescent="0.25">
      <c r="A13651">
        <v>13650</v>
      </c>
      <c r="B13651">
        <v>44</v>
      </c>
      <c r="C13651">
        <v>0</v>
      </c>
      <c r="D13651">
        <v>0</v>
      </c>
      <c r="E13651">
        <v>0</v>
      </c>
      <c r="F13651">
        <v>11.986800000000001</v>
      </c>
    </row>
    <row r="13652" spans="1:6" x14ac:dyDescent="0.25">
      <c r="A13652">
        <v>13651</v>
      </c>
      <c r="B13652">
        <v>45</v>
      </c>
      <c r="C13652">
        <v>0</v>
      </c>
      <c r="D13652">
        <v>0</v>
      </c>
      <c r="E13652">
        <v>0</v>
      </c>
      <c r="F13652">
        <v>516.01599999999996</v>
      </c>
    </row>
    <row r="13653" spans="1:6" x14ac:dyDescent="0.25">
      <c r="A13653">
        <v>13652</v>
      </c>
      <c r="B13653">
        <v>46</v>
      </c>
      <c r="C13653">
        <v>0</v>
      </c>
      <c r="D13653">
        <v>0</v>
      </c>
      <c r="E13653">
        <v>0</v>
      </c>
      <c r="F13653">
        <v>0</v>
      </c>
    </row>
    <row r="13654" spans="1:6" x14ac:dyDescent="0.25">
      <c r="A13654">
        <v>13653</v>
      </c>
      <c r="B13654">
        <v>2</v>
      </c>
      <c r="C13654">
        <v>0</v>
      </c>
      <c r="D13654">
        <v>0</v>
      </c>
      <c r="E13654">
        <v>0</v>
      </c>
      <c r="F13654">
        <v>241.416</v>
      </c>
    </row>
    <row r="13655" spans="1:6" x14ac:dyDescent="0.25">
      <c r="A13655">
        <v>13654</v>
      </c>
      <c r="B13655">
        <v>10</v>
      </c>
      <c r="C13655">
        <v>1</v>
      </c>
      <c r="D13655">
        <v>0</v>
      </c>
      <c r="E13655">
        <v>0</v>
      </c>
      <c r="F13655">
        <v>5109</v>
      </c>
    </row>
    <row r="13656" spans="1:6" x14ac:dyDescent="0.25">
      <c r="A13656">
        <v>13655</v>
      </c>
      <c r="B13656">
        <v>13</v>
      </c>
      <c r="C13656">
        <v>0</v>
      </c>
      <c r="D13656">
        <v>0</v>
      </c>
      <c r="E13656">
        <v>0</v>
      </c>
      <c r="F13656">
        <v>1612</v>
      </c>
    </row>
    <row r="13657" spans="1:6" x14ac:dyDescent="0.25">
      <c r="A13657">
        <v>13656</v>
      </c>
      <c r="B13657">
        <v>41</v>
      </c>
      <c r="C13657">
        <v>0</v>
      </c>
      <c r="D13657">
        <v>0</v>
      </c>
      <c r="E13657">
        <v>0</v>
      </c>
      <c r="F13657">
        <v>1</v>
      </c>
    </row>
    <row r="13658" spans="1:6" x14ac:dyDescent="0.25">
      <c r="A13658">
        <v>13657</v>
      </c>
      <c r="B13658" t="s">
        <v>0</v>
      </c>
      <c r="C13658">
        <v>136</v>
      </c>
      <c r="D13658">
        <v>3502</v>
      </c>
      <c r="E13658">
        <v>80551477</v>
      </c>
    </row>
    <row r="13659" spans="1:6" x14ac:dyDescent="0.25">
      <c r="A13659">
        <v>13658</v>
      </c>
      <c r="B13659">
        <v>42</v>
      </c>
      <c r="C13659">
        <v>0</v>
      </c>
      <c r="D13659">
        <v>0</v>
      </c>
      <c r="E13659">
        <v>0</v>
      </c>
      <c r="F13659">
        <v>0.2</v>
      </c>
    </row>
    <row r="13660" spans="1:6" x14ac:dyDescent="0.25">
      <c r="A13660">
        <v>13659</v>
      </c>
      <c r="B13660">
        <v>43</v>
      </c>
      <c r="C13660">
        <v>0</v>
      </c>
      <c r="D13660">
        <v>0</v>
      </c>
      <c r="E13660">
        <v>0</v>
      </c>
      <c r="F13660">
        <v>0</v>
      </c>
    </row>
    <row r="13661" spans="1:6" x14ac:dyDescent="0.25">
      <c r="A13661">
        <v>13660</v>
      </c>
      <c r="B13661" t="s">
        <v>0</v>
      </c>
      <c r="C13661">
        <v>137</v>
      </c>
      <c r="D13661">
        <v>3502</v>
      </c>
      <c r="E13661">
        <v>80551615</v>
      </c>
    </row>
    <row r="13662" spans="1:6" x14ac:dyDescent="0.25">
      <c r="A13662">
        <v>13661</v>
      </c>
      <c r="B13662">
        <v>44</v>
      </c>
      <c r="C13662">
        <v>0</v>
      </c>
      <c r="D13662">
        <v>0</v>
      </c>
      <c r="E13662">
        <v>0</v>
      </c>
      <c r="F13662">
        <v>12.1614</v>
      </c>
    </row>
    <row r="13663" spans="1:6" x14ac:dyDescent="0.25">
      <c r="A13663">
        <v>13662</v>
      </c>
      <c r="B13663">
        <v>45</v>
      </c>
      <c r="C13663">
        <v>0</v>
      </c>
      <c r="D13663">
        <v>0</v>
      </c>
      <c r="E13663">
        <v>0</v>
      </c>
      <c r="F13663">
        <v>516.03</v>
      </c>
    </row>
    <row r="13664" spans="1:6" x14ac:dyDescent="0.25">
      <c r="A13664">
        <v>13663</v>
      </c>
      <c r="B13664" t="s">
        <v>0</v>
      </c>
      <c r="C13664">
        <v>138</v>
      </c>
      <c r="D13664">
        <v>3502</v>
      </c>
      <c r="E13664">
        <v>80551752</v>
      </c>
    </row>
    <row r="13665" spans="1:6" x14ac:dyDescent="0.25">
      <c r="A13665">
        <v>13664</v>
      </c>
      <c r="B13665">
        <v>46</v>
      </c>
      <c r="C13665">
        <v>0</v>
      </c>
      <c r="D13665">
        <v>0</v>
      </c>
      <c r="E13665">
        <v>0</v>
      </c>
      <c r="F13665">
        <v>0</v>
      </c>
    </row>
    <row r="13666" spans="1:6" x14ac:dyDescent="0.25">
      <c r="A13666">
        <v>13665</v>
      </c>
      <c r="B13666">
        <v>2</v>
      </c>
      <c r="C13666">
        <v>0</v>
      </c>
      <c r="D13666">
        <v>0</v>
      </c>
      <c r="E13666">
        <v>0</v>
      </c>
      <c r="F13666">
        <v>241.416</v>
      </c>
    </row>
    <row r="13667" spans="1:6" x14ac:dyDescent="0.25">
      <c r="A13667">
        <v>13666</v>
      </c>
      <c r="B13667" t="s">
        <v>0</v>
      </c>
      <c r="C13667">
        <v>139</v>
      </c>
      <c r="D13667">
        <v>3502</v>
      </c>
      <c r="E13667">
        <v>80551889</v>
      </c>
    </row>
    <row r="13668" spans="1:6" x14ac:dyDescent="0.25">
      <c r="A13668">
        <v>13667</v>
      </c>
      <c r="B13668">
        <v>10</v>
      </c>
      <c r="C13668">
        <v>1</v>
      </c>
      <c r="D13668">
        <v>0</v>
      </c>
      <c r="E13668">
        <v>0</v>
      </c>
      <c r="F13668">
        <v>5110</v>
      </c>
    </row>
    <row r="13669" spans="1:6" x14ac:dyDescent="0.25">
      <c r="A13669">
        <v>13668</v>
      </c>
      <c r="B13669">
        <v>13</v>
      </c>
      <c r="C13669">
        <v>0</v>
      </c>
      <c r="D13669">
        <v>0</v>
      </c>
      <c r="E13669">
        <v>0</v>
      </c>
      <c r="F13669">
        <v>1612</v>
      </c>
    </row>
    <row r="13670" spans="1:6" x14ac:dyDescent="0.25">
      <c r="A13670">
        <v>13669</v>
      </c>
      <c r="B13670" t="s">
        <v>0</v>
      </c>
      <c r="C13670">
        <v>140</v>
      </c>
      <c r="D13670">
        <v>3502</v>
      </c>
      <c r="E13670">
        <v>80552026</v>
      </c>
    </row>
    <row r="13671" spans="1:6" x14ac:dyDescent="0.25">
      <c r="A13671">
        <v>13670</v>
      </c>
      <c r="B13671">
        <v>42</v>
      </c>
      <c r="C13671">
        <v>0</v>
      </c>
      <c r="D13671">
        <v>0</v>
      </c>
      <c r="E13671">
        <v>0</v>
      </c>
      <c r="F13671">
        <v>0.2</v>
      </c>
    </row>
    <row r="13672" spans="1:6" x14ac:dyDescent="0.25">
      <c r="A13672">
        <v>13671</v>
      </c>
      <c r="B13672" t="s">
        <v>0</v>
      </c>
      <c r="C13672">
        <v>141</v>
      </c>
      <c r="D13672">
        <v>3502</v>
      </c>
      <c r="E13672">
        <v>80552164</v>
      </c>
    </row>
    <row r="13673" spans="1:6" x14ac:dyDescent="0.25">
      <c r="A13673">
        <v>13672</v>
      </c>
      <c r="B13673">
        <v>44</v>
      </c>
      <c r="C13673">
        <v>0</v>
      </c>
      <c r="D13673">
        <v>0</v>
      </c>
      <c r="E13673">
        <v>0</v>
      </c>
      <c r="F13673">
        <v>12.287100000000001</v>
      </c>
    </row>
    <row r="13674" spans="1:6" x14ac:dyDescent="0.25">
      <c r="A13674">
        <v>13673</v>
      </c>
      <c r="B13674" t="s">
        <v>0</v>
      </c>
      <c r="C13674">
        <v>142</v>
      </c>
      <c r="D13674">
        <v>3502</v>
      </c>
      <c r="E13674">
        <v>80552302</v>
      </c>
    </row>
    <row r="13675" spans="1:6" x14ac:dyDescent="0.25">
      <c r="A13675">
        <v>13674</v>
      </c>
      <c r="B13675">
        <v>46</v>
      </c>
      <c r="C13675">
        <v>0</v>
      </c>
      <c r="D13675">
        <v>0</v>
      </c>
      <c r="E13675">
        <v>0</v>
      </c>
      <c r="F13675">
        <v>0</v>
      </c>
    </row>
    <row r="13676" spans="1:6" x14ac:dyDescent="0.25">
      <c r="A13676">
        <v>13675</v>
      </c>
      <c r="B13676" t="s">
        <v>0</v>
      </c>
      <c r="C13676">
        <v>143</v>
      </c>
      <c r="D13676">
        <v>3502</v>
      </c>
      <c r="E13676">
        <v>80552440</v>
      </c>
    </row>
    <row r="13677" spans="1:6" x14ac:dyDescent="0.25">
      <c r="A13677">
        <v>13676</v>
      </c>
      <c r="B13677">
        <v>10</v>
      </c>
      <c r="C13677">
        <v>1</v>
      </c>
      <c r="D13677">
        <v>0</v>
      </c>
      <c r="E13677">
        <v>0</v>
      </c>
      <c r="F13677">
        <v>5111</v>
      </c>
    </row>
    <row r="13678" spans="1:6" x14ac:dyDescent="0.25">
      <c r="A13678">
        <v>13677</v>
      </c>
      <c r="B13678" t="s">
        <v>0</v>
      </c>
      <c r="C13678">
        <v>144</v>
      </c>
      <c r="D13678">
        <v>3502</v>
      </c>
      <c r="E13678">
        <v>80552578</v>
      </c>
    </row>
    <row r="13679" spans="1:6" x14ac:dyDescent="0.25">
      <c r="A13679">
        <v>13678</v>
      </c>
      <c r="B13679">
        <v>41</v>
      </c>
      <c r="C13679">
        <v>0</v>
      </c>
      <c r="D13679">
        <v>0</v>
      </c>
      <c r="E13679">
        <v>0</v>
      </c>
      <c r="F13679">
        <v>1</v>
      </c>
    </row>
    <row r="13680" spans="1:6" x14ac:dyDescent="0.25">
      <c r="A13680">
        <v>13679</v>
      </c>
      <c r="B13680">
        <v>42</v>
      </c>
      <c r="C13680">
        <v>0</v>
      </c>
      <c r="D13680">
        <v>0</v>
      </c>
      <c r="E13680">
        <v>0</v>
      </c>
      <c r="F13680">
        <v>0.2</v>
      </c>
    </row>
    <row r="13681" spans="1:6" x14ac:dyDescent="0.25">
      <c r="A13681">
        <v>13680</v>
      </c>
      <c r="B13681">
        <v>43</v>
      </c>
      <c r="C13681">
        <v>0</v>
      </c>
      <c r="D13681">
        <v>0</v>
      </c>
      <c r="E13681">
        <v>0</v>
      </c>
      <c r="F13681">
        <v>0</v>
      </c>
    </row>
    <row r="13682" spans="1:6" x14ac:dyDescent="0.25">
      <c r="A13682">
        <v>13681</v>
      </c>
      <c r="B13682">
        <v>44</v>
      </c>
      <c r="C13682">
        <v>0</v>
      </c>
      <c r="D13682">
        <v>0</v>
      </c>
      <c r="E13682">
        <v>0</v>
      </c>
      <c r="F13682">
        <v>12.4361</v>
      </c>
    </row>
    <row r="13683" spans="1:6" x14ac:dyDescent="0.25">
      <c r="A13683">
        <v>13682</v>
      </c>
      <c r="B13683">
        <v>45</v>
      </c>
      <c r="C13683">
        <v>0</v>
      </c>
      <c r="D13683">
        <v>0</v>
      </c>
      <c r="E13683">
        <v>0</v>
      </c>
      <c r="F13683">
        <v>516.05999999999995</v>
      </c>
    </row>
    <row r="13684" spans="1:6" x14ac:dyDescent="0.25">
      <c r="A13684">
        <v>13683</v>
      </c>
      <c r="B13684">
        <v>46</v>
      </c>
      <c r="C13684">
        <v>0</v>
      </c>
      <c r="D13684">
        <v>0</v>
      </c>
      <c r="E13684">
        <v>0</v>
      </c>
      <c r="F13684">
        <v>0</v>
      </c>
    </row>
    <row r="13685" spans="1:6" x14ac:dyDescent="0.25">
      <c r="A13685">
        <v>13684</v>
      </c>
      <c r="B13685">
        <v>2</v>
      </c>
      <c r="C13685">
        <v>0</v>
      </c>
      <c r="D13685">
        <v>0</v>
      </c>
      <c r="E13685">
        <v>0</v>
      </c>
      <c r="F13685">
        <v>241.416</v>
      </c>
    </row>
    <row r="13686" spans="1:6" x14ac:dyDescent="0.25">
      <c r="A13686">
        <v>13685</v>
      </c>
      <c r="B13686">
        <v>10</v>
      </c>
      <c r="C13686">
        <v>1</v>
      </c>
      <c r="D13686">
        <v>0</v>
      </c>
      <c r="E13686">
        <v>0</v>
      </c>
      <c r="F13686">
        <v>5111</v>
      </c>
    </row>
    <row r="13687" spans="1:6" x14ac:dyDescent="0.25">
      <c r="A13687">
        <v>13686</v>
      </c>
      <c r="B13687">
        <v>13</v>
      </c>
      <c r="C13687">
        <v>0</v>
      </c>
      <c r="D13687">
        <v>0</v>
      </c>
      <c r="E13687">
        <v>0</v>
      </c>
      <c r="F13687">
        <v>1612</v>
      </c>
    </row>
    <row r="13688" spans="1:6" x14ac:dyDescent="0.25">
      <c r="A13688">
        <v>13687</v>
      </c>
      <c r="B13688">
        <v>41</v>
      </c>
      <c r="C13688">
        <v>0</v>
      </c>
      <c r="D13688">
        <v>0</v>
      </c>
      <c r="E13688">
        <v>0</v>
      </c>
      <c r="F13688">
        <v>1</v>
      </c>
    </row>
    <row r="13689" spans="1:6" x14ac:dyDescent="0.25">
      <c r="A13689">
        <v>13688</v>
      </c>
      <c r="B13689">
        <v>42</v>
      </c>
      <c r="C13689">
        <v>0</v>
      </c>
      <c r="D13689">
        <v>0</v>
      </c>
      <c r="E13689">
        <v>0</v>
      </c>
      <c r="F13689">
        <v>0.2</v>
      </c>
    </row>
    <row r="13690" spans="1:6" x14ac:dyDescent="0.25">
      <c r="A13690">
        <v>13689</v>
      </c>
      <c r="B13690">
        <v>43</v>
      </c>
      <c r="C13690">
        <v>0</v>
      </c>
      <c r="D13690">
        <v>0</v>
      </c>
      <c r="E13690">
        <v>0</v>
      </c>
      <c r="F13690">
        <v>0</v>
      </c>
    </row>
    <row r="13691" spans="1:6" x14ac:dyDescent="0.25">
      <c r="A13691">
        <v>13690</v>
      </c>
      <c r="B13691">
        <v>44</v>
      </c>
      <c r="C13691">
        <v>0</v>
      </c>
      <c r="D13691">
        <v>0</v>
      </c>
      <c r="E13691">
        <v>0</v>
      </c>
      <c r="F13691">
        <v>12.6112</v>
      </c>
    </row>
    <row r="13692" spans="1:6" x14ac:dyDescent="0.25">
      <c r="A13692">
        <v>13691</v>
      </c>
      <c r="B13692">
        <v>45</v>
      </c>
      <c r="C13692">
        <v>0</v>
      </c>
      <c r="D13692">
        <v>0</v>
      </c>
      <c r="E13692">
        <v>0</v>
      </c>
      <c r="F13692">
        <v>516.07399999999996</v>
      </c>
    </row>
    <row r="13693" spans="1:6" x14ac:dyDescent="0.25">
      <c r="A13693">
        <v>13692</v>
      </c>
      <c r="B13693" t="s">
        <v>0</v>
      </c>
      <c r="C13693">
        <v>151</v>
      </c>
      <c r="D13693">
        <v>3502</v>
      </c>
      <c r="E13693">
        <v>80553542</v>
      </c>
    </row>
    <row r="13694" spans="1:6" x14ac:dyDescent="0.25">
      <c r="A13694">
        <v>13693</v>
      </c>
      <c r="B13694">
        <v>46</v>
      </c>
      <c r="C13694">
        <v>0</v>
      </c>
      <c r="D13694">
        <v>0</v>
      </c>
      <c r="E13694">
        <v>0</v>
      </c>
      <c r="F13694">
        <v>0</v>
      </c>
    </row>
    <row r="13695" spans="1:6" x14ac:dyDescent="0.25">
      <c r="A13695">
        <v>13694</v>
      </c>
      <c r="B13695">
        <v>2</v>
      </c>
      <c r="C13695">
        <v>0</v>
      </c>
      <c r="D13695">
        <v>0</v>
      </c>
      <c r="E13695">
        <v>0</v>
      </c>
      <c r="F13695">
        <v>241.416</v>
      </c>
    </row>
    <row r="13696" spans="1:6" x14ac:dyDescent="0.25">
      <c r="A13696">
        <v>13695</v>
      </c>
      <c r="B13696" t="s">
        <v>0</v>
      </c>
      <c r="C13696">
        <v>152</v>
      </c>
      <c r="D13696">
        <v>3502</v>
      </c>
      <c r="E13696">
        <v>80553680</v>
      </c>
    </row>
    <row r="13697" spans="1:6" x14ac:dyDescent="0.25">
      <c r="A13697">
        <v>13696</v>
      </c>
      <c r="B13697">
        <v>10</v>
      </c>
      <c r="C13697">
        <v>1</v>
      </c>
      <c r="D13697">
        <v>0</v>
      </c>
      <c r="E13697">
        <v>0</v>
      </c>
      <c r="F13697">
        <v>5112</v>
      </c>
    </row>
    <row r="13698" spans="1:6" x14ac:dyDescent="0.25">
      <c r="A13698">
        <v>13697</v>
      </c>
      <c r="B13698">
        <v>13</v>
      </c>
      <c r="C13698">
        <v>0</v>
      </c>
      <c r="D13698">
        <v>0</v>
      </c>
      <c r="E13698">
        <v>0</v>
      </c>
      <c r="F13698">
        <v>1612</v>
      </c>
    </row>
    <row r="13699" spans="1:6" x14ac:dyDescent="0.25">
      <c r="A13699">
        <v>13698</v>
      </c>
      <c r="B13699" t="s">
        <v>0</v>
      </c>
      <c r="C13699">
        <v>153</v>
      </c>
      <c r="D13699">
        <v>3502</v>
      </c>
      <c r="E13699">
        <v>80553818</v>
      </c>
    </row>
    <row r="13700" spans="1:6" x14ac:dyDescent="0.25">
      <c r="A13700">
        <v>13699</v>
      </c>
      <c r="B13700">
        <v>41</v>
      </c>
      <c r="C13700">
        <v>0</v>
      </c>
      <c r="D13700">
        <v>0</v>
      </c>
      <c r="E13700">
        <v>0</v>
      </c>
      <c r="F13700">
        <v>1</v>
      </c>
    </row>
    <row r="13701" spans="1:6" x14ac:dyDescent="0.25">
      <c r="A13701">
        <v>13700</v>
      </c>
      <c r="B13701">
        <v>42</v>
      </c>
      <c r="C13701">
        <v>0</v>
      </c>
      <c r="D13701">
        <v>0</v>
      </c>
      <c r="E13701">
        <v>0</v>
      </c>
      <c r="F13701">
        <v>0.2</v>
      </c>
    </row>
    <row r="13702" spans="1:6" x14ac:dyDescent="0.25">
      <c r="A13702">
        <v>13701</v>
      </c>
      <c r="B13702" t="s">
        <v>0</v>
      </c>
      <c r="C13702">
        <v>154</v>
      </c>
      <c r="D13702">
        <v>3502</v>
      </c>
      <c r="E13702">
        <v>80553956</v>
      </c>
    </row>
    <row r="13703" spans="1:6" x14ac:dyDescent="0.25">
      <c r="A13703">
        <v>13702</v>
      </c>
      <c r="B13703">
        <v>43</v>
      </c>
      <c r="C13703">
        <v>0</v>
      </c>
      <c r="D13703">
        <v>0</v>
      </c>
      <c r="E13703">
        <v>0</v>
      </c>
      <c r="F13703">
        <v>0</v>
      </c>
    </row>
    <row r="13704" spans="1:6" x14ac:dyDescent="0.25">
      <c r="A13704">
        <v>13703</v>
      </c>
      <c r="B13704">
        <v>44</v>
      </c>
      <c r="C13704">
        <v>0</v>
      </c>
      <c r="D13704">
        <v>0</v>
      </c>
      <c r="E13704">
        <v>0</v>
      </c>
      <c r="F13704">
        <v>12.686199999999999</v>
      </c>
    </row>
    <row r="13705" spans="1:6" x14ac:dyDescent="0.25">
      <c r="A13705">
        <v>13704</v>
      </c>
      <c r="B13705" t="s">
        <v>0</v>
      </c>
      <c r="C13705">
        <v>155</v>
      </c>
      <c r="D13705">
        <v>3502</v>
      </c>
      <c r="E13705">
        <v>80554094</v>
      </c>
    </row>
    <row r="13706" spans="1:6" x14ac:dyDescent="0.25">
      <c r="A13706">
        <v>13705</v>
      </c>
      <c r="B13706">
        <v>46</v>
      </c>
      <c r="C13706">
        <v>0</v>
      </c>
      <c r="D13706">
        <v>0</v>
      </c>
      <c r="E13706">
        <v>0</v>
      </c>
      <c r="F13706">
        <v>0</v>
      </c>
    </row>
    <row r="13707" spans="1:6" x14ac:dyDescent="0.25">
      <c r="A13707">
        <v>13706</v>
      </c>
      <c r="B13707" t="s">
        <v>0</v>
      </c>
      <c r="C13707">
        <v>156</v>
      </c>
      <c r="D13707">
        <v>3502</v>
      </c>
      <c r="E13707">
        <v>80554231</v>
      </c>
    </row>
    <row r="13708" spans="1:6" x14ac:dyDescent="0.25">
      <c r="A13708">
        <v>13707</v>
      </c>
      <c r="B13708">
        <v>10</v>
      </c>
      <c r="C13708">
        <v>1</v>
      </c>
      <c r="D13708">
        <v>0</v>
      </c>
      <c r="E13708">
        <v>0</v>
      </c>
      <c r="F13708">
        <v>5111</v>
      </c>
    </row>
    <row r="13709" spans="1:6" x14ac:dyDescent="0.25">
      <c r="A13709">
        <v>13708</v>
      </c>
      <c r="B13709" t="s">
        <v>0</v>
      </c>
      <c r="C13709">
        <v>157</v>
      </c>
      <c r="D13709">
        <v>3502</v>
      </c>
      <c r="E13709">
        <v>80554368</v>
      </c>
    </row>
    <row r="13710" spans="1:6" x14ac:dyDescent="0.25">
      <c r="A13710">
        <v>13709</v>
      </c>
      <c r="B13710">
        <v>41</v>
      </c>
      <c r="C13710">
        <v>0</v>
      </c>
      <c r="D13710">
        <v>0</v>
      </c>
      <c r="E13710">
        <v>0</v>
      </c>
      <c r="F13710">
        <v>1</v>
      </c>
    </row>
    <row r="13711" spans="1:6" x14ac:dyDescent="0.25">
      <c r="A13711">
        <v>13710</v>
      </c>
      <c r="B13711" t="s">
        <v>0</v>
      </c>
      <c r="C13711">
        <v>158</v>
      </c>
      <c r="D13711">
        <v>3502</v>
      </c>
      <c r="E13711">
        <v>80554505</v>
      </c>
    </row>
    <row r="13712" spans="1:6" x14ac:dyDescent="0.25">
      <c r="A13712">
        <v>13711</v>
      </c>
      <c r="B13712">
        <v>43</v>
      </c>
      <c r="C13712">
        <v>0</v>
      </c>
      <c r="D13712">
        <v>0</v>
      </c>
      <c r="E13712">
        <v>0</v>
      </c>
      <c r="F13712">
        <v>0</v>
      </c>
    </row>
    <row r="13713" spans="1:6" x14ac:dyDescent="0.25">
      <c r="A13713">
        <v>13712</v>
      </c>
      <c r="B13713" t="s">
        <v>0</v>
      </c>
      <c r="C13713">
        <v>159</v>
      </c>
      <c r="D13713">
        <v>3502</v>
      </c>
      <c r="E13713">
        <v>80554642</v>
      </c>
    </row>
    <row r="13714" spans="1:6" x14ac:dyDescent="0.25">
      <c r="A13714">
        <v>13713</v>
      </c>
      <c r="B13714">
        <v>45</v>
      </c>
      <c r="C13714">
        <v>0</v>
      </c>
      <c r="D13714">
        <v>0</v>
      </c>
      <c r="E13714">
        <v>0</v>
      </c>
      <c r="F13714">
        <v>516.10599999999999</v>
      </c>
    </row>
    <row r="13715" spans="1:6" x14ac:dyDescent="0.25">
      <c r="A13715">
        <v>13714</v>
      </c>
      <c r="B13715">
        <v>46</v>
      </c>
      <c r="C13715">
        <v>0</v>
      </c>
      <c r="D13715">
        <v>0</v>
      </c>
      <c r="E13715">
        <v>0</v>
      </c>
      <c r="F13715">
        <v>0</v>
      </c>
    </row>
    <row r="13716" spans="1:6" x14ac:dyDescent="0.25">
      <c r="A13716">
        <v>13715</v>
      </c>
      <c r="B13716">
        <v>2</v>
      </c>
      <c r="C13716">
        <v>0</v>
      </c>
      <c r="D13716">
        <v>0</v>
      </c>
      <c r="E13716">
        <v>0</v>
      </c>
      <c r="F13716">
        <v>241.54599999999999</v>
      </c>
    </row>
    <row r="13717" spans="1:6" x14ac:dyDescent="0.25">
      <c r="A13717">
        <v>13716</v>
      </c>
      <c r="B13717">
        <v>10</v>
      </c>
      <c r="C13717">
        <v>1</v>
      </c>
      <c r="D13717">
        <v>0</v>
      </c>
      <c r="E13717">
        <v>0</v>
      </c>
      <c r="F13717">
        <v>5111</v>
      </c>
    </row>
    <row r="13718" spans="1:6" x14ac:dyDescent="0.25">
      <c r="A13718">
        <v>13717</v>
      </c>
      <c r="B13718">
        <v>13</v>
      </c>
      <c r="C13718">
        <v>0</v>
      </c>
      <c r="D13718">
        <v>0</v>
      </c>
      <c r="E13718">
        <v>0</v>
      </c>
      <c r="F13718">
        <v>1612</v>
      </c>
    </row>
    <row r="13719" spans="1:6" x14ac:dyDescent="0.25">
      <c r="A13719">
        <v>13718</v>
      </c>
      <c r="B13719">
        <v>41</v>
      </c>
      <c r="C13719">
        <v>0</v>
      </c>
      <c r="D13719">
        <v>0</v>
      </c>
      <c r="E13719">
        <v>0</v>
      </c>
      <c r="F13719">
        <v>1</v>
      </c>
    </row>
    <row r="13720" spans="1:6" x14ac:dyDescent="0.25">
      <c r="A13720">
        <v>13719</v>
      </c>
      <c r="B13720">
        <v>42</v>
      </c>
      <c r="C13720">
        <v>0</v>
      </c>
      <c r="D13720">
        <v>0</v>
      </c>
      <c r="E13720">
        <v>0</v>
      </c>
      <c r="F13720">
        <v>0.2</v>
      </c>
    </row>
    <row r="13721" spans="1:6" x14ac:dyDescent="0.25">
      <c r="A13721">
        <v>13720</v>
      </c>
      <c r="B13721">
        <v>43</v>
      </c>
      <c r="C13721">
        <v>0</v>
      </c>
      <c r="D13721">
        <v>0</v>
      </c>
      <c r="E13721">
        <v>0</v>
      </c>
      <c r="F13721">
        <v>0</v>
      </c>
    </row>
    <row r="13722" spans="1:6" x14ac:dyDescent="0.25">
      <c r="A13722">
        <v>13721</v>
      </c>
      <c r="B13722">
        <v>44</v>
      </c>
      <c r="C13722">
        <v>0</v>
      </c>
      <c r="D13722">
        <v>0</v>
      </c>
      <c r="E13722">
        <v>0</v>
      </c>
      <c r="F13722">
        <v>12.8751</v>
      </c>
    </row>
    <row r="13723" spans="1:6" x14ac:dyDescent="0.25">
      <c r="A13723">
        <v>13722</v>
      </c>
      <c r="B13723">
        <v>45</v>
      </c>
      <c r="C13723">
        <v>0</v>
      </c>
      <c r="D13723">
        <v>0</v>
      </c>
      <c r="E13723">
        <v>0</v>
      </c>
      <c r="F13723">
        <v>516.12</v>
      </c>
    </row>
    <row r="13724" spans="1:6" x14ac:dyDescent="0.25">
      <c r="A13724">
        <v>13723</v>
      </c>
      <c r="B13724">
        <v>46</v>
      </c>
      <c r="C13724">
        <v>0</v>
      </c>
      <c r="D13724">
        <v>0</v>
      </c>
      <c r="E13724">
        <v>0</v>
      </c>
      <c r="F13724">
        <v>0</v>
      </c>
    </row>
    <row r="13725" spans="1:6" x14ac:dyDescent="0.25">
      <c r="A13725">
        <v>13724</v>
      </c>
      <c r="B13725">
        <v>2</v>
      </c>
      <c r="C13725">
        <v>0</v>
      </c>
      <c r="D13725">
        <v>0</v>
      </c>
      <c r="E13725">
        <v>0</v>
      </c>
      <c r="F13725">
        <v>241.58699999999999</v>
      </c>
    </row>
    <row r="13726" spans="1:6" x14ac:dyDescent="0.25">
      <c r="A13726">
        <v>13725</v>
      </c>
      <c r="B13726">
        <v>10</v>
      </c>
      <c r="C13726">
        <v>1</v>
      </c>
      <c r="D13726">
        <v>0</v>
      </c>
      <c r="E13726">
        <v>0</v>
      </c>
      <c r="F13726">
        <v>5111</v>
      </c>
    </row>
    <row r="13727" spans="1:6" x14ac:dyDescent="0.25">
      <c r="A13727">
        <v>13726</v>
      </c>
      <c r="B13727">
        <v>13</v>
      </c>
      <c r="C13727">
        <v>0</v>
      </c>
      <c r="D13727">
        <v>0</v>
      </c>
      <c r="E13727">
        <v>0</v>
      </c>
      <c r="F13727">
        <v>1612</v>
      </c>
    </row>
    <row r="13728" spans="1:6" x14ac:dyDescent="0.25">
      <c r="A13728">
        <v>13727</v>
      </c>
      <c r="B13728" t="s">
        <v>0</v>
      </c>
      <c r="C13728">
        <v>166</v>
      </c>
      <c r="D13728">
        <v>3502</v>
      </c>
      <c r="E13728">
        <v>80555604</v>
      </c>
    </row>
    <row r="13729" spans="1:6" x14ac:dyDescent="0.25">
      <c r="A13729">
        <v>13728</v>
      </c>
      <c r="B13729">
        <v>41</v>
      </c>
      <c r="C13729">
        <v>0</v>
      </c>
      <c r="D13729">
        <v>0</v>
      </c>
      <c r="E13729">
        <v>0</v>
      </c>
      <c r="F13729">
        <v>1</v>
      </c>
    </row>
    <row r="13730" spans="1:6" x14ac:dyDescent="0.25">
      <c r="A13730">
        <v>13729</v>
      </c>
      <c r="B13730">
        <v>42</v>
      </c>
      <c r="C13730">
        <v>0</v>
      </c>
      <c r="D13730">
        <v>0</v>
      </c>
      <c r="E13730">
        <v>0</v>
      </c>
      <c r="F13730">
        <v>0.2</v>
      </c>
    </row>
    <row r="13731" spans="1:6" x14ac:dyDescent="0.25">
      <c r="A13731">
        <v>13730</v>
      </c>
      <c r="B13731" t="s">
        <v>0</v>
      </c>
      <c r="C13731">
        <v>167</v>
      </c>
      <c r="D13731">
        <v>3502</v>
      </c>
      <c r="E13731">
        <v>80555742</v>
      </c>
    </row>
    <row r="13732" spans="1:6" x14ac:dyDescent="0.25">
      <c r="A13732">
        <v>13731</v>
      </c>
      <c r="B13732">
        <v>43</v>
      </c>
      <c r="C13732">
        <v>0</v>
      </c>
      <c r="D13732">
        <v>0</v>
      </c>
      <c r="E13732">
        <v>0</v>
      </c>
      <c r="F13732">
        <v>0</v>
      </c>
    </row>
    <row r="13733" spans="1:6" x14ac:dyDescent="0.25">
      <c r="A13733">
        <v>13732</v>
      </c>
      <c r="B13733">
        <v>44</v>
      </c>
      <c r="C13733">
        <v>0</v>
      </c>
      <c r="D13733">
        <v>0</v>
      </c>
      <c r="E13733">
        <v>0</v>
      </c>
      <c r="F13733">
        <v>12.99</v>
      </c>
    </row>
    <row r="13734" spans="1:6" x14ac:dyDescent="0.25">
      <c r="A13734">
        <v>13733</v>
      </c>
      <c r="B13734" t="s">
        <v>0</v>
      </c>
      <c r="C13734">
        <v>168</v>
      </c>
      <c r="D13734">
        <v>3502</v>
      </c>
      <c r="E13734">
        <v>80555880</v>
      </c>
    </row>
    <row r="13735" spans="1:6" x14ac:dyDescent="0.25">
      <c r="A13735">
        <v>13734</v>
      </c>
      <c r="B13735">
        <v>45</v>
      </c>
      <c r="C13735">
        <v>0</v>
      </c>
      <c r="D13735">
        <v>0</v>
      </c>
      <c r="E13735">
        <v>0</v>
      </c>
      <c r="F13735">
        <v>516.13800000000003</v>
      </c>
    </row>
    <row r="13736" spans="1:6" x14ac:dyDescent="0.25">
      <c r="A13736">
        <v>13735</v>
      </c>
      <c r="B13736">
        <v>46</v>
      </c>
      <c r="C13736">
        <v>0</v>
      </c>
      <c r="D13736">
        <v>0</v>
      </c>
      <c r="E13736">
        <v>0</v>
      </c>
      <c r="F13736">
        <v>0</v>
      </c>
    </row>
    <row r="13737" spans="1:6" x14ac:dyDescent="0.25">
      <c r="A13737">
        <v>13736</v>
      </c>
      <c r="B13737" t="s">
        <v>0</v>
      </c>
      <c r="C13737">
        <v>169</v>
      </c>
      <c r="D13737">
        <v>3502</v>
      </c>
      <c r="E13737">
        <v>80556018</v>
      </c>
    </row>
    <row r="13738" spans="1:6" x14ac:dyDescent="0.25">
      <c r="A13738">
        <v>13737</v>
      </c>
      <c r="B13738">
        <v>2</v>
      </c>
      <c r="C13738">
        <v>0</v>
      </c>
      <c r="D13738">
        <v>0</v>
      </c>
      <c r="E13738">
        <v>0</v>
      </c>
      <c r="F13738">
        <v>241.62700000000001</v>
      </c>
    </row>
    <row r="13739" spans="1:6" x14ac:dyDescent="0.25">
      <c r="A13739">
        <v>13738</v>
      </c>
      <c r="B13739">
        <v>10</v>
      </c>
      <c r="C13739">
        <v>1</v>
      </c>
      <c r="D13739">
        <v>0</v>
      </c>
      <c r="E13739">
        <v>0</v>
      </c>
      <c r="F13739">
        <v>5111</v>
      </c>
    </row>
    <row r="13740" spans="1:6" x14ac:dyDescent="0.25">
      <c r="A13740">
        <v>13739</v>
      </c>
      <c r="B13740" t="s">
        <v>0</v>
      </c>
      <c r="C13740">
        <v>170</v>
      </c>
      <c r="D13740">
        <v>3502</v>
      </c>
      <c r="E13740">
        <v>80556156</v>
      </c>
    </row>
    <row r="13741" spans="1:6" x14ac:dyDescent="0.25">
      <c r="A13741">
        <v>13740</v>
      </c>
      <c r="B13741">
        <v>13</v>
      </c>
      <c r="C13741">
        <v>0</v>
      </c>
      <c r="D13741">
        <v>0</v>
      </c>
      <c r="E13741">
        <v>0</v>
      </c>
      <c r="F13741">
        <v>1612</v>
      </c>
    </row>
    <row r="13742" spans="1:6" x14ac:dyDescent="0.25">
      <c r="A13742">
        <v>13741</v>
      </c>
      <c r="B13742">
        <v>41</v>
      </c>
      <c r="C13742">
        <v>0</v>
      </c>
      <c r="D13742">
        <v>0</v>
      </c>
      <c r="E13742">
        <v>0</v>
      </c>
      <c r="F13742">
        <v>1</v>
      </c>
    </row>
    <row r="13743" spans="1:6" x14ac:dyDescent="0.25">
      <c r="A13743">
        <v>13742</v>
      </c>
      <c r="B13743" t="s">
        <v>0</v>
      </c>
      <c r="C13743">
        <v>171</v>
      </c>
      <c r="D13743">
        <v>3502</v>
      </c>
      <c r="E13743">
        <v>80556293</v>
      </c>
    </row>
    <row r="13744" spans="1:6" x14ac:dyDescent="0.25">
      <c r="A13744">
        <v>13743</v>
      </c>
      <c r="B13744">
        <v>43</v>
      </c>
      <c r="C13744">
        <v>0</v>
      </c>
      <c r="D13744">
        <v>0</v>
      </c>
      <c r="E13744">
        <v>0</v>
      </c>
      <c r="F13744">
        <v>0</v>
      </c>
    </row>
    <row r="13745" spans="1:6" x14ac:dyDescent="0.25">
      <c r="A13745">
        <v>13744</v>
      </c>
      <c r="B13745" t="s">
        <v>0</v>
      </c>
      <c r="C13745">
        <v>172</v>
      </c>
      <c r="D13745">
        <v>3502</v>
      </c>
      <c r="E13745">
        <v>80556430</v>
      </c>
    </row>
    <row r="13746" spans="1:6" x14ac:dyDescent="0.25">
      <c r="A13746">
        <v>13745</v>
      </c>
      <c r="B13746">
        <v>45</v>
      </c>
      <c r="C13746">
        <v>0</v>
      </c>
      <c r="D13746">
        <v>0</v>
      </c>
      <c r="E13746">
        <v>0</v>
      </c>
      <c r="F13746">
        <v>516.15200000000004</v>
      </c>
    </row>
    <row r="13747" spans="1:6" x14ac:dyDescent="0.25">
      <c r="A13747">
        <v>13746</v>
      </c>
      <c r="B13747" t="s">
        <v>0</v>
      </c>
      <c r="C13747">
        <v>173</v>
      </c>
      <c r="D13747">
        <v>3502</v>
      </c>
      <c r="E13747">
        <v>80556567</v>
      </c>
    </row>
    <row r="13748" spans="1:6" x14ac:dyDescent="0.25">
      <c r="A13748">
        <v>13747</v>
      </c>
      <c r="B13748">
        <v>2</v>
      </c>
      <c r="C13748">
        <v>0</v>
      </c>
      <c r="D13748">
        <v>0</v>
      </c>
      <c r="E13748">
        <v>0</v>
      </c>
      <c r="F13748">
        <v>241.65299999999999</v>
      </c>
    </row>
    <row r="13749" spans="1:6" x14ac:dyDescent="0.25">
      <c r="A13749">
        <v>13748</v>
      </c>
      <c r="B13749" t="s">
        <v>0</v>
      </c>
      <c r="C13749">
        <v>174</v>
      </c>
      <c r="D13749">
        <v>3502</v>
      </c>
      <c r="E13749">
        <v>80556704</v>
      </c>
    </row>
    <row r="13750" spans="1:6" x14ac:dyDescent="0.25">
      <c r="A13750">
        <v>13749</v>
      </c>
      <c r="B13750">
        <v>13</v>
      </c>
      <c r="C13750">
        <v>0</v>
      </c>
      <c r="D13750">
        <v>0</v>
      </c>
      <c r="E13750">
        <v>0</v>
      </c>
      <c r="F13750">
        <v>1612</v>
      </c>
    </row>
    <row r="13751" spans="1:6" x14ac:dyDescent="0.25">
      <c r="A13751">
        <v>13750</v>
      </c>
      <c r="B13751" t="s">
        <v>0</v>
      </c>
      <c r="C13751">
        <v>175</v>
      </c>
      <c r="D13751">
        <v>3502</v>
      </c>
      <c r="E13751">
        <v>80556841</v>
      </c>
    </row>
    <row r="13752" spans="1:6" x14ac:dyDescent="0.25">
      <c r="A13752">
        <v>13751</v>
      </c>
      <c r="B13752">
        <v>42</v>
      </c>
      <c r="C13752">
        <v>0</v>
      </c>
      <c r="D13752">
        <v>0</v>
      </c>
      <c r="E13752">
        <v>0</v>
      </c>
      <c r="F13752">
        <v>0.2</v>
      </c>
    </row>
    <row r="13753" spans="1:6" x14ac:dyDescent="0.25">
      <c r="A13753">
        <v>13752</v>
      </c>
      <c r="B13753">
        <v>43</v>
      </c>
      <c r="C13753">
        <v>0</v>
      </c>
      <c r="D13753">
        <v>0</v>
      </c>
      <c r="E13753">
        <v>0</v>
      </c>
      <c r="F13753">
        <v>0</v>
      </c>
    </row>
    <row r="13754" spans="1:6" x14ac:dyDescent="0.25">
      <c r="A13754">
        <v>13753</v>
      </c>
      <c r="B13754">
        <v>44</v>
      </c>
      <c r="C13754">
        <v>0</v>
      </c>
      <c r="D13754">
        <v>0</v>
      </c>
      <c r="E13754">
        <v>0</v>
      </c>
      <c r="F13754">
        <v>13.232799999999999</v>
      </c>
    </row>
    <row r="13755" spans="1:6" x14ac:dyDescent="0.25">
      <c r="A13755">
        <v>13754</v>
      </c>
      <c r="B13755">
        <v>45</v>
      </c>
      <c r="C13755">
        <v>0</v>
      </c>
      <c r="D13755">
        <v>0</v>
      </c>
      <c r="E13755">
        <v>0</v>
      </c>
      <c r="F13755">
        <v>516.16700000000003</v>
      </c>
    </row>
    <row r="13756" spans="1:6" x14ac:dyDescent="0.25">
      <c r="A13756">
        <v>13755</v>
      </c>
      <c r="B13756">
        <v>46</v>
      </c>
      <c r="C13756">
        <v>0</v>
      </c>
      <c r="D13756">
        <v>0</v>
      </c>
      <c r="E13756">
        <v>0</v>
      </c>
      <c r="F13756">
        <v>0</v>
      </c>
    </row>
    <row r="13757" spans="1:6" x14ac:dyDescent="0.25">
      <c r="A13757">
        <v>13756</v>
      </c>
      <c r="B13757">
        <v>2</v>
      </c>
      <c r="C13757">
        <v>0</v>
      </c>
      <c r="D13757">
        <v>0</v>
      </c>
      <c r="E13757">
        <v>0</v>
      </c>
      <c r="F13757">
        <v>241.67400000000001</v>
      </c>
    </row>
    <row r="13758" spans="1:6" x14ac:dyDescent="0.25">
      <c r="A13758">
        <v>13757</v>
      </c>
      <c r="B13758">
        <v>10</v>
      </c>
      <c r="C13758">
        <v>1</v>
      </c>
      <c r="D13758">
        <v>0</v>
      </c>
      <c r="E13758">
        <v>0</v>
      </c>
      <c r="F13758">
        <v>5111</v>
      </c>
    </row>
    <row r="13759" spans="1:6" x14ac:dyDescent="0.25">
      <c r="A13759">
        <v>13758</v>
      </c>
      <c r="B13759">
        <v>13</v>
      </c>
      <c r="C13759">
        <v>0</v>
      </c>
      <c r="D13759">
        <v>0</v>
      </c>
      <c r="E13759">
        <v>0</v>
      </c>
      <c r="F13759">
        <v>1612</v>
      </c>
    </row>
    <row r="13760" spans="1:6" x14ac:dyDescent="0.25">
      <c r="A13760">
        <v>13759</v>
      </c>
      <c r="B13760">
        <v>41</v>
      </c>
      <c r="C13760">
        <v>0</v>
      </c>
      <c r="D13760">
        <v>0</v>
      </c>
      <c r="E13760">
        <v>0</v>
      </c>
      <c r="F13760">
        <v>1</v>
      </c>
    </row>
    <row r="13761" spans="1:6" x14ac:dyDescent="0.25">
      <c r="A13761">
        <v>13760</v>
      </c>
      <c r="B13761">
        <v>42</v>
      </c>
      <c r="C13761">
        <v>0</v>
      </c>
      <c r="D13761">
        <v>0</v>
      </c>
      <c r="E13761">
        <v>0</v>
      </c>
      <c r="F13761">
        <v>0.2</v>
      </c>
    </row>
    <row r="13762" spans="1:6" x14ac:dyDescent="0.25">
      <c r="A13762">
        <v>13761</v>
      </c>
      <c r="B13762">
        <v>43</v>
      </c>
      <c r="C13762">
        <v>0</v>
      </c>
      <c r="D13762">
        <v>0</v>
      </c>
      <c r="E13762">
        <v>0</v>
      </c>
      <c r="F13762">
        <v>0</v>
      </c>
    </row>
    <row r="13763" spans="1:6" x14ac:dyDescent="0.25">
      <c r="A13763">
        <v>13762</v>
      </c>
      <c r="B13763">
        <v>44</v>
      </c>
      <c r="C13763">
        <v>0</v>
      </c>
      <c r="D13763">
        <v>0</v>
      </c>
      <c r="E13763">
        <v>0</v>
      </c>
      <c r="F13763">
        <v>13.298299999999999</v>
      </c>
    </row>
    <row r="13764" spans="1:6" x14ac:dyDescent="0.25">
      <c r="A13764">
        <v>13763</v>
      </c>
      <c r="B13764" t="s">
        <v>0</v>
      </c>
      <c r="C13764">
        <v>1</v>
      </c>
      <c r="D13764">
        <v>3503</v>
      </c>
      <c r="E13764">
        <v>80557667</v>
      </c>
    </row>
    <row r="13765" spans="1:6" x14ac:dyDescent="0.25">
      <c r="A13765">
        <v>13764</v>
      </c>
      <c r="B13765">
        <v>45</v>
      </c>
      <c r="C13765">
        <v>0</v>
      </c>
      <c r="D13765">
        <v>0</v>
      </c>
      <c r="E13765">
        <v>0</v>
      </c>
      <c r="F13765">
        <v>516.178</v>
      </c>
    </row>
    <row r="13766" spans="1:6" x14ac:dyDescent="0.25">
      <c r="A13766">
        <v>13765</v>
      </c>
      <c r="B13766">
        <v>46</v>
      </c>
      <c r="C13766">
        <v>0</v>
      </c>
      <c r="D13766">
        <v>0</v>
      </c>
      <c r="E13766">
        <v>0</v>
      </c>
      <c r="F13766">
        <v>0</v>
      </c>
    </row>
    <row r="13767" spans="1:6" x14ac:dyDescent="0.25">
      <c r="A13767">
        <v>13766</v>
      </c>
      <c r="B13767" t="s">
        <v>0</v>
      </c>
      <c r="C13767">
        <v>2</v>
      </c>
      <c r="D13767">
        <v>3503</v>
      </c>
      <c r="E13767">
        <v>80557805</v>
      </c>
    </row>
    <row r="13768" spans="1:6" x14ac:dyDescent="0.25">
      <c r="A13768">
        <v>13767</v>
      </c>
      <c r="B13768">
        <v>2</v>
      </c>
      <c r="C13768">
        <v>0</v>
      </c>
      <c r="D13768">
        <v>0</v>
      </c>
      <c r="E13768">
        <v>0</v>
      </c>
      <c r="F13768">
        <v>241.68799999999999</v>
      </c>
    </row>
    <row r="13769" spans="1:6" x14ac:dyDescent="0.25">
      <c r="A13769">
        <v>13768</v>
      </c>
      <c r="B13769">
        <v>10</v>
      </c>
      <c r="C13769">
        <v>1</v>
      </c>
      <c r="D13769">
        <v>0</v>
      </c>
      <c r="E13769">
        <v>0</v>
      </c>
      <c r="F13769">
        <v>5112</v>
      </c>
    </row>
    <row r="13770" spans="1:6" x14ac:dyDescent="0.25">
      <c r="A13770">
        <v>13769</v>
      </c>
      <c r="B13770" t="s">
        <v>0</v>
      </c>
      <c r="C13770">
        <v>3</v>
      </c>
      <c r="D13770">
        <v>3503</v>
      </c>
      <c r="E13770">
        <v>80557943</v>
      </c>
    </row>
    <row r="13771" spans="1:6" x14ac:dyDescent="0.25">
      <c r="A13771">
        <v>13770</v>
      </c>
      <c r="B13771">
        <v>13</v>
      </c>
      <c r="C13771">
        <v>0</v>
      </c>
      <c r="D13771">
        <v>0</v>
      </c>
      <c r="E13771">
        <v>0</v>
      </c>
      <c r="F13771">
        <v>1612</v>
      </c>
    </row>
    <row r="13772" spans="1:6" x14ac:dyDescent="0.25">
      <c r="A13772">
        <v>13771</v>
      </c>
      <c r="B13772">
        <v>41</v>
      </c>
      <c r="C13772">
        <v>0</v>
      </c>
      <c r="D13772">
        <v>0</v>
      </c>
      <c r="E13772">
        <v>0</v>
      </c>
      <c r="F13772">
        <v>1</v>
      </c>
    </row>
    <row r="13773" spans="1:6" x14ac:dyDescent="0.25">
      <c r="A13773">
        <v>13772</v>
      </c>
      <c r="B13773" t="s">
        <v>0</v>
      </c>
      <c r="C13773">
        <v>4</v>
      </c>
      <c r="D13773">
        <v>3503</v>
      </c>
      <c r="E13773">
        <v>80558081</v>
      </c>
    </row>
    <row r="13774" spans="1:6" x14ac:dyDescent="0.25">
      <c r="A13774">
        <v>13773</v>
      </c>
      <c r="B13774">
        <v>42</v>
      </c>
      <c r="C13774">
        <v>0</v>
      </c>
      <c r="D13774">
        <v>0</v>
      </c>
      <c r="E13774">
        <v>0</v>
      </c>
      <c r="F13774">
        <v>0.2</v>
      </c>
    </row>
    <row r="13775" spans="1:6" x14ac:dyDescent="0.25">
      <c r="A13775">
        <v>13774</v>
      </c>
      <c r="B13775">
        <v>43</v>
      </c>
      <c r="C13775">
        <v>0</v>
      </c>
      <c r="D13775">
        <v>0</v>
      </c>
      <c r="E13775">
        <v>0</v>
      </c>
      <c r="F13775">
        <v>0</v>
      </c>
    </row>
    <row r="13776" spans="1:6" x14ac:dyDescent="0.25">
      <c r="A13776">
        <v>13775</v>
      </c>
      <c r="B13776" t="s">
        <v>0</v>
      </c>
      <c r="C13776">
        <v>5</v>
      </c>
      <c r="D13776">
        <v>3503</v>
      </c>
      <c r="E13776">
        <v>80558218</v>
      </c>
    </row>
    <row r="13777" spans="1:6" x14ac:dyDescent="0.25">
      <c r="A13777">
        <v>13776</v>
      </c>
      <c r="B13777">
        <v>44</v>
      </c>
      <c r="C13777">
        <v>0</v>
      </c>
      <c r="D13777">
        <v>0</v>
      </c>
      <c r="E13777">
        <v>0</v>
      </c>
      <c r="F13777">
        <v>13.5281</v>
      </c>
    </row>
    <row r="13778" spans="1:6" x14ac:dyDescent="0.25">
      <c r="A13778">
        <v>13777</v>
      </c>
      <c r="B13778">
        <v>45</v>
      </c>
      <c r="C13778">
        <v>0</v>
      </c>
      <c r="D13778">
        <v>0</v>
      </c>
      <c r="E13778">
        <v>0</v>
      </c>
      <c r="F13778">
        <v>516.19299999999998</v>
      </c>
    </row>
    <row r="13779" spans="1:6" x14ac:dyDescent="0.25">
      <c r="A13779">
        <v>13778</v>
      </c>
      <c r="B13779" t="s">
        <v>0</v>
      </c>
      <c r="C13779">
        <v>6</v>
      </c>
      <c r="D13779">
        <v>3503</v>
      </c>
      <c r="E13779">
        <v>80558355</v>
      </c>
    </row>
    <row r="13780" spans="1:6" x14ac:dyDescent="0.25">
      <c r="A13780">
        <v>13779</v>
      </c>
      <c r="B13780">
        <v>2</v>
      </c>
      <c r="C13780">
        <v>0</v>
      </c>
      <c r="D13780">
        <v>0</v>
      </c>
      <c r="E13780">
        <v>0</v>
      </c>
      <c r="F13780">
        <v>241.702</v>
      </c>
    </row>
    <row r="13781" spans="1:6" x14ac:dyDescent="0.25">
      <c r="A13781">
        <v>13780</v>
      </c>
      <c r="B13781" t="s">
        <v>0</v>
      </c>
      <c r="C13781">
        <v>7</v>
      </c>
      <c r="D13781">
        <v>3503</v>
      </c>
      <c r="E13781">
        <v>80558492</v>
      </c>
    </row>
    <row r="13782" spans="1:6" x14ac:dyDescent="0.25">
      <c r="A13782">
        <v>13781</v>
      </c>
      <c r="B13782">
        <v>13</v>
      </c>
      <c r="C13782">
        <v>0</v>
      </c>
      <c r="D13782">
        <v>0</v>
      </c>
      <c r="E13782">
        <v>0</v>
      </c>
      <c r="F13782">
        <v>1612</v>
      </c>
    </row>
    <row r="13783" spans="1:6" x14ac:dyDescent="0.25">
      <c r="A13783">
        <v>13782</v>
      </c>
      <c r="B13783" t="s">
        <v>0</v>
      </c>
      <c r="C13783">
        <v>8</v>
      </c>
      <c r="D13783">
        <v>3503</v>
      </c>
      <c r="E13783">
        <v>80558629</v>
      </c>
    </row>
    <row r="13784" spans="1:6" x14ac:dyDescent="0.25">
      <c r="A13784">
        <v>13783</v>
      </c>
      <c r="B13784">
        <v>42</v>
      </c>
      <c r="C13784">
        <v>0</v>
      </c>
      <c r="D13784">
        <v>0</v>
      </c>
      <c r="E13784">
        <v>0</v>
      </c>
      <c r="F13784">
        <v>0.2</v>
      </c>
    </row>
    <row r="13785" spans="1:6" x14ac:dyDescent="0.25">
      <c r="A13785">
        <v>13784</v>
      </c>
      <c r="B13785" t="s">
        <v>0</v>
      </c>
      <c r="C13785">
        <v>9</v>
      </c>
      <c r="D13785">
        <v>3503</v>
      </c>
      <c r="E13785">
        <v>80558766</v>
      </c>
    </row>
    <row r="13786" spans="1:6" x14ac:dyDescent="0.25">
      <c r="A13786">
        <v>13785</v>
      </c>
      <c r="B13786">
        <v>44</v>
      </c>
      <c r="C13786">
        <v>0</v>
      </c>
      <c r="D13786">
        <v>0</v>
      </c>
      <c r="E13786">
        <v>0</v>
      </c>
      <c r="F13786">
        <v>13.640599999999999</v>
      </c>
    </row>
    <row r="13787" spans="1:6" x14ac:dyDescent="0.25">
      <c r="A13787">
        <v>13786</v>
      </c>
      <c r="B13787" t="s">
        <v>0</v>
      </c>
      <c r="C13787">
        <v>10</v>
      </c>
      <c r="D13787">
        <v>3503</v>
      </c>
      <c r="E13787">
        <v>80558903</v>
      </c>
    </row>
    <row r="13788" spans="1:6" x14ac:dyDescent="0.25">
      <c r="A13788">
        <v>13787</v>
      </c>
      <c r="B13788">
        <v>46</v>
      </c>
      <c r="C13788">
        <v>0</v>
      </c>
      <c r="D13788">
        <v>0</v>
      </c>
      <c r="E13788">
        <v>0</v>
      </c>
      <c r="F13788">
        <v>0</v>
      </c>
    </row>
    <row r="13789" spans="1:6" x14ac:dyDescent="0.25">
      <c r="A13789">
        <v>13788</v>
      </c>
      <c r="B13789">
        <v>2</v>
      </c>
      <c r="C13789">
        <v>0</v>
      </c>
      <c r="D13789">
        <v>0</v>
      </c>
      <c r="E13789">
        <v>0</v>
      </c>
      <c r="F13789">
        <v>241.71100000000001</v>
      </c>
    </row>
    <row r="13790" spans="1:6" x14ac:dyDescent="0.25">
      <c r="A13790">
        <v>13789</v>
      </c>
      <c r="B13790">
        <v>10</v>
      </c>
      <c r="C13790">
        <v>1</v>
      </c>
      <c r="D13790">
        <v>0</v>
      </c>
      <c r="E13790">
        <v>0</v>
      </c>
      <c r="F13790">
        <v>5113</v>
      </c>
    </row>
    <row r="13791" spans="1:6" x14ac:dyDescent="0.25">
      <c r="A13791">
        <v>13790</v>
      </c>
      <c r="B13791">
        <v>13</v>
      </c>
      <c r="C13791">
        <v>0</v>
      </c>
      <c r="D13791">
        <v>0</v>
      </c>
      <c r="E13791">
        <v>0</v>
      </c>
      <c r="F13791">
        <v>1612</v>
      </c>
    </row>
    <row r="13792" spans="1:6" x14ac:dyDescent="0.25">
      <c r="A13792">
        <v>13791</v>
      </c>
      <c r="B13792">
        <v>41</v>
      </c>
      <c r="C13792">
        <v>0</v>
      </c>
      <c r="D13792">
        <v>0</v>
      </c>
      <c r="E13792">
        <v>0</v>
      </c>
      <c r="F13792">
        <v>1</v>
      </c>
    </row>
    <row r="13793" spans="1:6" x14ac:dyDescent="0.25">
      <c r="A13793">
        <v>13792</v>
      </c>
      <c r="B13793">
        <v>42</v>
      </c>
      <c r="C13793">
        <v>0</v>
      </c>
      <c r="D13793">
        <v>0</v>
      </c>
      <c r="E13793">
        <v>0</v>
      </c>
      <c r="F13793">
        <v>0.2</v>
      </c>
    </row>
    <row r="13794" spans="1:6" x14ac:dyDescent="0.25">
      <c r="A13794">
        <v>13793</v>
      </c>
      <c r="B13794">
        <v>43</v>
      </c>
      <c r="C13794">
        <v>0</v>
      </c>
      <c r="D13794">
        <v>0</v>
      </c>
      <c r="E13794">
        <v>0</v>
      </c>
      <c r="F13794">
        <v>0</v>
      </c>
    </row>
    <row r="13795" spans="1:6" x14ac:dyDescent="0.25">
      <c r="A13795">
        <v>13794</v>
      </c>
      <c r="B13795">
        <v>44</v>
      </c>
      <c r="C13795">
        <v>0</v>
      </c>
      <c r="D13795">
        <v>0</v>
      </c>
      <c r="E13795">
        <v>0</v>
      </c>
      <c r="F13795">
        <v>13.780200000000001</v>
      </c>
    </row>
    <row r="13796" spans="1:6" x14ac:dyDescent="0.25">
      <c r="A13796">
        <v>13795</v>
      </c>
      <c r="B13796">
        <v>45</v>
      </c>
      <c r="C13796">
        <v>0</v>
      </c>
      <c r="D13796">
        <v>0</v>
      </c>
      <c r="E13796">
        <v>0</v>
      </c>
      <c r="F13796">
        <v>516.22699999999998</v>
      </c>
    </row>
    <row r="13797" spans="1:6" x14ac:dyDescent="0.25">
      <c r="A13797">
        <v>13796</v>
      </c>
      <c r="B13797">
        <v>46</v>
      </c>
      <c r="C13797">
        <v>0</v>
      </c>
      <c r="D13797">
        <v>0</v>
      </c>
      <c r="E13797">
        <v>0</v>
      </c>
      <c r="F13797">
        <v>0</v>
      </c>
    </row>
    <row r="13798" spans="1:6" x14ac:dyDescent="0.25">
      <c r="A13798">
        <v>13797</v>
      </c>
      <c r="B13798">
        <v>2</v>
      </c>
      <c r="C13798">
        <v>0</v>
      </c>
      <c r="D13798">
        <v>0</v>
      </c>
      <c r="E13798">
        <v>0</v>
      </c>
      <c r="F13798">
        <v>241.72</v>
      </c>
    </row>
    <row r="13799" spans="1:6" x14ac:dyDescent="0.25">
      <c r="A13799">
        <v>13798</v>
      </c>
      <c r="B13799">
        <v>10</v>
      </c>
      <c r="C13799">
        <v>1</v>
      </c>
      <c r="D13799">
        <v>0</v>
      </c>
      <c r="E13799">
        <v>0</v>
      </c>
      <c r="F13799">
        <v>5114</v>
      </c>
    </row>
    <row r="13800" spans="1:6" x14ac:dyDescent="0.25">
      <c r="A13800">
        <v>13799</v>
      </c>
      <c r="B13800">
        <v>13</v>
      </c>
      <c r="C13800">
        <v>0</v>
      </c>
      <c r="D13800">
        <v>0</v>
      </c>
      <c r="E13800">
        <v>0</v>
      </c>
      <c r="F13800">
        <v>1612</v>
      </c>
    </row>
    <row r="13801" spans="1:6" x14ac:dyDescent="0.25">
      <c r="A13801">
        <v>13800</v>
      </c>
      <c r="B13801">
        <v>41</v>
      </c>
      <c r="C13801">
        <v>0</v>
      </c>
      <c r="D13801">
        <v>0</v>
      </c>
      <c r="E13801">
        <v>0</v>
      </c>
      <c r="F13801">
        <v>1</v>
      </c>
    </row>
    <row r="13802" spans="1:6" x14ac:dyDescent="0.25">
      <c r="A13802">
        <v>13801</v>
      </c>
      <c r="B13802" t="s">
        <v>0</v>
      </c>
      <c r="C13802">
        <v>17</v>
      </c>
      <c r="D13802">
        <v>3503</v>
      </c>
      <c r="E13802">
        <v>80559867</v>
      </c>
    </row>
    <row r="13803" spans="1:6" x14ac:dyDescent="0.25">
      <c r="A13803">
        <v>13802</v>
      </c>
      <c r="B13803">
        <v>42</v>
      </c>
      <c r="C13803">
        <v>0</v>
      </c>
      <c r="D13803">
        <v>0</v>
      </c>
      <c r="E13803">
        <v>0</v>
      </c>
      <c r="F13803">
        <v>0.2</v>
      </c>
    </row>
    <row r="13804" spans="1:6" x14ac:dyDescent="0.25">
      <c r="A13804">
        <v>13803</v>
      </c>
      <c r="B13804">
        <v>43</v>
      </c>
      <c r="C13804">
        <v>0</v>
      </c>
      <c r="D13804">
        <v>0</v>
      </c>
      <c r="E13804">
        <v>0</v>
      </c>
      <c r="F13804">
        <v>0</v>
      </c>
    </row>
    <row r="13805" spans="1:6" x14ac:dyDescent="0.25">
      <c r="A13805">
        <v>13804</v>
      </c>
      <c r="B13805" t="s">
        <v>0</v>
      </c>
      <c r="C13805">
        <v>18</v>
      </c>
      <c r="D13805">
        <v>3503</v>
      </c>
      <c r="E13805">
        <v>80560005</v>
      </c>
    </row>
    <row r="13806" spans="1:6" x14ac:dyDescent="0.25">
      <c r="A13806">
        <v>13805</v>
      </c>
      <c r="B13806">
        <v>44</v>
      </c>
      <c r="C13806">
        <v>0</v>
      </c>
      <c r="D13806">
        <v>0</v>
      </c>
      <c r="E13806">
        <v>0</v>
      </c>
      <c r="F13806">
        <v>13.944599999999999</v>
      </c>
    </row>
    <row r="13807" spans="1:6" x14ac:dyDescent="0.25">
      <c r="A13807">
        <v>13806</v>
      </c>
      <c r="B13807">
        <v>45</v>
      </c>
      <c r="C13807">
        <v>0</v>
      </c>
      <c r="D13807">
        <v>0</v>
      </c>
      <c r="E13807">
        <v>0</v>
      </c>
      <c r="F13807">
        <v>516.24199999999996</v>
      </c>
    </row>
    <row r="13808" spans="1:6" x14ac:dyDescent="0.25">
      <c r="A13808">
        <v>13807</v>
      </c>
      <c r="B13808" t="s">
        <v>0</v>
      </c>
      <c r="C13808">
        <v>19</v>
      </c>
      <c r="D13808">
        <v>3503</v>
      </c>
      <c r="E13808">
        <v>80560142</v>
      </c>
    </row>
    <row r="13809" spans="1:6" x14ac:dyDescent="0.25">
      <c r="A13809">
        <v>13808</v>
      </c>
      <c r="B13809">
        <v>46</v>
      </c>
      <c r="C13809">
        <v>0</v>
      </c>
      <c r="D13809">
        <v>0</v>
      </c>
      <c r="E13809">
        <v>0</v>
      </c>
      <c r="F13809">
        <v>0</v>
      </c>
    </row>
    <row r="13810" spans="1:6" x14ac:dyDescent="0.25">
      <c r="A13810">
        <v>13809</v>
      </c>
      <c r="B13810">
        <v>2</v>
      </c>
      <c r="C13810">
        <v>0</v>
      </c>
      <c r="D13810">
        <v>0</v>
      </c>
      <c r="E13810">
        <v>0</v>
      </c>
      <c r="F13810">
        <v>241.73400000000001</v>
      </c>
    </row>
    <row r="13811" spans="1:6" x14ac:dyDescent="0.25">
      <c r="A13811">
        <v>13810</v>
      </c>
      <c r="B13811" t="s">
        <v>0</v>
      </c>
      <c r="C13811">
        <v>20</v>
      </c>
      <c r="D13811">
        <v>3503</v>
      </c>
      <c r="E13811">
        <v>80560279</v>
      </c>
    </row>
    <row r="13812" spans="1:6" x14ac:dyDescent="0.25">
      <c r="A13812">
        <v>13811</v>
      </c>
      <c r="B13812">
        <v>10</v>
      </c>
      <c r="C13812">
        <v>1</v>
      </c>
      <c r="D13812">
        <v>0</v>
      </c>
      <c r="E13812">
        <v>0</v>
      </c>
      <c r="F13812">
        <v>5114</v>
      </c>
    </row>
    <row r="13813" spans="1:6" x14ac:dyDescent="0.25">
      <c r="A13813">
        <v>13812</v>
      </c>
      <c r="B13813">
        <v>13</v>
      </c>
      <c r="C13813">
        <v>0</v>
      </c>
      <c r="D13813">
        <v>0</v>
      </c>
      <c r="E13813">
        <v>0</v>
      </c>
      <c r="F13813">
        <v>1612</v>
      </c>
    </row>
    <row r="13814" spans="1:6" x14ac:dyDescent="0.25">
      <c r="A13814">
        <v>13813</v>
      </c>
      <c r="B13814" t="s">
        <v>0</v>
      </c>
      <c r="C13814">
        <v>21</v>
      </c>
      <c r="D13814">
        <v>3503</v>
      </c>
      <c r="E13814">
        <v>80560416</v>
      </c>
    </row>
    <row r="13815" spans="1:6" x14ac:dyDescent="0.25">
      <c r="A13815">
        <v>13814</v>
      </c>
      <c r="B13815">
        <v>41</v>
      </c>
      <c r="C13815">
        <v>0</v>
      </c>
      <c r="D13815">
        <v>0</v>
      </c>
      <c r="E13815">
        <v>0</v>
      </c>
      <c r="F13815">
        <v>1</v>
      </c>
    </row>
    <row r="13816" spans="1:6" x14ac:dyDescent="0.25">
      <c r="A13816">
        <v>13815</v>
      </c>
      <c r="B13816">
        <v>42</v>
      </c>
      <c r="C13816">
        <v>0</v>
      </c>
      <c r="D13816">
        <v>0</v>
      </c>
      <c r="E13816">
        <v>0</v>
      </c>
      <c r="F13816">
        <v>0.2</v>
      </c>
    </row>
    <row r="13817" spans="1:6" x14ac:dyDescent="0.25">
      <c r="A13817">
        <v>13816</v>
      </c>
      <c r="B13817" t="s">
        <v>0</v>
      </c>
      <c r="C13817">
        <v>22</v>
      </c>
      <c r="D13817">
        <v>3503</v>
      </c>
      <c r="E13817">
        <v>80560553</v>
      </c>
    </row>
    <row r="13818" spans="1:6" x14ac:dyDescent="0.25">
      <c r="A13818">
        <v>13817</v>
      </c>
      <c r="B13818">
        <v>44</v>
      </c>
      <c r="C13818">
        <v>0</v>
      </c>
      <c r="D13818">
        <v>0</v>
      </c>
      <c r="E13818">
        <v>0</v>
      </c>
      <c r="F13818">
        <v>14.062799999999999</v>
      </c>
    </row>
    <row r="13819" spans="1:6" x14ac:dyDescent="0.25">
      <c r="A13819">
        <v>13818</v>
      </c>
      <c r="B13819" t="s">
        <v>0</v>
      </c>
      <c r="C13819">
        <v>23</v>
      </c>
      <c r="D13819">
        <v>3503</v>
      </c>
      <c r="E13819">
        <v>80560690</v>
      </c>
    </row>
    <row r="13820" spans="1:6" x14ac:dyDescent="0.25">
      <c r="A13820">
        <v>13819</v>
      </c>
      <c r="B13820">
        <v>46</v>
      </c>
      <c r="C13820">
        <v>0</v>
      </c>
      <c r="D13820">
        <v>0</v>
      </c>
      <c r="E13820">
        <v>0</v>
      </c>
      <c r="F13820">
        <v>0</v>
      </c>
    </row>
    <row r="13821" spans="1:6" x14ac:dyDescent="0.25">
      <c r="A13821">
        <v>13820</v>
      </c>
      <c r="B13821" t="s">
        <v>0</v>
      </c>
      <c r="C13821">
        <v>24</v>
      </c>
      <c r="D13821">
        <v>3503</v>
      </c>
      <c r="E13821">
        <v>80560827</v>
      </c>
    </row>
    <row r="13822" spans="1:6" x14ac:dyDescent="0.25">
      <c r="A13822">
        <v>13821</v>
      </c>
      <c r="B13822">
        <v>10</v>
      </c>
      <c r="C13822">
        <v>1</v>
      </c>
      <c r="D13822">
        <v>0</v>
      </c>
      <c r="E13822">
        <v>0</v>
      </c>
      <c r="F13822">
        <v>5115</v>
      </c>
    </row>
    <row r="13823" spans="1:6" x14ac:dyDescent="0.25">
      <c r="A13823">
        <v>13822</v>
      </c>
      <c r="B13823" t="s">
        <v>0</v>
      </c>
      <c r="C13823">
        <v>25</v>
      </c>
      <c r="D13823">
        <v>3503</v>
      </c>
      <c r="E13823">
        <v>80560964</v>
      </c>
    </row>
    <row r="13824" spans="1:6" x14ac:dyDescent="0.25">
      <c r="A13824">
        <v>13823</v>
      </c>
      <c r="B13824">
        <v>41</v>
      </c>
      <c r="C13824">
        <v>0</v>
      </c>
      <c r="D13824">
        <v>0</v>
      </c>
      <c r="E13824">
        <v>0</v>
      </c>
      <c r="F13824">
        <v>1</v>
      </c>
    </row>
    <row r="13825" spans="1:6" x14ac:dyDescent="0.25">
      <c r="A13825">
        <v>13824</v>
      </c>
      <c r="B13825" t="s">
        <v>0</v>
      </c>
      <c r="C13825">
        <v>26</v>
      </c>
      <c r="D13825">
        <v>3503</v>
      </c>
      <c r="E13825">
        <v>80561101</v>
      </c>
    </row>
    <row r="13826" spans="1:6" x14ac:dyDescent="0.25">
      <c r="A13826">
        <v>13825</v>
      </c>
      <c r="B13826">
        <v>43</v>
      </c>
      <c r="C13826">
        <v>0</v>
      </c>
      <c r="D13826">
        <v>0</v>
      </c>
      <c r="E13826">
        <v>0</v>
      </c>
      <c r="F13826">
        <v>0</v>
      </c>
    </row>
    <row r="13827" spans="1:6" x14ac:dyDescent="0.25">
      <c r="A13827">
        <v>13826</v>
      </c>
      <c r="B13827">
        <v>44</v>
      </c>
      <c r="C13827">
        <v>0</v>
      </c>
      <c r="D13827">
        <v>0</v>
      </c>
      <c r="E13827">
        <v>0</v>
      </c>
      <c r="F13827">
        <v>14.207100000000001</v>
      </c>
    </row>
    <row r="13828" spans="1:6" x14ac:dyDescent="0.25">
      <c r="A13828">
        <v>13827</v>
      </c>
      <c r="B13828">
        <v>45</v>
      </c>
      <c r="C13828">
        <v>0</v>
      </c>
      <c r="D13828">
        <v>0</v>
      </c>
      <c r="E13828">
        <v>0</v>
      </c>
      <c r="F13828">
        <v>516.27700000000004</v>
      </c>
    </row>
    <row r="13829" spans="1:6" x14ac:dyDescent="0.25">
      <c r="A13829">
        <v>13828</v>
      </c>
      <c r="B13829">
        <v>46</v>
      </c>
      <c r="C13829">
        <v>0</v>
      </c>
      <c r="D13829">
        <v>0</v>
      </c>
      <c r="E13829">
        <v>0</v>
      </c>
      <c r="F13829">
        <v>0</v>
      </c>
    </row>
    <row r="13830" spans="1:6" x14ac:dyDescent="0.25">
      <c r="A13830">
        <v>13829</v>
      </c>
      <c r="B13830">
        <v>2</v>
      </c>
      <c r="C13830">
        <v>0</v>
      </c>
      <c r="D13830">
        <v>0</v>
      </c>
      <c r="E13830">
        <v>0</v>
      </c>
      <c r="F13830">
        <v>241.74700000000001</v>
      </c>
    </row>
    <row r="13831" spans="1:6" x14ac:dyDescent="0.25">
      <c r="A13831">
        <v>13830</v>
      </c>
      <c r="B13831">
        <v>10</v>
      </c>
      <c r="C13831">
        <v>1</v>
      </c>
      <c r="D13831">
        <v>0</v>
      </c>
      <c r="E13831">
        <v>0</v>
      </c>
      <c r="F13831">
        <v>5116</v>
      </c>
    </row>
    <row r="13832" spans="1:6" x14ac:dyDescent="0.25">
      <c r="A13832">
        <v>13831</v>
      </c>
      <c r="B13832">
        <v>13</v>
      </c>
      <c r="C13832">
        <v>0</v>
      </c>
      <c r="D13832">
        <v>0</v>
      </c>
      <c r="E13832">
        <v>0</v>
      </c>
      <c r="F13832">
        <v>1612</v>
      </c>
    </row>
    <row r="13833" spans="1:6" x14ac:dyDescent="0.25">
      <c r="A13833">
        <v>13832</v>
      </c>
      <c r="B13833">
        <v>41</v>
      </c>
      <c r="C13833">
        <v>0</v>
      </c>
      <c r="D13833">
        <v>0</v>
      </c>
      <c r="E13833">
        <v>0</v>
      </c>
      <c r="F13833">
        <v>1</v>
      </c>
    </row>
    <row r="13834" spans="1:6" x14ac:dyDescent="0.25">
      <c r="A13834">
        <v>13833</v>
      </c>
      <c r="B13834">
        <v>42</v>
      </c>
      <c r="C13834">
        <v>0</v>
      </c>
      <c r="D13834">
        <v>0</v>
      </c>
      <c r="E13834">
        <v>0</v>
      </c>
      <c r="F13834">
        <v>0.2</v>
      </c>
    </row>
    <row r="13835" spans="1:6" x14ac:dyDescent="0.25">
      <c r="A13835">
        <v>13834</v>
      </c>
      <c r="B13835">
        <v>43</v>
      </c>
      <c r="C13835">
        <v>0</v>
      </c>
      <c r="D13835">
        <v>0</v>
      </c>
      <c r="E13835">
        <v>0</v>
      </c>
      <c r="F13835">
        <v>0</v>
      </c>
    </row>
    <row r="13836" spans="1:6" x14ac:dyDescent="0.25">
      <c r="A13836">
        <v>13835</v>
      </c>
      <c r="B13836">
        <v>44</v>
      </c>
      <c r="C13836">
        <v>0</v>
      </c>
      <c r="D13836">
        <v>0</v>
      </c>
      <c r="E13836">
        <v>0</v>
      </c>
      <c r="F13836">
        <v>14.3521</v>
      </c>
    </row>
    <row r="13837" spans="1:6" x14ac:dyDescent="0.25">
      <c r="A13837">
        <v>13836</v>
      </c>
      <c r="B13837">
        <v>45</v>
      </c>
      <c r="C13837">
        <v>0</v>
      </c>
      <c r="D13837">
        <v>0</v>
      </c>
      <c r="E13837">
        <v>0</v>
      </c>
      <c r="F13837">
        <v>516.29300000000001</v>
      </c>
    </row>
    <row r="13838" spans="1:6" x14ac:dyDescent="0.25">
      <c r="A13838">
        <v>13837</v>
      </c>
      <c r="B13838">
        <v>46</v>
      </c>
      <c r="C13838">
        <v>0</v>
      </c>
      <c r="D13838">
        <v>0</v>
      </c>
      <c r="E13838">
        <v>0</v>
      </c>
      <c r="F13838">
        <v>0</v>
      </c>
    </row>
    <row r="13839" spans="1:6" x14ac:dyDescent="0.25">
      <c r="A13839">
        <v>13838</v>
      </c>
      <c r="B13839">
        <v>2</v>
      </c>
      <c r="C13839">
        <v>0</v>
      </c>
      <c r="D13839">
        <v>0</v>
      </c>
      <c r="E13839">
        <v>0</v>
      </c>
      <c r="F13839">
        <v>241.751</v>
      </c>
    </row>
    <row r="13840" spans="1:6" x14ac:dyDescent="0.25">
      <c r="A13840">
        <v>13839</v>
      </c>
      <c r="B13840" t="s">
        <v>0</v>
      </c>
      <c r="C13840">
        <v>33</v>
      </c>
      <c r="D13840">
        <v>3503</v>
      </c>
      <c r="E13840">
        <v>80562066</v>
      </c>
    </row>
    <row r="13841" spans="1:6" x14ac:dyDescent="0.25">
      <c r="A13841">
        <v>13840</v>
      </c>
      <c r="B13841">
        <v>10</v>
      </c>
      <c r="C13841">
        <v>1</v>
      </c>
      <c r="D13841">
        <v>0</v>
      </c>
      <c r="E13841">
        <v>0</v>
      </c>
      <c r="F13841">
        <v>5117</v>
      </c>
    </row>
    <row r="13842" spans="1:6" x14ac:dyDescent="0.25">
      <c r="A13842">
        <v>13841</v>
      </c>
      <c r="B13842">
        <v>13</v>
      </c>
      <c r="C13842">
        <v>0</v>
      </c>
      <c r="D13842">
        <v>0</v>
      </c>
      <c r="E13842">
        <v>0</v>
      </c>
      <c r="F13842">
        <v>1612</v>
      </c>
    </row>
    <row r="13843" spans="1:6" x14ac:dyDescent="0.25">
      <c r="A13843">
        <v>13842</v>
      </c>
      <c r="B13843" t="s">
        <v>0</v>
      </c>
      <c r="C13843">
        <v>34</v>
      </c>
      <c r="D13843">
        <v>3503</v>
      </c>
      <c r="E13843">
        <v>80562203</v>
      </c>
    </row>
    <row r="13844" spans="1:6" x14ac:dyDescent="0.25">
      <c r="A13844">
        <v>13843</v>
      </c>
      <c r="B13844">
        <v>41</v>
      </c>
      <c r="C13844">
        <v>0</v>
      </c>
      <c r="D13844">
        <v>0</v>
      </c>
      <c r="E13844">
        <v>0</v>
      </c>
      <c r="F13844">
        <v>1</v>
      </c>
    </row>
    <row r="13845" spans="1:6" x14ac:dyDescent="0.25">
      <c r="A13845">
        <v>13844</v>
      </c>
      <c r="B13845">
        <v>42</v>
      </c>
      <c r="C13845">
        <v>0</v>
      </c>
      <c r="D13845">
        <v>0</v>
      </c>
      <c r="E13845">
        <v>0</v>
      </c>
      <c r="F13845">
        <v>0.2</v>
      </c>
    </row>
    <row r="13846" spans="1:6" x14ac:dyDescent="0.25">
      <c r="A13846">
        <v>13845</v>
      </c>
      <c r="B13846" t="s">
        <v>0</v>
      </c>
      <c r="C13846">
        <v>35</v>
      </c>
      <c r="D13846">
        <v>3503</v>
      </c>
      <c r="E13846">
        <v>80562340</v>
      </c>
    </row>
    <row r="13847" spans="1:6" x14ac:dyDescent="0.25">
      <c r="A13847">
        <v>13846</v>
      </c>
      <c r="B13847">
        <v>43</v>
      </c>
      <c r="C13847">
        <v>0</v>
      </c>
      <c r="D13847">
        <v>0</v>
      </c>
      <c r="E13847">
        <v>0</v>
      </c>
      <c r="F13847">
        <v>0</v>
      </c>
    </row>
    <row r="13848" spans="1:6" x14ac:dyDescent="0.25">
      <c r="A13848">
        <v>13847</v>
      </c>
      <c r="B13848">
        <v>44</v>
      </c>
      <c r="C13848">
        <v>0</v>
      </c>
      <c r="D13848">
        <v>0</v>
      </c>
      <c r="E13848">
        <v>0</v>
      </c>
      <c r="F13848">
        <v>14.498900000000001</v>
      </c>
    </row>
    <row r="13849" spans="1:6" x14ac:dyDescent="0.25">
      <c r="A13849">
        <v>13848</v>
      </c>
      <c r="B13849" t="s">
        <v>0</v>
      </c>
      <c r="C13849">
        <v>36</v>
      </c>
      <c r="D13849">
        <v>3503</v>
      </c>
      <c r="E13849">
        <v>80562477</v>
      </c>
    </row>
    <row r="13850" spans="1:6" x14ac:dyDescent="0.25">
      <c r="A13850">
        <v>13849</v>
      </c>
      <c r="B13850">
        <v>45</v>
      </c>
      <c r="C13850">
        <v>0</v>
      </c>
      <c r="D13850">
        <v>0</v>
      </c>
      <c r="E13850">
        <v>0</v>
      </c>
      <c r="F13850">
        <v>516.31299999999999</v>
      </c>
    </row>
    <row r="13851" spans="1:6" x14ac:dyDescent="0.25">
      <c r="A13851">
        <v>13850</v>
      </c>
      <c r="B13851">
        <v>46</v>
      </c>
      <c r="C13851">
        <v>0</v>
      </c>
      <c r="D13851">
        <v>0</v>
      </c>
      <c r="E13851">
        <v>0</v>
      </c>
      <c r="F13851">
        <v>0</v>
      </c>
    </row>
    <row r="13852" spans="1:6" x14ac:dyDescent="0.25">
      <c r="A13852">
        <v>13851</v>
      </c>
      <c r="B13852" t="s">
        <v>0</v>
      </c>
      <c r="C13852">
        <v>37</v>
      </c>
      <c r="D13852">
        <v>3503</v>
      </c>
      <c r="E13852">
        <v>80562614</v>
      </c>
    </row>
    <row r="13853" spans="1:6" x14ac:dyDescent="0.25">
      <c r="A13853">
        <v>13852</v>
      </c>
      <c r="B13853">
        <v>2</v>
      </c>
      <c r="C13853">
        <v>0</v>
      </c>
      <c r="D13853">
        <v>0</v>
      </c>
      <c r="E13853">
        <v>0</v>
      </c>
      <c r="F13853">
        <v>241.755</v>
      </c>
    </row>
    <row r="13854" spans="1:6" x14ac:dyDescent="0.25">
      <c r="A13854">
        <v>13853</v>
      </c>
      <c r="B13854">
        <v>10</v>
      </c>
      <c r="C13854">
        <v>1</v>
      </c>
      <c r="D13854">
        <v>0</v>
      </c>
      <c r="E13854">
        <v>0</v>
      </c>
      <c r="F13854">
        <v>5118</v>
      </c>
    </row>
    <row r="13855" spans="1:6" x14ac:dyDescent="0.25">
      <c r="A13855">
        <v>13854</v>
      </c>
      <c r="B13855" t="s">
        <v>0</v>
      </c>
      <c r="C13855">
        <v>38</v>
      </c>
      <c r="D13855">
        <v>3503</v>
      </c>
      <c r="E13855">
        <v>80562751</v>
      </c>
    </row>
    <row r="13856" spans="1:6" x14ac:dyDescent="0.25">
      <c r="A13856">
        <v>13855</v>
      </c>
      <c r="B13856">
        <v>41</v>
      </c>
      <c r="C13856">
        <v>0</v>
      </c>
      <c r="D13856">
        <v>0</v>
      </c>
      <c r="E13856">
        <v>0</v>
      </c>
      <c r="F13856">
        <v>1</v>
      </c>
    </row>
    <row r="13857" spans="1:6" x14ac:dyDescent="0.25">
      <c r="A13857">
        <v>13856</v>
      </c>
      <c r="B13857" t="s">
        <v>0</v>
      </c>
      <c r="C13857">
        <v>39</v>
      </c>
      <c r="D13857">
        <v>3503</v>
      </c>
      <c r="E13857">
        <v>80562888</v>
      </c>
    </row>
    <row r="13858" spans="1:6" x14ac:dyDescent="0.25">
      <c r="A13858">
        <v>13857</v>
      </c>
      <c r="B13858">
        <v>43</v>
      </c>
      <c r="C13858">
        <v>0</v>
      </c>
      <c r="D13858">
        <v>0</v>
      </c>
      <c r="E13858">
        <v>0</v>
      </c>
      <c r="F13858">
        <v>0</v>
      </c>
    </row>
    <row r="13859" spans="1:6" x14ac:dyDescent="0.25">
      <c r="A13859">
        <v>13858</v>
      </c>
      <c r="B13859" t="s">
        <v>0</v>
      </c>
      <c r="C13859">
        <v>40</v>
      </c>
      <c r="D13859">
        <v>3503</v>
      </c>
      <c r="E13859">
        <v>80563025</v>
      </c>
    </row>
    <row r="13860" spans="1:6" x14ac:dyDescent="0.25">
      <c r="A13860">
        <v>13859</v>
      </c>
      <c r="B13860">
        <v>45</v>
      </c>
      <c r="C13860">
        <v>0</v>
      </c>
      <c r="D13860">
        <v>0</v>
      </c>
      <c r="E13860">
        <v>0</v>
      </c>
      <c r="F13860">
        <v>516.32899999999995</v>
      </c>
    </row>
    <row r="13861" spans="1:6" x14ac:dyDescent="0.25">
      <c r="A13861">
        <v>13860</v>
      </c>
      <c r="B13861" t="s">
        <v>0</v>
      </c>
      <c r="C13861">
        <v>41</v>
      </c>
      <c r="D13861">
        <v>3503</v>
      </c>
      <c r="E13861">
        <v>80563162</v>
      </c>
    </row>
    <row r="13862" spans="1:6" x14ac:dyDescent="0.25">
      <c r="A13862">
        <v>13861</v>
      </c>
      <c r="B13862">
        <v>2</v>
      </c>
      <c r="C13862">
        <v>0</v>
      </c>
      <c r="D13862">
        <v>0</v>
      </c>
      <c r="E13862">
        <v>0</v>
      </c>
      <c r="F13862">
        <v>241.75700000000001</v>
      </c>
    </row>
    <row r="13863" spans="1:6" x14ac:dyDescent="0.25">
      <c r="A13863">
        <v>13862</v>
      </c>
      <c r="B13863" t="s">
        <v>0</v>
      </c>
      <c r="C13863">
        <v>42</v>
      </c>
      <c r="D13863">
        <v>3503</v>
      </c>
      <c r="E13863">
        <v>80563300</v>
      </c>
    </row>
    <row r="13864" spans="1:6" x14ac:dyDescent="0.25">
      <c r="A13864">
        <v>13863</v>
      </c>
      <c r="B13864">
        <v>13</v>
      </c>
      <c r="C13864">
        <v>0</v>
      </c>
      <c r="D13864">
        <v>0</v>
      </c>
      <c r="E13864">
        <v>0</v>
      </c>
      <c r="F13864">
        <v>1612</v>
      </c>
    </row>
    <row r="13865" spans="1:6" x14ac:dyDescent="0.25">
      <c r="A13865">
        <v>13864</v>
      </c>
      <c r="B13865">
        <v>41</v>
      </c>
      <c r="C13865">
        <v>0</v>
      </c>
      <c r="D13865">
        <v>0</v>
      </c>
      <c r="E13865">
        <v>0</v>
      </c>
      <c r="F13865">
        <v>1</v>
      </c>
    </row>
    <row r="13866" spans="1:6" x14ac:dyDescent="0.25">
      <c r="A13866">
        <v>13865</v>
      </c>
      <c r="B13866">
        <v>42</v>
      </c>
      <c r="C13866">
        <v>0</v>
      </c>
      <c r="D13866">
        <v>0</v>
      </c>
      <c r="E13866">
        <v>0</v>
      </c>
      <c r="F13866">
        <v>0.2</v>
      </c>
    </row>
    <row r="13867" spans="1:6" x14ac:dyDescent="0.25">
      <c r="A13867">
        <v>13866</v>
      </c>
      <c r="B13867">
        <v>43</v>
      </c>
      <c r="C13867">
        <v>0</v>
      </c>
      <c r="D13867">
        <v>0</v>
      </c>
      <c r="E13867">
        <v>0</v>
      </c>
      <c r="F13867">
        <v>0</v>
      </c>
    </row>
    <row r="13868" spans="1:6" x14ac:dyDescent="0.25">
      <c r="A13868">
        <v>13867</v>
      </c>
      <c r="B13868">
        <v>44</v>
      </c>
      <c r="C13868">
        <v>0</v>
      </c>
      <c r="D13868">
        <v>0</v>
      </c>
      <c r="E13868">
        <v>0</v>
      </c>
      <c r="F13868">
        <v>14.793799999999999</v>
      </c>
    </row>
    <row r="13869" spans="1:6" x14ac:dyDescent="0.25">
      <c r="A13869">
        <v>13868</v>
      </c>
      <c r="B13869">
        <v>45</v>
      </c>
      <c r="C13869">
        <v>0</v>
      </c>
      <c r="D13869">
        <v>0</v>
      </c>
      <c r="E13869">
        <v>0</v>
      </c>
      <c r="F13869">
        <v>516.34500000000003</v>
      </c>
    </row>
    <row r="13870" spans="1:6" x14ac:dyDescent="0.25">
      <c r="A13870">
        <v>13869</v>
      </c>
      <c r="B13870">
        <v>46</v>
      </c>
      <c r="C13870">
        <v>0</v>
      </c>
      <c r="D13870">
        <v>0</v>
      </c>
      <c r="E13870">
        <v>0</v>
      </c>
      <c r="F13870">
        <v>0</v>
      </c>
    </row>
    <row r="13871" spans="1:6" x14ac:dyDescent="0.25">
      <c r="A13871">
        <v>13870</v>
      </c>
      <c r="B13871">
        <v>2</v>
      </c>
      <c r="C13871">
        <v>0</v>
      </c>
      <c r="D13871">
        <v>0</v>
      </c>
      <c r="E13871">
        <v>0</v>
      </c>
      <c r="F13871">
        <v>241.75899999999999</v>
      </c>
    </row>
    <row r="13872" spans="1:6" x14ac:dyDescent="0.25">
      <c r="A13872">
        <v>13871</v>
      </c>
      <c r="B13872">
        <v>10</v>
      </c>
      <c r="C13872">
        <v>1</v>
      </c>
      <c r="D13872">
        <v>0</v>
      </c>
      <c r="E13872">
        <v>0</v>
      </c>
      <c r="F13872">
        <v>5119</v>
      </c>
    </row>
    <row r="13873" spans="1:6" x14ac:dyDescent="0.25">
      <c r="A13873">
        <v>13872</v>
      </c>
      <c r="B13873">
        <v>13</v>
      </c>
      <c r="C13873">
        <v>0</v>
      </c>
      <c r="D13873">
        <v>0</v>
      </c>
      <c r="E13873">
        <v>0</v>
      </c>
      <c r="F13873">
        <v>1612</v>
      </c>
    </row>
    <row r="13874" spans="1:6" x14ac:dyDescent="0.25">
      <c r="A13874">
        <v>13873</v>
      </c>
      <c r="B13874">
        <v>41</v>
      </c>
      <c r="C13874">
        <v>0</v>
      </c>
      <c r="D13874">
        <v>0</v>
      </c>
      <c r="E13874">
        <v>0</v>
      </c>
      <c r="F13874">
        <v>1</v>
      </c>
    </row>
    <row r="13875" spans="1:6" x14ac:dyDescent="0.25">
      <c r="A13875">
        <v>13874</v>
      </c>
      <c r="B13875">
        <v>42</v>
      </c>
      <c r="C13875">
        <v>0</v>
      </c>
      <c r="D13875">
        <v>0</v>
      </c>
      <c r="E13875">
        <v>0</v>
      </c>
      <c r="F13875">
        <v>0.2</v>
      </c>
    </row>
    <row r="13876" spans="1:6" x14ac:dyDescent="0.25">
      <c r="A13876">
        <v>13875</v>
      </c>
      <c r="B13876">
        <v>43</v>
      </c>
      <c r="C13876">
        <v>0</v>
      </c>
      <c r="D13876">
        <v>0</v>
      </c>
      <c r="E13876">
        <v>0</v>
      </c>
      <c r="F13876">
        <v>0</v>
      </c>
    </row>
    <row r="13877" spans="1:6" x14ac:dyDescent="0.25">
      <c r="A13877">
        <v>13876</v>
      </c>
      <c r="B13877">
        <v>44</v>
      </c>
      <c r="C13877">
        <v>0</v>
      </c>
      <c r="D13877">
        <v>0</v>
      </c>
      <c r="E13877">
        <v>0</v>
      </c>
      <c r="F13877">
        <v>14.9421</v>
      </c>
    </row>
    <row r="13878" spans="1:6" x14ac:dyDescent="0.25">
      <c r="A13878">
        <v>13877</v>
      </c>
      <c r="B13878" t="s">
        <v>0</v>
      </c>
      <c r="C13878">
        <v>49</v>
      </c>
      <c r="D13878">
        <v>3503</v>
      </c>
      <c r="E13878">
        <v>80564264</v>
      </c>
    </row>
    <row r="13879" spans="1:6" x14ac:dyDescent="0.25">
      <c r="A13879">
        <v>13878</v>
      </c>
      <c r="B13879">
        <v>45</v>
      </c>
      <c r="C13879">
        <v>0</v>
      </c>
      <c r="D13879">
        <v>0</v>
      </c>
      <c r="E13879">
        <v>0</v>
      </c>
      <c r="F13879">
        <v>516.36599999999999</v>
      </c>
    </row>
    <row r="13880" spans="1:6" x14ac:dyDescent="0.25">
      <c r="A13880">
        <v>13879</v>
      </c>
      <c r="B13880">
        <v>46</v>
      </c>
      <c r="C13880">
        <v>0</v>
      </c>
      <c r="D13880">
        <v>0</v>
      </c>
      <c r="E13880">
        <v>0</v>
      </c>
      <c r="F13880">
        <v>0</v>
      </c>
    </row>
    <row r="13881" spans="1:6" x14ac:dyDescent="0.25">
      <c r="A13881">
        <v>13880</v>
      </c>
      <c r="B13881" t="s">
        <v>0</v>
      </c>
      <c r="C13881">
        <v>50</v>
      </c>
      <c r="D13881">
        <v>3503</v>
      </c>
      <c r="E13881">
        <v>80564401</v>
      </c>
    </row>
    <row r="13882" spans="1:6" x14ac:dyDescent="0.25">
      <c r="A13882">
        <v>13881</v>
      </c>
      <c r="B13882">
        <v>2</v>
      </c>
      <c r="C13882">
        <v>0</v>
      </c>
      <c r="D13882">
        <v>0</v>
      </c>
      <c r="E13882">
        <v>0</v>
      </c>
      <c r="F13882">
        <v>241.76</v>
      </c>
    </row>
    <row r="13883" spans="1:6" x14ac:dyDescent="0.25">
      <c r="A13883">
        <v>13882</v>
      </c>
      <c r="B13883">
        <v>10</v>
      </c>
      <c r="C13883">
        <v>1</v>
      </c>
      <c r="D13883">
        <v>0</v>
      </c>
      <c r="E13883">
        <v>0</v>
      </c>
      <c r="F13883">
        <v>5120</v>
      </c>
    </row>
    <row r="13884" spans="1:6" x14ac:dyDescent="0.25">
      <c r="A13884">
        <v>13883</v>
      </c>
      <c r="B13884" t="s">
        <v>0</v>
      </c>
      <c r="C13884">
        <v>51</v>
      </c>
      <c r="D13884">
        <v>3503</v>
      </c>
      <c r="E13884">
        <v>80564538</v>
      </c>
    </row>
    <row r="13885" spans="1:6" x14ac:dyDescent="0.25">
      <c r="A13885">
        <v>13884</v>
      </c>
      <c r="B13885">
        <v>13</v>
      </c>
      <c r="C13885">
        <v>0</v>
      </c>
      <c r="D13885">
        <v>0</v>
      </c>
      <c r="E13885">
        <v>0</v>
      </c>
      <c r="F13885">
        <v>1612</v>
      </c>
    </row>
    <row r="13886" spans="1:6" x14ac:dyDescent="0.25">
      <c r="A13886">
        <v>13885</v>
      </c>
      <c r="B13886">
        <v>41</v>
      </c>
      <c r="C13886">
        <v>0</v>
      </c>
      <c r="D13886">
        <v>0</v>
      </c>
      <c r="E13886">
        <v>0</v>
      </c>
      <c r="F13886">
        <v>1</v>
      </c>
    </row>
    <row r="13887" spans="1:6" x14ac:dyDescent="0.25">
      <c r="A13887">
        <v>13886</v>
      </c>
      <c r="B13887" t="s">
        <v>0</v>
      </c>
      <c r="C13887">
        <v>52</v>
      </c>
      <c r="D13887">
        <v>3503</v>
      </c>
      <c r="E13887">
        <v>80564675</v>
      </c>
    </row>
    <row r="13888" spans="1:6" x14ac:dyDescent="0.25">
      <c r="A13888">
        <v>13887</v>
      </c>
      <c r="B13888">
        <v>42</v>
      </c>
      <c r="C13888">
        <v>0</v>
      </c>
      <c r="D13888">
        <v>0</v>
      </c>
      <c r="E13888">
        <v>0</v>
      </c>
      <c r="F13888">
        <v>0.2</v>
      </c>
    </row>
    <row r="13889" spans="1:6" x14ac:dyDescent="0.25">
      <c r="A13889">
        <v>13888</v>
      </c>
      <c r="B13889">
        <v>43</v>
      </c>
      <c r="C13889">
        <v>0</v>
      </c>
      <c r="D13889">
        <v>0</v>
      </c>
      <c r="E13889">
        <v>0</v>
      </c>
      <c r="F13889">
        <v>0</v>
      </c>
    </row>
    <row r="13890" spans="1:6" x14ac:dyDescent="0.25">
      <c r="A13890">
        <v>13889</v>
      </c>
      <c r="B13890" t="s">
        <v>0</v>
      </c>
      <c r="C13890">
        <v>53</v>
      </c>
      <c r="D13890">
        <v>3503</v>
      </c>
      <c r="E13890">
        <v>80564812</v>
      </c>
    </row>
    <row r="13891" spans="1:6" x14ac:dyDescent="0.25">
      <c r="A13891">
        <v>13890</v>
      </c>
      <c r="B13891">
        <v>44</v>
      </c>
      <c r="C13891">
        <v>0</v>
      </c>
      <c r="D13891">
        <v>0</v>
      </c>
      <c r="E13891">
        <v>0</v>
      </c>
      <c r="F13891">
        <v>15.115399999999999</v>
      </c>
    </row>
    <row r="13892" spans="1:6" x14ac:dyDescent="0.25">
      <c r="A13892">
        <v>13891</v>
      </c>
      <c r="B13892">
        <v>45</v>
      </c>
      <c r="C13892">
        <v>0</v>
      </c>
      <c r="D13892">
        <v>0</v>
      </c>
      <c r="E13892">
        <v>0</v>
      </c>
      <c r="F13892">
        <v>516.38199999999995</v>
      </c>
    </row>
    <row r="13893" spans="1:6" x14ac:dyDescent="0.25">
      <c r="A13893">
        <v>13892</v>
      </c>
      <c r="B13893" t="s">
        <v>0</v>
      </c>
      <c r="C13893">
        <v>54</v>
      </c>
      <c r="D13893">
        <v>3503</v>
      </c>
      <c r="E13893">
        <v>80564949</v>
      </c>
    </row>
    <row r="13894" spans="1:6" x14ac:dyDescent="0.25">
      <c r="A13894">
        <v>13893</v>
      </c>
      <c r="B13894">
        <v>2</v>
      </c>
      <c r="C13894">
        <v>0</v>
      </c>
      <c r="D13894">
        <v>0</v>
      </c>
      <c r="E13894">
        <v>0</v>
      </c>
      <c r="F13894">
        <v>241.762</v>
      </c>
    </row>
    <row r="13895" spans="1:6" x14ac:dyDescent="0.25">
      <c r="A13895">
        <v>13894</v>
      </c>
      <c r="B13895" t="s">
        <v>0</v>
      </c>
      <c r="C13895">
        <v>55</v>
      </c>
      <c r="D13895">
        <v>3503</v>
      </c>
      <c r="E13895">
        <v>80565086</v>
      </c>
    </row>
    <row r="13896" spans="1:6" x14ac:dyDescent="0.25">
      <c r="A13896">
        <v>13895</v>
      </c>
      <c r="B13896">
        <v>13</v>
      </c>
      <c r="C13896">
        <v>0</v>
      </c>
      <c r="D13896">
        <v>0</v>
      </c>
      <c r="E13896">
        <v>0</v>
      </c>
      <c r="F13896">
        <v>1612</v>
      </c>
    </row>
    <row r="13897" spans="1:6" x14ac:dyDescent="0.25">
      <c r="A13897">
        <v>13896</v>
      </c>
      <c r="B13897" t="s">
        <v>0</v>
      </c>
      <c r="C13897">
        <v>56</v>
      </c>
      <c r="D13897">
        <v>3503</v>
      </c>
      <c r="E13897">
        <v>80565223</v>
      </c>
    </row>
    <row r="13898" spans="1:6" x14ac:dyDescent="0.25">
      <c r="A13898">
        <v>13897</v>
      </c>
      <c r="B13898">
        <v>42</v>
      </c>
      <c r="C13898">
        <v>0</v>
      </c>
      <c r="D13898">
        <v>0</v>
      </c>
      <c r="E13898">
        <v>0</v>
      </c>
      <c r="F13898">
        <v>0.2</v>
      </c>
    </row>
    <row r="13899" spans="1:6" x14ac:dyDescent="0.25">
      <c r="A13899">
        <v>13898</v>
      </c>
      <c r="B13899" t="s">
        <v>0</v>
      </c>
      <c r="C13899">
        <v>57</v>
      </c>
      <c r="D13899">
        <v>3503</v>
      </c>
      <c r="E13899">
        <v>80565361</v>
      </c>
    </row>
    <row r="13900" spans="1:6" x14ac:dyDescent="0.25">
      <c r="A13900">
        <v>13899</v>
      </c>
      <c r="B13900">
        <v>44</v>
      </c>
      <c r="C13900">
        <v>0</v>
      </c>
      <c r="D13900">
        <v>0</v>
      </c>
      <c r="E13900">
        <v>0</v>
      </c>
      <c r="F13900">
        <v>15.2395</v>
      </c>
    </row>
    <row r="13901" spans="1:6" x14ac:dyDescent="0.25">
      <c r="A13901">
        <v>13900</v>
      </c>
      <c r="B13901" t="s">
        <v>0</v>
      </c>
      <c r="C13901">
        <v>58</v>
      </c>
      <c r="D13901">
        <v>3503</v>
      </c>
      <c r="E13901">
        <v>80565499</v>
      </c>
    </row>
    <row r="13902" spans="1:6" x14ac:dyDescent="0.25">
      <c r="A13902">
        <v>13901</v>
      </c>
      <c r="B13902">
        <v>46</v>
      </c>
      <c r="C13902">
        <v>0</v>
      </c>
      <c r="D13902">
        <v>0</v>
      </c>
      <c r="E13902">
        <v>0</v>
      </c>
      <c r="F13902">
        <v>0</v>
      </c>
    </row>
    <row r="13903" spans="1:6" x14ac:dyDescent="0.25">
      <c r="A13903">
        <v>13902</v>
      </c>
      <c r="B13903">
        <v>2</v>
      </c>
      <c r="C13903">
        <v>0</v>
      </c>
      <c r="D13903">
        <v>0</v>
      </c>
      <c r="E13903">
        <v>0</v>
      </c>
      <c r="F13903">
        <v>241.762</v>
      </c>
    </row>
    <row r="13904" spans="1:6" x14ac:dyDescent="0.25">
      <c r="A13904">
        <v>13903</v>
      </c>
      <c r="B13904">
        <v>10</v>
      </c>
      <c r="C13904">
        <v>1</v>
      </c>
      <c r="D13904">
        <v>0</v>
      </c>
      <c r="E13904">
        <v>0</v>
      </c>
      <c r="F13904">
        <v>5122</v>
      </c>
    </row>
    <row r="13905" spans="1:6" x14ac:dyDescent="0.25">
      <c r="A13905">
        <v>13904</v>
      </c>
      <c r="B13905">
        <v>13</v>
      </c>
      <c r="C13905">
        <v>0</v>
      </c>
      <c r="D13905">
        <v>0</v>
      </c>
      <c r="E13905">
        <v>0</v>
      </c>
      <c r="F13905">
        <v>1612</v>
      </c>
    </row>
    <row r="13906" spans="1:6" x14ac:dyDescent="0.25">
      <c r="A13906">
        <v>13905</v>
      </c>
      <c r="B13906">
        <v>41</v>
      </c>
      <c r="C13906">
        <v>0</v>
      </c>
      <c r="D13906">
        <v>0</v>
      </c>
      <c r="E13906">
        <v>0</v>
      </c>
      <c r="F13906">
        <v>1</v>
      </c>
    </row>
    <row r="13907" spans="1:6" x14ac:dyDescent="0.25">
      <c r="A13907">
        <v>13906</v>
      </c>
      <c r="B13907">
        <v>42</v>
      </c>
      <c r="C13907">
        <v>0</v>
      </c>
      <c r="D13907">
        <v>0</v>
      </c>
      <c r="E13907">
        <v>0</v>
      </c>
      <c r="F13907">
        <v>0.2</v>
      </c>
    </row>
    <row r="13908" spans="1:6" x14ac:dyDescent="0.25">
      <c r="A13908">
        <v>13907</v>
      </c>
      <c r="B13908">
        <v>43</v>
      </c>
      <c r="C13908">
        <v>0</v>
      </c>
      <c r="D13908">
        <v>0</v>
      </c>
      <c r="E13908">
        <v>0</v>
      </c>
      <c r="F13908">
        <v>0</v>
      </c>
    </row>
    <row r="13909" spans="1:6" x14ac:dyDescent="0.25">
      <c r="A13909">
        <v>13908</v>
      </c>
      <c r="B13909">
        <v>44</v>
      </c>
      <c r="C13909">
        <v>0</v>
      </c>
      <c r="D13909">
        <v>0</v>
      </c>
      <c r="E13909">
        <v>0</v>
      </c>
      <c r="F13909">
        <v>15.3889</v>
      </c>
    </row>
    <row r="13910" spans="1:6" x14ac:dyDescent="0.25">
      <c r="A13910">
        <v>13909</v>
      </c>
      <c r="B13910">
        <v>45</v>
      </c>
      <c r="C13910">
        <v>0</v>
      </c>
      <c r="D13910">
        <v>0</v>
      </c>
      <c r="E13910">
        <v>0</v>
      </c>
      <c r="F13910">
        <v>516.41999999999996</v>
      </c>
    </row>
    <row r="13911" spans="1:6" x14ac:dyDescent="0.25">
      <c r="A13911">
        <v>13910</v>
      </c>
      <c r="B13911">
        <v>46</v>
      </c>
      <c r="C13911">
        <v>0</v>
      </c>
      <c r="D13911">
        <v>0</v>
      </c>
      <c r="E13911">
        <v>0</v>
      </c>
      <c r="F13911">
        <v>0</v>
      </c>
    </row>
    <row r="13912" spans="1:6" x14ac:dyDescent="0.25">
      <c r="A13912">
        <v>13911</v>
      </c>
      <c r="B13912">
        <v>2</v>
      </c>
      <c r="C13912">
        <v>0</v>
      </c>
      <c r="D13912">
        <v>0</v>
      </c>
      <c r="E13912">
        <v>0</v>
      </c>
      <c r="F13912">
        <v>241.76300000000001</v>
      </c>
    </row>
    <row r="13913" spans="1:6" x14ac:dyDescent="0.25">
      <c r="A13913">
        <v>13912</v>
      </c>
      <c r="B13913">
        <v>10</v>
      </c>
      <c r="C13913">
        <v>1</v>
      </c>
      <c r="D13913">
        <v>0</v>
      </c>
      <c r="E13913">
        <v>0</v>
      </c>
      <c r="F13913">
        <v>5123</v>
      </c>
    </row>
    <row r="13914" spans="1:6" x14ac:dyDescent="0.25">
      <c r="A13914">
        <v>13913</v>
      </c>
      <c r="B13914">
        <v>13</v>
      </c>
      <c r="C13914">
        <v>0</v>
      </c>
      <c r="D13914">
        <v>0</v>
      </c>
      <c r="E13914">
        <v>0</v>
      </c>
      <c r="F13914">
        <v>1612</v>
      </c>
    </row>
    <row r="13915" spans="1:6" x14ac:dyDescent="0.25">
      <c r="A13915">
        <v>13914</v>
      </c>
      <c r="B13915">
        <v>41</v>
      </c>
      <c r="C13915">
        <v>0</v>
      </c>
      <c r="D13915">
        <v>0</v>
      </c>
      <c r="E13915">
        <v>0</v>
      </c>
      <c r="F13915">
        <v>1</v>
      </c>
    </row>
    <row r="13916" spans="1:6" x14ac:dyDescent="0.25">
      <c r="A13916">
        <v>13915</v>
      </c>
      <c r="B13916" t="s">
        <v>0</v>
      </c>
      <c r="C13916">
        <v>65</v>
      </c>
      <c r="D13916">
        <v>3503</v>
      </c>
      <c r="E13916">
        <v>80566461</v>
      </c>
    </row>
    <row r="13917" spans="1:6" x14ac:dyDescent="0.25">
      <c r="A13917">
        <v>13916</v>
      </c>
      <c r="B13917">
        <v>42</v>
      </c>
      <c r="C13917">
        <v>0</v>
      </c>
      <c r="D13917">
        <v>0</v>
      </c>
      <c r="E13917">
        <v>0</v>
      </c>
      <c r="F13917">
        <v>0.2</v>
      </c>
    </row>
    <row r="13918" spans="1:6" x14ac:dyDescent="0.25">
      <c r="A13918">
        <v>13917</v>
      </c>
      <c r="B13918">
        <v>43</v>
      </c>
      <c r="C13918">
        <v>0</v>
      </c>
      <c r="D13918">
        <v>0</v>
      </c>
      <c r="E13918">
        <v>0</v>
      </c>
      <c r="F13918">
        <v>0</v>
      </c>
    </row>
    <row r="13919" spans="1:6" x14ac:dyDescent="0.25">
      <c r="A13919">
        <v>13918</v>
      </c>
      <c r="B13919" t="s">
        <v>0</v>
      </c>
      <c r="C13919">
        <v>66</v>
      </c>
      <c r="D13919">
        <v>3503</v>
      </c>
      <c r="E13919">
        <v>80566598</v>
      </c>
    </row>
    <row r="13920" spans="1:6" x14ac:dyDescent="0.25">
      <c r="A13920">
        <v>13919</v>
      </c>
      <c r="B13920">
        <v>44</v>
      </c>
      <c r="C13920">
        <v>0</v>
      </c>
      <c r="D13920">
        <v>0</v>
      </c>
      <c r="E13920">
        <v>0</v>
      </c>
      <c r="F13920">
        <v>15.5379</v>
      </c>
    </row>
    <row r="13921" spans="1:6" x14ac:dyDescent="0.25">
      <c r="A13921">
        <v>13920</v>
      </c>
      <c r="B13921">
        <v>45</v>
      </c>
      <c r="C13921">
        <v>0</v>
      </c>
      <c r="D13921">
        <v>0</v>
      </c>
      <c r="E13921">
        <v>0</v>
      </c>
      <c r="F13921">
        <v>516.43700000000001</v>
      </c>
    </row>
    <row r="13922" spans="1:6" x14ac:dyDescent="0.25">
      <c r="A13922">
        <v>13921</v>
      </c>
      <c r="B13922" t="s">
        <v>0</v>
      </c>
      <c r="C13922">
        <v>67</v>
      </c>
      <c r="D13922">
        <v>3503</v>
      </c>
      <c r="E13922">
        <v>80566735</v>
      </c>
    </row>
    <row r="13923" spans="1:6" x14ac:dyDescent="0.25">
      <c r="A13923">
        <v>13922</v>
      </c>
      <c r="B13923">
        <v>46</v>
      </c>
      <c r="C13923">
        <v>0</v>
      </c>
      <c r="D13923">
        <v>0</v>
      </c>
      <c r="E13923">
        <v>0</v>
      </c>
      <c r="F13923">
        <v>0</v>
      </c>
    </row>
    <row r="13924" spans="1:6" x14ac:dyDescent="0.25">
      <c r="A13924">
        <v>13923</v>
      </c>
      <c r="B13924">
        <v>2</v>
      </c>
      <c r="C13924">
        <v>0</v>
      </c>
      <c r="D13924">
        <v>0</v>
      </c>
      <c r="E13924">
        <v>0</v>
      </c>
      <c r="F13924">
        <v>241.76400000000001</v>
      </c>
    </row>
    <row r="13925" spans="1:6" x14ac:dyDescent="0.25">
      <c r="A13925">
        <v>13924</v>
      </c>
      <c r="B13925" t="s">
        <v>0</v>
      </c>
      <c r="C13925">
        <v>68</v>
      </c>
      <c r="D13925">
        <v>3503</v>
      </c>
      <c r="E13925">
        <v>80566872</v>
      </c>
    </row>
    <row r="13926" spans="1:6" x14ac:dyDescent="0.25">
      <c r="A13926">
        <v>13925</v>
      </c>
      <c r="B13926">
        <v>10</v>
      </c>
      <c r="C13926">
        <v>1</v>
      </c>
      <c r="D13926">
        <v>0</v>
      </c>
      <c r="E13926">
        <v>0</v>
      </c>
      <c r="F13926">
        <v>5124</v>
      </c>
    </row>
    <row r="13927" spans="1:6" x14ac:dyDescent="0.25">
      <c r="A13927">
        <v>13926</v>
      </c>
      <c r="B13927">
        <v>13</v>
      </c>
      <c r="C13927">
        <v>0</v>
      </c>
      <c r="D13927">
        <v>0</v>
      </c>
      <c r="E13927">
        <v>0</v>
      </c>
      <c r="F13927">
        <v>1612</v>
      </c>
    </row>
    <row r="13928" spans="1:6" x14ac:dyDescent="0.25">
      <c r="A13928">
        <v>13927</v>
      </c>
      <c r="B13928" t="s">
        <v>0</v>
      </c>
      <c r="C13928">
        <v>69</v>
      </c>
      <c r="D13928">
        <v>3503</v>
      </c>
      <c r="E13928">
        <v>80567009</v>
      </c>
    </row>
    <row r="13929" spans="1:6" x14ac:dyDescent="0.25">
      <c r="A13929">
        <v>13928</v>
      </c>
      <c r="B13929">
        <v>41</v>
      </c>
      <c r="C13929">
        <v>0</v>
      </c>
      <c r="D13929">
        <v>0</v>
      </c>
      <c r="E13929">
        <v>0</v>
      </c>
      <c r="F13929">
        <v>1</v>
      </c>
    </row>
    <row r="13930" spans="1:6" x14ac:dyDescent="0.25">
      <c r="A13930">
        <v>13929</v>
      </c>
      <c r="B13930">
        <v>42</v>
      </c>
      <c r="C13930">
        <v>0</v>
      </c>
      <c r="D13930">
        <v>0</v>
      </c>
      <c r="E13930">
        <v>0</v>
      </c>
      <c r="F13930">
        <v>0.2</v>
      </c>
    </row>
    <row r="13931" spans="1:6" x14ac:dyDescent="0.25">
      <c r="A13931">
        <v>13930</v>
      </c>
      <c r="B13931" t="s">
        <v>0</v>
      </c>
      <c r="C13931">
        <v>70</v>
      </c>
      <c r="D13931">
        <v>3503</v>
      </c>
      <c r="E13931">
        <v>80567146</v>
      </c>
    </row>
    <row r="13932" spans="1:6" x14ac:dyDescent="0.25">
      <c r="A13932">
        <v>13931</v>
      </c>
      <c r="B13932">
        <v>44</v>
      </c>
      <c r="C13932">
        <v>0</v>
      </c>
      <c r="D13932">
        <v>0</v>
      </c>
      <c r="E13932">
        <v>0</v>
      </c>
      <c r="F13932">
        <v>15.6873</v>
      </c>
    </row>
    <row r="13933" spans="1:6" x14ac:dyDescent="0.25">
      <c r="A13933">
        <v>13932</v>
      </c>
      <c r="B13933" t="s">
        <v>0</v>
      </c>
      <c r="C13933">
        <v>71</v>
      </c>
      <c r="D13933">
        <v>3503</v>
      </c>
      <c r="E13933">
        <v>80567283</v>
      </c>
    </row>
    <row r="13934" spans="1:6" x14ac:dyDescent="0.25">
      <c r="A13934">
        <v>13933</v>
      </c>
      <c r="B13934">
        <v>46</v>
      </c>
      <c r="C13934">
        <v>0</v>
      </c>
      <c r="D13934">
        <v>0</v>
      </c>
      <c r="E13934">
        <v>0</v>
      </c>
      <c r="F13934">
        <v>0</v>
      </c>
    </row>
    <row r="13935" spans="1:6" x14ac:dyDescent="0.25">
      <c r="A13935">
        <v>13934</v>
      </c>
      <c r="B13935" t="s">
        <v>0</v>
      </c>
      <c r="C13935">
        <v>72</v>
      </c>
      <c r="D13935">
        <v>3503</v>
      </c>
      <c r="E13935">
        <v>80567421</v>
      </c>
    </row>
    <row r="13936" spans="1:6" x14ac:dyDescent="0.25">
      <c r="A13936">
        <v>13935</v>
      </c>
      <c r="B13936">
        <v>10</v>
      </c>
      <c r="C13936">
        <v>1</v>
      </c>
      <c r="D13936">
        <v>0</v>
      </c>
      <c r="E13936">
        <v>0</v>
      </c>
      <c r="F13936">
        <v>5125</v>
      </c>
    </row>
    <row r="13937" spans="1:6" x14ac:dyDescent="0.25">
      <c r="A13937">
        <v>13936</v>
      </c>
      <c r="B13937" t="s">
        <v>0</v>
      </c>
      <c r="C13937">
        <v>73</v>
      </c>
      <c r="D13937">
        <v>3503</v>
      </c>
      <c r="E13937">
        <v>80567559</v>
      </c>
    </row>
    <row r="13938" spans="1:6" x14ac:dyDescent="0.25">
      <c r="A13938">
        <v>13937</v>
      </c>
      <c r="B13938">
        <v>41</v>
      </c>
      <c r="C13938">
        <v>0</v>
      </c>
      <c r="D13938">
        <v>0</v>
      </c>
      <c r="E13938">
        <v>0</v>
      </c>
      <c r="F13938">
        <v>1</v>
      </c>
    </row>
    <row r="13939" spans="1:6" x14ac:dyDescent="0.25">
      <c r="A13939">
        <v>13938</v>
      </c>
      <c r="B13939" t="s">
        <v>0</v>
      </c>
      <c r="C13939">
        <v>74</v>
      </c>
      <c r="D13939">
        <v>3503</v>
      </c>
      <c r="E13939">
        <v>80567697</v>
      </c>
    </row>
    <row r="13940" spans="1:6" x14ac:dyDescent="0.25">
      <c r="A13940">
        <v>13939</v>
      </c>
      <c r="B13940">
        <v>43</v>
      </c>
      <c r="C13940">
        <v>0</v>
      </c>
      <c r="D13940">
        <v>0</v>
      </c>
      <c r="E13940">
        <v>0</v>
      </c>
      <c r="F13940">
        <v>0</v>
      </c>
    </row>
    <row r="13941" spans="1:6" x14ac:dyDescent="0.25">
      <c r="A13941">
        <v>13940</v>
      </c>
      <c r="B13941">
        <v>44</v>
      </c>
      <c r="C13941">
        <v>0</v>
      </c>
      <c r="D13941">
        <v>0</v>
      </c>
      <c r="E13941">
        <v>0</v>
      </c>
      <c r="F13941">
        <v>15.8119</v>
      </c>
    </row>
    <row r="13942" spans="1:6" x14ac:dyDescent="0.25">
      <c r="A13942">
        <v>13941</v>
      </c>
      <c r="B13942">
        <v>45</v>
      </c>
      <c r="C13942">
        <v>0</v>
      </c>
      <c r="D13942">
        <v>0</v>
      </c>
      <c r="E13942">
        <v>0</v>
      </c>
      <c r="F13942">
        <v>516.476</v>
      </c>
    </row>
    <row r="13943" spans="1:6" x14ac:dyDescent="0.25">
      <c r="A13943">
        <v>13942</v>
      </c>
      <c r="B13943">
        <v>46</v>
      </c>
      <c r="C13943">
        <v>0</v>
      </c>
      <c r="D13943">
        <v>0</v>
      </c>
      <c r="E13943">
        <v>0</v>
      </c>
      <c r="F13943">
        <v>0</v>
      </c>
    </row>
    <row r="13944" spans="1:6" x14ac:dyDescent="0.25">
      <c r="A13944">
        <v>13943</v>
      </c>
      <c r="B13944">
        <v>2</v>
      </c>
      <c r="C13944">
        <v>0</v>
      </c>
      <c r="D13944">
        <v>0</v>
      </c>
      <c r="E13944">
        <v>0</v>
      </c>
      <c r="F13944">
        <v>241.76</v>
      </c>
    </row>
    <row r="13945" spans="1:6" x14ac:dyDescent="0.25">
      <c r="A13945">
        <v>13944</v>
      </c>
      <c r="B13945">
        <v>10</v>
      </c>
      <c r="C13945">
        <v>1</v>
      </c>
      <c r="D13945">
        <v>0</v>
      </c>
      <c r="E13945">
        <v>0</v>
      </c>
      <c r="F13945">
        <v>5126</v>
      </c>
    </row>
    <row r="13946" spans="1:6" x14ac:dyDescent="0.25">
      <c r="A13946">
        <v>13945</v>
      </c>
      <c r="B13946">
        <v>13</v>
      </c>
      <c r="C13946">
        <v>0</v>
      </c>
      <c r="D13946">
        <v>0</v>
      </c>
      <c r="E13946">
        <v>0</v>
      </c>
      <c r="F13946">
        <v>1612</v>
      </c>
    </row>
    <row r="13947" spans="1:6" x14ac:dyDescent="0.25">
      <c r="A13947">
        <v>13946</v>
      </c>
      <c r="B13947">
        <v>41</v>
      </c>
      <c r="C13947">
        <v>0</v>
      </c>
      <c r="D13947">
        <v>0</v>
      </c>
      <c r="E13947">
        <v>0</v>
      </c>
      <c r="F13947">
        <v>1</v>
      </c>
    </row>
    <row r="13948" spans="1:6" x14ac:dyDescent="0.25">
      <c r="A13948">
        <v>13947</v>
      </c>
      <c r="B13948">
        <v>42</v>
      </c>
      <c r="C13948">
        <v>0</v>
      </c>
      <c r="D13948">
        <v>0</v>
      </c>
      <c r="E13948">
        <v>0</v>
      </c>
      <c r="F13948">
        <v>0.2</v>
      </c>
    </row>
    <row r="13949" spans="1:6" x14ac:dyDescent="0.25">
      <c r="A13949">
        <v>13948</v>
      </c>
      <c r="B13949">
        <v>43</v>
      </c>
      <c r="C13949">
        <v>0</v>
      </c>
      <c r="D13949">
        <v>0</v>
      </c>
      <c r="E13949">
        <v>0</v>
      </c>
      <c r="F13949">
        <v>0</v>
      </c>
    </row>
    <row r="13950" spans="1:6" x14ac:dyDescent="0.25">
      <c r="A13950">
        <v>13949</v>
      </c>
      <c r="B13950">
        <v>44</v>
      </c>
      <c r="C13950">
        <v>0</v>
      </c>
      <c r="D13950">
        <v>0</v>
      </c>
      <c r="E13950">
        <v>0</v>
      </c>
      <c r="F13950">
        <v>15.9862</v>
      </c>
    </row>
    <row r="13951" spans="1:6" x14ac:dyDescent="0.25">
      <c r="A13951">
        <v>13950</v>
      </c>
      <c r="B13951">
        <v>45</v>
      </c>
      <c r="C13951">
        <v>0</v>
      </c>
      <c r="D13951">
        <v>0</v>
      </c>
      <c r="E13951">
        <v>0</v>
      </c>
      <c r="F13951">
        <v>516.49400000000003</v>
      </c>
    </row>
    <row r="13952" spans="1:6" x14ac:dyDescent="0.25">
      <c r="A13952">
        <v>13951</v>
      </c>
      <c r="B13952">
        <v>46</v>
      </c>
      <c r="C13952">
        <v>0</v>
      </c>
      <c r="D13952">
        <v>0</v>
      </c>
      <c r="E13952">
        <v>0</v>
      </c>
      <c r="F13952">
        <v>0</v>
      </c>
    </row>
    <row r="13953" spans="1:6" x14ac:dyDescent="0.25">
      <c r="A13953">
        <v>13952</v>
      </c>
      <c r="B13953">
        <v>2</v>
      </c>
      <c r="C13953">
        <v>0</v>
      </c>
      <c r="D13953">
        <v>0</v>
      </c>
      <c r="E13953">
        <v>0</v>
      </c>
      <c r="F13953">
        <v>241.76499999999999</v>
      </c>
    </row>
    <row r="13954" spans="1:6" x14ac:dyDescent="0.25">
      <c r="A13954">
        <v>13953</v>
      </c>
      <c r="B13954" t="s">
        <v>0</v>
      </c>
      <c r="C13954">
        <v>81</v>
      </c>
      <c r="D13954">
        <v>3503</v>
      </c>
      <c r="E13954">
        <v>80568658</v>
      </c>
    </row>
    <row r="13955" spans="1:6" x14ac:dyDescent="0.25">
      <c r="A13955">
        <v>13954</v>
      </c>
      <c r="B13955">
        <v>10</v>
      </c>
      <c r="C13955">
        <v>1</v>
      </c>
      <c r="D13955">
        <v>0</v>
      </c>
      <c r="E13955">
        <v>0</v>
      </c>
      <c r="F13955">
        <v>5127</v>
      </c>
    </row>
    <row r="13956" spans="1:6" x14ac:dyDescent="0.25">
      <c r="A13956">
        <v>13955</v>
      </c>
      <c r="B13956">
        <v>13</v>
      </c>
      <c r="C13956">
        <v>0</v>
      </c>
      <c r="D13956">
        <v>0</v>
      </c>
      <c r="E13956">
        <v>0</v>
      </c>
      <c r="F13956">
        <v>1612</v>
      </c>
    </row>
    <row r="13957" spans="1:6" x14ac:dyDescent="0.25">
      <c r="A13957">
        <v>13956</v>
      </c>
      <c r="B13957" t="s">
        <v>0</v>
      </c>
      <c r="C13957">
        <v>82</v>
      </c>
      <c r="D13957">
        <v>3503</v>
      </c>
      <c r="E13957">
        <v>80568795</v>
      </c>
    </row>
    <row r="13958" spans="1:6" x14ac:dyDescent="0.25">
      <c r="A13958">
        <v>13957</v>
      </c>
      <c r="B13958">
        <v>41</v>
      </c>
      <c r="C13958">
        <v>0</v>
      </c>
      <c r="D13958">
        <v>0</v>
      </c>
      <c r="E13958">
        <v>0</v>
      </c>
      <c r="F13958">
        <v>1</v>
      </c>
    </row>
    <row r="13959" spans="1:6" x14ac:dyDescent="0.25">
      <c r="A13959">
        <v>13958</v>
      </c>
      <c r="B13959">
        <v>42</v>
      </c>
      <c r="C13959">
        <v>0</v>
      </c>
      <c r="D13959">
        <v>0</v>
      </c>
      <c r="E13959">
        <v>0</v>
      </c>
      <c r="F13959">
        <v>0.2</v>
      </c>
    </row>
    <row r="13960" spans="1:6" x14ac:dyDescent="0.25">
      <c r="A13960">
        <v>13959</v>
      </c>
      <c r="B13960" t="s">
        <v>0</v>
      </c>
      <c r="C13960">
        <v>83</v>
      </c>
      <c r="D13960">
        <v>3503</v>
      </c>
      <c r="E13960">
        <v>80568932</v>
      </c>
    </row>
    <row r="13961" spans="1:6" x14ac:dyDescent="0.25">
      <c r="A13961">
        <v>13960</v>
      </c>
      <c r="B13961">
        <v>43</v>
      </c>
      <c r="C13961">
        <v>0</v>
      </c>
      <c r="D13961">
        <v>0</v>
      </c>
      <c r="E13961">
        <v>0</v>
      </c>
      <c r="F13961">
        <v>0</v>
      </c>
    </row>
    <row r="13962" spans="1:6" x14ac:dyDescent="0.25">
      <c r="A13962">
        <v>13961</v>
      </c>
      <c r="B13962">
        <v>44</v>
      </c>
      <c r="C13962">
        <v>0</v>
      </c>
      <c r="D13962">
        <v>0</v>
      </c>
      <c r="E13962">
        <v>0</v>
      </c>
      <c r="F13962">
        <v>16.136099999999999</v>
      </c>
    </row>
    <row r="13963" spans="1:6" x14ac:dyDescent="0.25">
      <c r="A13963">
        <v>13962</v>
      </c>
      <c r="B13963" t="s">
        <v>0</v>
      </c>
      <c r="C13963">
        <v>84</v>
      </c>
      <c r="D13963">
        <v>3503</v>
      </c>
      <c r="E13963">
        <v>80569069</v>
      </c>
    </row>
    <row r="13964" spans="1:6" x14ac:dyDescent="0.25">
      <c r="A13964">
        <v>13963</v>
      </c>
      <c r="B13964">
        <v>45</v>
      </c>
      <c r="C13964">
        <v>0</v>
      </c>
      <c r="D13964">
        <v>0</v>
      </c>
      <c r="E13964">
        <v>0</v>
      </c>
      <c r="F13964">
        <v>516.51599999999996</v>
      </c>
    </row>
    <row r="13965" spans="1:6" x14ac:dyDescent="0.25">
      <c r="A13965">
        <v>13964</v>
      </c>
      <c r="B13965">
        <v>46</v>
      </c>
      <c r="C13965">
        <v>0</v>
      </c>
      <c r="D13965">
        <v>0</v>
      </c>
      <c r="E13965">
        <v>0</v>
      </c>
      <c r="F13965">
        <v>0</v>
      </c>
    </row>
    <row r="13966" spans="1:6" x14ac:dyDescent="0.25">
      <c r="A13966">
        <v>13965</v>
      </c>
      <c r="B13966" t="s">
        <v>0</v>
      </c>
      <c r="C13966">
        <v>85</v>
      </c>
      <c r="D13966">
        <v>3503</v>
      </c>
      <c r="E13966">
        <v>80569207</v>
      </c>
    </row>
    <row r="13967" spans="1:6" x14ac:dyDescent="0.25">
      <c r="A13967">
        <v>13966</v>
      </c>
      <c r="B13967">
        <v>2</v>
      </c>
      <c r="C13967">
        <v>0</v>
      </c>
      <c r="D13967">
        <v>0</v>
      </c>
      <c r="E13967">
        <v>0</v>
      </c>
      <c r="F13967">
        <v>241.76599999999999</v>
      </c>
    </row>
    <row r="13968" spans="1:6" x14ac:dyDescent="0.25">
      <c r="A13968">
        <v>13967</v>
      </c>
      <c r="B13968">
        <v>10</v>
      </c>
      <c r="C13968">
        <v>1</v>
      </c>
      <c r="D13968">
        <v>0</v>
      </c>
      <c r="E13968">
        <v>0</v>
      </c>
      <c r="F13968">
        <v>5128</v>
      </c>
    </row>
    <row r="13969" spans="1:6" x14ac:dyDescent="0.25">
      <c r="A13969">
        <v>13968</v>
      </c>
      <c r="B13969" t="s">
        <v>0</v>
      </c>
      <c r="C13969">
        <v>86</v>
      </c>
      <c r="D13969">
        <v>3503</v>
      </c>
      <c r="E13969">
        <v>80569344</v>
      </c>
    </row>
    <row r="13970" spans="1:6" x14ac:dyDescent="0.25">
      <c r="A13970">
        <v>13969</v>
      </c>
      <c r="B13970">
        <v>41</v>
      </c>
      <c r="C13970">
        <v>0</v>
      </c>
      <c r="D13970">
        <v>0</v>
      </c>
      <c r="E13970">
        <v>0</v>
      </c>
      <c r="F13970">
        <v>1</v>
      </c>
    </row>
    <row r="13971" spans="1:6" x14ac:dyDescent="0.25">
      <c r="A13971">
        <v>13970</v>
      </c>
      <c r="B13971" t="s">
        <v>0</v>
      </c>
      <c r="C13971">
        <v>87</v>
      </c>
      <c r="D13971">
        <v>3503</v>
      </c>
      <c r="E13971">
        <v>80569482</v>
      </c>
    </row>
    <row r="13972" spans="1:6" x14ac:dyDescent="0.25">
      <c r="A13972">
        <v>13971</v>
      </c>
      <c r="B13972">
        <v>43</v>
      </c>
      <c r="C13972">
        <v>0</v>
      </c>
      <c r="D13972">
        <v>0</v>
      </c>
      <c r="E13972">
        <v>0</v>
      </c>
      <c r="F13972">
        <v>0</v>
      </c>
    </row>
    <row r="13973" spans="1:6" x14ac:dyDescent="0.25">
      <c r="A13973">
        <v>13972</v>
      </c>
      <c r="B13973" t="s">
        <v>0</v>
      </c>
      <c r="C13973">
        <v>88</v>
      </c>
      <c r="D13973">
        <v>3503</v>
      </c>
      <c r="E13973">
        <v>80569620</v>
      </c>
    </row>
    <row r="13974" spans="1:6" x14ac:dyDescent="0.25">
      <c r="A13974">
        <v>13973</v>
      </c>
      <c r="B13974">
        <v>45</v>
      </c>
      <c r="C13974">
        <v>0</v>
      </c>
      <c r="D13974">
        <v>0</v>
      </c>
      <c r="E13974">
        <v>0</v>
      </c>
      <c r="F13974">
        <v>516.53399999999999</v>
      </c>
    </row>
    <row r="13975" spans="1:6" x14ac:dyDescent="0.25">
      <c r="A13975">
        <v>13974</v>
      </c>
      <c r="B13975" t="s">
        <v>0</v>
      </c>
      <c r="C13975">
        <v>89</v>
      </c>
      <c r="D13975">
        <v>3503</v>
      </c>
      <c r="E13975">
        <v>80569758</v>
      </c>
    </row>
    <row r="13976" spans="1:6" x14ac:dyDescent="0.25">
      <c r="A13976">
        <v>13975</v>
      </c>
      <c r="B13976">
        <v>2</v>
      </c>
      <c r="C13976">
        <v>0</v>
      </c>
      <c r="D13976">
        <v>0</v>
      </c>
      <c r="E13976">
        <v>0</v>
      </c>
      <c r="F13976">
        <v>241.76599999999999</v>
      </c>
    </row>
    <row r="13977" spans="1:6" x14ac:dyDescent="0.25">
      <c r="A13977">
        <v>13976</v>
      </c>
      <c r="B13977" t="s">
        <v>0</v>
      </c>
      <c r="C13977">
        <v>90</v>
      </c>
      <c r="D13977">
        <v>3503</v>
      </c>
      <c r="E13977">
        <v>80569896</v>
      </c>
    </row>
    <row r="13978" spans="1:6" x14ac:dyDescent="0.25">
      <c r="A13978">
        <v>13977</v>
      </c>
      <c r="B13978">
        <v>13</v>
      </c>
      <c r="C13978">
        <v>0</v>
      </c>
      <c r="D13978">
        <v>0</v>
      </c>
      <c r="E13978">
        <v>0</v>
      </c>
      <c r="F13978">
        <v>1612</v>
      </c>
    </row>
    <row r="13979" spans="1:6" x14ac:dyDescent="0.25">
      <c r="A13979">
        <v>13978</v>
      </c>
      <c r="B13979">
        <v>41</v>
      </c>
      <c r="C13979">
        <v>0</v>
      </c>
      <c r="D13979">
        <v>0</v>
      </c>
      <c r="E13979">
        <v>0</v>
      </c>
      <c r="F13979">
        <v>1</v>
      </c>
    </row>
    <row r="13980" spans="1:6" x14ac:dyDescent="0.25">
      <c r="A13980">
        <v>13979</v>
      </c>
      <c r="B13980">
        <v>42</v>
      </c>
      <c r="C13980">
        <v>0</v>
      </c>
      <c r="D13980">
        <v>0</v>
      </c>
      <c r="E13980">
        <v>0</v>
      </c>
      <c r="F13980">
        <v>0.2</v>
      </c>
    </row>
    <row r="13981" spans="1:6" x14ac:dyDescent="0.25">
      <c r="A13981">
        <v>13980</v>
      </c>
      <c r="B13981">
        <v>43</v>
      </c>
      <c r="C13981">
        <v>0</v>
      </c>
      <c r="D13981">
        <v>0</v>
      </c>
      <c r="E13981">
        <v>0</v>
      </c>
      <c r="F13981">
        <v>0</v>
      </c>
    </row>
    <row r="13982" spans="1:6" x14ac:dyDescent="0.25">
      <c r="A13982">
        <v>13981</v>
      </c>
      <c r="B13982">
        <v>44</v>
      </c>
      <c r="C13982">
        <v>0</v>
      </c>
      <c r="D13982">
        <v>0</v>
      </c>
      <c r="E13982">
        <v>0</v>
      </c>
      <c r="F13982">
        <v>16.435500000000001</v>
      </c>
    </row>
    <row r="13983" spans="1:6" x14ac:dyDescent="0.25">
      <c r="A13983">
        <v>13982</v>
      </c>
      <c r="B13983">
        <v>45</v>
      </c>
      <c r="C13983">
        <v>0</v>
      </c>
      <c r="D13983">
        <v>0</v>
      </c>
      <c r="E13983">
        <v>0</v>
      </c>
      <c r="F13983">
        <v>516.55200000000002</v>
      </c>
    </row>
    <row r="13984" spans="1:6" x14ac:dyDescent="0.25">
      <c r="A13984">
        <v>13983</v>
      </c>
      <c r="B13984">
        <v>46</v>
      </c>
      <c r="C13984">
        <v>0</v>
      </c>
      <c r="D13984">
        <v>0</v>
      </c>
      <c r="E13984">
        <v>0</v>
      </c>
      <c r="F13984">
        <v>0</v>
      </c>
    </row>
    <row r="13985" spans="1:6" x14ac:dyDescent="0.25">
      <c r="A13985">
        <v>13984</v>
      </c>
      <c r="B13985">
        <v>2</v>
      </c>
      <c r="C13985">
        <v>0</v>
      </c>
      <c r="D13985">
        <v>0</v>
      </c>
      <c r="E13985">
        <v>0</v>
      </c>
      <c r="F13985">
        <v>241.76599999999999</v>
      </c>
    </row>
    <row r="13986" spans="1:6" x14ac:dyDescent="0.25">
      <c r="A13986">
        <v>13985</v>
      </c>
      <c r="B13986">
        <v>10</v>
      </c>
      <c r="C13986">
        <v>1</v>
      </c>
      <c r="D13986">
        <v>0</v>
      </c>
      <c r="E13986">
        <v>0</v>
      </c>
      <c r="F13986">
        <v>5130</v>
      </c>
    </row>
    <row r="13987" spans="1:6" x14ac:dyDescent="0.25">
      <c r="A13987">
        <v>13986</v>
      </c>
      <c r="B13987">
        <v>13</v>
      </c>
      <c r="C13987">
        <v>0</v>
      </c>
      <c r="D13987">
        <v>0</v>
      </c>
      <c r="E13987">
        <v>0</v>
      </c>
      <c r="F13987">
        <v>1612</v>
      </c>
    </row>
    <row r="13988" spans="1:6" x14ac:dyDescent="0.25">
      <c r="A13988">
        <v>13987</v>
      </c>
      <c r="B13988">
        <v>41</v>
      </c>
      <c r="C13988">
        <v>0</v>
      </c>
      <c r="D13988">
        <v>0</v>
      </c>
      <c r="E13988">
        <v>0</v>
      </c>
      <c r="F13988">
        <v>1</v>
      </c>
    </row>
    <row r="13989" spans="1:6" x14ac:dyDescent="0.25">
      <c r="A13989">
        <v>13988</v>
      </c>
      <c r="B13989">
        <v>42</v>
      </c>
      <c r="C13989">
        <v>0</v>
      </c>
      <c r="D13989">
        <v>0</v>
      </c>
      <c r="E13989">
        <v>0</v>
      </c>
      <c r="F13989">
        <v>0.2</v>
      </c>
    </row>
    <row r="13990" spans="1:6" x14ac:dyDescent="0.25">
      <c r="A13990">
        <v>13989</v>
      </c>
      <c r="B13990">
        <v>43</v>
      </c>
      <c r="C13990">
        <v>0</v>
      </c>
      <c r="D13990">
        <v>0</v>
      </c>
      <c r="E13990">
        <v>0</v>
      </c>
      <c r="F13990">
        <v>0</v>
      </c>
    </row>
    <row r="13991" spans="1:6" x14ac:dyDescent="0.25">
      <c r="A13991">
        <v>13990</v>
      </c>
      <c r="B13991">
        <v>44</v>
      </c>
      <c r="C13991">
        <v>0</v>
      </c>
      <c r="D13991">
        <v>0</v>
      </c>
      <c r="E13991">
        <v>0</v>
      </c>
      <c r="F13991">
        <v>16.5854</v>
      </c>
    </row>
    <row r="13992" spans="1:6" x14ac:dyDescent="0.25">
      <c r="A13992">
        <v>13991</v>
      </c>
      <c r="B13992" t="s">
        <v>0</v>
      </c>
      <c r="C13992">
        <v>97</v>
      </c>
      <c r="D13992">
        <v>3503</v>
      </c>
      <c r="E13992">
        <v>80570856</v>
      </c>
    </row>
    <row r="13993" spans="1:6" x14ac:dyDescent="0.25">
      <c r="A13993">
        <v>13992</v>
      </c>
      <c r="B13993">
        <v>45</v>
      </c>
      <c r="C13993">
        <v>0</v>
      </c>
      <c r="D13993">
        <v>0</v>
      </c>
      <c r="E13993">
        <v>0</v>
      </c>
      <c r="F13993">
        <v>516.57500000000005</v>
      </c>
    </row>
    <row r="13994" spans="1:6" x14ac:dyDescent="0.25">
      <c r="A13994">
        <v>13993</v>
      </c>
      <c r="B13994">
        <v>46</v>
      </c>
      <c r="C13994">
        <v>0</v>
      </c>
      <c r="D13994">
        <v>0</v>
      </c>
      <c r="E13994">
        <v>0</v>
      </c>
      <c r="F13994">
        <v>0</v>
      </c>
    </row>
    <row r="13995" spans="1:6" x14ac:dyDescent="0.25">
      <c r="A13995">
        <v>13994</v>
      </c>
      <c r="B13995" t="s">
        <v>0</v>
      </c>
      <c r="C13995">
        <v>98</v>
      </c>
      <c r="D13995">
        <v>3503</v>
      </c>
      <c r="E13995">
        <v>80570993</v>
      </c>
    </row>
    <row r="13996" spans="1:6" x14ac:dyDescent="0.25">
      <c r="A13996">
        <v>13995</v>
      </c>
      <c r="B13996">
        <v>2</v>
      </c>
      <c r="C13996">
        <v>0</v>
      </c>
      <c r="D13996">
        <v>0</v>
      </c>
      <c r="E13996">
        <v>0</v>
      </c>
      <c r="F13996">
        <v>241.76599999999999</v>
      </c>
    </row>
    <row r="13997" spans="1:6" x14ac:dyDescent="0.25">
      <c r="A13997">
        <v>13996</v>
      </c>
      <c r="B13997">
        <v>10</v>
      </c>
      <c r="C13997">
        <v>1</v>
      </c>
      <c r="D13997">
        <v>0</v>
      </c>
      <c r="E13997">
        <v>0</v>
      </c>
      <c r="F13997">
        <v>5131</v>
      </c>
    </row>
    <row r="13998" spans="1:6" x14ac:dyDescent="0.25">
      <c r="A13998">
        <v>13997</v>
      </c>
      <c r="B13998" t="s">
        <v>0</v>
      </c>
      <c r="C13998">
        <v>99</v>
      </c>
      <c r="D13998">
        <v>3503</v>
      </c>
      <c r="E13998">
        <v>80571131</v>
      </c>
    </row>
    <row r="13999" spans="1:6" x14ac:dyDescent="0.25">
      <c r="A13999">
        <v>13998</v>
      </c>
      <c r="B13999">
        <v>13</v>
      </c>
      <c r="C13999">
        <v>0</v>
      </c>
      <c r="D13999">
        <v>0</v>
      </c>
      <c r="E13999">
        <v>0</v>
      </c>
      <c r="F13999">
        <v>1612</v>
      </c>
    </row>
    <row r="14000" spans="1:6" x14ac:dyDescent="0.25">
      <c r="A14000">
        <v>13999</v>
      </c>
      <c r="B14000">
        <v>41</v>
      </c>
      <c r="C14000">
        <v>0</v>
      </c>
      <c r="D14000">
        <v>0</v>
      </c>
      <c r="E14000">
        <v>0</v>
      </c>
      <c r="F14000">
        <v>1</v>
      </c>
    </row>
    <row r="14001" spans="1:6" x14ac:dyDescent="0.25">
      <c r="A14001">
        <v>14000</v>
      </c>
      <c r="B14001" t="s">
        <v>0</v>
      </c>
      <c r="C14001">
        <v>100</v>
      </c>
      <c r="D14001">
        <v>3503</v>
      </c>
      <c r="E14001">
        <v>80571269</v>
      </c>
    </row>
    <row r="14002" spans="1:6" x14ac:dyDescent="0.25">
      <c r="A14002">
        <v>14001</v>
      </c>
      <c r="B14002">
        <v>42</v>
      </c>
      <c r="C14002">
        <v>0</v>
      </c>
      <c r="D14002">
        <v>0</v>
      </c>
      <c r="E14002">
        <v>0</v>
      </c>
      <c r="F14002">
        <v>0.2</v>
      </c>
    </row>
    <row r="14003" spans="1:6" x14ac:dyDescent="0.25">
      <c r="A14003">
        <v>14002</v>
      </c>
      <c r="B14003">
        <v>43</v>
      </c>
      <c r="C14003">
        <v>0</v>
      </c>
      <c r="D14003">
        <v>0</v>
      </c>
      <c r="E14003">
        <v>0</v>
      </c>
      <c r="F14003">
        <v>0</v>
      </c>
    </row>
    <row r="14004" spans="1:6" x14ac:dyDescent="0.25">
      <c r="A14004">
        <v>14003</v>
      </c>
      <c r="B14004" t="s">
        <v>0</v>
      </c>
      <c r="C14004">
        <v>101</v>
      </c>
      <c r="D14004">
        <v>3503</v>
      </c>
      <c r="E14004">
        <v>80571406</v>
      </c>
    </row>
    <row r="14005" spans="1:6" x14ac:dyDescent="0.25">
      <c r="A14005">
        <v>14004</v>
      </c>
      <c r="B14005">
        <v>44</v>
      </c>
      <c r="C14005">
        <v>0</v>
      </c>
      <c r="D14005">
        <v>0</v>
      </c>
      <c r="E14005">
        <v>0</v>
      </c>
      <c r="F14005">
        <v>16.760300000000001</v>
      </c>
    </row>
    <row r="14006" spans="1:6" x14ac:dyDescent="0.25">
      <c r="A14006">
        <v>14005</v>
      </c>
      <c r="B14006">
        <v>45</v>
      </c>
      <c r="C14006">
        <v>0</v>
      </c>
      <c r="D14006">
        <v>0</v>
      </c>
      <c r="E14006">
        <v>0</v>
      </c>
      <c r="F14006">
        <v>516.59299999999996</v>
      </c>
    </row>
    <row r="14007" spans="1:6" x14ac:dyDescent="0.25">
      <c r="A14007">
        <v>14006</v>
      </c>
      <c r="B14007" t="s">
        <v>0</v>
      </c>
      <c r="C14007">
        <v>102</v>
      </c>
      <c r="D14007">
        <v>3503</v>
      </c>
      <c r="E14007">
        <v>80571544</v>
      </c>
    </row>
    <row r="14008" spans="1:6" x14ac:dyDescent="0.25">
      <c r="A14008">
        <v>14007</v>
      </c>
      <c r="B14008">
        <v>2</v>
      </c>
      <c r="C14008">
        <v>0</v>
      </c>
      <c r="D14008">
        <v>0</v>
      </c>
      <c r="E14008">
        <v>0</v>
      </c>
      <c r="F14008">
        <v>241.76</v>
      </c>
    </row>
    <row r="14009" spans="1:6" x14ac:dyDescent="0.25">
      <c r="A14009">
        <v>14008</v>
      </c>
      <c r="B14009" t="s">
        <v>0</v>
      </c>
      <c r="C14009">
        <v>103</v>
      </c>
      <c r="D14009">
        <v>3503</v>
      </c>
      <c r="E14009">
        <v>80571682</v>
      </c>
    </row>
    <row r="14010" spans="1:6" x14ac:dyDescent="0.25">
      <c r="A14010">
        <v>14009</v>
      </c>
      <c r="B14010">
        <v>13</v>
      </c>
      <c r="C14010">
        <v>0</v>
      </c>
      <c r="D14010">
        <v>0</v>
      </c>
      <c r="E14010">
        <v>0</v>
      </c>
      <c r="F14010">
        <v>1612</v>
      </c>
    </row>
    <row r="14011" spans="1:6" x14ac:dyDescent="0.25">
      <c r="A14011">
        <v>14010</v>
      </c>
      <c r="B14011" t="s">
        <v>0</v>
      </c>
      <c r="C14011">
        <v>104</v>
      </c>
      <c r="D14011">
        <v>3503</v>
      </c>
      <c r="E14011">
        <v>80571820</v>
      </c>
    </row>
    <row r="14012" spans="1:6" x14ac:dyDescent="0.25">
      <c r="A14012">
        <v>14011</v>
      </c>
      <c r="B14012">
        <v>42</v>
      </c>
      <c r="C14012">
        <v>0</v>
      </c>
      <c r="D14012">
        <v>0</v>
      </c>
      <c r="E14012">
        <v>0</v>
      </c>
      <c r="F14012">
        <v>0.2</v>
      </c>
    </row>
    <row r="14013" spans="1:6" x14ac:dyDescent="0.25">
      <c r="A14013">
        <v>14012</v>
      </c>
      <c r="B14013" t="s">
        <v>0</v>
      </c>
      <c r="C14013">
        <v>105</v>
      </c>
      <c r="D14013">
        <v>3503</v>
      </c>
      <c r="E14013">
        <v>80571957</v>
      </c>
    </row>
    <row r="14014" spans="1:6" x14ac:dyDescent="0.25">
      <c r="A14014">
        <v>14013</v>
      </c>
      <c r="B14014">
        <v>44</v>
      </c>
      <c r="C14014">
        <v>0</v>
      </c>
      <c r="D14014">
        <v>0</v>
      </c>
      <c r="E14014">
        <v>0</v>
      </c>
      <c r="F14014">
        <v>16.884799999999998</v>
      </c>
    </row>
    <row r="14015" spans="1:6" x14ac:dyDescent="0.25">
      <c r="A14015">
        <v>14014</v>
      </c>
      <c r="B14015" t="s">
        <v>0</v>
      </c>
      <c r="C14015">
        <v>106</v>
      </c>
      <c r="D14015">
        <v>3503</v>
      </c>
      <c r="E14015">
        <v>80572094</v>
      </c>
    </row>
    <row r="14016" spans="1:6" x14ac:dyDescent="0.25">
      <c r="A14016">
        <v>14015</v>
      </c>
      <c r="B14016">
        <v>46</v>
      </c>
      <c r="C14016">
        <v>0</v>
      </c>
      <c r="D14016">
        <v>0</v>
      </c>
      <c r="E14016">
        <v>0</v>
      </c>
      <c r="F14016">
        <v>0</v>
      </c>
    </row>
    <row r="14017" spans="1:6" x14ac:dyDescent="0.25">
      <c r="A14017">
        <v>14016</v>
      </c>
      <c r="B14017">
        <v>2</v>
      </c>
      <c r="C14017">
        <v>0</v>
      </c>
      <c r="D14017">
        <v>0</v>
      </c>
      <c r="E14017">
        <v>0</v>
      </c>
      <c r="F14017">
        <v>241.767</v>
      </c>
    </row>
    <row r="14018" spans="1:6" x14ac:dyDescent="0.25">
      <c r="A14018">
        <v>14017</v>
      </c>
      <c r="B14018">
        <v>10</v>
      </c>
      <c r="C14018">
        <v>1</v>
      </c>
      <c r="D14018">
        <v>0</v>
      </c>
      <c r="E14018">
        <v>0</v>
      </c>
      <c r="F14018">
        <v>5133</v>
      </c>
    </row>
    <row r="14019" spans="1:6" x14ac:dyDescent="0.25">
      <c r="A14019">
        <v>14018</v>
      </c>
      <c r="B14019">
        <v>13</v>
      </c>
      <c r="C14019">
        <v>0</v>
      </c>
      <c r="D14019">
        <v>0</v>
      </c>
      <c r="E14019">
        <v>0</v>
      </c>
      <c r="F14019">
        <v>1612</v>
      </c>
    </row>
    <row r="14020" spans="1:6" x14ac:dyDescent="0.25">
      <c r="A14020">
        <v>14019</v>
      </c>
      <c r="B14020">
        <v>41</v>
      </c>
      <c r="C14020">
        <v>0</v>
      </c>
      <c r="D14020">
        <v>0</v>
      </c>
      <c r="E14020">
        <v>0</v>
      </c>
      <c r="F14020">
        <v>1</v>
      </c>
    </row>
    <row r="14021" spans="1:6" x14ac:dyDescent="0.25">
      <c r="A14021">
        <v>14020</v>
      </c>
      <c r="B14021">
        <v>42</v>
      </c>
      <c r="C14021">
        <v>0</v>
      </c>
      <c r="D14021">
        <v>0</v>
      </c>
      <c r="E14021">
        <v>0</v>
      </c>
      <c r="F14021">
        <v>0.2</v>
      </c>
    </row>
    <row r="14022" spans="1:6" x14ac:dyDescent="0.25">
      <c r="A14022">
        <v>14021</v>
      </c>
      <c r="B14022">
        <v>43</v>
      </c>
      <c r="C14022">
        <v>0</v>
      </c>
      <c r="D14022">
        <v>0</v>
      </c>
      <c r="E14022">
        <v>0</v>
      </c>
      <c r="F14022">
        <v>0</v>
      </c>
    </row>
    <row r="14023" spans="1:6" x14ac:dyDescent="0.25">
      <c r="A14023">
        <v>14022</v>
      </c>
      <c r="B14023">
        <v>44</v>
      </c>
      <c r="C14023">
        <v>0</v>
      </c>
      <c r="D14023">
        <v>0</v>
      </c>
      <c r="E14023">
        <v>0</v>
      </c>
      <c r="F14023">
        <v>17.034800000000001</v>
      </c>
    </row>
    <row r="14024" spans="1:6" x14ac:dyDescent="0.25">
      <c r="A14024">
        <v>14023</v>
      </c>
      <c r="B14024">
        <v>45</v>
      </c>
      <c r="C14024">
        <v>0</v>
      </c>
      <c r="D14024">
        <v>0</v>
      </c>
      <c r="E14024">
        <v>0</v>
      </c>
      <c r="F14024">
        <v>516.63499999999999</v>
      </c>
    </row>
    <row r="14025" spans="1:6" x14ac:dyDescent="0.25">
      <c r="A14025">
        <v>14024</v>
      </c>
      <c r="B14025">
        <v>46</v>
      </c>
      <c r="C14025">
        <v>0</v>
      </c>
      <c r="D14025">
        <v>0</v>
      </c>
      <c r="E14025">
        <v>0</v>
      </c>
      <c r="F14025">
        <v>0</v>
      </c>
    </row>
    <row r="14026" spans="1:6" x14ac:dyDescent="0.25">
      <c r="A14026">
        <v>14025</v>
      </c>
      <c r="B14026">
        <v>2</v>
      </c>
      <c r="C14026">
        <v>0</v>
      </c>
      <c r="D14026">
        <v>0</v>
      </c>
      <c r="E14026">
        <v>0</v>
      </c>
      <c r="F14026">
        <v>241.767</v>
      </c>
    </row>
    <row r="14027" spans="1:6" x14ac:dyDescent="0.25">
      <c r="A14027">
        <v>14026</v>
      </c>
      <c r="B14027">
        <v>10</v>
      </c>
      <c r="C14027">
        <v>1</v>
      </c>
      <c r="D14027">
        <v>0</v>
      </c>
      <c r="E14027">
        <v>0</v>
      </c>
      <c r="F14027">
        <v>5134</v>
      </c>
    </row>
    <row r="14028" spans="1:6" x14ac:dyDescent="0.25">
      <c r="A14028">
        <v>14027</v>
      </c>
      <c r="B14028">
        <v>13</v>
      </c>
      <c r="C14028">
        <v>0</v>
      </c>
      <c r="D14028">
        <v>0</v>
      </c>
      <c r="E14028">
        <v>0</v>
      </c>
      <c r="F14028">
        <v>1612</v>
      </c>
    </row>
    <row r="14029" spans="1:6" x14ac:dyDescent="0.25">
      <c r="A14029">
        <v>14028</v>
      </c>
      <c r="B14029">
        <v>41</v>
      </c>
      <c r="C14029">
        <v>0</v>
      </c>
      <c r="D14029">
        <v>0</v>
      </c>
      <c r="E14029">
        <v>0</v>
      </c>
      <c r="F14029">
        <v>1</v>
      </c>
    </row>
    <row r="14030" spans="1:6" x14ac:dyDescent="0.25">
      <c r="A14030">
        <v>14029</v>
      </c>
      <c r="B14030" t="s">
        <v>0</v>
      </c>
      <c r="C14030">
        <v>113</v>
      </c>
      <c r="D14030">
        <v>3503</v>
      </c>
      <c r="E14030">
        <v>80573054</v>
      </c>
    </row>
    <row r="14031" spans="1:6" x14ac:dyDescent="0.25">
      <c r="A14031">
        <v>14030</v>
      </c>
      <c r="B14031">
        <v>42</v>
      </c>
      <c r="C14031">
        <v>0</v>
      </c>
      <c r="D14031">
        <v>0</v>
      </c>
      <c r="E14031">
        <v>0</v>
      </c>
      <c r="F14031">
        <v>0.2</v>
      </c>
    </row>
    <row r="14032" spans="1:6" x14ac:dyDescent="0.25">
      <c r="A14032">
        <v>14031</v>
      </c>
      <c r="B14032">
        <v>43</v>
      </c>
      <c r="C14032">
        <v>0</v>
      </c>
      <c r="D14032">
        <v>0</v>
      </c>
      <c r="E14032">
        <v>0</v>
      </c>
      <c r="F14032">
        <v>0</v>
      </c>
    </row>
    <row r="14033" spans="1:6" x14ac:dyDescent="0.25">
      <c r="A14033">
        <v>14032</v>
      </c>
      <c r="B14033" t="s">
        <v>0</v>
      </c>
      <c r="C14033">
        <v>114</v>
      </c>
      <c r="D14033">
        <v>3503</v>
      </c>
      <c r="E14033">
        <v>80573191</v>
      </c>
    </row>
    <row r="14034" spans="1:6" x14ac:dyDescent="0.25">
      <c r="A14034">
        <v>14033</v>
      </c>
      <c r="B14034">
        <v>44</v>
      </c>
      <c r="C14034">
        <v>0</v>
      </c>
      <c r="D14034">
        <v>0</v>
      </c>
      <c r="E14034">
        <v>0</v>
      </c>
      <c r="F14034">
        <v>17.150500000000001</v>
      </c>
    </row>
    <row r="14035" spans="1:6" x14ac:dyDescent="0.25">
      <c r="A14035">
        <v>14034</v>
      </c>
      <c r="B14035">
        <v>45</v>
      </c>
      <c r="C14035">
        <v>0</v>
      </c>
      <c r="D14035">
        <v>0</v>
      </c>
      <c r="E14035">
        <v>0</v>
      </c>
      <c r="F14035">
        <v>516.654</v>
      </c>
    </row>
    <row r="14036" spans="1:6" x14ac:dyDescent="0.25">
      <c r="A14036">
        <v>14035</v>
      </c>
      <c r="B14036" t="s">
        <v>0</v>
      </c>
      <c r="C14036">
        <v>115</v>
      </c>
      <c r="D14036">
        <v>3503</v>
      </c>
      <c r="E14036">
        <v>80573328</v>
      </c>
    </row>
    <row r="14037" spans="1:6" x14ac:dyDescent="0.25">
      <c r="A14037">
        <v>14036</v>
      </c>
      <c r="B14037">
        <v>46</v>
      </c>
      <c r="C14037">
        <v>0</v>
      </c>
      <c r="D14037">
        <v>0</v>
      </c>
      <c r="E14037">
        <v>0</v>
      </c>
      <c r="F14037">
        <v>0</v>
      </c>
    </row>
    <row r="14038" spans="1:6" x14ac:dyDescent="0.25">
      <c r="A14038">
        <v>14037</v>
      </c>
      <c r="B14038">
        <v>2</v>
      </c>
      <c r="C14038">
        <v>0</v>
      </c>
      <c r="D14038">
        <v>0</v>
      </c>
      <c r="E14038">
        <v>0</v>
      </c>
      <c r="F14038">
        <v>241.81700000000001</v>
      </c>
    </row>
    <row r="14039" spans="1:6" x14ac:dyDescent="0.25">
      <c r="A14039">
        <v>14038</v>
      </c>
      <c r="B14039" t="s">
        <v>0</v>
      </c>
      <c r="C14039">
        <v>116</v>
      </c>
      <c r="D14039">
        <v>3503</v>
      </c>
      <c r="E14039">
        <v>80573465</v>
      </c>
    </row>
    <row r="14040" spans="1:6" x14ac:dyDescent="0.25">
      <c r="A14040">
        <v>14039</v>
      </c>
      <c r="B14040">
        <v>10</v>
      </c>
      <c r="C14040">
        <v>1</v>
      </c>
      <c r="D14040">
        <v>0</v>
      </c>
      <c r="E14040">
        <v>0</v>
      </c>
      <c r="F14040">
        <v>5133</v>
      </c>
    </row>
    <row r="14041" spans="1:6" x14ac:dyDescent="0.25">
      <c r="A14041">
        <v>14040</v>
      </c>
      <c r="B14041">
        <v>13</v>
      </c>
      <c r="C14041">
        <v>0</v>
      </c>
      <c r="D14041">
        <v>0</v>
      </c>
      <c r="E14041">
        <v>0</v>
      </c>
      <c r="F14041">
        <v>1612</v>
      </c>
    </row>
    <row r="14042" spans="1:6" x14ac:dyDescent="0.25">
      <c r="A14042">
        <v>14041</v>
      </c>
      <c r="B14042" t="s">
        <v>0</v>
      </c>
      <c r="C14042">
        <v>117</v>
      </c>
      <c r="D14042">
        <v>3503</v>
      </c>
      <c r="E14042">
        <v>80573603</v>
      </c>
    </row>
    <row r="14043" spans="1:6" x14ac:dyDescent="0.25">
      <c r="A14043">
        <v>14042</v>
      </c>
      <c r="B14043">
        <v>41</v>
      </c>
      <c r="C14043">
        <v>0</v>
      </c>
      <c r="D14043">
        <v>0</v>
      </c>
      <c r="E14043">
        <v>0</v>
      </c>
      <c r="F14043">
        <v>1</v>
      </c>
    </row>
    <row r="14044" spans="1:6" x14ac:dyDescent="0.25">
      <c r="A14044">
        <v>14043</v>
      </c>
      <c r="B14044">
        <v>42</v>
      </c>
      <c r="C14044">
        <v>0</v>
      </c>
      <c r="D14044">
        <v>0</v>
      </c>
      <c r="E14044">
        <v>0</v>
      </c>
      <c r="F14044">
        <v>0.2</v>
      </c>
    </row>
    <row r="14045" spans="1:6" x14ac:dyDescent="0.25">
      <c r="A14045">
        <v>14044</v>
      </c>
      <c r="B14045" t="s">
        <v>0</v>
      </c>
      <c r="C14045">
        <v>118</v>
      </c>
      <c r="D14045">
        <v>3503</v>
      </c>
      <c r="E14045">
        <v>80573740</v>
      </c>
    </row>
    <row r="14046" spans="1:6" x14ac:dyDescent="0.25">
      <c r="A14046">
        <v>14045</v>
      </c>
      <c r="B14046">
        <v>44</v>
      </c>
      <c r="C14046">
        <v>0</v>
      </c>
      <c r="D14046">
        <v>0</v>
      </c>
      <c r="E14046">
        <v>0</v>
      </c>
      <c r="F14046">
        <v>17.241700000000002</v>
      </c>
    </row>
    <row r="14047" spans="1:6" x14ac:dyDescent="0.25">
      <c r="A14047">
        <v>14046</v>
      </c>
      <c r="B14047" t="s">
        <v>0</v>
      </c>
      <c r="C14047">
        <v>119</v>
      </c>
      <c r="D14047">
        <v>3503</v>
      </c>
      <c r="E14047">
        <v>80573877</v>
      </c>
    </row>
    <row r="14048" spans="1:6" x14ac:dyDescent="0.25">
      <c r="A14048">
        <v>14047</v>
      </c>
      <c r="B14048">
        <v>46</v>
      </c>
      <c r="C14048">
        <v>0</v>
      </c>
      <c r="D14048">
        <v>0</v>
      </c>
      <c r="E14048">
        <v>0</v>
      </c>
      <c r="F14048">
        <v>0</v>
      </c>
    </row>
    <row r="14049" spans="1:6" x14ac:dyDescent="0.25">
      <c r="A14049">
        <v>14048</v>
      </c>
      <c r="B14049" t="s">
        <v>0</v>
      </c>
      <c r="C14049">
        <v>120</v>
      </c>
      <c r="D14049">
        <v>3503</v>
      </c>
      <c r="E14049">
        <v>80574014</v>
      </c>
    </row>
    <row r="14050" spans="1:6" x14ac:dyDescent="0.25">
      <c r="A14050">
        <v>14049</v>
      </c>
      <c r="B14050">
        <v>10</v>
      </c>
      <c r="C14050">
        <v>1</v>
      </c>
      <c r="D14050">
        <v>0</v>
      </c>
      <c r="E14050">
        <v>0</v>
      </c>
      <c r="F14050">
        <v>5133</v>
      </c>
    </row>
    <row r="14051" spans="1:6" x14ac:dyDescent="0.25">
      <c r="A14051">
        <v>14050</v>
      </c>
      <c r="B14051" t="s">
        <v>0</v>
      </c>
      <c r="C14051">
        <v>121</v>
      </c>
      <c r="D14051">
        <v>3503</v>
      </c>
      <c r="E14051">
        <v>80574152</v>
      </c>
    </row>
    <row r="14052" spans="1:6" x14ac:dyDescent="0.25">
      <c r="A14052">
        <v>14051</v>
      </c>
      <c r="B14052">
        <v>41</v>
      </c>
      <c r="C14052">
        <v>0</v>
      </c>
      <c r="D14052">
        <v>0</v>
      </c>
      <c r="E14052">
        <v>0</v>
      </c>
      <c r="F14052">
        <v>1</v>
      </c>
    </row>
    <row r="14053" spans="1:6" x14ac:dyDescent="0.25">
      <c r="A14053">
        <v>14052</v>
      </c>
      <c r="B14053" t="s">
        <v>0</v>
      </c>
      <c r="C14053">
        <v>122</v>
      </c>
      <c r="D14053">
        <v>3503</v>
      </c>
      <c r="E14053">
        <v>80574289</v>
      </c>
    </row>
    <row r="14054" spans="1:6" x14ac:dyDescent="0.25">
      <c r="A14054">
        <v>14053</v>
      </c>
      <c r="B14054">
        <v>43</v>
      </c>
      <c r="C14054">
        <v>0</v>
      </c>
      <c r="D14054">
        <v>0</v>
      </c>
      <c r="E14054">
        <v>0</v>
      </c>
      <c r="F14054">
        <v>0</v>
      </c>
    </row>
    <row r="14055" spans="1:6" x14ac:dyDescent="0.25">
      <c r="A14055">
        <v>14054</v>
      </c>
      <c r="B14055" t="s">
        <v>0</v>
      </c>
      <c r="C14055">
        <v>123</v>
      </c>
      <c r="D14055">
        <v>3503</v>
      </c>
      <c r="E14055">
        <v>80574426</v>
      </c>
    </row>
    <row r="14056" spans="1:6" x14ac:dyDescent="0.25">
      <c r="A14056">
        <v>14055</v>
      </c>
      <c r="B14056">
        <v>45</v>
      </c>
      <c r="C14056">
        <v>0</v>
      </c>
      <c r="D14056">
        <v>0</v>
      </c>
      <c r="E14056">
        <v>0</v>
      </c>
      <c r="F14056">
        <v>516.697</v>
      </c>
    </row>
    <row r="14057" spans="1:6" x14ac:dyDescent="0.25">
      <c r="A14057">
        <v>14056</v>
      </c>
      <c r="B14057">
        <v>46</v>
      </c>
      <c r="C14057">
        <v>0</v>
      </c>
      <c r="D14057">
        <v>0</v>
      </c>
      <c r="E14057">
        <v>0</v>
      </c>
      <c r="F14057">
        <v>0</v>
      </c>
    </row>
    <row r="14058" spans="1:6" x14ac:dyDescent="0.25">
      <c r="A14058">
        <v>14057</v>
      </c>
      <c r="B14058">
        <v>2</v>
      </c>
      <c r="C14058">
        <v>0</v>
      </c>
      <c r="D14058">
        <v>0</v>
      </c>
      <c r="E14058">
        <v>0</v>
      </c>
      <c r="F14058">
        <v>241.928</v>
      </c>
    </row>
    <row r="14059" spans="1:6" x14ac:dyDescent="0.25">
      <c r="A14059">
        <v>14058</v>
      </c>
      <c r="B14059">
        <v>10</v>
      </c>
      <c r="C14059">
        <v>1</v>
      </c>
      <c r="D14059">
        <v>0</v>
      </c>
      <c r="E14059">
        <v>0</v>
      </c>
      <c r="F14059">
        <v>5132</v>
      </c>
    </row>
    <row r="14060" spans="1:6" x14ac:dyDescent="0.25">
      <c r="A14060">
        <v>14059</v>
      </c>
      <c r="B14060">
        <v>13</v>
      </c>
      <c r="C14060">
        <v>0</v>
      </c>
      <c r="D14060">
        <v>0</v>
      </c>
      <c r="E14060">
        <v>0</v>
      </c>
      <c r="F14060">
        <v>1612</v>
      </c>
    </row>
    <row r="14061" spans="1:6" x14ac:dyDescent="0.25">
      <c r="A14061">
        <v>14060</v>
      </c>
      <c r="B14061">
        <v>41</v>
      </c>
      <c r="C14061">
        <v>0</v>
      </c>
      <c r="D14061">
        <v>0</v>
      </c>
      <c r="E14061">
        <v>0</v>
      </c>
      <c r="F14061">
        <v>1</v>
      </c>
    </row>
    <row r="14062" spans="1:6" x14ac:dyDescent="0.25">
      <c r="A14062">
        <v>14061</v>
      </c>
      <c r="B14062">
        <v>42</v>
      </c>
      <c r="C14062">
        <v>0</v>
      </c>
      <c r="D14062">
        <v>0</v>
      </c>
      <c r="E14062">
        <v>0</v>
      </c>
      <c r="F14062">
        <v>0.2</v>
      </c>
    </row>
    <row r="14063" spans="1:6" x14ac:dyDescent="0.25">
      <c r="A14063">
        <v>14062</v>
      </c>
      <c r="B14063">
        <v>43</v>
      </c>
      <c r="C14063">
        <v>0</v>
      </c>
      <c r="D14063">
        <v>0</v>
      </c>
      <c r="E14063">
        <v>0</v>
      </c>
      <c r="F14063">
        <v>0</v>
      </c>
    </row>
    <row r="14064" spans="1:6" x14ac:dyDescent="0.25">
      <c r="A14064">
        <v>14063</v>
      </c>
      <c r="B14064">
        <v>44</v>
      </c>
      <c r="C14064">
        <v>0</v>
      </c>
      <c r="D14064">
        <v>0</v>
      </c>
      <c r="E14064">
        <v>0</v>
      </c>
      <c r="F14064">
        <v>17.446100000000001</v>
      </c>
    </row>
    <row r="14065" spans="1:6" x14ac:dyDescent="0.25">
      <c r="A14065">
        <v>14064</v>
      </c>
      <c r="B14065">
        <v>45</v>
      </c>
      <c r="C14065">
        <v>0</v>
      </c>
      <c r="D14065">
        <v>0</v>
      </c>
      <c r="E14065">
        <v>0</v>
      </c>
      <c r="F14065">
        <v>516.71600000000001</v>
      </c>
    </row>
    <row r="14066" spans="1:6" x14ac:dyDescent="0.25">
      <c r="A14066">
        <v>14065</v>
      </c>
      <c r="B14066">
        <v>46</v>
      </c>
      <c r="C14066">
        <v>0</v>
      </c>
      <c r="D14066">
        <v>0</v>
      </c>
      <c r="E14066">
        <v>0</v>
      </c>
      <c r="F14066">
        <v>0</v>
      </c>
    </row>
    <row r="14067" spans="1:6" x14ac:dyDescent="0.25">
      <c r="A14067">
        <v>14066</v>
      </c>
      <c r="B14067">
        <v>2</v>
      </c>
      <c r="C14067">
        <v>0</v>
      </c>
      <c r="D14067">
        <v>0</v>
      </c>
      <c r="E14067">
        <v>0</v>
      </c>
      <c r="F14067">
        <v>241.94900000000001</v>
      </c>
    </row>
    <row r="14068" spans="1:6" x14ac:dyDescent="0.25">
      <c r="A14068">
        <v>14067</v>
      </c>
      <c r="B14068">
        <v>10</v>
      </c>
      <c r="C14068">
        <v>1</v>
      </c>
      <c r="D14068">
        <v>0</v>
      </c>
      <c r="E14068">
        <v>0</v>
      </c>
      <c r="F14068">
        <v>5133</v>
      </c>
    </row>
    <row r="14069" spans="1:6" x14ac:dyDescent="0.25">
      <c r="A14069">
        <v>14068</v>
      </c>
      <c r="B14069">
        <v>13</v>
      </c>
      <c r="C14069">
        <v>0</v>
      </c>
      <c r="D14069">
        <v>0</v>
      </c>
      <c r="E14069">
        <v>0</v>
      </c>
      <c r="F14069">
        <v>1612</v>
      </c>
    </row>
    <row r="14070" spans="1:6" x14ac:dyDescent="0.25">
      <c r="A14070">
        <v>14069</v>
      </c>
      <c r="B14070" t="s">
        <v>0</v>
      </c>
      <c r="C14070">
        <v>130</v>
      </c>
      <c r="D14070">
        <v>3503</v>
      </c>
      <c r="E14070">
        <v>80575386</v>
      </c>
    </row>
    <row r="14071" spans="1:6" x14ac:dyDescent="0.25">
      <c r="A14071">
        <v>14070</v>
      </c>
      <c r="B14071">
        <v>41</v>
      </c>
      <c r="C14071">
        <v>0</v>
      </c>
      <c r="D14071">
        <v>0</v>
      </c>
      <c r="E14071">
        <v>0</v>
      </c>
      <c r="F14071">
        <v>1</v>
      </c>
    </row>
    <row r="14072" spans="1:6" x14ac:dyDescent="0.25">
      <c r="A14072">
        <v>14071</v>
      </c>
      <c r="B14072">
        <v>42</v>
      </c>
      <c r="C14072">
        <v>0</v>
      </c>
      <c r="D14072">
        <v>0</v>
      </c>
      <c r="E14072">
        <v>0</v>
      </c>
      <c r="F14072">
        <v>0.2</v>
      </c>
    </row>
    <row r="14073" spans="1:6" x14ac:dyDescent="0.25">
      <c r="A14073">
        <v>14072</v>
      </c>
      <c r="B14073" t="s">
        <v>0</v>
      </c>
      <c r="C14073">
        <v>131</v>
      </c>
      <c r="D14073">
        <v>3503</v>
      </c>
      <c r="E14073">
        <v>80575523</v>
      </c>
    </row>
    <row r="14074" spans="1:6" x14ac:dyDescent="0.25">
      <c r="A14074">
        <v>14073</v>
      </c>
      <c r="B14074">
        <v>43</v>
      </c>
      <c r="C14074">
        <v>0</v>
      </c>
      <c r="D14074">
        <v>0</v>
      </c>
      <c r="E14074">
        <v>0</v>
      </c>
      <c r="F14074">
        <v>0</v>
      </c>
    </row>
    <row r="14075" spans="1:6" x14ac:dyDescent="0.25">
      <c r="A14075">
        <v>14074</v>
      </c>
      <c r="B14075">
        <v>44</v>
      </c>
      <c r="C14075">
        <v>0</v>
      </c>
      <c r="D14075">
        <v>0</v>
      </c>
      <c r="E14075">
        <v>0</v>
      </c>
      <c r="F14075">
        <v>17.572700000000001</v>
      </c>
    </row>
    <row r="14076" spans="1:6" x14ac:dyDescent="0.25">
      <c r="A14076">
        <v>14075</v>
      </c>
      <c r="B14076" t="s">
        <v>0</v>
      </c>
      <c r="C14076">
        <v>132</v>
      </c>
      <c r="D14076">
        <v>3503</v>
      </c>
      <c r="E14076">
        <v>80575661</v>
      </c>
    </row>
    <row r="14077" spans="1:6" x14ac:dyDescent="0.25">
      <c r="A14077">
        <v>14076</v>
      </c>
      <c r="B14077">
        <v>45</v>
      </c>
      <c r="C14077">
        <v>0</v>
      </c>
      <c r="D14077">
        <v>0</v>
      </c>
      <c r="E14077">
        <v>0</v>
      </c>
      <c r="F14077">
        <v>516.74</v>
      </c>
    </row>
    <row r="14078" spans="1:6" x14ac:dyDescent="0.25">
      <c r="A14078">
        <v>14077</v>
      </c>
      <c r="B14078">
        <v>46</v>
      </c>
      <c r="C14078">
        <v>0</v>
      </c>
      <c r="D14078">
        <v>0</v>
      </c>
      <c r="E14078">
        <v>0</v>
      </c>
      <c r="F14078">
        <v>0</v>
      </c>
    </row>
    <row r="14079" spans="1:6" x14ac:dyDescent="0.25">
      <c r="A14079">
        <v>14078</v>
      </c>
      <c r="B14079" t="s">
        <v>0</v>
      </c>
      <c r="C14079">
        <v>133</v>
      </c>
      <c r="D14079">
        <v>3503</v>
      </c>
      <c r="E14079">
        <v>80575798</v>
      </c>
    </row>
    <row r="14080" spans="1:6" x14ac:dyDescent="0.25">
      <c r="A14080">
        <v>14079</v>
      </c>
      <c r="B14080">
        <v>2</v>
      </c>
      <c r="C14080">
        <v>0</v>
      </c>
      <c r="D14080">
        <v>0</v>
      </c>
      <c r="E14080">
        <v>0</v>
      </c>
      <c r="F14080">
        <v>241.999</v>
      </c>
    </row>
    <row r="14081" spans="1:6" x14ac:dyDescent="0.25">
      <c r="A14081">
        <v>14080</v>
      </c>
      <c r="B14081">
        <v>10</v>
      </c>
      <c r="C14081">
        <v>1</v>
      </c>
      <c r="D14081">
        <v>0</v>
      </c>
      <c r="E14081">
        <v>0</v>
      </c>
      <c r="F14081">
        <v>5132</v>
      </c>
    </row>
    <row r="14082" spans="1:6" x14ac:dyDescent="0.25">
      <c r="A14082">
        <v>14081</v>
      </c>
      <c r="B14082" t="s">
        <v>0</v>
      </c>
      <c r="C14082">
        <v>134</v>
      </c>
      <c r="D14082">
        <v>3503</v>
      </c>
      <c r="E14082">
        <v>80575935</v>
      </c>
    </row>
    <row r="14083" spans="1:6" x14ac:dyDescent="0.25">
      <c r="A14083">
        <v>14082</v>
      </c>
      <c r="B14083">
        <v>13</v>
      </c>
      <c r="C14083">
        <v>0</v>
      </c>
      <c r="D14083">
        <v>0</v>
      </c>
      <c r="E14083">
        <v>0</v>
      </c>
      <c r="F14083">
        <v>1612</v>
      </c>
    </row>
    <row r="14084" spans="1:6" x14ac:dyDescent="0.25">
      <c r="A14084">
        <v>14083</v>
      </c>
      <c r="B14084">
        <v>41</v>
      </c>
      <c r="C14084">
        <v>0</v>
      </c>
      <c r="D14084">
        <v>0</v>
      </c>
      <c r="E14084">
        <v>0</v>
      </c>
      <c r="F14084">
        <v>1</v>
      </c>
    </row>
    <row r="14085" spans="1:6" x14ac:dyDescent="0.25">
      <c r="A14085">
        <v>14084</v>
      </c>
      <c r="B14085" t="s">
        <v>0</v>
      </c>
      <c r="C14085">
        <v>135</v>
      </c>
      <c r="D14085">
        <v>3503</v>
      </c>
      <c r="E14085">
        <v>80576072</v>
      </c>
    </row>
    <row r="14086" spans="1:6" x14ac:dyDescent="0.25">
      <c r="A14086">
        <v>14085</v>
      </c>
      <c r="B14086">
        <v>43</v>
      </c>
      <c r="C14086">
        <v>0</v>
      </c>
      <c r="D14086">
        <v>0</v>
      </c>
      <c r="E14086">
        <v>0</v>
      </c>
      <c r="F14086">
        <v>0</v>
      </c>
    </row>
    <row r="14087" spans="1:6" x14ac:dyDescent="0.25">
      <c r="A14087">
        <v>14086</v>
      </c>
      <c r="B14087" t="s">
        <v>0</v>
      </c>
      <c r="C14087">
        <v>136</v>
      </c>
      <c r="D14087">
        <v>3503</v>
      </c>
      <c r="E14087">
        <v>80576210</v>
      </c>
    </row>
    <row r="14088" spans="1:6" x14ac:dyDescent="0.25">
      <c r="A14088">
        <v>14087</v>
      </c>
      <c r="B14088">
        <v>45</v>
      </c>
      <c r="C14088">
        <v>0</v>
      </c>
      <c r="D14088">
        <v>0</v>
      </c>
      <c r="E14088">
        <v>0</v>
      </c>
      <c r="F14088">
        <v>516.76</v>
      </c>
    </row>
    <row r="14089" spans="1:6" x14ac:dyDescent="0.25">
      <c r="A14089">
        <v>14088</v>
      </c>
      <c r="B14089" t="s">
        <v>0</v>
      </c>
      <c r="C14089">
        <v>137</v>
      </c>
      <c r="D14089">
        <v>3503</v>
      </c>
      <c r="E14089">
        <v>80576347</v>
      </c>
    </row>
    <row r="14090" spans="1:6" x14ac:dyDescent="0.25">
      <c r="A14090">
        <v>14089</v>
      </c>
      <c r="B14090">
        <v>2</v>
      </c>
      <c r="C14090">
        <v>0</v>
      </c>
      <c r="D14090">
        <v>0</v>
      </c>
      <c r="E14090">
        <v>0</v>
      </c>
      <c r="F14090">
        <v>242.018</v>
      </c>
    </row>
    <row r="14091" spans="1:6" x14ac:dyDescent="0.25">
      <c r="A14091">
        <v>14090</v>
      </c>
      <c r="B14091" t="s">
        <v>0</v>
      </c>
      <c r="C14091">
        <v>138</v>
      </c>
      <c r="D14091">
        <v>3503</v>
      </c>
      <c r="E14091">
        <v>80576484</v>
      </c>
    </row>
    <row r="14092" spans="1:6" x14ac:dyDescent="0.25">
      <c r="A14092">
        <v>14091</v>
      </c>
      <c r="B14092">
        <v>13</v>
      </c>
      <c r="C14092">
        <v>0</v>
      </c>
      <c r="D14092">
        <v>0</v>
      </c>
      <c r="E14092">
        <v>0</v>
      </c>
      <c r="F14092">
        <v>1612</v>
      </c>
    </row>
    <row r="14093" spans="1:6" x14ac:dyDescent="0.25">
      <c r="A14093">
        <v>14092</v>
      </c>
      <c r="B14093" t="s">
        <v>0</v>
      </c>
      <c r="C14093">
        <v>139</v>
      </c>
      <c r="D14093">
        <v>3503</v>
      </c>
      <c r="E14093">
        <v>80576621</v>
      </c>
    </row>
    <row r="14094" spans="1:6" x14ac:dyDescent="0.25">
      <c r="A14094">
        <v>14093</v>
      </c>
      <c r="B14094">
        <v>42</v>
      </c>
      <c r="C14094">
        <v>0</v>
      </c>
      <c r="D14094">
        <v>0</v>
      </c>
      <c r="E14094">
        <v>0</v>
      </c>
      <c r="F14094">
        <v>0.2</v>
      </c>
    </row>
    <row r="14095" spans="1:6" x14ac:dyDescent="0.25">
      <c r="A14095">
        <v>14094</v>
      </c>
      <c r="B14095">
        <v>43</v>
      </c>
      <c r="C14095">
        <v>0</v>
      </c>
      <c r="D14095">
        <v>0</v>
      </c>
      <c r="E14095">
        <v>0</v>
      </c>
      <c r="F14095">
        <v>0</v>
      </c>
    </row>
    <row r="14096" spans="1:6" x14ac:dyDescent="0.25">
      <c r="A14096">
        <v>14095</v>
      </c>
      <c r="B14096">
        <v>44</v>
      </c>
      <c r="C14096">
        <v>0</v>
      </c>
      <c r="D14096">
        <v>0</v>
      </c>
      <c r="E14096">
        <v>0</v>
      </c>
      <c r="F14096">
        <v>17.815899999999999</v>
      </c>
    </row>
    <row r="14097" spans="1:6" x14ac:dyDescent="0.25">
      <c r="A14097">
        <v>14096</v>
      </c>
      <c r="B14097">
        <v>45</v>
      </c>
      <c r="C14097">
        <v>0</v>
      </c>
      <c r="D14097">
        <v>0</v>
      </c>
      <c r="E14097">
        <v>0</v>
      </c>
      <c r="F14097">
        <v>516.779</v>
      </c>
    </row>
    <row r="14098" spans="1:6" x14ac:dyDescent="0.25">
      <c r="A14098">
        <v>14097</v>
      </c>
      <c r="B14098">
        <v>46</v>
      </c>
      <c r="C14098">
        <v>0</v>
      </c>
      <c r="D14098">
        <v>0</v>
      </c>
      <c r="E14098">
        <v>0</v>
      </c>
      <c r="F14098">
        <v>0</v>
      </c>
    </row>
    <row r="14099" spans="1:6" x14ac:dyDescent="0.25">
      <c r="A14099">
        <v>14098</v>
      </c>
      <c r="B14099">
        <v>2</v>
      </c>
      <c r="C14099">
        <v>0</v>
      </c>
      <c r="D14099">
        <v>0</v>
      </c>
      <c r="E14099">
        <v>0</v>
      </c>
      <c r="F14099">
        <v>242.03899999999999</v>
      </c>
    </row>
    <row r="14100" spans="1:6" x14ac:dyDescent="0.25">
      <c r="A14100">
        <v>14099</v>
      </c>
      <c r="B14100">
        <v>10</v>
      </c>
      <c r="C14100">
        <v>1</v>
      </c>
      <c r="D14100">
        <v>0</v>
      </c>
      <c r="E14100">
        <v>0</v>
      </c>
      <c r="F14100">
        <v>5133</v>
      </c>
    </row>
    <row r="14101" spans="1:6" x14ac:dyDescent="0.25">
      <c r="A14101">
        <v>14100</v>
      </c>
      <c r="B14101">
        <v>13</v>
      </c>
      <c r="C14101">
        <v>0</v>
      </c>
      <c r="D14101">
        <v>0</v>
      </c>
      <c r="E14101">
        <v>0</v>
      </c>
      <c r="F14101">
        <v>1612</v>
      </c>
    </row>
    <row r="14102" spans="1:6" x14ac:dyDescent="0.25">
      <c r="A14102">
        <v>14101</v>
      </c>
      <c r="B14102">
        <v>41</v>
      </c>
      <c r="C14102">
        <v>0</v>
      </c>
      <c r="D14102">
        <v>0</v>
      </c>
      <c r="E14102">
        <v>0</v>
      </c>
      <c r="F14102">
        <v>1</v>
      </c>
    </row>
    <row r="14103" spans="1:6" x14ac:dyDescent="0.25">
      <c r="A14103">
        <v>14102</v>
      </c>
      <c r="B14103">
        <v>42</v>
      </c>
      <c r="C14103">
        <v>0</v>
      </c>
      <c r="D14103">
        <v>0</v>
      </c>
      <c r="E14103">
        <v>0</v>
      </c>
      <c r="F14103">
        <v>0.2</v>
      </c>
    </row>
    <row r="14104" spans="1:6" x14ac:dyDescent="0.25">
      <c r="A14104">
        <v>14103</v>
      </c>
      <c r="B14104">
        <v>43</v>
      </c>
      <c r="C14104">
        <v>0</v>
      </c>
      <c r="D14104">
        <v>0</v>
      </c>
      <c r="E14104">
        <v>0</v>
      </c>
      <c r="F14104">
        <v>0</v>
      </c>
    </row>
    <row r="14105" spans="1:6" x14ac:dyDescent="0.25">
      <c r="A14105">
        <v>14104</v>
      </c>
      <c r="B14105">
        <v>44</v>
      </c>
      <c r="C14105">
        <v>0</v>
      </c>
      <c r="D14105">
        <v>0</v>
      </c>
      <c r="E14105">
        <v>0</v>
      </c>
      <c r="F14105">
        <v>17.950099999999999</v>
      </c>
    </row>
    <row r="14106" spans="1:6" x14ac:dyDescent="0.25">
      <c r="A14106">
        <v>14105</v>
      </c>
      <c r="B14106">
        <v>45</v>
      </c>
      <c r="C14106">
        <v>0</v>
      </c>
      <c r="D14106">
        <v>0</v>
      </c>
      <c r="E14106">
        <v>0</v>
      </c>
      <c r="F14106">
        <v>516.80399999999997</v>
      </c>
    </row>
    <row r="14107" spans="1:6" x14ac:dyDescent="0.25">
      <c r="A14107">
        <v>14106</v>
      </c>
      <c r="B14107">
        <v>46</v>
      </c>
      <c r="C14107">
        <v>0</v>
      </c>
      <c r="D14107">
        <v>0</v>
      </c>
      <c r="E14107">
        <v>0</v>
      </c>
      <c r="F14107">
        <v>0</v>
      </c>
    </row>
    <row r="14108" spans="1:6" x14ac:dyDescent="0.25">
      <c r="A14108">
        <v>14107</v>
      </c>
      <c r="B14108" t="s">
        <v>0</v>
      </c>
      <c r="C14108">
        <v>146</v>
      </c>
      <c r="D14108">
        <v>3503</v>
      </c>
      <c r="E14108">
        <v>80577581</v>
      </c>
    </row>
    <row r="14109" spans="1:6" x14ac:dyDescent="0.25">
      <c r="A14109">
        <v>14108</v>
      </c>
      <c r="B14109">
        <v>2</v>
      </c>
      <c r="C14109">
        <v>0</v>
      </c>
      <c r="D14109">
        <v>0</v>
      </c>
      <c r="E14109">
        <v>0</v>
      </c>
      <c r="F14109">
        <v>242.05699999999999</v>
      </c>
    </row>
    <row r="14110" spans="1:6" x14ac:dyDescent="0.25">
      <c r="A14110">
        <v>14109</v>
      </c>
      <c r="B14110">
        <v>10</v>
      </c>
      <c r="C14110">
        <v>1</v>
      </c>
      <c r="D14110">
        <v>0</v>
      </c>
      <c r="E14110">
        <v>0</v>
      </c>
      <c r="F14110">
        <v>5134</v>
      </c>
    </row>
    <row r="14111" spans="1:6" x14ac:dyDescent="0.25">
      <c r="A14111">
        <v>14110</v>
      </c>
      <c r="B14111" t="s">
        <v>0</v>
      </c>
      <c r="C14111">
        <v>147</v>
      </c>
      <c r="D14111">
        <v>3503</v>
      </c>
      <c r="E14111">
        <v>80577719</v>
      </c>
    </row>
    <row r="14112" spans="1:6" x14ac:dyDescent="0.25">
      <c r="A14112">
        <v>14111</v>
      </c>
      <c r="B14112">
        <v>13</v>
      </c>
      <c r="C14112">
        <v>0</v>
      </c>
      <c r="D14112">
        <v>0</v>
      </c>
      <c r="E14112">
        <v>0</v>
      </c>
      <c r="F14112">
        <v>1612</v>
      </c>
    </row>
    <row r="14113" spans="1:6" x14ac:dyDescent="0.25">
      <c r="A14113">
        <v>14112</v>
      </c>
      <c r="B14113">
        <v>41</v>
      </c>
      <c r="C14113">
        <v>0</v>
      </c>
      <c r="D14113">
        <v>0</v>
      </c>
      <c r="E14113">
        <v>0</v>
      </c>
      <c r="F14113">
        <v>1</v>
      </c>
    </row>
    <row r="14114" spans="1:6" x14ac:dyDescent="0.25">
      <c r="A14114">
        <v>14113</v>
      </c>
      <c r="B14114" t="s">
        <v>0</v>
      </c>
      <c r="C14114">
        <v>148</v>
      </c>
      <c r="D14114">
        <v>3503</v>
      </c>
      <c r="E14114">
        <v>80577856</v>
      </c>
    </row>
    <row r="14115" spans="1:6" x14ac:dyDescent="0.25">
      <c r="A14115">
        <v>14114</v>
      </c>
      <c r="B14115">
        <v>42</v>
      </c>
      <c r="C14115">
        <v>0</v>
      </c>
      <c r="D14115">
        <v>0</v>
      </c>
      <c r="E14115">
        <v>0</v>
      </c>
      <c r="F14115">
        <v>0.2</v>
      </c>
    </row>
    <row r="14116" spans="1:6" x14ac:dyDescent="0.25">
      <c r="A14116">
        <v>14115</v>
      </c>
      <c r="B14116">
        <v>43</v>
      </c>
      <c r="C14116">
        <v>0</v>
      </c>
      <c r="D14116">
        <v>0</v>
      </c>
      <c r="E14116">
        <v>0</v>
      </c>
      <c r="F14116">
        <v>0</v>
      </c>
    </row>
    <row r="14117" spans="1:6" x14ac:dyDescent="0.25">
      <c r="A14117">
        <v>14116</v>
      </c>
      <c r="B14117" t="s">
        <v>0</v>
      </c>
      <c r="C14117">
        <v>149</v>
      </c>
      <c r="D14117">
        <v>3503</v>
      </c>
      <c r="E14117">
        <v>80577993</v>
      </c>
    </row>
    <row r="14118" spans="1:6" x14ac:dyDescent="0.25">
      <c r="A14118">
        <v>14117</v>
      </c>
      <c r="B14118">
        <v>44</v>
      </c>
      <c r="C14118">
        <v>0</v>
      </c>
      <c r="D14118">
        <v>0</v>
      </c>
      <c r="E14118">
        <v>0</v>
      </c>
      <c r="F14118">
        <v>18.085000000000001</v>
      </c>
    </row>
    <row r="14119" spans="1:6" x14ac:dyDescent="0.25">
      <c r="A14119">
        <v>14118</v>
      </c>
      <c r="B14119">
        <v>45</v>
      </c>
      <c r="C14119">
        <v>0</v>
      </c>
      <c r="D14119">
        <v>0</v>
      </c>
      <c r="E14119">
        <v>0</v>
      </c>
      <c r="F14119">
        <v>516.82399999999996</v>
      </c>
    </row>
    <row r="14120" spans="1:6" x14ac:dyDescent="0.25">
      <c r="A14120">
        <v>14119</v>
      </c>
      <c r="B14120" t="s">
        <v>0</v>
      </c>
      <c r="C14120">
        <v>150</v>
      </c>
      <c r="D14120">
        <v>3503</v>
      </c>
      <c r="E14120">
        <v>80578130</v>
      </c>
    </row>
    <row r="14121" spans="1:6" x14ac:dyDescent="0.25">
      <c r="A14121">
        <v>14120</v>
      </c>
      <c r="B14121">
        <v>46</v>
      </c>
      <c r="C14121">
        <v>0</v>
      </c>
      <c r="D14121">
        <v>0</v>
      </c>
      <c r="E14121">
        <v>0</v>
      </c>
      <c r="F14121">
        <v>0</v>
      </c>
    </row>
    <row r="14122" spans="1:6" x14ac:dyDescent="0.25">
      <c r="A14122">
        <v>14121</v>
      </c>
      <c r="B14122">
        <v>2</v>
      </c>
      <c r="C14122">
        <v>0</v>
      </c>
      <c r="D14122">
        <v>0</v>
      </c>
      <c r="E14122">
        <v>0</v>
      </c>
      <c r="F14122">
        <v>242.06899999999999</v>
      </c>
    </row>
    <row r="14123" spans="1:6" x14ac:dyDescent="0.25">
      <c r="A14123">
        <v>14122</v>
      </c>
      <c r="B14123" t="s">
        <v>0</v>
      </c>
      <c r="C14123">
        <v>151</v>
      </c>
      <c r="D14123">
        <v>3503</v>
      </c>
      <c r="E14123">
        <v>80578267</v>
      </c>
    </row>
    <row r="14124" spans="1:6" x14ac:dyDescent="0.25">
      <c r="A14124">
        <v>14123</v>
      </c>
      <c r="B14124">
        <v>13</v>
      </c>
      <c r="C14124">
        <v>0</v>
      </c>
      <c r="D14124">
        <v>0</v>
      </c>
      <c r="E14124">
        <v>0</v>
      </c>
      <c r="F14124">
        <v>1612</v>
      </c>
    </row>
    <row r="14125" spans="1:6" x14ac:dyDescent="0.25">
      <c r="A14125">
        <v>14124</v>
      </c>
      <c r="B14125" t="s">
        <v>0</v>
      </c>
      <c r="C14125">
        <v>152</v>
      </c>
      <c r="D14125">
        <v>3503</v>
      </c>
      <c r="E14125">
        <v>80578404</v>
      </c>
    </row>
    <row r="14126" spans="1:6" x14ac:dyDescent="0.25">
      <c r="A14126">
        <v>14125</v>
      </c>
      <c r="B14126">
        <v>42</v>
      </c>
      <c r="C14126">
        <v>0</v>
      </c>
      <c r="D14126">
        <v>0</v>
      </c>
      <c r="E14126">
        <v>0</v>
      </c>
      <c r="F14126">
        <v>0.2</v>
      </c>
    </row>
    <row r="14127" spans="1:6" x14ac:dyDescent="0.25">
      <c r="A14127">
        <v>14126</v>
      </c>
      <c r="B14127" t="s">
        <v>0</v>
      </c>
      <c r="C14127">
        <v>153</v>
      </c>
      <c r="D14127">
        <v>3503</v>
      </c>
      <c r="E14127">
        <v>80578541</v>
      </c>
    </row>
    <row r="14128" spans="1:6" x14ac:dyDescent="0.25">
      <c r="A14128">
        <v>14127</v>
      </c>
      <c r="B14128">
        <v>44</v>
      </c>
      <c r="C14128">
        <v>0</v>
      </c>
      <c r="D14128">
        <v>0</v>
      </c>
      <c r="E14128">
        <v>0</v>
      </c>
      <c r="F14128">
        <v>18.2254</v>
      </c>
    </row>
    <row r="14129" spans="1:6" x14ac:dyDescent="0.25">
      <c r="A14129">
        <v>14128</v>
      </c>
      <c r="B14129" t="s">
        <v>0</v>
      </c>
      <c r="C14129">
        <v>154</v>
      </c>
      <c r="D14129">
        <v>3503</v>
      </c>
      <c r="E14129">
        <v>80578679</v>
      </c>
    </row>
    <row r="14130" spans="1:6" x14ac:dyDescent="0.25">
      <c r="A14130">
        <v>14129</v>
      </c>
      <c r="B14130">
        <v>46</v>
      </c>
      <c r="C14130">
        <v>0</v>
      </c>
      <c r="D14130">
        <v>0</v>
      </c>
      <c r="E14130">
        <v>0</v>
      </c>
      <c r="F14130">
        <v>0</v>
      </c>
    </row>
    <row r="14131" spans="1:6" x14ac:dyDescent="0.25">
      <c r="A14131">
        <v>14130</v>
      </c>
      <c r="B14131" t="s">
        <v>0</v>
      </c>
      <c r="C14131">
        <v>155</v>
      </c>
      <c r="D14131">
        <v>3503</v>
      </c>
      <c r="E14131">
        <v>80578816</v>
      </c>
    </row>
    <row r="14132" spans="1:6" x14ac:dyDescent="0.25">
      <c r="A14132">
        <v>14131</v>
      </c>
      <c r="B14132">
        <v>10</v>
      </c>
      <c r="C14132">
        <v>1</v>
      </c>
      <c r="D14132">
        <v>0</v>
      </c>
      <c r="E14132">
        <v>0</v>
      </c>
      <c r="F14132">
        <v>5135</v>
      </c>
    </row>
    <row r="14133" spans="1:6" x14ac:dyDescent="0.25">
      <c r="A14133">
        <v>14132</v>
      </c>
      <c r="B14133" t="s">
        <v>0</v>
      </c>
      <c r="C14133">
        <v>156</v>
      </c>
      <c r="D14133">
        <v>3503</v>
      </c>
      <c r="E14133">
        <v>80578953</v>
      </c>
    </row>
    <row r="14134" spans="1:6" x14ac:dyDescent="0.25">
      <c r="A14134">
        <v>14133</v>
      </c>
      <c r="B14134">
        <v>13</v>
      </c>
      <c r="C14134">
        <v>0</v>
      </c>
      <c r="D14134">
        <v>0</v>
      </c>
      <c r="E14134">
        <v>0</v>
      </c>
      <c r="F14134">
        <v>1612</v>
      </c>
    </row>
    <row r="14135" spans="1:6" x14ac:dyDescent="0.25">
      <c r="A14135">
        <v>14134</v>
      </c>
      <c r="B14135">
        <v>41</v>
      </c>
      <c r="C14135">
        <v>0</v>
      </c>
      <c r="D14135">
        <v>0</v>
      </c>
      <c r="E14135">
        <v>0</v>
      </c>
      <c r="F14135">
        <v>1</v>
      </c>
    </row>
    <row r="14136" spans="1:6" x14ac:dyDescent="0.25">
      <c r="A14136">
        <v>14135</v>
      </c>
      <c r="B14136">
        <v>42</v>
      </c>
      <c r="C14136">
        <v>0</v>
      </c>
      <c r="D14136">
        <v>0</v>
      </c>
      <c r="E14136">
        <v>0</v>
      </c>
      <c r="F14136">
        <v>0.2</v>
      </c>
    </row>
    <row r="14137" spans="1:6" x14ac:dyDescent="0.25">
      <c r="A14137">
        <v>14136</v>
      </c>
      <c r="B14137">
        <v>43</v>
      </c>
      <c r="C14137">
        <v>0</v>
      </c>
      <c r="D14137">
        <v>0</v>
      </c>
      <c r="E14137">
        <v>0</v>
      </c>
      <c r="F14137">
        <v>0</v>
      </c>
    </row>
    <row r="14138" spans="1:6" x14ac:dyDescent="0.25">
      <c r="A14138">
        <v>14137</v>
      </c>
      <c r="B14138">
        <v>44</v>
      </c>
      <c r="C14138">
        <v>0</v>
      </c>
      <c r="D14138">
        <v>0</v>
      </c>
      <c r="E14138">
        <v>0</v>
      </c>
      <c r="F14138">
        <v>18.390799999999999</v>
      </c>
    </row>
    <row r="14139" spans="1:6" x14ac:dyDescent="0.25">
      <c r="A14139">
        <v>14138</v>
      </c>
      <c r="B14139">
        <v>45</v>
      </c>
      <c r="C14139">
        <v>0</v>
      </c>
      <c r="D14139">
        <v>0</v>
      </c>
      <c r="E14139">
        <v>0</v>
      </c>
      <c r="F14139">
        <v>516.86900000000003</v>
      </c>
    </row>
    <row r="14140" spans="1:6" x14ac:dyDescent="0.25">
      <c r="A14140">
        <v>14139</v>
      </c>
      <c r="B14140">
        <v>46</v>
      </c>
      <c r="C14140">
        <v>0</v>
      </c>
      <c r="D14140">
        <v>0</v>
      </c>
      <c r="E14140">
        <v>0</v>
      </c>
      <c r="F14140">
        <v>0</v>
      </c>
    </row>
    <row r="14141" spans="1:6" x14ac:dyDescent="0.25">
      <c r="A14141">
        <v>14140</v>
      </c>
      <c r="B14141">
        <v>2</v>
      </c>
      <c r="C14141">
        <v>0</v>
      </c>
      <c r="D14141">
        <v>0</v>
      </c>
      <c r="E14141">
        <v>0</v>
      </c>
      <c r="F14141">
        <v>242.08699999999999</v>
      </c>
    </row>
    <row r="14142" spans="1:6" x14ac:dyDescent="0.25">
      <c r="A14142">
        <v>14141</v>
      </c>
      <c r="B14142">
        <v>10</v>
      </c>
      <c r="C14142">
        <v>1</v>
      </c>
      <c r="D14142">
        <v>0</v>
      </c>
      <c r="E14142">
        <v>0</v>
      </c>
      <c r="F14142">
        <v>5136</v>
      </c>
    </row>
    <row r="14143" spans="1:6" x14ac:dyDescent="0.25">
      <c r="A14143">
        <v>14142</v>
      </c>
      <c r="B14143">
        <v>13</v>
      </c>
      <c r="C14143">
        <v>0</v>
      </c>
      <c r="D14143">
        <v>0</v>
      </c>
      <c r="E14143">
        <v>0</v>
      </c>
      <c r="F14143">
        <v>1613</v>
      </c>
    </row>
    <row r="14144" spans="1:6" x14ac:dyDescent="0.25">
      <c r="A14144">
        <v>14143</v>
      </c>
      <c r="B14144">
        <v>41</v>
      </c>
      <c r="C14144">
        <v>0</v>
      </c>
      <c r="D14144">
        <v>0</v>
      </c>
      <c r="E14144">
        <v>0</v>
      </c>
      <c r="F14144">
        <v>1</v>
      </c>
    </row>
    <row r="14145" spans="1:6" x14ac:dyDescent="0.25">
      <c r="A14145">
        <v>14144</v>
      </c>
      <c r="B14145">
        <v>42</v>
      </c>
      <c r="C14145">
        <v>0</v>
      </c>
      <c r="D14145">
        <v>0</v>
      </c>
      <c r="E14145">
        <v>0</v>
      </c>
      <c r="F14145">
        <v>0.2</v>
      </c>
    </row>
    <row r="14146" spans="1:6" x14ac:dyDescent="0.25">
      <c r="A14146">
        <v>14145</v>
      </c>
      <c r="B14146" t="s">
        <v>0</v>
      </c>
      <c r="C14146">
        <v>162</v>
      </c>
      <c r="D14146">
        <v>3503</v>
      </c>
      <c r="E14146">
        <v>80579776</v>
      </c>
    </row>
    <row r="14147" spans="1:6" x14ac:dyDescent="0.25">
      <c r="A14147">
        <v>14146</v>
      </c>
      <c r="B14147">
        <v>43</v>
      </c>
      <c r="C14147">
        <v>0</v>
      </c>
      <c r="D14147">
        <v>0</v>
      </c>
      <c r="E14147">
        <v>0</v>
      </c>
      <c r="F14147">
        <v>0</v>
      </c>
    </row>
    <row r="14148" spans="1:6" x14ac:dyDescent="0.25">
      <c r="A14148">
        <v>14147</v>
      </c>
      <c r="B14148">
        <v>44</v>
      </c>
      <c r="C14148">
        <v>0</v>
      </c>
      <c r="D14148">
        <v>0</v>
      </c>
      <c r="E14148">
        <v>0</v>
      </c>
      <c r="F14148">
        <v>18.513500000000001</v>
      </c>
    </row>
    <row r="14149" spans="1:6" x14ac:dyDescent="0.25">
      <c r="A14149">
        <v>14148</v>
      </c>
      <c r="B14149" t="s">
        <v>0</v>
      </c>
      <c r="C14149">
        <v>163</v>
      </c>
      <c r="D14149">
        <v>3503</v>
      </c>
      <c r="E14149">
        <v>80579913</v>
      </c>
    </row>
    <row r="14150" spans="1:6" x14ac:dyDescent="0.25">
      <c r="A14150">
        <v>14149</v>
      </c>
      <c r="B14150">
        <v>45</v>
      </c>
      <c r="C14150">
        <v>0</v>
      </c>
      <c r="D14150">
        <v>0</v>
      </c>
      <c r="E14150">
        <v>0</v>
      </c>
      <c r="F14150">
        <v>516.89499999999998</v>
      </c>
    </row>
    <row r="14151" spans="1:6" x14ac:dyDescent="0.25">
      <c r="A14151">
        <v>14150</v>
      </c>
      <c r="B14151">
        <v>46</v>
      </c>
      <c r="C14151">
        <v>0</v>
      </c>
      <c r="D14151">
        <v>0</v>
      </c>
      <c r="E14151">
        <v>0</v>
      </c>
      <c r="F14151">
        <v>0</v>
      </c>
    </row>
    <row r="14152" spans="1:6" x14ac:dyDescent="0.25">
      <c r="A14152">
        <v>14151</v>
      </c>
      <c r="B14152" t="s">
        <v>0</v>
      </c>
      <c r="C14152">
        <v>164</v>
      </c>
      <c r="D14152">
        <v>3503</v>
      </c>
      <c r="E14152">
        <v>80580050</v>
      </c>
    </row>
    <row r="14153" spans="1:6" x14ac:dyDescent="0.25">
      <c r="A14153">
        <v>14152</v>
      </c>
      <c r="B14153">
        <v>2</v>
      </c>
      <c r="C14153">
        <v>0</v>
      </c>
      <c r="D14153">
        <v>0</v>
      </c>
      <c r="E14153">
        <v>0</v>
      </c>
      <c r="F14153">
        <v>242.095</v>
      </c>
    </row>
    <row r="14154" spans="1:6" x14ac:dyDescent="0.25">
      <c r="A14154">
        <v>14153</v>
      </c>
      <c r="B14154">
        <v>10</v>
      </c>
      <c r="C14154">
        <v>1</v>
      </c>
      <c r="D14154">
        <v>0</v>
      </c>
      <c r="E14154">
        <v>0</v>
      </c>
      <c r="F14154">
        <v>5137</v>
      </c>
    </row>
    <row r="14155" spans="1:6" x14ac:dyDescent="0.25">
      <c r="A14155">
        <v>14154</v>
      </c>
      <c r="B14155" t="s">
        <v>0</v>
      </c>
      <c r="C14155">
        <v>165</v>
      </c>
      <c r="D14155">
        <v>3503</v>
      </c>
      <c r="E14155">
        <v>80580188</v>
      </c>
    </row>
    <row r="14156" spans="1:6" x14ac:dyDescent="0.25">
      <c r="A14156">
        <v>14155</v>
      </c>
      <c r="B14156">
        <v>13</v>
      </c>
      <c r="C14156">
        <v>0</v>
      </c>
      <c r="D14156">
        <v>0</v>
      </c>
      <c r="E14156">
        <v>0</v>
      </c>
      <c r="F14156">
        <v>1613</v>
      </c>
    </row>
    <row r="14157" spans="1:6" x14ac:dyDescent="0.25">
      <c r="A14157">
        <v>14156</v>
      </c>
      <c r="B14157">
        <v>41</v>
      </c>
      <c r="C14157">
        <v>0</v>
      </c>
      <c r="D14157">
        <v>0</v>
      </c>
      <c r="E14157">
        <v>0</v>
      </c>
      <c r="F14157">
        <v>1</v>
      </c>
    </row>
    <row r="14158" spans="1:6" x14ac:dyDescent="0.25">
      <c r="A14158">
        <v>14157</v>
      </c>
      <c r="B14158" t="s">
        <v>0</v>
      </c>
      <c r="C14158">
        <v>166</v>
      </c>
      <c r="D14158">
        <v>3503</v>
      </c>
      <c r="E14158">
        <v>80580325</v>
      </c>
    </row>
    <row r="14159" spans="1:6" x14ac:dyDescent="0.25">
      <c r="A14159">
        <v>14158</v>
      </c>
      <c r="B14159">
        <v>42</v>
      </c>
      <c r="C14159">
        <v>0</v>
      </c>
      <c r="D14159">
        <v>0</v>
      </c>
      <c r="E14159">
        <v>0</v>
      </c>
      <c r="F14159">
        <v>0.2</v>
      </c>
    </row>
    <row r="14160" spans="1:6" x14ac:dyDescent="0.25">
      <c r="A14160">
        <v>14159</v>
      </c>
      <c r="B14160">
        <v>43</v>
      </c>
      <c r="C14160">
        <v>0</v>
      </c>
      <c r="D14160">
        <v>0</v>
      </c>
      <c r="E14160">
        <v>0</v>
      </c>
      <c r="F14160">
        <v>0</v>
      </c>
    </row>
    <row r="14161" spans="1:6" x14ac:dyDescent="0.25">
      <c r="A14161">
        <v>14160</v>
      </c>
      <c r="B14161" t="s">
        <v>0</v>
      </c>
      <c r="C14161">
        <v>167</v>
      </c>
      <c r="D14161">
        <v>3503</v>
      </c>
      <c r="E14161">
        <v>80580462</v>
      </c>
    </row>
    <row r="14162" spans="1:6" x14ac:dyDescent="0.25">
      <c r="A14162">
        <v>14161</v>
      </c>
      <c r="B14162">
        <v>45</v>
      </c>
      <c r="C14162">
        <v>0</v>
      </c>
      <c r="D14162">
        <v>0</v>
      </c>
      <c r="E14162">
        <v>0</v>
      </c>
      <c r="F14162">
        <v>516.91499999999996</v>
      </c>
    </row>
    <row r="14163" spans="1:6" x14ac:dyDescent="0.25">
      <c r="A14163">
        <v>14162</v>
      </c>
      <c r="B14163" t="s">
        <v>0</v>
      </c>
      <c r="C14163">
        <v>168</v>
      </c>
      <c r="D14163">
        <v>3503</v>
      </c>
      <c r="E14163">
        <v>80580599</v>
      </c>
    </row>
    <row r="14164" spans="1:6" x14ac:dyDescent="0.25">
      <c r="A14164">
        <v>14163</v>
      </c>
      <c r="B14164">
        <v>2</v>
      </c>
      <c r="C14164">
        <v>0</v>
      </c>
      <c r="D14164">
        <v>0</v>
      </c>
      <c r="E14164">
        <v>0</v>
      </c>
      <c r="F14164">
        <v>242.09899999999999</v>
      </c>
    </row>
    <row r="14165" spans="1:6" x14ac:dyDescent="0.25">
      <c r="A14165">
        <v>14164</v>
      </c>
      <c r="B14165" t="s">
        <v>0</v>
      </c>
      <c r="C14165">
        <v>169</v>
      </c>
      <c r="D14165">
        <v>3503</v>
      </c>
      <c r="E14165">
        <v>80580737</v>
      </c>
    </row>
    <row r="14166" spans="1:6" x14ac:dyDescent="0.25">
      <c r="A14166">
        <v>14165</v>
      </c>
      <c r="B14166">
        <v>13</v>
      </c>
      <c r="C14166">
        <v>0</v>
      </c>
      <c r="D14166">
        <v>0</v>
      </c>
      <c r="E14166">
        <v>0</v>
      </c>
      <c r="F14166">
        <v>1613</v>
      </c>
    </row>
    <row r="14167" spans="1:6" x14ac:dyDescent="0.25">
      <c r="A14167">
        <v>14166</v>
      </c>
      <c r="B14167" t="s">
        <v>0</v>
      </c>
      <c r="C14167">
        <v>170</v>
      </c>
      <c r="D14167">
        <v>3503</v>
      </c>
      <c r="E14167">
        <v>80580874</v>
      </c>
    </row>
    <row r="14168" spans="1:6" x14ac:dyDescent="0.25">
      <c r="A14168">
        <v>14167</v>
      </c>
      <c r="B14168">
        <v>42</v>
      </c>
      <c r="C14168">
        <v>0</v>
      </c>
      <c r="D14168">
        <v>0</v>
      </c>
      <c r="E14168">
        <v>0</v>
      </c>
      <c r="F14168">
        <v>0.2</v>
      </c>
    </row>
    <row r="14169" spans="1:6" x14ac:dyDescent="0.25">
      <c r="A14169">
        <v>14168</v>
      </c>
      <c r="B14169" t="s">
        <v>0</v>
      </c>
      <c r="C14169">
        <v>171</v>
      </c>
      <c r="D14169">
        <v>3503</v>
      </c>
      <c r="E14169">
        <v>80581011</v>
      </c>
    </row>
    <row r="14170" spans="1:6" x14ac:dyDescent="0.25">
      <c r="A14170">
        <v>14169</v>
      </c>
      <c r="B14170">
        <v>44</v>
      </c>
      <c r="C14170">
        <v>0</v>
      </c>
      <c r="D14170">
        <v>0</v>
      </c>
      <c r="E14170">
        <v>0</v>
      </c>
      <c r="F14170">
        <v>18.823799999999999</v>
      </c>
    </row>
    <row r="14171" spans="1:6" x14ac:dyDescent="0.25">
      <c r="A14171">
        <v>14170</v>
      </c>
      <c r="B14171" t="s">
        <v>0</v>
      </c>
      <c r="C14171">
        <v>172</v>
      </c>
      <c r="D14171">
        <v>3503</v>
      </c>
      <c r="E14171">
        <v>80581148</v>
      </c>
    </row>
    <row r="14172" spans="1:6" x14ac:dyDescent="0.25">
      <c r="A14172">
        <v>14171</v>
      </c>
      <c r="B14172">
        <v>46</v>
      </c>
      <c r="C14172">
        <v>0</v>
      </c>
      <c r="D14172">
        <v>0</v>
      </c>
      <c r="E14172">
        <v>0</v>
      </c>
      <c r="F14172">
        <v>0</v>
      </c>
    </row>
    <row r="14173" spans="1:6" x14ac:dyDescent="0.25">
      <c r="A14173">
        <v>14172</v>
      </c>
      <c r="B14173">
        <v>2</v>
      </c>
      <c r="C14173">
        <v>0</v>
      </c>
      <c r="D14173">
        <v>0</v>
      </c>
      <c r="E14173">
        <v>0</v>
      </c>
      <c r="F14173">
        <v>242.10300000000001</v>
      </c>
    </row>
    <row r="14174" spans="1:6" x14ac:dyDescent="0.25">
      <c r="A14174">
        <v>14173</v>
      </c>
      <c r="B14174">
        <v>10</v>
      </c>
      <c r="C14174">
        <v>1</v>
      </c>
      <c r="D14174">
        <v>0</v>
      </c>
      <c r="E14174">
        <v>0</v>
      </c>
      <c r="F14174">
        <v>5139</v>
      </c>
    </row>
    <row r="14175" spans="1:6" x14ac:dyDescent="0.25">
      <c r="A14175">
        <v>14174</v>
      </c>
      <c r="B14175">
        <v>13</v>
      </c>
      <c r="C14175">
        <v>0</v>
      </c>
      <c r="D14175">
        <v>0</v>
      </c>
      <c r="E14175">
        <v>0</v>
      </c>
      <c r="F14175">
        <v>1613</v>
      </c>
    </row>
    <row r="14176" spans="1:6" x14ac:dyDescent="0.25">
      <c r="A14176">
        <v>14175</v>
      </c>
      <c r="B14176">
        <v>41</v>
      </c>
      <c r="C14176">
        <v>0</v>
      </c>
      <c r="D14176">
        <v>0</v>
      </c>
      <c r="E14176">
        <v>0</v>
      </c>
      <c r="F14176">
        <v>1</v>
      </c>
    </row>
    <row r="14177" spans="1:6" x14ac:dyDescent="0.25">
      <c r="A14177">
        <v>14176</v>
      </c>
      <c r="B14177">
        <v>42</v>
      </c>
      <c r="C14177">
        <v>0</v>
      </c>
      <c r="D14177">
        <v>0</v>
      </c>
      <c r="E14177">
        <v>0</v>
      </c>
      <c r="F14177">
        <v>0.2</v>
      </c>
    </row>
    <row r="14178" spans="1:6" x14ac:dyDescent="0.25">
      <c r="A14178">
        <v>14177</v>
      </c>
      <c r="B14178">
        <v>43</v>
      </c>
      <c r="C14178">
        <v>0</v>
      </c>
      <c r="D14178">
        <v>0</v>
      </c>
      <c r="E14178">
        <v>0</v>
      </c>
      <c r="F14178">
        <v>0</v>
      </c>
    </row>
    <row r="14179" spans="1:6" x14ac:dyDescent="0.25">
      <c r="A14179">
        <v>14178</v>
      </c>
      <c r="B14179">
        <v>44</v>
      </c>
      <c r="C14179">
        <v>0</v>
      </c>
      <c r="D14179">
        <v>0</v>
      </c>
      <c r="E14179">
        <v>0</v>
      </c>
      <c r="F14179">
        <v>18.9468</v>
      </c>
    </row>
    <row r="14180" spans="1:6" x14ac:dyDescent="0.25">
      <c r="A14180">
        <v>14179</v>
      </c>
      <c r="B14180">
        <v>45</v>
      </c>
      <c r="C14180">
        <v>0</v>
      </c>
      <c r="D14180">
        <v>0</v>
      </c>
      <c r="E14180">
        <v>0</v>
      </c>
      <c r="F14180">
        <v>516.96199999999999</v>
      </c>
    </row>
    <row r="14181" spans="1:6" x14ac:dyDescent="0.25">
      <c r="A14181">
        <v>14180</v>
      </c>
      <c r="B14181">
        <v>46</v>
      </c>
      <c r="C14181">
        <v>0</v>
      </c>
      <c r="D14181">
        <v>0</v>
      </c>
      <c r="E14181">
        <v>0</v>
      </c>
      <c r="F14181">
        <v>0</v>
      </c>
    </row>
    <row r="14182" spans="1:6" x14ac:dyDescent="0.25">
      <c r="A14182">
        <v>14181</v>
      </c>
      <c r="B14182">
        <v>2</v>
      </c>
      <c r="C14182">
        <v>0</v>
      </c>
      <c r="D14182">
        <v>0</v>
      </c>
      <c r="E14182">
        <v>0</v>
      </c>
      <c r="F14182">
        <v>242.10599999999999</v>
      </c>
    </row>
    <row r="14183" spans="1:6" x14ac:dyDescent="0.25">
      <c r="A14183">
        <v>14182</v>
      </c>
      <c r="B14183">
        <v>10</v>
      </c>
      <c r="C14183">
        <v>1</v>
      </c>
      <c r="D14183">
        <v>0</v>
      </c>
      <c r="E14183">
        <v>0</v>
      </c>
      <c r="F14183">
        <v>5139</v>
      </c>
    </row>
    <row r="14184" spans="1:6" x14ac:dyDescent="0.25">
      <c r="A14184">
        <v>14183</v>
      </c>
      <c r="B14184">
        <v>13</v>
      </c>
      <c r="C14184">
        <v>0</v>
      </c>
      <c r="D14184">
        <v>0</v>
      </c>
      <c r="E14184">
        <v>0</v>
      </c>
      <c r="F14184">
        <v>1613</v>
      </c>
    </row>
    <row r="14185" spans="1:6" x14ac:dyDescent="0.25">
      <c r="A14185">
        <v>14184</v>
      </c>
      <c r="B14185">
        <v>41</v>
      </c>
      <c r="C14185">
        <v>0</v>
      </c>
      <c r="D14185">
        <v>0</v>
      </c>
      <c r="E14185">
        <v>0</v>
      </c>
      <c r="F14185">
        <v>1</v>
      </c>
    </row>
    <row r="14186" spans="1:6" x14ac:dyDescent="0.25">
      <c r="A14186">
        <v>14185</v>
      </c>
      <c r="B14186">
        <v>42</v>
      </c>
      <c r="C14186">
        <v>0</v>
      </c>
      <c r="D14186">
        <v>0</v>
      </c>
      <c r="E14186">
        <v>0</v>
      </c>
      <c r="F14186">
        <v>0.2</v>
      </c>
    </row>
    <row r="14187" spans="1:6" x14ac:dyDescent="0.25">
      <c r="A14187">
        <v>14186</v>
      </c>
      <c r="B14187">
        <v>43</v>
      </c>
      <c r="C14187">
        <v>0</v>
      </c>
      <c r="D14187">
        <v>0</v>
      </c>
      <c r="E14187">
        <v>0</v>
      </c>
      <c r="F14187">
        <v>0</v>
      </c>
    </row>
    <row r="14188" spans="1:6" x14ac:dyDescent="0.25">
      <c r="A14188">
        <v>14187</v>
      </c>
      <c r="B14188" t="s">
        <v>0</v>
      </c>
      <c r="C14188">
        <v>0</v>
      </c>
      <c r="D14188">
        <v>3504</v>
      </c>
      <c r="E14188">
        <v>80582246</v>
      </c>
    </row>
    <row r="14189" spans="1:6" x14ac:dyDescent="0.25">
      <c r="A14189">
        <v>14188</v>
      </c>
      <c r="B14189">
        <v>44</v>
      </c>
      <c r="C14189">
        <v>0</v>
      </c>
      <c r="D14189">
        <v>0</v>
      </c>
      <c r="E14189">
        <v>0</v>
      </c>
      <c r="F14189">
        <v>19.043900000000001</v>
      </c>
    </row>
    <row r="14190" spans="1:6" x14ac:dyDescent="0.25">
      <c r="A14190">
        <v>14189</v>
      </c>
      <c r="B14190">
        <v>45</v>
      </c>
      <c r="C14190">
        <v>0</v>
      </c>
      <c r="D14190">
        <v>0</v>
      </c>
      <c r="E14190">
        <v>0</v>
      </c>
      <c r="F14190">
        <v>516.97199999999998</v>
      </c>
    </row>
    <row r="14191" spans="1:6" x14ac:dyDescent="0.25">
      <c r="A14191">
        <v>14190</v>
      </c>
      <c r="B14191" t="s">
        <v>0</v>
      </c>
      <c r="C14191">
        <v>1</v>
      </c>
      <c r="D14191">
        <v>3504</v>
      </c>
      <c r="E14191">
        <v>80582383</v>
      </c>
    </row>
    <row r="14192" spans="1:6" x14ac:dyDescent="0.25">
      <c r="A14192">
        <v>14191</v>
      </c>
      <c r="B14192">
        <v>46</v>
      </c>
      <c r="C14192">
        <v>0</v>
      </c>
      <c r="D14192">
        <v>0</v>
      </c>
      <c r="E14192">
        <v>0</v>
      </c>
      <c r="F14192">
        <v>0</v>
      </c>
    </row>
    <row r="14193" spans="1:6" x14ac:dyDescent="0.25">
      <c r="A14193">
        <v>14192</v>
      </c>
      <c r="B14193">
        <v>2</v>
      </c>
      <c r="C14193">
        <v>0</v>
      </c>
      <c r="D14193">
        <v>0</v>
      </c>
      <c r="E14193">
        <v>0</v>
      </c>
      <c r="F14193">
        <v>242.107</v>
      </c>
    </row>
    <row r="14194" spans="1:6" x14ac:dyDescent="0.25">
      <c r="A14194">
        <v>14193</v>
      </c>
      <c r="B14194" t="s">
        <v>0</v>
      </c>
      <c r="C14194">
        <v>2</v>
      </c>
      <c r="D14194">
        <v>3504</v>
      </c>
      <c r="E14194">
        <v>80582520</v>
      </c>
    </row>
    <row r="14195" spans="1:6" x14ac:dyDescent="0.25">
      <c r="A14195">
        <v>14194</v>
      </c>
      <c r="B14195">
        <v>10</v>
      </c>
      <c r="C14195">
        <v>1</v>
      </c>
      <c r="D14195">
        <v>0</v>
      </c>
      <c r="E14195">
        <v>0</v>
      </c>
      <c r="F14195">
        <v>5140</v>
      </c>
    </row>
    <row r="14196" spans="1:6" x14ac:dyDescent="0.25">
      <c r="A14196">
        <v>14195</v>
      </c>
      <c r="B14196">
        <v>13</v>
      </c>
      <c r="C14196">
        <v>0</v>
      </c>
      <c r="D14196">
        <v>0</v>
      </c>
      <c r="E14196">
        <v>0</v>
      </c>
      <c r="F14196">
        <v>1613</v>
      </c>
    </row>
    <row r="14197" spans="1:6" x14ac:dyDescent="0.25">
      <c r="A14197">
        <v>14196</v>
      </c>
      <c r="B14197" t="s">
        <v>0</v>
      </c>
      <c r="C14197">
        <v>3</v>
      </c>
      <c r="D14197">
        <v>3504</v>
      </c>
      <c r="E14197">
        <v>80582657</v>
      </c>
    </row>
    <row r="14198" spans="1:6" x14ac:dyDescent="0.25">
      <c r="A14198">
        <v>14197</v>
      </c>
      <c r="B14198">
        <v>42</v>
      </c>
      <c r="C14198">
        <v>0</v>
      </c>
      <c r="D14198">
        <v>0</v>
      </c>
      <c r="E14198">
        <v>0</v>
      </c>
      <c r="F14198">
        <v>0.2</v>
      </c>
    </row>
    <row r="14199" spans="1:6" x14ac:dyDescent="0.25">
      <c r="A14199">
        <v>14198</v>
      </c>
      <c r="B14199" t="s">
        <v>0</v>
      </c>
      <c r="C14199">
        <v>4</v>
      </c>
      <c r="D14199">
        <v>3504</v>
      </c>
      <c r="E14199">
        <v>80582794</v>
      </c>
    </row>
    <row r="14200" spans="1:6" x14ac:dyDescent="0.25">
      <c r="A14200">
        <v>14199</v>
      </c>
      <c r="B14200">
        <v>44</v>
      </c>
      <c r="C14200">
        <v>0</v>
      </c>
      <c r="D14200">
        <v>0</v>
      </c>
      <c r="E14200">
        <v>0</v>
      </c>
      <c r="F14200">
        <v>19.242000000000001</v>
      </c>
    </row>
    <row r="14201" spans="1:6" x14ac:dyDescent="0.25">
      <c r="A14201">
        <v>14200</v>
      </c>
      <c r="B14201" t="s">
        <v>0</v>
      </c>
      <c r="C14201">
        <v>5</v>
      </c>
      <c r="D14201">
        <v>3504</v>
      </c>
      <c r="E14201">
        <v>80582931</v>
      </c>
    </row>
    <row r="14202" spans="1:6" x14ac:dyDescent="0.25">
      <c r="A14202">
        <v>14201</v>
      </c>
      <c r="B14202">
        <v>46</v>
      </c>
      <c r="C14202">
        <v>0</v>
      </c>
      <c r="D14202">
        <v>0</v>
      </c>
      <c r="E14202">
        <v>0</v>
      </c>
      <c r="F14202">
        <v>0</v>
      </c>
    </row>
    <row r="14203" spans="1:6" x14ac:dyDescent="0.25">
      <c r="A14203">
        <v>14202</v>
      </c>
      <c r="B14203" t="s">
        <v>0</v>
      </c>
      <c r="C14203">
        <v>6</v>
      </c>
      <c r="D14203">
        <v>3504</v>
      </c>
      <c r="E14203">
        <v>80583068</v>
      </c>
    </row>
    <row r="14204" spans="1:6" x14ac:dyDescent="0.25">
      <c r="A14204">
        <v>14203</v>
      </c>
      <c r="B14204">
        <v>10</v>
      </c>
      <c r="C14204">
        <v>1</v>
      </c>
      <c r="D14204">
        <v>0</v>
      </c>
      <c r="E14204">
        <v>0</v>
      </c>
      <c r="F14204">
        <v>5141</v>
      </c>
    </row>
    <row r="14205" spans="1:6" x14ac:dyDescent="0.25">
      <c r="A14205">
        <v>14204</v>
      </c>
      <c r="B14205" t="s">
        <v>0</v>
      </c>
      <c r="C14205">
        <v>7</v>
      </c>
      <c r="D14205">
        <v>3504</v>
      </c>
      <c r="E14205">
        <v>80583205</v>
      </c>
    </row>
    <row r="14206" spans="1:6" x14ac:dyDescent="0.25">
      <c r="A14206">
        <v>14205</v>
      </c>
      <c r="B14206">
        <v>41</v>
      </c>
      <c r="C14206">
        <v>0</v>
      </c>
      <c r="D14206">
        <v>0</v>
      </c>
      <c r="E14206">
        <v>0</v>
      </c>
      <c r="F14206">
        <v>1</v>
      </c>
    </row>
    <row r="14207" spans="1:6" x14ac:dyDescent="0.25">
      <c r="A14207">
        <v>14206</v>
      </c>
      <c r="B14207" t="s">
        <v>0</v>
      </c>
      <c r="C14207">
        <v>8</v>
      </c>
      <c r="D14207">
        <v>3504</v>
      </c>
      <c r="E14207">
        <v>80583342</v>
      </c>
    </row>
    <row r="14208" spans="1:6" x14ac:dyDescent="0.25">
      <c r="A14208">
        <v>14207</v>
      </c>
      <c r="B14208">
        <v>43</v>
      </c>
      <c r="C14208">
        <v>0</v>
      </c>
      <c r="D14208">
        <v>0</v>
      </c>
      <c r="E14208">
        <v>0</v>
      </c>
      <c r="F14208">
        <v>0</v>
      </c>
    </row>
    <row r="14209" spans="1:6" x14ac:dyDescent="0.25">
      <c r="A14209">
        <v>14208</v>
      </c>
      <c r="B14209">
        <v>44</v>
      </c>
      <c r="C14209">
        <v>0</v>
      </c>
      <c r="D14209">
        <v>0</v>
      </c>
      <c r="E14209">
        <v>0</v>
      </c>
      <c r="F14209">
        <v>19.3902</v>
      </c>
    </row>
    <row r="14210" spans="1:6" x14ac:dyDescent="0.25">
      <c r="A14210">
        <v>14209</v>
      </c>
      <c r="B14210">
        <v>45</v>
      </c>
      <c r="C14210">
        <v>0</v>
      </c>
      <c r="D14210">
        <v>0</v>
      </c>
      <c r="E14210">
        <v>0</v>
      </c>
      <c r="F14210">
        <v>517.02</v>
      </c>
    </row>
    <row r="14211" spans="1:6" x14ac:dyDescent="0.25">
      <c r="A14211">
        <v>14210</v>
      </c>
      <c r="B14211">
        <v>46</v>
      </c>
      <c r="C14211">
        <v>0</v>
      </c>
      <c r="D14211">
        <v>0</v>
      </c>
      <c r="E14211">
        <v>0</v>
      </c>
      <c r="F14211">
        <v>0</v>
      </c>
    </row>
    <row r="14212" spans="1:6" x14ac:dyDescent="0.25">
      <c r="A14212">
        <v>14211</v>
      </c>
      <c r="B14212">
        <v>2</v>
      </c>
      <c r="C14212">
        <v>0</v>
      </c>
      <c r="D14212">
        <v>0</v>
      </c>
      <c r="E14212">
        <v>0</v>
      </c>
      <c r="F14212">
        <v>242.11099999999999</v>
      </c>
    </row>
    <row r="14213" spans="1:6" x14ac:dyDescent="0.25">
      <c r="A14213">
        <v>14212</v>
      </c>
      <c r="B14213">
        <v>10</v>
      </c>
      <c r="C14213">
        <v>1</v>
      </c>
      <c r="D14213">
        <v>0</v>
      </c>
      <c r="E14213">
        <v>0</v>
      </c>
      <c r="F14213">
        <v>5142</v>
      </c>
    </row>
    <row r="14214" spans="1:6" x14ac:dyDescent="0.25">
      <c r="A14214">
        <v>14213</v>
      </c>
      <c r="B14214">
        <v>13</v>
      </c>
      <c r="C14214">
        <v>0</v>
      </c>
      <c r="D14214">
        <v>0</v>
      </c>
      <c r="E14214">
        <v>0</v>
      </c>
      <c r="F14214">
        <v>1613</v>
      </c>
    </row>
    <row r="14215" spans="1:6" x14ac:dyDescent="0.25">
      <c r="A14215">
        <v>14214</v>
      </c>
      <c r="B14215">
        <v>41</v>
      </c>
      <c r="C14215">
        <v>0</v>
      </c>
      <c r="D14215">
        <v>0</v>
      </c>
      <c r="E14215">
        <v>0</v>
      </c>
      <c r="F14215">
        <v>1</v>
      </c>
    </row>
    <row r="14216" spans="1:6" x14ac:dyDescent="0.25">
      <c r="A14216">
        <v>14215</v>
      </c>
      <c r="B14216">
        <v>42</v>
      </c>
      <c r="C14216">
        <v>0</v>
      </c>
      <c r="D14216">
        <v>0</v>
      </c>
      <c r="E14216">
        <v>0</v>
      </c>
      <c r="F14216">
        <v>0.2</v>
      </c>
    </row>
    <row r="14217" spans="1:6" x14ac:dyDescent="0.25">
      <c r="A14217">
        <v>14216</v>
      </c>
      <c r="B14217">
        <v>43</v>
      </c>
      <c r="C14217">
        <v>0</v>
      </c>
      <c r="D14217">
        <v>0</v>
      </c>
      <c r="E14217">
        <v>0</v>
      </c>
      <c r="F14217">
        <v>0</v>
      </c>
    </row>
    <row r="14218" spans="1:6" x14ac:dyDescent="0.25">
      <c r="A14218">
        <v>14217</v>
      </c>
      <c r="B14218">
        <v>44</v>
      </c>
      <c r="C14218">
        <v>0</v>
      </c>
      <c r="D14218">
        <v>0</v>
      </c>
      <c r="E14218">
        <v>0</v>
      </c>
      <c r="F14218">
        <v>19.563500000000001</v>
      </c>
    </row>
    <row r="14219" spans="1:6" x14ac:dyDescent="0.25">
      <c r="A14219">
        <v>14218</v>
      </c>
      <c r="B14219">
        <v>45</v>
      </c>
      <c r="C14219">
        <v>0</v>
      </c>
      <c r="D14219">
        <v>0</v>
      </c>
      <c r="E14219">
        <v>0</v>
      </c>
      <c r="F14219">
        <v>517.04100000000005</v>
      </c>
    </row>
    <row r="14220" spans="1:6" x14ac:dyDescent="0.25">
      <c r="A14220">
        <v>14219</v>
      </c>
      <c r="B14220" t="s">
        <v>0</v>
      </c>
      <c r="C14220">
        <v>14</v>
      </c>
      <c r="D14220">
        <v>3504</v>
      </c>
      <c r="E14220">
        <v>80584165</v>
      </c>
    </row>
    <row r="14221" spans="1:6" x14ac:dyDescent="0.25">
      <c r="A14221">
        <v>14220</v>
      </c>
      <c r="B14221">
        <v>46</v>
      </c>
      <c r="C14221">
        <v>0</v>
      </c>
      <c r="D14221">
        <v>0</v>
      </c>
      <c r="E14221">
        <v>0</v>
      </c>
      <c r="F14221">
        <v>0</v>
      </c>
    </row>
    <row r="14222" spans="1:6" x14ac:dyDescent="0.25">
      <c r="A14222">
        <v>14221</v>
      </c>
      <c r="B14222">
        <v>2</v>
      </c>
      <c r="C14222">
        <v>0</v>
      </c>
      <c r="D14222">
        <v>0</v>
      </c>
      <c r="E14222">
        <v>0</v>
      </c>
      <c r="F14222">
        <v>242.11199999999999</v>
      </c>
    </row>
    <row r="14223" spans="1:6" x14ac:dyDescent="0.25">
      <c r="A14223">
        <v>14222</v>
      </c>
      <c r="B14223" t="s">
        <v>0</v>
      </c>
      <c r="C14223">
        <v>15</v>
      </c>
      <c r="D14223">
        <v>3504</v>
      </c>
      <c r="E14223">
        <v>80584303</v>
      </c>
    </row>
    <row r="14224" spans="1:6" x14ac:dyDescent="0.25">
      <c r="A14224">
        <v>14223</v>
      </c>
      <c r="B14224">
        <v>10</v>
      </c>
      <c r="C14224">
        <v>1</v>
      </c>
      <c r="D14224">
        <v>0</v>
      </c>
      <c r="E14224">
        <v>0</v>
      </c>
      <c r="F14224">
        <v>5143</v>
      </c>
    </row>
    <row r="14225" spans="1:6" x14ac:dyDescent="0.25">
      <c r="A14225">
        <v>14224</v>
      </c>
      <c r="B14225">
        <v>13</v>
      </c>
      <c r="C14225">
        <v>0</v>
      </c>
      <c r="D14225">
        <v>0</v>
      </c>
      <c r="E14225">
        <v>0</v>
      </c>
      <c r="F14225">
        <v>1613</v>
      </c>
    </row>
    <row r="14226" spans="1:6" x14ac:dyDescent="0.25">
      <c r="A14226">
        <v>14225</v>
      </c>
      <c r="B14226" t="s">
        <v>0</v>
      </c>
      <c r="C14226">
        <v>16</v>
      </c>
      <c r="D14226">
        <v>3504</v>
      </c>
      <c r="E14226">
        <v>80584440</v>
      </c>
    </row>
    <row r="14227" spans="1:6" x14ac:dyDescent="0.25">
      <c r="A14227">
        <v>14226</v>
      </c>
      <c r="B14227">
        <v>41</v>
      </c>
      <c r="C14227">
        <v>0</v>
      </c>
      <c r="D14227">
        <v>0</v>
      </c>
      <c r="E14227">
        <v>0</v>
      </c>
      <c r="F14227">
        <v>1</v>
      </c>
    </row>
    <row r="14228" spans="1:6" x14ac:dyDescent="0.25">
      <c r="A14228">
        <v>14227</v>
      </c>
      <c r="B14228">
        <v>42</v>
      </c>
      <c r="C14228">
        <v>0</v>
      </c>
      <c r="D14228">
        <v>0</v>
      </c>
      <c r="E14228">
        <v>0</v>
      </c>
      <c r="F14228">
        <v>0.2</v>
      </c>
    </row>
    <row r="14229" spans="1:6" x14ac:dyDescent="0.25">
      <c r="A14229">
        <v>14228</v>
      </c>
      <c r="B14229" t="s">
        <v>0</v>
      </c>
      <c r="C14229">
        <v>17</v>
      </c>
      <c r="D14229">
        <v>3504</v>
      </c>
      <c r="E14229">
        <v>80584577</v>
      </c>
    </row>
    <row r="14230" spans="1:6" x14ac:dyDescent="0.25">
      <c r="A14230">
        <v>14229</v>
      </c>
      <c r="B14230">
        <v>43</v>
      </c>
      <c r="C14230">
        <v>0</v>
      </c>
      <c r="D14230">
        <v>0</v>
      </c>
      <c r="E14230">
        <v>0</v>
      </c>
      <c r="F14230">
        <v>0</v>
      </c>
    </row>
    <row r="14231" spans="1:6" x14ac:dyDescent="0.25">
      <c r="A14231">
        <v>14230</v>
      </c>
      <c r="B14231">
        <v>44</v>
      </c>
      <c r="C14231">
        <v>0</v>
      </c>
      <c r="D14231">
        <v>0</v>
      </c>
      <c r="E14231">
        <v>0</v>
      </c>
      <c r="F14231">
        <v>19.6875</v>
      </c>
    </row>
    <row r="14232" spans="1:6" x14ac:dyDescent="0.25">
      <c r="A14232">
        <v>14231</v>
      </c>
      <c r="B14232" t="s">
        <v>0</v>
      </c>
      <c r="C14232">
        <v>18</v>
      </c>
      <c r="D14232">
        <v>3504</v>
      </c>
      <c r="E14232">
        <v>80584714</v>
      </c>
    </row>
    <row r="14233" spans="1:6" x14ac:dyDescent="0.25">
      <c r="A14233">
        <v>14232</v>
      </c>
      <c r="B14233">
        <v>45</v>
      </c>
      <c r="C14233">
        <v>0</v>
      </c>
      <c r="D14233">
        <v>0</v>
      </c>
      <c r="E14233">
        <v>0</v>
      </c>
      <c r="F14233">
        <v>517.06799999999998</v>
      </c>
    </row>
    <row r="14234" spans="1:6" x14ac:dyDescent="0.25">
      <c r="A14234">
        <v>14233</v>
      </c>
      <c r="B14234">
        <v>46</v>
      </c>
      <c r="C14234">
        <v>0</v>
      </c>
      <c r="D14234">
        <v>0</v>
      </c>
      <c r="E14234">
        <v>0</v>
      </c>
      <c r="F14234">
        <v>0</v>
      </c>
    </row>
    <row r="14235" spans="1:6" x14ac:dyDescent="0.25">
      <c r="A14235">
        <v>14234</v>
      </c>
      <c r="B14235" t="s">
        <v>0</v>
      </c>
      <c r="C14235">
        <v>19</v>
      </c>
      <c r="D14235">
        <v>3504</v>
      </c>
      <c r="E14235">
        <v>80584852</v>
      </c>
    </row>
    <row r="14236" spans="1:6" x14ac:dyDescent="0.25">
      <c r="A14236">
        <v>14235</v>
      </c>
      <c r="B14236">
        <v>10</v>
      </c>
      <c r="C14236">
        <v>1</v>
      </c>
      <c r="D14236">
        <v>0</v>
      </c>
      <c r="E14236">
        <v>0</v>
      </c>
      <c r="F14236">
        <v>5144</v>
      </c>
    </row>
    <row r="14237" spans="1:6" x14ac:dyDescent="0.25">
      <c r="A14237">
        <v>14236</v>
      </c>
      <c r="B14237" t="s">
        <v>0</v>
      </c>
      <c r="C14237">
        <v>20</v>
      </c>
      <c r="D14237">
        <v>3504</v>
      </c>
      <c r="E14237">
        <v>80584989</v>
      </c>
    </row>
    <row r="14238" spans="1:6" x14ac:dyDescent="0.25">
      <c r="A14238">
        <v>14237</v>
      </c>
      <c r="B14238">
        <v>41</v>
      </c>
      <c r="C14238">
        <v>0</v>
      </c>
      <c r="D14238">
        <v>0</v>
      </c>
      <c r="E14238">
        <v>0</v>
      </c>
      <c r="F14238">
        <v>1</v>
      </c>
    </row>
    <row r="14239" spans="1:6" x14ac:dyDescent="0.25">
      <c r="A14239">
        <v>14238</v>
      </c>
      <c r="B14239" t="s">
        <v>0</v>
      </c>
      <c r="C14239">
        <v>21</v>
      </c>
      <c r="D14239">
        <v>3504</v>
      </c>
      <c r="E14239">
        <v>80585126</v>
      </c>
    </row>
    <row r="14240" spans="1:6" x14ac:dyDescent="0.25">
      <c r="A14240">
        <v>14239</v>
      </c>
      <c r="B14240">
        <v>43</v>
      </c>
      <c r="C14240">
        <v>0</v>
      </c>
      <c r="D14240">
        <v>0</v>
      </c>
      <c r="E14240">
        <v>0</v>
      </c>
      <c r="F14240">
        <v>0</v>
      </c>
    </row>
    <row r="14241" spans="1:6" x14ac:dyDescent="0.25">
      <c r="A14241">
        <v>14240</v>
      </c>
      <c r="B14241" t="s">
        <v>0</v>
      </c>
      <c r="C14241">
        <v>22</v>
      </c>
      <c r="D14241">
        <v>3504</v>
      </c>
      <c r="E14241">
        <v>80585263</v>
      </c>
    </row>
    <row r="14242" spans="1:6" x14ac:dyDescent="0.25">
      <c r="A14242">
        <v>14241</v>
      </c>
      <c r="B14242">
        <v>45</v>
      </c>
      <c r="C14242">
        <v>0</v>
      </c>
      <c r="D14242">
        <v>0</v>
      </c>
      <c r="E14242">
        <v>0</v>
      </c>
      <c r="F14242">
        <v>517.09</v>
      </c>
    </row>
    <row r="14243" spans="1:6" x14ac:dyDescent="0.25">
      <c r="A14243">
        <v>14242</v>
      </c>
      <c r="B14243" t="s">
        <v>0</v>
      </c>
      <c r="C14243">
        <v>23</v>
      </c>
      <c r="D14243">
        <v>3504</v>
      </c>
      <c r="E14243">
        <v>80585400</v>
      </c>
    </row>
    <row r="14244" spans="1:6" x14ac:dyDescent="0.25">
      <c r="A14244">
        <v>14243</v>
      </c>
      <c r="B14244">
        <v>2</v>
      </c>
      <c r="C14244">
        <v>0</v>
      </c>
      <c r="D14244">
        <v>0</v>
      </c>
      <c r="E14244">
        <v>0</v>
      </c>
      <c r="F14244">
        <v>242.11500000000001</v>
      </c>
    </row>
    <row r="14245" spans="1:6" x14ac:dyDescent="0.25">
      <c r="A14245">
        <v>14244</v>
      </c>
      <c r="B14245">
        <v>10</v>
      </c>
      <c r="C14245">
        <v>1</v>
      </c>
      <c r="D14245">
        <v>0</v>
      </c>
      <c r="E14245">
        <v>0</v>
      </c>
      <c r="F14245">
        <v>5145</v>
      </c>
    </row>
    <row r="14246" spans="1:6" x14ac:dyDescent="0.25">
      <c r="A14246">
        <v>14245</v>
      </c>
      <c r="B14246">
        <v>13</v>
      </c>
      <c r="C14246">
        <v>0</v>
      </c>
      <c r="D14246">
        <v>0</v>
      </c>
      <c r="E14246">
        <v>0</v>
      </c>
      <c r="F14246">
        <v>1613</v>
      </c>
    </row>
    <row r="14247" spans="1:6" x14ac:dyDescent="0.25">
      <c r="A14247">
        <v>14246</v>
      </c>
      <c r="B14247">
        <v>41</v>
      </c>
      <c r="C14247">
        <v>0</v>
      </c>
      <c r="D14247">
        <v>0</v>
      </c>
      <c r="E14247">
        <v>0</v>
      </c>
      <c r="F14247">
        <v>1</v>
      </c>
    </row>
    <row r="14248" spans="1:6" x14ac:dyDescent="0.25">
      <c r="A14248">
        <v>14247</v>
      </c>
      <c r="B14248">
        <v>42</v>
      </c>
      <c r="C14248">
        <v>0</v>
      </c>
      <c r="D14248">
        <v>0</v>
      </c>
      <c r="E14248">
        <v>0</v>
      </c>
      <c r="F14248">
        <v>0.2</v>
      </c>
    </row>
    <row r="14249" spans="1:6" x14ac:dyDescent="0.25">
      <c r="A14249">
        <v>14248</v>
      </c>
      <c r="B14249">
        <v>43</v>
      </c>
      <c r="C14249">
        <v>0</v>
      </c>
      <c r="D14249">
        <v>0</v>
      </c>
      <c r="E14249">
        <v>0</v>
      </c>
      <c r="F14249">
        <v>0</v>
      </c>
    </row>
    <row r="14250" spans="1:6" x14ac:dyDescent="0.25">
      <c r="A14250">
        <v>14249</v>
      </c>
      <c r="B14250">
        <v>44</v>
      </c>
      <c r="C14250">
        <v>0</v>
      </c>
      <c r="D14250">
        <v>0</v>
      </c>
      <c r="E14250">
        <v>0</v>
      </c>
      <c r="F14250">
        <v>20.009899999999998</v>
      </c>
    </row>
    <row r="14251" spans="1:6" x14ac:dyDescent="0.25">
      <c r="A14251">
        <v>14250</v>
      </c>
      <c r="B14251">
        <v>45</v>
      </c>
      <c r="C14251">
        <v>0</v>
      </c>
      <c r="D14251">
        <v>0</v>
      </c>
      <c r="E14251">
        <v>0</v>
      </c>
      <c r="F14251">
        <v>517.11199999999997</v>
      </c>
    </row>
    <row r="14252" spans="1:6" x14ac:dyDescent="0.25">
      <c r="A14252">
        <v>14251</v>
      </c>
      <c r="B14252">
        <v>46</v>
      </c>
      <c r="C14252">
        <v>0</v>
      </c>
      <c r="D14252">
        <v>0</v>
      </c>
      <c r="E14252">
        <v>0</v>
      </c>
      <c r="F14252">
        <v>0</v>
      </c>
    </row>
    <row r="14253" spans="1:6" x14ac:dyDescent="0.25">
      <c r="A14253">
        <v>14252</v>
      </c>
      <c r="B14253">
        <v>2</v>
      </c>
      <c r="C14253">
        <v>0</v>
      </c>
      <c r="D14253">
        <v>0</v>
      </c>
      <c r="E14253">
        <v>0</v>
      </c>
      <c r="F14253">
        <v>242.11600000000001</v>
      </c>
    </row>
    <row r="14254" spans="1:6" x14ac:dyDescent="0.25">
      <c r="A14254">
        <v>14253</v>
      </c>
      <c r="B14254">
        <v>10</v>
      </c>
      <c r="C14254">
        <v>1</v>
      </c>
      <c r="D14254">
        <v>0</v>
      </c>
      <c r="E14254">
        <v>0</v>
      </c>
      <c r="F14254">
        <v>5146</v>
      </c>
    </row>
    <row r="14255" spans="1:6" x14ac:dyDescent="0.25">
      <c r="A14255">
        <v>14254</v>
      </c>
      <c r="B14255">
        <v>13</v>
      </c>
      <c r="C14255">
        <v>0</v>
      </c>
      <c r="D14255">
        <v>0</v>
      </c>
      <c r="E14255">
        <v>0</v>
      </c>
      <c r="F14255">
        <v>1613</v>
      </c>
    </row>
    <row r="14256" spans="1:6" x14ac:dyDescent="0.25">
      <c r="A14256">
        <v>14255</v>
      </c>
      <c r="B14256">
        <v>41</v>
      </c>
      <c r="C14256">
        <v>0</v>
      </c>
      <c r="D14256">
        <v>0</v>
      </c>
      <c r="E14256">
        <v>0</v>
      </c>
      <c r="F14256">
        <v>1</v>
      </c>
    </row>
    <row r="14257" spans="1:6" x14ac:dyDescent="0.25">
      <c r="A14257">
        <v>14256</v>
      </c>
      <c r="B14257">
        <v>42</v>
      </c>
      <c r="C14257">
        <v>0</v>
      </c>
      <c r="D14257">
        <v>0</v>
      </c>
      <c r="E14257">
        <v>0</v>
      </c>
      <c r="F14257">
        <v>0.2</v>
      </c>
    </row>
    <row r="14258" spans="1:6" x14ac:dyDescent="0.25">
      <c r="A14258">
        <v>14257</v>
      </c>
      <c r="B14258" t="s">
        <v>0</v>
      </c>
      <c r="C14258">
        <v>30</v>
      </c>
      <c r="D14258">
        <v>3504</v>
      </c>
      <c r="E14258">
        <v>80586361</v>
      </c>
    </row>
    <row r="14259" spans="1:6" x14ac:dyDescent="0.25">
      <c r="A14259">
        <v>14258</v>
      </c>
      <c r="B14259">
        <v>43</v>
      </c>
      <c r="C14259">
        <v>0</v>
      </c>
      <c r="D14259">
        <v>0</v>
      </c>
      <c r="E14259">
        <v>0</v>
      </c>
      <c r="F14259">
        <v>0</v>
      </c>
    </row>
    <row r="14260" spans="1:6" x14ac:dyDescent="0.25">
      <c r="A14260">
        <v>14259</v>
      </c>
      <c r="B14260">
        <v>44</v>
      </c>
      <c r="C14260">
        <v>0</v>
      </c>
      <c r="D14260">
        <v>0</v>
      </c>
      <c r="E14260">
        <v>0</v>
      </c>
      <c r="F14260">
        <v>20.135100000000001</v>
      </c>
    </row>
    <row r="14261" spans="1:6" x14ac:dyDescent="0.25">
      <c r="A14261">
        <v>14260</v>
      </c>
      <c r="B14261" t="s">
        <v>0</v>
      </c>
      <c r="C14261">
        <v>31</v>
      </c>
      <c r="D14261">
        <v>3504</v>
      </c>
      <c r="E14261">
        <v>80586498</v>
      </c>
    </row>
    <row r="14262" spans="1:6" x14ac:dyDescent="0.25">
      <c r="A14262">
        <v>14261</v>
      </c>
      <c r="B14262">
        <v>45</v>
      </c>
      <c r="C14262">
        <v>0</v>
      </c>
      <c r="D14262">
        <v>0</v>
      </c>
      <c r="E14262">
        <v>0</v>
      </c>
      <c r="F14262">
        <v>517.14</v>
      </c>
    </row>
    <row r="14263" spans="1:6" x14ac:dyDescent="0.25">
      <c r="A14263">
        <v>14262</v>
      </c>
      <c r="B14263">
        <v>46</v>
      </c>
      <c r="C14263">
        <v>0</v>
      </c>
      <c r="D14263">
        <v>0</v>
      </c>
      <c r="E14263">
        <v>0</v>
      </c>
      <c r="F14263">
        <v>0</v>
      </c>
    </row>
    <row r="14264" spans="1:6" x14ac:dyDescent="0.25">
      <c r="A14264">
        <v>14263</v>
      </c>
      <c r="B14264" t="s">
        <v>0</v>
      </c>
      <c r="C14264">
        <v>32</v>
      </c>
      <c r="D14264">
        <v>3504</v>
      </c>
      <c r="E14264">
        <v>80586635</v>
      </c>
    </row>
    <row r="14265" spans="1:6" x14ac:dyDescent="0.25">
      <c r="A14265">
        <v>14264</v>
      </c>
      <c r="B14265">
        <v>2</v>
      </c>
      <c r="C14265">
        <v>0</v>
      </c>
      <c r="D14265">
        <v>0</v>
      </c>
      <c r="E14265">
        <v>0</v>
      </c>
      <c r="F14265">
        <v>242.11600000000001</v>
      </c>
    </row>
    <row r="14266" spans="1:6" x14ac:dyDescent="0.25">
      <c r="A14266">
        <v>14265</v>
      </c>
      <c r="B14266">
        <v>10</v>
      </c>
      <c r="C14266">
        <v>1</v>
      </c>
      <c r="D14266">
        <v>0</v>
      </c>
      <c r="E14266">
        <v>0</v>
      </c>
      <c r="F14266">
        <v>5147</v>
      </c>
    </row>
    <row r="14267" spans="1:6" x14ac:dyDescent="0.25">
      <c r="A14267">
        <v>14266</v>
      </c>
      <c r="B14267" t="s">
        <v>0</v>
      </c>
      <c r="C14267">
        <v>33</v>
      </c>
      <c r="D14267">
        <v>3504</v>
      </c>
      <c r="E14267">
        <v>80586772</v>
      </c>
    </row>
    <row r="14268" spans="1:6" x14ac:dyDescent="0.25">
      <c r="A14268">
        <v>14267</v>
      </c>
      <c r="B14268">
        <v>13</v>
      </c>
      <c r="C14268">
        <v>0</v>
      </c>
      <c r="D14268">
        <v>0</v>
      </c>
      <c r="E14268">
        <v>0</v>
      </c>
      <c r="F14268">
        <v>1613</v>
      </c>
    </row>
    <row r="14269" spans="1:6" x14ac:dyDescent="0.25">
      <c r="A14269">
        <v>14268</v>
      </c>
      <c r="B14269">
        <v>41</v>
      </c>
      <c r="C14269">
        <v>0</v>
      </c>
      <c r="D14269">
        <v>0</v>
      </c>
      <c r="E14269">
        <v>0</v>
      </c>
      <c r="F14269">
        <v>1</v>
      </c>
    </row>
    <row r="14270" spans="1:6" x14ac:dyDescent="0.25">
      <c r="A14270">
        <v>14269</v>
      </c>
      <c r="B14270" t="s">
        <v>0</v>
      </c>
      <c r="C14270">
        <v>34</v>
      </c>
      <c r="D14270">
        <v>3504</v>
      </c>
      <c r="E14270">
        <v>80586909</v>
      </c>
    </row>
    <row r="14271" spans="1:6" x14ac:dyDescent="0.25">
      <c r="A14271">
        <v>14270</v>
      </c>
      <c r="B14271">
        <v>42</v>
      </c>
      <c r="C14271">
        <v>0</v>
      </c>
      <c r="D14271">
        <v>0</v>
      </c>
      <c r="E14271">
        <v>0</v>
      </c>
      <c r="F14271">
        <v>0.2</v>
      </c>
    </row>
    <row r="14272" spans="1:6" x14ac:dyDescent="0.25">
      <c r="A14272">
        <v>14271</v>
      </c>
      <c r="B14272">
        <v>43</v>
      </c>
      <c r="C14272">
        <v>0</v>
      </c>
      <c r="D14272">
        <v>0</v>
      </c>
      <c r="E14272">
        <v>0</v>
      </c>
      <c r="F14272">
        <v>0</v>
      </c>
    </row>
    <row r="14273" spans="1:6" x14ac:dyDescent="0.25">
      <c r="A14273">
        <v>14272</v>
      </c>
      <c r="B14273" t="s">
        <v>0</v>
      </c>
      <c r="C14273">
        <v>35</v>
      </c>
      <c r="D14273">
        <v>3504</v>
      </c>
      <c r="E14273">
        <v>80587046</v>
      </c>
    </row>
    <row r="14274" spans="1:6" x14ac:dyDescent="0.25">
      <c r="A14274">
        <v>14273</v>
      </c>
      <c r="B14274">
        <v>45</v>
      </c>
      <c r="C14274">
        <v>0</v>
      </c>
      <c r="D14274">
        <v>0</v>
      </c>
      <c r="E14274">
        <v>0</v>
      </c>
      <c r="F14274">
        <v>517.16200000000003</v>
      </c>
    </row>
    <row r="14275" spans="1:6" x14ac:dyDescent="0.25">
      <c r="A14275">
        <v>14274</v>
      </c>
      <c r="B14275" t="s">
        <v>0</v>
      </c>
      <c r="C14275">
        <v>36</v>
      </c>
      <c r="D14275">
        <v>3504</v>
      </c>
      <c r="E14275">
        <v>80587183</v>
      </c>
    </row>
    <row r="14276" spans="1:6" x14ac:dyDescent="0.25">
      <c r="A14276">
        <v>14275</v>
      </c>
      <c r="B14276">
        <v>2</v>
      </c>
      <c r="C14276">
        <v>0</v>
      </c>
      <c r="D14276">
        <v>0</v>
      </c>
      <c r="E14276">
        <v>0</v>
      </c>
      <c r="F14276">
        <v>242.11699999999999</v>
      </c>
    </row>
    <row r="14277" spans="1:6" x14ac:dyDescent="0.25">
      <c r="A14277">
        <v>14276</v>
      </c>
      <c r="B14277" t="s">
        <v>0</v>
      </c>
      <c r="C14277">
        <v>37</v>
      </c>
      <c r="D14277">
        <v>3504</v>
      </c>
      <c r="E14277">
        <v>80587321</v>
      </c>
    </row>
    <row r="14278" spans="1:6" x14ac:dyDescent="0.25">
      <c r="A14278">
        <v>14277</v>
      </c>
      <c r="B14278">
        <v>13</v>
      </c>
      <c r="C14278">
        <v>0</v>
      </c>
      <c r="D14278">
        <v>0</v>
      </c>
      <c r="E14278">
        <v>0</v>
      </c>
      <c r="F14278">
        <v>1613</v>
      </c>
    </row>
    <row r="14279" spans="1:6" x14ac:dyDescent="0.25">
      <c r="A14279">
        <v>14278</v>
      </c>
      <c r="B14279" t="s">
        <v>0</v>
      </c>
      <c r="C14279">
        <v>38</v>
      </c>
      <c r="D14279">
        <v>3504</v>
      </c>
      <c r="E14279">
        <v>80587458</v>
      </c>
    </row>
    <row r="14280" spans="1:6" x14ac:dyDescent="0.25">
      <c r="A14280">
        <v>14279</v>
      </c>
      <c r="B14280">
        <v>42</v>
      </c>
      <c r="C14280">
        <v>0</v>
      </c>
      <c r="D14280">
        <v>0</v>
      </c>
      <c r="E14280">
        <v>0</v>
      </c>
      <c r="F14280">
        <v>0.2</v>
      </c>
    </row>
    <row r="14281" spans="1:6" x14ac:dyDescent="0.25">
      <c r="A14281">
        <v>14280</v>
      </c>
      <c r="B14281" t="s">
        <v>0</v>
      </c>
      <c r="C14281">
        <v>39</v>
      </c>
      <c r="D14281">
        <v>3504</v>
      </c>
      <c r="E14281">
        <v>80587595</v>
      </c>
    </row>
    <row r="14282" spans="1:6" x14ac:dyDescent="0.25">
      <c r="A14282">
        <v>14281</v>
      </c>
      <c r="B14282">
        <v>44</v>
      </c>
      <c r="C14282">
        <v>0</v>
      </c>
      <c r="D14282">
        <v>0</v>
      </c>
      <c r="E14282">
        <v>0</v>
      </c>
      <c r="F14282">
        <v>20.433599999999998</v>
      </c>
    </row>
    <row r="14283" spans="1:6" x14ac:dyDescent="0.25">
      <c r="A14283">
        <v>14282</v>
      </c>
      <c r="B14283" t="s">
        <v>0</v>
      </c>
      <c r="C14283">
        <v>40</v>
      </c>
      <c r="D14283">
        <v>3504</v>
      </c>
      <c r="E14283">
        <v>80587732</v>
      </c>
    </row>
    <row r="14284" spans="1:6" x14ac:dyDescent="0.25">
      <c r="A14284">
        <v>14283</v>
      </c>
      <c r="B14284">
        <v>46</v>
      </c>
      <c r="C14284">
        <v>0</v>
      </c>
      <c r="D14284">
        <v>0</v>
      </c>
      <c r="E14284">
        <v>0</v>
      </c>
      <c r="F14284">
        <v>0</v>
      </c>
    </row>
    <row r="14285" spans="1:6" x14ac:dyDescent="0.25">
      <c r="A14285">
        <v>14284</v>
      </c>
      <c r="B14285">
        <v>2</v>
      </c>
      <c r="C14285">
        <v>0</v>
      </c>
      <c r="D14285">
        <v>0</v>
      </c>
      <c r="E14285">
        <v>0</v>
      </c>
      <c r="F14285">
        <v>242.11699999999999</v>
      </c>
    </row>
    <row r="14286" spans="1:6" x14ac:dyDescent="0.25">
      <c r="A14286">
        <v>14285</v>
      </c>
      <c r="B14286">
        <v>10</v>
      </c>
      <c r="C14286">
        <v>1</v>
      </c>
      <c r="D14286">
        <v>0</v>
      </c>
      <c r="E14286">
        <v>0</v>
      </c>
      <c r="F14286">
        <v>5149</v>
      </c>
    </row>
    <row r="14287" spans="1:6" x14ac:dyDescent="0.25">
      <c r="A14287">
        <v>14286</v>
      </c>
      <c r="B14287">
        <v>13</v>
      </c>
      <c r="C14287">
        <v>0</v>
      </c>
      <c r="D14287">
        <v>0</v>
      </c>
      <c r="E14287">
        <v>0</v>
      </c>
      <c r="F14287">
        <v>1613</v>
      </c>
    </row>
    <row r="14288" spans="1:6" x14ac:dyDescent="0.25">
      <c r="A14288">
        <v>14287</v>
      </c>
      <c r="B14288">
        <v>41</v>
      </c>
      <c r="C14288">
        <v>0</v>
      </c>
      <c r="D14288">
        <v>0</v>
      </c>
      <c r="E14288">
        <v>0</v>
      </c>
      <c r="F14288">
        <v>1</v>
      </c>
    </row>
    <row r="14289" spans="1:6" x14ac:dyDescent="0.25">
      <c r="A14289">
        <v>14288</v>
      </c>
      <c r="B14289">
        <v>42</v>
      </c>
      <c r="C14289">
        <v>0</v>
      </c>
      <c r="D14289">
        <v>0</v>
      </c>
      <c r="E14289">
        <v>0</v>
      </c>
      <c r="F14289">
        <v>0.2</v>
      </c>
    </row>
    <row r="14290" spans="1:6" x14ac:dyDescent="0.25">
      <c r="A14290">
        <v>14289</v>
      </c>
      <c r="B14290">
        <v>43</v>
      </c>
      <c r="C14290">
        <v>0</v>
      </c>
      <c r="D14290">
        <v>0</v>
      </c>
      <c r="E14290">
        <v>0</v>
      </c>
      <c r="F14290">
        <v>0</v>
      </c>
    </row>
    <row r="14291" spans="1:6" x14ac:dyDescent="0.25">
      <c r="A14291">
        <v>14290</v>
      </c>
      <c r="B14291">
        <v>44</v>
      </c>
      <c r="C14291">
        <v>0</v>
      </c>
      <c r="D14291">
        <v>0</v>
      </c>
      <c r="E14291">
        <v>0</v>
      </c>
      <c r="F14291">
        <v>20.5838</v>
      </c>
    </row>
    <row r="14292" spans="1:6" x14ac:dyDescent="0.25">
      <c r="A14292">
        <v>14291</v>
      </c>
      <c r="B14292">
        <v>45</v>
      </c>
      <c r="C14292">
        <v>0</v>
      </c>
      <c r="D14292">
        <v>0</v>
      </c>
      <c r="E14292">
        <v>0</v>
      </c>
      <c r="F14292">
        <v>517.21299999999997</v>
      </c>
    </row>
    <row r="14293" spans="1:6" x14ac:dyDescent="0.25">
      <c r="A14293">
        <v>14292</v>
      </c>
      <c r="B14293">
        <v>46</v>
      </c>
      <c r="C14293">
        <v>0</v>
      </c>
      <c r="D14293">
        <v>0</v>
      </c>
      <c r="E14293">
        <v>0</v>
      </c>
      <c r="F14293">
        <v>0</v>
      </c>
    </row>
    <row r="14294" spans="1:6" x14ac:dyDescent="0.25">
      <c r="A14294">
        <v>14293</v>
      </c>
      <c r="B14294">
        <v>2</v>
      </c>
      <c r="C14294">
        <v>0</v>
      </c>
      <c r="D14294">
        <v>0</v>
      </c>
      <c r="E14294">
        <v>0</v>
      </c>
      <c r="F14294">
        <v>242.11199999999999</v>
      </c>
    </row>
    <row r="14295" spans="1:6" x14ac:dyDescent="0.25">
      <c r="A14295">
        <v>14294</v>
      </c>
      <c r="B14295">
        <v>10</v>
      </c>
      <c r="C14295">
        <v>1</v>
      </c>
      <c r="D14295">
        <v>0</v>
      </c>
      <c r="E14295">
        <v>0</v>
      </c>
      <c r="F14295">
        <v>5150</v>
      </c>
    </row>
    <row r="14296" spans="1:6" x14ac:dyDescent="0.25">
      <c r="A14296">
        <v>14295</v>
      </c>
      <c r="B14296">
        <v>13</v>
      </c>
      <c r="C14296">
        <v>0</v>
      </c>
      <c r="D14296">
        <v>0</v>
      </c>
      <c r="E14296">
        <v>0</v>
      </c>
      <c r="F14296">
        <v>1613</v>
      </c>
    </row>
    <row r="14297" spans="1:6" x14ac:dyDescent="0.25">
      <c r="A14297">
        <v>14296</v>
      </c>
      <c r="B14297">
        <v>41</v>
      </c>
      <c r="C14297">
        <v>0</v>
      </c>
      <c r="D14297">
        <v>0</v>
      </c>
      <c r="E14297">
        <v>0</v>
      </c>
      <c r="F14297">
        <v>1</v>
      </c>
    </row>
    <row r="14298" spans="1:6" x14ac:dyDescent="0.25">
      <c r="A14298">
        <v>14297</v>
      </c>
      <c r="B14298" t="s">
        <v>0</v>
      </c>
      <c r="C14298">
        <v>47</v>
      </c>
      <c r="D14298">
        <v>3504</v>
      </c>
      <c r="E14298">
        <v>80588693</v>
      </c>
    </row>
    <row r="14299" spans="1:6" x14ac:dyDescent="0.25">
      <c r="A14299">
        <v>14298</v>
      </c>
      <c r="B14299">
        <v>42</v>
      </c>
      <c r="C14299">
        <v>0</v>
      </c>
      <c r="D14299">
        <v>0</v>
      </c>
      <c r="E14299">
        <v>0</v>
      </c>
      <c r="F14299">
        <v>0.2</v>
      </c>
    </row>
    <row r="14300" spans="1:6" x14ac:dyDescent="0.25">
      <c r="A14300">
        <v>14299</v>
      </c>
      <c r="B14300">
        <v>43</v>
      </c>
      <c r="C14300">
        <v>0</v>
      </c>
      <c r="D14300">
        <v>0</v>
      </c>
      <c r="E14300">
        <v>0</v>
      </c>
      <c r="F14300">
        <v>0</v>
      </c>
    </row>
    <row r="14301" spans="1:6" x14ac:dyDescent="0.25">
      <c r="A14301">
        <v>14300</v>
      </c>
      <c r="B14301" t="s">
        <v>0</v>
      </c>
      <c r="C14301">
        <v>48</v>
      </c>
      <c r="D14301">
        <v>3504</v>
      </c>
      <c r="E14301">
        <v>80588831</v>
      </c>
    </row>
    <row r="14302" spans="1:6" x14ac:dyDescent="0.25">
      <c r="A14302">
        <v>14301</v>
      </c>
      <c r="B14302">
        <v>44</v>
      </c>
      <c r="C14302">
        <v>0</v>
      </c>
      <c r="D14302">
        <v>0</v>
      </c>
      <c r="E14302">
        <v>0</v>
      </c>
      <c r="F14302">
        <v>20.7638</v>
      </c>
    </row>
    <row r="14303" spans="1:6" x14ac:dyDescent="0.25">
      <c r="A14303">
        <v>14302</v>
      </c>
      <c r="B14303">
        <v>45</v>
      </c>
      <c r="C14303">
        <v>0</v>
      </c>
      <c r="D14303">
        <v>0</v>
      </c>
      <c r="E14303">
        <v>0</v>
      </c>
      <c r="F14303">
        <v>517.23599999999999</v>
      </c>
    </row>
    <row r="14304" spans="1:6" x14ac:dyDescent="0.25">
      <c r="A14304">
        <v>14303</v>
      </c>
      <c r="B14304" t="s">
        <v>0</v>
      </c>
      <c r="C14304">
        <v>49</v>
      </c>
      <c r="D14304">
        <v>3504</v>
      </c>
      <c r="E14304">
        <v>80588968</v>
      </c>
    </row>
    <row r="14305" spans="1:6" x14ac:dyDescent="0.25">
      <c r="A14305">
        <v>14304</v>
      </c>
      <c r="B14305">
        <v>46</v>
      </c>
      <c r="C14305">
        <v>0</v>
      </c>
      <c r="D14305">
        <v>0</v>
      </c>
      <c r="E14305">
        <v>0</v>
      </c>
      <c r="F14305">
        <v>0</v>
      </c>
    </row>
    <row r="14306" spans="1:6" x14ac:dyDescent="0.25">
      <c r="A14306">
        <v>14305</v>
      </c>
      <c r="B14306">
        <v>2</v>
      </c>
      <c r="C14306">
        <v>0</v>
      </c>
      <c r="D14306">
        <v>0</v>
      </c>
      <c r="E14306">
        <v>0</v>
      </c>
      <c r="F14306">
        <v>242.11799999999999</v>
      </c>
    </row>
    <row r="14307" spans="1:6" x14ac:dyDescent="0.25">
      <c r="A14307">
        <v>14306</v>
      </c>
      <c r="B14307" t="s">
        <v>0</v>
      </c>
      <c r="C14307">
        <v>50</v>
      </c>
      <c r="D14307">
        <v>3504</v>
      </c>
      <c r="E14307">
        <v>80589105</v>
      </c>
    </row>
    <row r="14308" spans="1:6" x14ac:dyDescent="0.25">
      <c r="A14308">
        <v>14307</v>
      </c>
      <c r="B14308">
        <v>10</v>
      </c>
      <c r="C14308">
        <v>1</v>
      </c>
      <c r="D14308">
        <v>0</v>
      </c>
      <c r="E14308">
        <v>0</v>
      </c>
      <c r="F14308">
        <v>5151</v>
      </c>
    </row>
    <row r="14309" spans="1:6" x14ac:dyDescent="0.25">
      <c r="A14309">
        <v>14308</v>
      </c>
      <c r="B14309">
        <v>13</v>
      </c>
      <c r="C14309">
        <v>0</v>
      </c>
      <c r="D14309">
        <v>0</v>
      </c>
      <c r="E14309">
        <v>0</v>
      </c>
      <c r="F14309">
        <v>1613</v>
      </c>
    </row>
    <row r="14310" spans="1:6" x14ac:dyDescent="0.25">
      <c r="A14310">
        <v>14309</v>
      </c>
      <c r="B14310" t="s">
        <v>0</v>
      </c>
      <c r="C14310">
        <v>51</v>
      </c>
      <c r="D14310">
        <v>3504</v>
      </c>
      <c r="E14310">
        <v>80589242</v>
      </c>
    </row>
    <row r="14311" spans="1:6" x14ac:dyDescent="0.25">
      <c r="A14311">
        <v>14310</v>
      </c>
      <c r="B14311">
        <v>41</v>
      </c>
      <c r="C14311">
        <v>0</v>
      </c>
      <c r="D14311">
        <v>0</v>
      </c>
      <c r="E14311">
        <v>0</v>
      </c>
      <c r="F14311">
        <v>1</v>
      </c>
    </row>
    <row r="14312" spans="1:6" x14ac:dyDescent="0.25">
      <c r="A14312">
        <v>14311</v>
      </c>
      <c r="B14312">
        <v>42</v>
      </c>
      <c r="C14312">
        <v>0</v>
      </c>
      <c r="D14312">
        <v>0</v>
      </c>
      <c r="E14312">
        <v>0</v>
      </c>
      <c r="F14312">
        <v>0.2</v>
      </c>
    </row>
    <row r="14313" spans="1:6" x14ac:dyDescent="0.25">
      <c r="A14313">
        <v>14312</v>
      </c>
      <c r="B14313" t="s">
        <v>0</v>
      </c>
      <c r="C14313">
        <v>52</v>
      </c>
      <c r="D14313">
        <v>3504</v>
      </c>
      <c r="E14313">
        <v>80589380</v>
      </c>
    </row>
    <row r="14314" spans="1:6" x14ac:dyDescent="0.25">
      <c r="A14314">
        <v>14313</v>
      </c>
      <c r="B14314">
        <v>44</v>
      </c>
      <c r="C14314">
        <v>0</v>
      </c>
      <c r="D14314">
        <v>0</v>
      </c>
      <c r="E14314">
        <v>0</v>
      </c>
      <c r="F14314">
        <v>20.8826</v>
      </c>
    </row>
    <row r="14315" spans="1:6" x14ac:dyDescent="0.25">
      <c r="A14315">
        <v>14314</v>
      </c>
      <c r="B14315" t="s">
        <v>0</v>
      </c>
      <c r="C14315">
        <v>53</v>
      </c>
      <c r="D14315">
        <v>3504</v>
      </c>
      <c r="E14315">
        <v>80589517</v>
      </c>
    </row>
    <row r="14316" spans="1:6" x14ac:dyDescent="0.25">
      <c r="A14316">
        <v>14315</v>
      </c>
      <c r="B14316">
        <v>46</v>
      </c>
      <c r="C14316">
        <v>0</v>
      </c>
      <c r="D14316">
        <v>0</v>
      </c>
      <c r="E14316">
        <v>0</v>
      </c>
      <c r="F14316">
        <v>0</v>
      </c>
    </row>
    <row r="14317" spans="1:6" x14ac:dyDescent="0.25">
      <c r="A14317">
        <v>14316</v>
      </c>
      <c r="B14317" t="s">
        <v>0</v>
      </c>
      <c r="C14317">
        <v>54</v>
      </c>
      <c r="D14317">
        <v>3504</v>
      </c>
      <c r="E14317">
        <v>80589654</v>
      </c>
    </row>
    <row r="14318" spans="1:6" x14ac:dyDescent="0.25">
      <c r="A14318">
        <v>14317</v>
      </c>
      <c r="B14318">
        <v>10</v>
      </c>
      <c r="C14318">
        <v>1</v>
      </c>
      <c r="D14318">
        <v>0</v>
      </c>
      <c r="E14318">
        <v>0</v>
      </c>
      <c r="F14318">
        <v>5152</v>
      </c>
    </row>
    <row r="14319" spans="1:6" x14ac:dyDescent="0.25">
      <c r="A14319">
        <v>14318</v>
      </c>
      <c r="B14319" t="s">
        <v>0</v>
      </c>
      <c r="C14319">
        <v>55</v>
      </c>
      <c r="D14319">
        <v>3504</v>
      </c>
      <c r="E14319">
        <v>80589791</v>
      </c>
    </row>
    <row r="14320" spans="1:6" x14ac:dyDescent="0.25">
      <c r="A14320">
        <v>14319</v>
      </c>
      <c r="B14320">
        <v>41</v>
      </c>
      <c r="C14320">
        <v>0</v>
      </c>
      <c r="D14320">
        <v>0</v>
      </c>
      <c r="E14320">
        <v>0</v>
      </c>
      <c r="F14320">
        <v>1</v>
      </c>
    </row>
    <row r="14321" spans="1:6" x14ac:dyDescent="0.25">
      <c r="A14321">
        <v>14320</v>
      </c>
      <c r="B14321" t="s">
        <v>0</v>
      </c>
      <c r="C14321">
        <v>56</v>
      </c>
      <c r="D14321">
        <v>3504</v>
      </c>
      <c r="E14321">
        <v>80589929</v>
      </c>
    </row>
    <row r="14322" spans="1:6" x14ac:dyDescent="0.25">
      <c r="A14322">
        <v>14321</v>
      </c>
      <c r="B14322">
        <v>43</v>
      </c>
      <c r="C14322">
        <v>0</v>
      </c>
      <c r="D14322">
        <v>0</v>
      </c>
      <c r="E14322">
        <v>0</v>
      </c>
      <c r="F14322">
        <v>0</v>
      </c>
    </row>
    <row r="14323" spans="1:6" x14ac:dyDescent="0.25">
      <c r="A14323">
        <v>14322</v>
      </c>
      <c r="B14323" t="s">
        <v>0</v>
      </c>
      <c r="C14323">
        <v>57</v>
      </c>
      <c r="D14323">
        <v>3504</v>
      </c>
      <c r="E14323">
        <v>80590066</v>
      </c>
    </row>
    <row r="14324" spans="1:6" x14ac:dyDescent="0.25">
      <c r="A14324">
        <v>14323</v>
      </c>
      <c r="B14324">
        <v>45</v>
      </c>
      <c r="C14324">
        <v>0</v>
      </c>
      <c r="D14324">
        <v>0</v>
      </c>
      <c r="E14324">
        <v>0</v>
      </c>
      <c r="F14324">
        <v>517.28800000000001</v>
      </c>
    </row>
    <row r="14325" spans="1:6" x14ac:dyDescent="0.25">
      <c r="A14325">
        <v>14324</v>
      </c>
      <c r="B14325">
        <v>46</v>
      </c>
      <c r="C14325">
        <v>0</v>
      </c>
      <c r="D14325">
        <v>0</v>
      </c>
      <c r="E14325">
        <v>0</v>
      </c>
      <c r="F14325">
        <v>0</v>
      </c>
    </row>
    <row r="14326" spans="1:6" x14ac:dyDescent="0.25">
      <c r="A14326">
        <v>14325</v>
      </c>
      <c r="B14326">
        <v>2</v>
      </c>
      <c r="C14326">
        <v>0</v>
      </c>
      <c r="D14326">
        <v>0</v>
      </c>
      <c r="E14326">
        <v>0</v>
      </c>
      <c r="F14326">
        <v>242.11799999999999</v>
      </c>
    </row>
    <row r="14327" spans="1:6" x14ac:dyDescent="0.25">
      <c r="A14327">
        <v>14326</v>
      </c>
      <c r="B14327">
        <v>10</v>
      </c>
      <c r="C14327">
        <v>1</v>
      </c>
      <c r="D14327">
        <v>0</v>
      </c>
      <c r="E14327">
        <v>0</v>
      </c>
      <c r="F14327">
        <v>5153</v>
      </c>
    </row>
    <row r="14328" spans="1:6" x14ac:dyDescent="0.25">
      <c r="A14328">
        <v>14327</v>
      </c>
      <c r="B14328">
        <v>13</v>
      </c>
      <c r="C14328">
        <v>0</v>
      </c>
      <c r="D14328">
        <v>0</v>
      </c>
      <c r="E14328">
        <v>0</v>
      </c>
      <c r="F14328">
        <v>1613</v>
      </c>
    </row>
    <row r="14329" spans="1:6" x14ac:dyDescent="0.25">
      <c r="A14329">
        <v>14328</v>
      </c>
      <c r="B14329">
        <v>41</v>
      </c>
      <c r="C14329">
        <v>0</v>
      </c>
      <c r="D14329">
        <v>0</v>
      </c>
      <c r="E14329">
        <v>0</v>
      </c>
      <c r="F14329">
        <v>1</v>
      </c>
    </row>
    <row r="14330" spans="1:6" x14ac:dyDescent="0.25">
      <c r="A14330">
        <v>14329</v>
      </c>
      <c r="B14330">
        <v>42</v>
      </c>
      <c r="C14330">
        <v>0</v>
      </c>
      <c r="D14330">
        <v>0</v>
      </c>
      <c r="E14330">
        <v>0</v>
      </c>
      <c r="F14330">
        <v>0.2</v>
      </c>
    </row>
    <row r="14331" spans="1:6" x14ac:dyDescent="0.25">
      <c r="A14331">
        <v>14330</v>
      </c>
      <c r="B14331">
        <v>43</v>
      </c>
      <c r="C14331">
        <v>0</v>
      </c>
      <c r="D14331">
        <v>0</v>
      </c>
      <c r="E14331">
        <v>0</v>
      </c>
      <c r="F14331">
        <v>0</v>
      </c>
    </row>
    <row r="14332" spans="1:6" x14ac:dyDescent="0.25">
      <c r="A14332">
        <v>14331</v>
      </c>
      <c r="B14332">
        <v>44</v>
      </c>
      <c r="C14332">
        <v>0</v>
      </c>
      <c r="D14332">
        <v>0</v>
      </c>
      <c r="E14332">
        <v>0</v>
      </c>
      <c r="F14332">
        <v>21.2075</v>
      </c>
    </row>
    <row r="14333" spans="1:6" x14ac:dyDescent="0.25">
      <c r="A14333">
        <v>14332</v>
      </c>
      <c r="B14333">
        <v>45</v>
      </c>
      <c r="C14333">
        <v>0</v>
      </c>
      <c r="D14333">
        <v>0</v>
      </c>
      <c r="E14333">
        <v>0</v>
      </c>
      <c r="F14333">
        <v>517.31100000000004</v>
      </c>
    </row>
    <row r="14334" spans="1:6" x14ac:dyDescent="0.25">
      <c r="A14334">
        <v>14333</v>
      </c>
      <c r="B14334">
        <v>46</v>
      </c>
      <c r="C14334">
        <v>0</v>
      </c>
      <c r="D14334">
        <v>0</v>
      </c>
      <c r="E14334">
        <v>0</v>
      </c>
      <c r="F14334">
        <v>0</v>
      </c>
    </row>
    <row r="14335" spans="1:6" x14ac:dyDescent="0.25">
      <c r="A14335">
        <v>14334</v>
      </c>
      <c r="B14335">
        <v>2</v>
      </c>
      <c r="C14335">
        <v>0</v>
      </c>
      <c r="D14335">
        <v>0</v>
      </c>
      <c r="E14335">
        <v>0</v>
      </c>
      <c r="F14335">
        <v>242.11799999999999</v>
      </c>
    </row>
    <row r="14336" spans="1:6" x14ac:dyDescent="0.25">
      <c r="A14336">
        <v>14335</v>
      </c>
      <c r="B14336" t="s">
        <v>0</v>
      </c>
      <c r="C14336">
        <v>63</v>
      </c>
      <c r="D14336">
        <v>3504</v>
      </c>
      <c r="E14336">
        <v>80590889</v>
      </c>
    </row>
    <row r="14337" spans="1:6" x14ac:dyDescent="0.25">
      <c r="A14337">
        <v>14336</v>
      </c>
      <c r="B14337">
        <v>10</v>
      </c>
      <c r="C14337">
        <v>1</v>
      </c>
      <c r="D14337">
        <v>0</v>
      </c>
      <c r="E14337">
        <v>0</v>
      </c>
      <c r="F14337">
        <v>5154</v>
      </c>
    </row>
    <row r="14338" spans="1:6" x14ac:dyDescent="0.25">
      <c r="A14338">
        <v>14337</v>
      </c>
      <c r="B14338">
        <v>13</v>
      </c>
      <c r="C14338">
        <v>0</v>
      </c>
      <c r="D14338">
        <v>0</v>
      </c>
      <c r="E14338">
        <v>0</v>
      </c>
      <c r="F14338">
        <v>1613</v>
      </c>
    </row>
    <row r="14339" spans="1:6" x14ac:dyDescent="0.25">
      <c r="A14339">
        <v>14338</v>
      </c>
      <c r="B14339" t="s">
        <v>0</v>
      </c>
      <c r="C14339">
        <v>64</v>
      </c>
      <c r="D14339">
        <v>3504</v>
      </c>
      <c r="E14339">
        <v>80591026</v>
      </c>
    </row>
    <row r="14340" spans="1:6" x14ac:dyDescent="0.25">
      <c r="A14340">
        <v>14339</v>
      </c>
      <c r="B14340">
        <v>41</v>
      </c>
      <c r="C14340">
        <v>0</v>
      </c>
      <c r="D14340">
        <v>0</v>
      </c>
      <c r="E14340">
        <v>0</v>
      </c>
      <c r="F14340">
        <v>1</v>
      </c>
    </row>
    <row r="14341" spans="1:6" x14ac:dyDescent="0.25">
      <c r="A14341">
        <v>14340</v>
      </c>
      <c r="B14341">
        <v>42</v>
      </c>
      <c r="C14341">
        <v>0</v>
      </c>
      <c r="D14341">
        <v>0</v>
      </c>
      <c r="E14341">
        <v>0</v>
      </c>
      <c r="F14341">
        <v>0.2</v>
      </c>
    </row>
    <row r="14342" spans="1:6" x14ac:dyDescent="0.25">
      <c r="A14342">
        <v>14341</v>
      </c>
      <c r="B14342" t="s">
        <v>0</v>
      </c>
      <c r="C14342">
        <v>65</v>
      </c>
      <c r="D14342">
        <v>3504</v>
      </c>
      <c r="E14342">
        <v>80591163</v>
      </c>
    </row>
    <row r="14343" spans="1:6" x14ac:dyDescent="0.25">
      <c r="A14343">
        <v>14342</v>
      </c>
      <c r="B14343">
        <v>43</v>
      </c>
      <c r="C14343">
        <v>0</v>
      </c>
      <c r="D14343">
        <v>0</v>
      </c>
      <c r="E14343">
        <v>0</v>
      </c>
      <c r="F14343">
        <v>0</v>
      </c>
    </row>
    <row r="14344" spans="1:6" x14ac:dyDescent="0.25">
      <c r="A14344">
        <v>14343</v>
      </c>
      <c r="B14344">
        <v>44</v>
      </c>
      <c r="C14344">
        <v>0</v>
      </c>
      <c r="D14344">
        <v>0</v>
      </c>
      <c r="E14344">
        <v>0</v>
      </c>
      <c r="F14344">
        <v>21.3324</v>
      </c>
    </row>
    <row r="14345" spans="1:6" x14ac:dyDescent="0.25">
      <c r="A14345">
        <v>14344</v>
      </c>
      <c r="B14345" t="s">
        <v>0</v>
      </c>
      <c r="C14345">
        <v>66</v>
      </c>
      <c r="D14345">
        <v>3504</v>
      </c>
      <c r="E14345">
        <v>80591300</v>
      </c>
    </row>
    <row r="14346" spans="1:6" x14ac:dyDescent="0.25">
      <c r="A14346">
        <v>14345</v>
      </c>
      <c r="B14346">
        <v>45</v>
      </c>
      <c r="C14346">
        <v>0</v>
      </c>
      <c r="D14346">
        <v>0</v>
      </c>
      <c r="E14346">
        <v>0</v>
      </c>
      <c r="F14346">
        <v>517.34</v>
      </c>
    </row>
    <row r="14347" spans="1:6" x14ac:dyDescent="0.25">
      <c r="A14347">
        <v>14346</v>
      </c>
      <c r="B14347">
        <v>46</v>
      </c>
      <c r="C14347">
        <v>0</v>
      </c>
      <c r="D14347">
        <v>0</v>
      </c>
      <c r="E14347">
        <v>0</v>
      </c>
      <c r="F14347">
        <v>0</v>
      </c>
    </row>
    <row r="14348" spans="1:6" x14ac:dyDescent="0.25">
      <c r="A14348">
        <v>14347</v>
      </c>
      <c r="B14348" t="s">
        <v>0</v>
      </c>
      <c r="C14348">
        <v>67</v>
      </c>
      <c r="D14348">
        <v>3504</v>
      </c>
      <c r="E14348">
        <v>80591437</v>
      </c>
    </row>
    <row r="14349" spans="1:6" x14ac:dyDescent="0.25">
      <c r="A14349">
        <v>14348</v>
      </c>
      <c r="B14349">
        <v>2</v>
      </c>
      <c r="C14349">
        <v>0</v>
      </c>
      <c r="D14349">
        <v>0</v>
      </c>
      <c r="E14349">
        <v>0</v>
      </c>
      <c r="F14349">
        <v>242.11799999999999</v>
      </c>
    </row>
    <row r="14350" spans="1:6" x14ac:dyDescent="0.25">
      <c r="A14350">
        <v>14349</v>
      </c>
      <c r="B14350">
        <v>10</v>
      </c>
      <c r="C14350">
        <v>1</v>
      </c>
      <c r="D14350">
        <v>0</v>
      </c>
      <c r="E14350">
        <v>0</v>
      </c>
      <c r="F14350">
        <v>5155</v>
      </c>
    </row>
    <row r="14351" spans="1:6" x14ac:dyDescent="0.25">
      <c r="A14351">
        <v>14350</v>
      </c>
      <c r="B14351" t="s">
        <v>0</v>
      </c>
      <c r="C14351">
        <v>68</v>
      </c>
      <c r="D14351">
        <v>3504</v>
      </c>
      <c r="E14351">
        <v>80591574</v>
      </c>
    </row>
    <row r="14352" spans="1:6" x14ac:dyDescent="0.25">
      <c r="A14352">
        <v>14351</v>
      </c>
      <c r="B14352">
        <v>41</v>
      </c>
      <c r="C14352">
        <v>0</v>
      </c>
      <c r="D14352">
        <v>0</v>
      </c>
      <c r="E14352">
        <v>0</v>
      </c>
      <c r="F14352">
        <v>1</v>
      </c>
    </row>
    <row r="14353" spans="1:6" x14ac:dyDescent="0.25">
      <c r="A14353">
        <v>14352</v>
      </c>
      <c r="B14353" t="s">
        <v>0</v>
      </c>
      <c r="C14353">
        <v>69</v>
      </c>
      <c r="D14353">
        <v>3504</v>
      </c>
      <c r="E14353">
        <v>80591711</v>
      </c>
    </row>
    <row r="14354" spans="1:6" x14ac:dyDescent="0.25">
      <c r="A14354">
        <v>14353</v>
      </c>
      <c r="B14354">
        <v>43</v>
      </c>
      <c r="C14354">
        <v>0</v>
      </c>
      <c r="D14354">
        <v>0</v>
      </c>
      <c r="E14354">
        <v>0</v>
      </c>
      <c r="F14354">
        <v>0</v>
      </c>
    </row>
    <row r="14355" spans="1:6" x14ac:dyDescent="0.25">
      <c r="A14355">
        <v>14354</v>
      </c>
      <c r="B14355" t="s">
        <v>0</v>
      </c>
      <c r="C14355">
        <v>70</v>
      </c>
      <c r="D14355">
        <v>3504</v>
      </c>
      <c r="E14355">
        <v>80591848</v>
      </c>
    </row>
    <row r="14356" spans="1:6" x14ac:dyDescent="0.25">
      <c r="A14356">
        <v>14355</v>
      </c>
      <c r="B14356">
        <v>45</v>
      </c>
      <c r="C14356">
        <v>0</v>
      </c>
      <c r="D14356">
        <v>0</v>
      </c>
      <c r="E14356">
        <v>0</v>
      </c>
      <c r="F14356">
        <v>517.36400000000003</v>
      </c>
    </row>
    <row r="14357" spans="1:6" x14ac:dyDescent="0.25">
      <c r="A14357">
        <v>14356</v>
      </c>
      <c r="B14357" t="s">
        <v>0</v>
      </c>
      <c r="C14357">
        <v>71</v>
      </c>
      <c r="D14357">
        <v>3504</v>
      </c>
      <c r="E14357">
        <v>80591985</v>
      </c>
    </row>
    <row r="14358" spans="1:6" x14ac:dyDescent="0.25">
      <c r="A14358">
        <v>14357</v>
      </c>
      <c r="B14358">
        <v>2</v>
      </c>
      <c r="C14358">
        <v>0</v>
      </c>
      <c r="D14358">
        <v>0</v>
      </c>
      <c r="E14358">
        <v>0</v>
      </c>
      <c r="F14358">
        <v>242.11799999999999</v>
      </c>
    </row>
    <row r="14359" spans="1:6" x14ac:dyDescent="0.25">
      <c r="A14359">
        <v>14358</v>
      </c>
      <c r="B14359" t="s">
        <v>0</v>
      </c>
      <c r="C14359">
        <v>72</v>
      </c>
      <c r="D14359">
        <v>3504</v>
      </c>
      <c r="E14359">
        <v>80592122</v>
      </c>
    </row>
    <row r="14360" spans="1:6" x14ac:dyDescent="0.25">
      <c r="A14360">
        <v>14359</v>
      </c>
      <c r="B14360">
        <v>13</v>
      </c>
      <c r="C14360">
        <v>0</v>
      </c>
      <c r="D14360">
        <v>0</v>
      </c>
      <c r="E14360">
        <v>0</v>
      </c>
      <c r="F14360">
        <v>1613</v>
      </c>
    </row>
    <row r="14361" spans="1:6" x14ac:dyDescent="0.25">
      <c r="A14361">
        <v>14360</v>
      </c>
      <c r="B14361" t="s">
        <v>0</v>
      </c>
      <c r="C14361">
        <v>73</v>
      </c>
      <c r="D14361">
        <v>3504</v>
      </c>
      <c r="E14361">
        <v>80592259</v>
      </c>
    </row>
    <row r="14362" spans="1:6" x14ac:dyDescent="0.25">
      <c r="A14362">
        <v>14361</v>
      </c>
      <c r="B14362">
        <v>42</v>
      </c>
      <c r="C14362">
        <v>0</v>
      </c>
      <c r="D14362">
        <v>0</v>
      </c>
      <c r="E14362">
        <v>0</v>
      </c>
      <c r="F14362">
        <v>0.2</v>
      </c>
    </row>
    <row r="14363" spans="1:6" x14ac:dyDescent="0.25">
      <c r="A14363">
        <v>14362</v>
      </c>
      <c r="B14363">
        <v>43</v>
      </c>
      <c r="C14363">
        <v>0</v>
      </c>
      <c r="D14363">
        <v>0</v>
      </c>
      <c r="E14363">
        <v>0</v>
      </c>
      <c r="F14363">
        <v>0</v>
      </c>
    </row>
    <row r="14364" spans="1:6" x14ac:dyDescent="0.25">
      <c r="A14364">
        <v>14363</v>
      </c>
      <c r="B14364">
        <v>44</v>
      </c>
      <c r="C14364">
        <v>0</v>
      </c>
      <c r="D14364">
        <v>0</v>
      </c>
      <c r="E14364">
        <v>0</v>
      </c>
      <c r="F14364">
        <v>21.632400000000001</v>
      </c>
    </row>
    <row r="14365" spans="1:6" x14ac:dyDescent="0.25">
      <c r="A14365">
        <v>14364</v>
      </c>
      <c r="B14365">
        <v>45</v>
      </c>
      <c r="C14365">
        <v>0</v>
      </c>
      <c r="D14365">
        <v>0</v>
      </c>
      <c r="E14365">
        <v>0</v>
      </c>
      <c r="F14365">
        <v>517.38800000000003</v>
      </c>
    </row>
    <row r="14366" spans="1:6" x14ac:dyDescent="0.25">
      <c r="A14366">
        <v>14365</v>
      </c>
      <c r="B14366">
        <v>46</v>
      </c>
      <c r="C14366">
        <v>0</v>
      </c>
      <c r="D14366">
        <v>0</v>
      </c>
      <c r="E14366">
        <v>0</v>
      </c>
      <c r="F14366">
        <v>0</v>
      </c>
    </row>
    <row r="14367" spans="1:6" x14ac:dyDescent="0.25">
      <c r="A14367">
        <v>14366</v>
      </c>
      <c r="B14367">
        <v>2</v>
      </c>
      <c r="C14367">
        <v>0</v>
      </c>
      <c r="D14367">
        <v>0</v>
      </c>
      <c r="E14367">
        <v>0</v>
      </c>
      <c r="F14367">
        <v>242.11799999999999</v>
      </c>
    </row>
    <row r="14368" spans="1:6" x14ac:dyDescent="0.25">
      <c r="A14368">
        <v>14367</v>
      </c>
      <c r="B14368">
        <v>10</v>
      </c>
      <c r="C14368">
        <v>1</v>
      </c>
      <c r="D14368">
        <v>0</v>
      </c>
      <c r="E14368">
        <v>0</v>
      </c>
      <c r="F14368">
        <v>5157</v>
      </c>
    </row>
    <row r="14369" spans="1:6" x14ac:dyDescent="0.25">
      <c r="A14369">
        <v>14368</v>
      </c>
      <c r="B14369">
        <v>13</v>
      </c>
      <c r="C14369">
        <v>0</v>
      </c>
      <c r="D14369">
        <v>0</v>
      </c>
      <c r="E14369">
        <v>0</v>
      </c>
      <c r="F14369">
        <v>1613</v>
      </c>
    </row>
    <row r="14370" spans="1:6" x14ac:dyDescent="0.25">
      <c r="A14370">
        <v>14369</v>
      </c>
      <c r="B14370">
        <v>41</v>
      </c>
      <c r="C14370">
        <v>0</v>
      </c>
      <c r="D14370">
        <v>0</v>
      </c>
      <c r="E14370">
        <v>0</v>
      </c>
      <c r="F14370">
        <v>1</v>
      </c>
    </row>
    <row r="14371" spans="1:6" x14ac:dyDescent="0.25">
      <c r="A14371">
        <v>14370</v>
      </c>
      <c r="B14371">
        <v>42</v>
      </c>
      <c r="C14371">
        <v>0</v>
      </c>
      <c r="D14371">
        <v>0</v>
      </c>
      <c r="E14371">
        <v>0</v>
      </c>
      <c r="F14371">
        <v>0.2</v>
      </c>
    </row>
    <row r="14372" spans="1:6" x14ac:dyDescent="0.25">
      <c r="A14372">
        <v>14371</v>
      </c>
      <c r="B14372">
        <v>43</v>
      </c>
      <c r="C14372">
        <v>0</v>
      </c>
      <c r="D14372">
        <v>0</v>
      </c>
      <c r="E14372">
        <v>0</v>
      </c>
      <c r="F14372">
        <v>0</v>
      </c>
    </row>
    <row r="14373" spans="1:6" x14ac:dyDescent="0.25">
      <c r="A14373">
        <v>14372</v>
      </c>
      <c r="B14373">
        <v>44</v>
      </c>
      <c r="C14373">
        <v>0</v>
      </c>
      <c r="D14373">
        <v>0</v>
      </c>
      <c r="E14373">
        <v>0</v>
      </c>
      <c r="F14373">
        <v>21.782299999999999</v>
      </c>
    </row>
    <row r="14374" spans="1:6" x14ac:dyDescent="0.25">
      <c r="A14374">
        <v>14373</v>
      </c>
      <c r="B14374">
        <v>45</v>
      </c>
      <c r="C14374">
        <v>0</v>
      </c>
      <c r="D14374">
        <v>0</v>
      </c>
      <c r="E14374">
        <v>0</v>
      </c>
      <c r="F14374">
        <v>517.41800000000001</v>
      </c>
    </row>
    <row r="14375" spans="1:6" x14ac:dyDescent="0.25">
      <c r="A14375">
        <v>14374</v>
      </c>
      <c r="B14375">
        <v>46</v>
      </c>
      <c r="C14375">
        <v>0</v>
      </c>
      <c r="D14375">
        <v>0</v>
      </c>
      <c r="E14375">
        <v>0</v>
      </c>
      <c r="F14375">
        <v>0</v>
      </c>
    </row>
    <row r="14376" spans="1:6" x14ac:dyDescent="0.25">
      <c r="A14376">
        <v>14375</v>
      </c>
      <c r="B14376" t="s">
        <v>0</v>
      </c>
      <c r="C14376">
        <v>80</v>
      </c>
      <c r="D14376">
        <v>3504</v>
      </c>
      <c r="E14376">
        <v>80593220</v>
      </c>
    </row>
    <row r="14377" spans="1:6" x14ac:dyDescent="0.25">
      <c r="A14377">
        <v>14376</v>
      </c>
      <c r="B14377">
        <v>2</v>
      </c>
      <c r="C14377">
        <v>0</v>
      </c>
      <c r="D14377">
        <v>0</v>
      </c>
      <c r="E14377">
        <v>0</v>
      </c>
      <c r="F14377">
        <v>242.11799999999999</v>
      </c>
    </row>
    <row r="14378" spans="1:6" x14ac:dyDescent="0.25">
      <c r="A14378">
        <v>14377</v>
      </c>
      <c r="B14378">
        <v>10</v>
      </c>
      <c r="C14378">
        <v>1</v>
      </c>
      <c r="D14378">
        <v>0</v>
      </c>
      <c r="E14378">
        <v>0</v>
      </c>
      <c r="F14378">
        <v>5158</v>
      </c>
    </row>
    <row r="14379" spans="1:6" x14ac:dyDescent="0.25">
      <c r="A14379">
        <v>14378</v>
      </c>
      <c r="B14379" t="s">
        <v>0</v>
      </c>
      <c r="C14379">
        <v>81</v>
      </c>
      <c r="D14379">
        <v>3504</v>
      </c>
      <c r="E14379">
        <v>80593357</v>
      </c>
    </row>
    <row r="14380" spans="1:6" x14ac:dyDescent="0.25">
      <c r="A14380">
        <v>14379</v>
      </c>
      <c r="B14380">
        <v>13</v>
      </c>
      <c r="C14380">
        <v>0</v>
      </c>
      <c r="D14380">
        <v>0</v>
      </c>
      <c r="E14380">
        <v>0</v>
      </c>
      <c r="F14380">
        <v>1613</v>
      </c>
    </row>
    <row r="14381" spans="1:6" x14ac:dyDescent="0.25">
      <c r="A14381">
        <v>14380</v>
      </c>
      <c r="B14381">
        <v>41</v>
      </c>
      <c r="C14381">
        <v>0</v>
      </c>
      <c r="D14381">
        <v>0</v>
      </c>
      <c r="E14381">
        <v>0</v>
      </c>
      <c r="F14381">
        <v>1</v>
      </c>
    </row>
    <row r="14382" spans="1:6" x14ac:dyDescent="0.25">
      <c r="A14382">
        <v>14381</v>
      </c>
      <c r="B14382" t="s">
        <v>0</v>
      </c>
      <c r="C14382">
        <v>82</v>
      </c>
      <c r="D14382">
        <v>3504</v>
      </c>
      <c r="E14382">
        <v>80593495</v>
      </c>
    </row>
    <row r="14383" spans="1:6" x14ac:dyDescent="0.25">
      <c r="A14383">
        <v>14382</v>
      </c>
      <c r="B14383">
        <v>42</v>
      </c>
      <c r="C14383">
        <v>0</v>
      </c>
      <c r="D14383">
        <v>0</v>
      </c>
      <c r="E14383">
        <v>0</v>
      </c>
      <c r="F14383">
        <v>0.2</v>
      </c>
    </row>
    <row r="14384" spans="1:6" x14ac:dyDescent="0.25">
      <c r="A14384">
        <v>14383</v>
      </c>
      <c r="B14384">
        <v>43</v>
      </c>
      <c r="C14384">
        <v>0</v>
      </c>
      <c r="D14384">
        <v>0</v>
      </c>
      <c r="E14384">
        <v>0</v>
      </c>
      <c r="F14384">
        <v>0</v>
      </c>
    </row>
    <row r="14385" spans="1:6" x14ac:dyDescent="0.25">
      <c r="A14385">
        <v>14384</v>
      </c>
      <c r="B14385" t="s">
        <v>0</v>
      </c>
      <c r="C14385">
        <v>83</v>
      </c>
      <c r="D14385">
        <v>3504</v>
      </c>
      <c r="E14385">
        <v>80593632</v>
      </c>
    </row>
    <row r="14386" spans="1:6" x14ac:dyDescent="0.25">
      <c r="A14386">
        <v>14385</v>
      </c>
      <c r="B14386">
        <v>44</v>
      </c>
      <c r="C14386">
        <v>0</v>
      </c>
      <c r="D14386">
        <v>0</v>
      </c>
      <c r="E14386">
        <v>0</v>
      </c>
      <c r="F14386">
        <v>21.9572</v>
      </c>
    </row>
    <row r="14387" spans="1:6" x14ac:dyDescent="0.25">
      <c r="A14387">
        <v>14386</v>
      </c>
      <c r="B14387">
        <v>45</v>
      </c>
      <c r="C14387">
        <v>0</v>
      </c>
      <c r="D14387">
        <v>0</v>
      </c>
      <c r="E14387">
        <v>0</v>
      </c>
      <c r="F14387">
        <v>517.44200000000001</v>
      </c>
    </row>
    <row r="14388" spans="1:6" x14ac:dyDescent="0.25">
      <c r="A14388">
        <v>14387</v>
      </c>
      <c r="B14388" t="s">
        <v>0</v>
      </c>
      <c r="C14388">
        <v>84</v>
      </c>
      <c r="D14388">
        <v>3504</v>
      </c>
      <c r="E14388">
        <v>80593769</v>
      </c>
    </row>
    <row r="14389" spans="1:6" x14ac:dyDescent="0.25">
      <c r="A14389">
        <v>14388</v>
      </c>
      <c r="B14389">
        <v>46</v>
      </c>
      <c r="C14389">
        <v>0</v>
      </c>
      <c r="D14389">
        <v>0</v>
      </c>
      <c r="E14389">
        <v>0</v>
      </c>
      <c r="F14389">
        <v>0</v>
      </c>
    </row>
    <row r="14390" spans="1:6" x14ac:dyDescent="0.25">
      <c r="A14390">
        <v>14389</v>
      </c>
      <c r="B14390">
        <v>2</v>
      </c>
      <c r="C14390">
        <v>0</v>
      </c>
      <c r="D14390">
        <v>0</v>
      </c>
      <c r="E14390">
        <v>0</v>
      </c>
      <c r="F14390">
        <v>242.11799999999999</v>
      </c>
    </row>
    <row r="14391" spans="1:6" x14ac:dyDescent="0.25">
      <c r="A14391">
        <v>14390</v>
      </c>
      <c r="B14391" t="s">
        <v>0</v>
      </c>
      <c r="C14391">
        <v>85</v>
      </c>
      <c r="D14391">
        <v>3504</v>
      </c>
      <c r="E14391">
        <v>80593906</v>
      </c>
    </row>
    <row r="14392" spans="1:6" x14ac:dyDescent="0.25">
      <c r="A14392">
        <v>14391</v>
      </c>
      <c r="B14392">
        <v>13</v>
      </c>
      <c r="C14392">
        <v>0</v>
      </c>
      <c r="D14392">
        <v>0</v>
      </c>
      <c r="E14392">
        <v>0</v>
      </c>
      <c r="F14392">
        <v>1613</v>
      </c>
    </row>
    <row r="14393" spans="1:6" x14ac:dyDescent="0.25">
      <c r="A14393">
        <v>14392</v>
      </c>
      <c r="B14393" t="s">
        <v>0</v>
      </c>
      <c r="C14393">
        <v>86</v>
      </c>
      <c r="D14393">
        <v>3504</v>
      </c>
      <c r="E14393">
        <v>80594043</v>
      </c>
    </row>
    <row r="14394" spans="1:6" x14ac:dyDescent="0.25">
      <c r="A14394">
        <v>14393</v>
      </c>
      <c r="B14394">
        <v>42</v>
      </c>
      <c r="C14394">
        <v>0</v>
      </c>
      <c r="D14394">
        <v>0</v>
      </c>
      <c r="E14394">
        <v>0</v>
      </c>
      <c r="F14394">
        <v>0.2</v>
      </c>
    </row>
    <row r="14395" spans="1:6" x14ac:dyDescent="0.25">
      <c r="A14395">
        <v>14394</v>
      </c>
      <c r="B14395" t="s">
        <v>0</v>
      </c>
      <c r="C14395">
        <v>87</v>
      </c>
      <c r="D14395">
        <v>3504</v>
      </c>
      <c r="E14395">
        <v>80594180</v>
      </c>
    </row>
    <row r="14396" spans="1:6" x14ac:dyDescent="0.25">
      <c r="A14396">
        <v>14395</v>
      </c>
      <c r="B14396">
        <v>44</v>
      </c>
      <c r="C14396">
        <v>0</v>
      </c>
      <c r="D14396">
        <v>0</v>
      </c>
      <c r="E14396">
        <v>0</v>
      </c>
      <c r="F14396">
        <v>22.0822</v>
      </c>
    </row>
    <row r="14397" spans="1:6" x14ac:dyDescent="0.25">
      <c r="A14397">
        <v>14396</v>
      </c>
      <c r="B14397" t="s">
        <v>0</v>
      </c>
      <c r="C14397">
        <v>88</v>
      </c>
      <c r="D14397">
        <v>3504</v>
      </c>
      <c r="E14397">
        <v>80594317</v>
      </c>
    </row>
    <row r="14398" spans="1:6" x14ac:dyDescent="0.25">
      <c r="A14398">
        <v>14397</v>
      </c>
      <c r="B14398">
        <v>46</v>
      </c>
      <c r="C14398">
        <v>0</v>
      </c>
      <c r="D14398">
        <v>0</v>
      </c>
      <c r="E14398">
        <v>0</v>
      </c>
      <c r="F14398">
        <v>0</v>
      </c>
    </row>
    <row r="14399" spans="1:6" x14ac:dyDescent="0.25">
      <c r="A14399">
        <v>14398</v>
      </c>
      <c r="B14399" t="s">
        <v>0</v>
      </c>
      <c r="C14399">
        <v>89</v>
      </c>
      <c r="D14399">
        <v>3504</v>
      </c>
      <c r="E14399">
        <v>80594455</v>
      </c>
    </row>
    <row r="14400" spans="1:6" x14ac:dyDescent="0.25">
      <c r="A14400">
        <v>14399</v>
      </c>
      <c r="B14400">
        <v>10</v>
      </c>
      <c r="C14400">
        <v>1</v>
      </c>
      <c r="D14400">
        <v>0</v>
      </c>
      <c r="E14400">
        <v>0</v>
      </c>
      <c r="F14400">
        <v>5160</v>
      </c>
    </row>
    <row r="14401" spans="1:6" x14ac:dyDescent="0.25">
      <c r="A14401">
        <v>14400</v>
      </c>
      <c r="B14401">
        <v>13</v>
      </c>
      <c r="C14401">
        <v>0</v>
      </c>
      <c r="D14401">
        <v>0</v>
      </c>
      <c r="E14401">
        <v>0</v>
      </c>
      <c r="F14401">
        <v>1613</v>
      </c>
    </row>
    <row r="14402" spans="1:6" x14ac:dyDescent="0.25">
      <c r="A14402">
        <v>14401</v>
      </c>
      <c r="B14402">
        <v>41</v>
      </c>
      <c r="C14402">
        <v>0</v>
      </c>
      <c r="D14402">
        <v>0</v>
      </c>
      <c r="E14402">
        <v>0</v>
      </c>
      <c r="F14402">
        <v>1</v>
      </c>
    </row>
    <row r="14403" spans="1:6" x14ac:dyDescent="0.25">
      <c r="A14403">
        <v>14402</v>
      </c>
      <c r="B14403">
        <v>42</v>
      </c>
      <c r="C14403">
        <v>0</v>
      </c>
      <c r="D14403">
        <v>0</v>
      </c>
      <c r="E14403">
        <v>0</v>
      </c>
      <c r="F14403">
        <v>0.2</v>
      </c>
    </row>
    <row r="14404" spans="1:6" x14ac:dyDescent="0.25">
      <c r="A14404">
        <v>14403</v>
      </c>
      <c r="B14404">
        <v>43</v>
      </c>
      <c r="C14404">
        <v>0</v>
      </c>
      <c r="D14404">
        <v>0</v>
      </c>
      <c r="E14404">
        <v>0</v>
      </c>
      <c r="F14404">
        <v>0</v>
      </c>
    </row>
    <row r="14405" spans="1:6" x14ac:dyDescent="0.25">
      <c r="A14405">
        <v>14404</v>
      </c>
      <c r="B14405">
        <v>44</v>
      </c>
      <c r="C14405">
        <v>0</v>
      </c>
      <c r="D14405">
        <v>0</v>
      </c>
      <c r="E14405">
        <v>0</v>
      </c>
      <c r="F14405">
        <v>22.232199999999999</v>
      </c>
    </row>
    <row r="14406" spans="1:6" x14ac:dyDescent="0.25">
      <c r="A14406">
        <v>14405</v>
      </c>
      <c r="B14406">
        <v>45</v>
      </c>
      <c r="C14406">
        <v>0</v>
      </c>
      <c r="D14406">
        <v>0</v>
      </c>
      <c r="E14406">
        <v>0</v>
      </c>
      <c r="F14406">
        <v>517.49699999999996</v>
      </c>
    </row>
    <row r="14407" spans="1:6" x14ac:dyDescent="0.25">
      <c r="A14407">
        <v>14406</v>
      </c>
      <c r="B14407">
        <v>46</v>
      </c>
      <c r="C14407">
        <v>0</v>
      </c>
      <c r="D14407">
        <v>0</v>
      </c>
      <c r="E14407">
        <v>0</v>
      </c>
      <c r="F14407">
        <v>0</v>
      </c>
    </row>
    <row r="14408" spans="1:6" x14ac:dyDescent="0.25">
      <c r="A14408">
        <v>14407</v>
      </c>
      <c r="B14408">
        <v>2</v>
      </c>
      <c r="C14408">
        <v>0</v>
      </c>
      <c r="D14408">
        <v>0</v>
      </c>
      <c r="E14408">
        <v>0</v>
      </c>
      <c r="F14408">
        <v>242.11500000000001</v>
      </c>
    </row>
    <row r="14409" spans="1:6" x14ac:dyDescent="0.25">
      <c r="A14409">
        <v>14408</v>
      </c>
      <c r="B14409">
        <v>10</v>
      </c>
      <c r="C14409">
        <v>1</v>
      </c>
      <c r="D14409">
        <v>0</v>
      </c>
      <c r="E14409">
        <v>0</v>
      </c>
      <c r="F14409">
        <v>5161</v>
      </c>
    </row>
    <row r="14410" spans="1:6" x14ac:dyDescent="0.25">
      <c r="A14410">
        <v>14409</v>
      </c>
      <c r="B14410">
        <v>13</v>
      </c>
      <c r="C14410">
        <v>0</v>
      </c>
      <c r="D14410">
        <v>0</v>
      </c>
      <c r="E14410">
        <v>0</v>
      </c>
      <c r="F14410">
        <v>1613</v>
      </c>
    </row>
    <row r="14411" spans="1:6" x14ac:dyDescent="0.25">
      <c r="A14411">
        <v>14410</v>
      </c>
      <c r="B14411">
        <v>41</v>
      </c>
      <c r="C14411">
        <v>0</v>
      </c>
      <c r="D14411">
        <v>0</v>
      </c>
      <c r="E14411">
        <v>0</v>
      </c>
      <c r="F14411">
        <v>1</v>
      </c>
    </row>
    <row r="14412" spans="1:6" x14ac:dyDescent="0.25">
      <c r="A14412">
        <v>14411</v>
      </c>
      <c r="B14412">
        <v>42</v>
      </c>
      <c r="C14412">
        <v>0</v>
      </c>
      <c r="D14412">
        <v>0</v>
      </c>
      <c r="E14412">
        <v>0</v>
      </c>
      <c r="F14412">
        <v>0.2</v>
      </c>
    </row>
    <row r="14413" spans="1:6" x14ac:dyDescent="0.25">
      <c r="A14413">
        <v>14412</v>
      </c>
      <c r="B14413">
        <v>43</v>
      </c>
      <c r="C14413">
        <v>0</v>
      </c>
      <c r="D14413">
        <v>0</v>
      </c>
      <c r="E14413">
        <v>0</v>
      </c>
      <c r="F14413">
        <v>0</v>
      </c>
    </row>
    <row r="14414" spans="1:6" x14ac:dyDescent="0.25">
      <c r="A14414">
        <v>14413</v>
      </c>
      <c r="B14414" t="s">
        <v>0</v>
      </c>
      <c r="C14414">
        <v>96</v>
      </c>
      <c r="D14414">
        <v>3504</v>
      </c>
      <c r="E14414">
        <v>80595416</v>
      </c>
    </row>
    <row r="14415" spans="1:6" x14ac:dyDescent="0.25">
      <c r="A14415">
        <v>14414</v>
      </c>
      <c r="B14415">
        <v>44</v>
      </c>
      <c r="C14415">
        <v>0</v>
      </c>
      <c r="D14415">
        <v>0</v>
      </c>
      <c r="E14415">
        <v>0</v>
      </c>
      <c r="F14415">
        <v>22.4069</v>
      </c>
    </row>
    <row r="14416" spans="1:6" x14ac:dyDescent="0.25">
      <c r="A14416">
        <v>14415</v>
      </c>
      <c r="B14416">
        <v>45</v>
      </c>
      <c r="C14416">
        <v>0</v>
      </c>
      <c r="D14416">
        <v>0</v>
      </c>
      <c r="E14416">
        <v>0</v>
      </c>
      <c r="F14416">
        <v>517.52099999999996</v>
      </c>
    </row>
    <row r="14417" spans="1:6" x14ac:dyDescent="0.25">
      <c r="A14417">
        <v>14416</v>
      </c>
      <c r="B14417" t="s">
        <v>0</v>
      </c>
      <c r="C14417">
        <v>97</v>
      </c>
      <c r="D14417">
        <v>3504</v>
      </c>
      <c r="E14417">
        <v>80595553</v>
      </c>
    </row>
    <row r="14418" spans="1:6" x14ac:dyDescent="0.25">
      <c r="A14418">
        <v>14417</v>
      </c>
      <c r="B14418">
        <v>46</v>
      </c>
      <c r="C14418">
        <v>0</v>
      </c>
      <c r="D14418">
        <v>0</v>
      </c>
      <c r="E14418">
        <v>0</v>
      </c>
      <c r="F14418">
        <v>0</v>
      </c>
    </row>
    <row r="14419" spans="1:6" x14ac:dyDescent="0.25">
      <c r="A14419">
        <v>14418</v>
      </c>
      <c r="B14419">
        <v>2</v>
      </c>
      <c r="C14419">
        <v>0</v>
      </c>
      <c r="D14419">
        <v>0</v>
      </c>
      <c r="E14419">
        <v>0</v>
      </c>
      <c r="F14419">
        <v>242.11799999999999</v>
      </c>
    </row>
    <row r="14420" spans="1:6" x14ac:dyDescent="0.25">
      <c r="A14420">
        <v>14419</v>
      </c>
      <c r="B14420" t="s">
        <v>0</v>
      </c>
      <c r="C14420">
        <v>98</v>
      </c>
      <c r="D14420">
        <v>3504</v>
      </c>
      <c r="E14420">
        <v>80595690</v>
      </c>
    </row>
    <row r="14421" spans="1:6" x14ac:dyDescent="0.25">
      <c r="A14421">
        <v>14420</v>
      </c>
      <c r="B14421">
        <v>10</v>
      </c>
      <c r="C14421">
        <v>1</v>
      </c>
      <c r="D14421">
        <v>0</v>
      </c>
      <c r="E14421">
        <v>0</v>
      </c>
      <c r="F14421">
        <v>5162</v>
      </c>
    </row>
    <row r="14422" spans="1:6" x14ac:dyDescent="0.25">
      <c r="A14422">
        <v>14421</v>
      </c>
      <c r="B14422">
        <v>13</v>
      </c>
      <c r="C14422">
        <v>0</v>
      </c>
      <c r="D14422">
        <v>0</v>
      </c>
      <c r="E14422">
        <v>0</v>
      </c>
      <c r="F14422">
        <v>1613</v>
      </c>
    </row>
    <row r="14423" spans="1:6" x14ac:dyDescent="0.25">
      <c r="A14423">
        <v>14422</v>
      </c>
      <c r="B14423" t="s">
        <v>0</v>
      </c>
      <c r="C14423">
        <v>99</v>
      </c>
      <c r="D14423">
        <v>3504</v>
      </c>
      <c r="E14423">
        <v>80595827</v>
      </c>
    </row>
    <row r="14424" spans="1:6" x14ac:dyDescent="0.25">
      <c r="A14424">
        <v>14423</v>
      </c>
      <c r="B14424">
        <v>41</v>
      </c>
      <c r="C14424">
        <v>0</v>
      </c>
      <c r="D14424">
        <v>0</v>
      </c>
      <c r="E14424">
        <v>0</v>
      </c>
      <c r="F14424">
        <v>1</v>
      </c>
    </row>
    <row r="14425" spans="1:6" x14ac:dyDescent="0.25">
      <c r="A14425">
        <v>14424</v>
      </c>
      <c r="B14425">
        <v>42</v>
      </c>
      <c r="C14425">
        <v>0</v>
      </c>
      <c r="D14425">
        <v>0</v>
      </c>
      <c r="E14425">
        <v>0</v>
      </c>
      <c r="F14425">
        <v>0.2</v>
      </c>
    </row>
    <row r="14426" spans="1:6" x14ac:dyDescent="0.25">
      <c r="A14426">
        <v>14425</v>
      </c>
      <c r="B14426" t="s">
        <v>0</v>
      </c>
      <c r="C14426">
        <v>100</v>
      </c>
      <c r="D14426">
        <v>3504</v>
      </c>
      <c r="E14426">
        <v>80595965</v>
      </c>
    </row>
    <row r="14427" spans="1:6" x14ac:dyDescent="0.25">
      <c r="A14427">
        <v>14426</v>
      </c>
      <c r="B14427">
        <v>43</v>
      </c>
      <c r="C14427">
        <v>0</v>
      </c>
      <c r="D14427">
        <v>0</v>
      </c>
      <c r="E14427">
        <v>0</v>
      </c>
      <c r="F14427">
        <v>0</v>
      </c>
    </row>
    <row r="14428" spans="1:6" x14ac:dyDescent="0.25">
      <c r="A14428">
        <v>14427</v>
      </c>
      <c r="B14428">
        <v>44</v>
      </c>
      <c r="C14428">
        <v>0</v>
      </c>
      <c r="D14428">
        <v>0</v>
      </c>
      <c r="E14428">
        <v>0</v>
      </c>
      <c r="F14428">
        <v>22.532</v>
      </c>
    </row>
    <row r="14429" spans="1:6" x14ac:dyDescent="0.25">
      <c r="A14429">
        <v>14428</v>
      </c>
      <c r="B14429" t="s">
        <v>0</v>
      </c>
      <c r="C14429">
        <v>101</v>
      </c>
      <c r="D14429">
        <v>3504</v>
      </c>
      <c r="E14429">
        <v>80596102</v>
      </c>
    </row>
    <row r="14430" spans="1:6" x14ac:dyDescent="0.25">
      <c r="A14430">
        <v>14429</v>
      </c>
      <c r="B14430">
        <v>45</v>
      </c>
      <c r="C14430">
        <v>0</v>
      </c>
      <c r="D14430">
        <v>0</v>
      </c>
      <c r="E14430">
        <v>0</v>
      </c>
      <c r="F14430">
        <v>517.55200000000002</v>
      </c>
    </row>
    <row r="14431" spans="1:6" x14ac:dyDescent="0.25">
      <c r="A14431">
        <v>14430</v>
      </c>
      <c r="B14431">
        <v>46</v>
      </c>
      <c r="C14431">
        <v>0</v>
      </c>
      <c r="D14431">
        <v>0</v>
      </c>
      <c r="E14431">
        <v>0</v>
      </c>
      <c r="F14431">
        <v>0</v>
      </c>
    </row>
    <row r="14432" spans="1:6" x14ac:dyDescent="0.25">
      <c r="A14432">
        <v>14431</v>
      </c>
      <c r="B14432" t="s">
        <v>0</v>
      </c>
      <c r="C14432">
        <v>102</v>
      </c>
      <c r="D14432">
        <v>3504</v>
      </c>
      <c r="E14432">
        <v>80596239</v>
      </c>
    </row>
    <row r="14433" spans="1:6" x14ac:dyDescent="0.25">
      <c r="A14433">
        <v>14432</v>
      </c>
      <c r="B14433">
        <v>10</v>
      </c>
      <c r="C14433">
        <v>1</v>
      </c>
      <c r="D14433">
        <v>0</v>
      </c>
      <c r="E14433">
        <v>0</v>
      </c>
      <c r="F14433">
        <v>5164</v>
      </c>
    </row>
    <row r="14434" spans="1:6" x14ac:dyDescent="0.25">
      <c r="A14434">
        <v>14433</v>
      </c>
      <c r="B14434" t="s">
        <v>0</v>
      </c>
      <c r="C14434">
        <v>103</v>
      </c>
      <c r="D14434">
        <v>3504</v>
      </c>
      <c r="E14434">
        <v>80596376</v>
      </c>
    </row>
    <row r="14435" spans="1:6" x14ac:dyDescent="0.25">
      <c r="A14435">
        <v>14434</v>
      </c>
      <c r="B14435">
        <v>41</v>
      </c>
      <c r="C14435">
        <v>0</v>
      </c>
      <c r="D14435">
        <v>0</v>
      </c>
      <c r="E14435">
        <v>0</v>
      </c>
      <c r="F14435">
        <v>1</v>
      </c>
    </row>
    <row r="14436" spans="1:6" x14ac:dyDescent="0.25">
      <c r="A14436">
        <v>14435</v>
      </c>
      <c r="B14436" t="s">
        <v>0</v>
      </c>
      <c r="C14436">
        <v>104</v>
      </c>
      <c r="D14436">
        <v>3504</v>
      </c>
      <c r="E14436">
        <v>80596514</v>
      </c>
    </row>
    <row r="14437" spans="1:6" x14ac:dyDescent="0.25">
      <c r="A14437">
        <v>14436</v>
      </c>
      <c r="B14437">
        <v>43</v>
      </c>
      <c r="C14437">
        <v>0</v>
      </c>
      <c r="D14437">
        <v>0</v>
      </c>
      <c r="E14437">
        <v>0</v>
      </c>
      <c r="F14437">
        <v>0</v>
      </c>
    </row>
    <row r="14438" spans="1:6" x14ac:dyDescent="0.25">
      <c r="A14438">
        <v>14437</v>
      </c>
      <c r="B14438" t="s">
        <v>0</v>
      </c>
      <c r="C14438">
        <v>105</v>
      </c>
      <c r="D14438">
        <v>3504</v>
      </c>
      <c r="E14438">
        <v>80596651</v>
      </c>
    </row>
    <row r="14439" spans="1:6" x14ac:dyDescent="0.25">
      <c r="A14439">
        <v>14438</v>
      </c>
      <c r="B14439">
        <v>45</v>
      </c>
      <c r="C14439">
        <v>0</v>
      </c>
      <c r="D14439">
        <v>0</v>
      </c>
      <c r="E14439">
        <v>0</v>
      </c>
      <c r="F14439">
        <v>517.577</v>
      </c>
    </row>
    <row r="14440" spans="1:6" x14ac:dyDescent="0.25">
      <c r="A14440">
        <v>14439</v>
      </c>
      <c r="B14440" t="s">
        <v>0</v>
      </c>
      <c r="C14440">
        <v>106</v>
      </c>
      <c r="D14440">
        <v>3504</v>
      </c>
      <c r="E14440">
        <v>80596788</v>
      </c>
    </row>
    <row r="14441" spans="1:6" x14ac:dyDescent="0.25">
      <c r="A14441">
        <v>14440</v>
      </c>
      <c r="B14441">
        <v>2</v>
      </c>
      <c r="C14441">
        <v>0</v>
      </c>
      <c r="D14441">
        <v>0</v>
      </c>
      <c r="E14441">
        <v>0</v>
      </c>
      <c r="F14441">
        <v>242.119</v>
      </c>
    </row>
    <row r="14442" spans="1:6" x14ac:dyDescent="0.25">
      <c r="A14442">
        <v>14441</v>
      </c>
      <c r="B14442">
        <v>10</v>
      </c>
      <c r="C14442">
        <v>1</v>
      </c>
      <c r="D14442">
        <v>0</v>
      </c>
      <c r="E14442">
        <v>0</v>
      </c>
      <c r="F14442">
        <v>5164</v>
      </c>
    </row>
    <row r="14443" spans="1:6" x14ac:dyDescent="0.25">
      <c r="A14443">
        <v>14442</v>
      </c>
      <c r="B14443">
        <v>13</v>
      </c>
      <c r="C14443">
        <v>0</v>
      </c>
      <c r="D14443">
        <v>0</v>
      </c>
      <c r="E14443">
        <v>0</v>
      </c>
      <c r="F14443">
        <v>1613</v>
      </c>
    </row>
    <row r="14444" spans="1:6" x14ac:dyDescent="0.25">
      <c r="A14444">
        <v>14443</v>
      </c>
      <c r="B14444">
        <v>41</v>
      </c>
      <c r="C14444">
        <v>0</v>
      </c>
      <c r="D14444">
        <v>0</v>
      </c>
      <c r="E14444">
        <v>0</v>
      </c>
      <c r="F14444">
        <v>1</v>
      </c>
    </row>
    <row r="14445" spans="1:6" x14ac:dyDescent="0.25">
      <c r="A14445">
        <v>14444</v>
      </c>
      <c r="B14445">
        <v>42</v>
      </c>
      <c r="C14445">
        <v>0</v>
      </c>
      <c r="D14445">
        <v>0</v>
      </c>
      <c r="E14445">
        <v>0</v>
      </c>
      <c r="F14445">
        <v>0.2</v>
      </c>
    </row>
    <row r="14446" spans="1:6" x14ac:dyDescent="0.25">
      <c r="A14446">
        <v>14445</v>
      </c>
      <c r="B14446">
        <v>43</v>
      </c>
      <c r="C14446">
        <v>0</v>
      </c>
      <c r="D14446">
        <v>0</v>
      </c>
      <c r="E14446">
        <v>0</v>
      </c>
      <c r="F14446">
        <v>0</v>
      </c>
    </row>
    <row r="14447" spans="1:6" x14ac:dyDescent="0.25">
      <c r="A14447">
        <v>14446</v>
      </c>
      <c r="B14447">
        <v>44</v>
      </c>
      <c r="C14447">
        <v>0</v>
      </c>
      <c r="D14447">
        <v>0</v>
      </c>
      <c r="E14447">
        <v>0</v>
      </c>
      <c r="F14447">
        <v>22.856300000000001</v>
      </c>
    </row>
    <row r="14448" spans="1:6" x14ac:dyDescent="0.25">
      <c r="A14448">
        <v>14447</v>
      </c>
      <c r="B14448">
        <v>45</v>
      </c>
      <c r="C14448">
        <v>0</v>
      </c>
      <c r="D14448">
        <v>0</v>
      </c>
      <c r="E14448">
        <v>0</v>
      </c>
      <c r="F14448">
        <v>517.60199999999998</v>
      </c>
    </row>
    <row r="14449" spans="1:6" x14ac:dyDescent="0.25">
      <c r="A14449">
        <v>14448</v>
      </c>
      <c r="B14449">
        <v>46</v>
      </c>
      <c r="C14449">
        <v>0</v>
      </c>
      <c r="D14449">
        <v>0</v>
      </c>
      <c r="E14449">
        <v>0</v>
      </c>
      <c r="F14449">
        <v>0</v>
      </c>
    </row>
    <row r="14450" spans="1:6" x14ac:dyDescent="0.25">
      <c r="A14450">
        <v>14449</v>
      </c>
      <c r="B14450">
        <v>2</v>
      </c>
      <c r="C14450">
        <v>0</v>
      </c>
      <c r="D14450">
        <v>0</v>
      </c>
      <c r="E14450">
        <v>0</v>
      </c>
      <c r="F14450">
        <v>242.119</v>
      </c>
    </row>
    <row r="14451" spans="1:6" x14ac:dyDescent="0.25">
      <c r="A14451">
        <v>14450</v>
      </c>
      <c r="B14451">
        <v>10</v>
      </c>
      <c r="C14451">
        <v>1</v>
      </c>
      <c r="D14451">
        <v>0</v>
      </c>
      <c r="E14451">
        <v>0</v>
      </c>
      <c r="F14451">
        <v>5165</v>
      </c>
    </row>
    <row r="14452" spans="1:6" x14ac:dyDescent="0.25">
      <c r="A14452">
        <v>14451</v>
      </c>
      <c r="B14452">
        <v>13</v>
      </c>
      <c r="C14452">
        <v>0</v>
      </c>
      <c r="D14452">
        <v>0</v>
      </c>
      <c r="E14452">
        <v>0</v>
      </c>
      <c r="F14452">
        <v>1613</v>
      </c>
    </row>
    <row r="14453" spans="1:6" x14ac:dyDescent="0.25">
      <c r="A14453">
        <v>14452</v>
      </c>
      <c r="B14453">
        <v>41</v>
      </c>
      <c r="C14453">
        <v>0</v>
      </c>
      <c r="D14453">
        <v>0</v>
      </c>
      <c r="E14453">
        <v>0</v>
      </c>
      <c r="F14453">
        <v>1</v>
      </c>
    </row>
    <row r="14454" spans="1:6" x14ac:dyDescent="0.25">
      <c r="A14454">
        <v>14453</v>
      </c>
      <c r="B14454">
        <v>42</v>
      </c>
      <c r="C14454">
        <v>0</v>
      </c>
      <c r="D14454">
        <v>0</v>
      </c>
      <c r="E14454">
        <v>0</v>
      </c>
      <c r="F14454">
        <v>0.2</v>
      </c>
    </row>
    <row r="14455" spans="1:6" x14ac:dyDescent="0.25">
      <c r="A14455">
        <v>14454</v>
      </c>
      <c r="B14455" t="s">
        <v>0</v>
      </c>
      <c r="C14455">
        <v>113</v>
      </c>
      <c r="D14455">
        <v>3504</v>
      </c>
      <c r="E14455">
        <v>80597749</v>
      </c>
    </row>
    <row r="14456" spans="1:6" x14ac:dyDescent="0.25">
      <c r="A14456">
        <v>14455</v>
      </c>
      <c r="B14456">
        <v>43</v>
      </c>
      <c r="C14456">
        <v>0</v>
      </c>
      <c r="D14456">
        <v>0</v>
      </c>
      <c r="E14456">
        <v>0</v>
      </c>
      <c r="F14456">
        <v>0</v>
      </c>
    </row>
    <row r="14457" spans="1:6" x14ac:dyDescent="0.25">
      <c r="A14457">
        <v>14456</v>
      </c>
      <c r="B14457">
        <v>44</v>
      </c>
      <c r="C14457">
        <v>0</v>
      </c>
      <c r="D14457">
        <v>0</v>
      </c>
      <c r="E14457">
        <v>0</v>
      </c>
      <c r="F14457">
        <v>22.981300000000001</v>
      </c>
    </row>
    <row r="14458" spans="1:6" x14ac:dyDescent="0.25">
      <c r="A14458">
        <v>14457</v>
      </c>
      <c r="B14458" t="s">
        <v>0</v>
      </c>
      <c r="C14458">
        <v>114</v>
      </c>
      <c r="D14458">
        <v>3504</v>
      </c>
      <c r="E14458">
        <v>80597886</v>
      </c>
    </row>
    <row r="14459" spans="1:6" x14ac:dyDescent="0.25">
      <c r="A14459">
        <v>14458</v>
      </c>
      <c r="B14459">
        <v>45</v>
      </c>
      <c r="C14459">
        <v>0</v>
      </c>
      <c r="D14459">
        <v>0</v>
      </c>
      <c r="E14459">
        <v>0</v>
      </c>
      <c r="F14459">
        <v>517.63400000000001</v>
      </c>
    </row>
    <row r="14460" spans="1:6" x14ac:dyDescent="0.25">
      <c r="A14460">
        <v>14459</v>
      </c>
      <c r="B14460">
        <v>46</v>
      </c>
      <c r="C14460">
        <v>0</v>
      </c>
      <c r="D14460">
        <v>0</v>
      </c>
      <c r="E14460">
        <v>0</v>
      </c>
      <c r="F14460">
        <v>0</v>
      </c>
    </row>
    <row r="14461" spans="1:6" x14ac:dyDescent="0.25">
      <c r="A14461">
        <v>14460</v>
      </c>
      <c r="B14461" t="s">
        <v>0</v>
      </c>
      <c r="C14461">
        <v>115</v>
      </c>
      <c r="D14461">
        <v>3504</v>
      </c>
      <c r="E14461">
        <v>80598024</v>
      </c>
    </row>
    <row r="14462" spans="1:6" x14ac:dyDescent="0.25">
      <c r="A14462">
        <v>14461</v>
      </c>
      <c r="B14462">
        <v>2</v>
      </c>
      <c r="C14462">
        <v>0</v>
      </c>
      <c r="D14462">
        <v>0</v>
      </c>
      <c r="E14462">
        <v>0</v>
      </c>
      <c r="F14462">
        <v>242.119</v>
      </c>
    </row>
    <row r="14463" spans="1:6" x14ac:dyDescent="0.25">
      <c r="A14463">
        <v>14462</v>
      </c>
      <c r="B14463">
        <v>10</v>
      </c>
      <c r="C14463">
        <v>1</v>
      </c>
      <c r="D14463">
        <v>0</v>
      </c>
      <c r="E14463">
        <v>0</v>
      </c>
      <c r="F14463">
        <v>5166</v>
      </c>
    </row>
    <row r="14464" spans="1:6" x14ac:dyDescent="0.25">
      <c r="A14464">
        <v>14463</v>
      </c>
      <c r="B14464" t="s">
        <v>0</v>
      </c>
      <c r="C14464">
        <v>116</v>
      </c>
      <c r="D14464">
        <v>3504</v>
      </c>
      <c r="E14464">
        <v>80598161</v>
      </c>
    </row>
    <row r="14465" spans="1:6" x14ac:dyDescent="0.25">
      <c r="A14465">
        <v>14464</v>
      </c>
      <c r="B14465">
        <v>13</v>
      </c>
      <c r="C14465">
        <v>0</v>
      </c>
      <c r="D14465">
        <v>0</v>
      </c>
      <c r="E14465">
        <v>0</v>
      </c>
      <c r="F14465">
        <v>1613</v>
      </c>
    </row>
    <row r="14466" spans="1:6" x14ac:dyDescent="0.25">
      <c r="A14466">
        <v>14465</v>
      </c>
      <c r="B14466">
        <v>41</v>
      </c>
      <c r="C14466">
        <v>0</v>
      </c>
      <c r="D14466">
        <v>0</v>
      </c>
      <c r="E14466">
        <v>0</v>
      </c>
      <c r="F14466">
        <v>1</v>
      </c>
    </row>
    <row r="14467" spans="1:6" x14ac:dyDescent="0.25">
      <c r="A14467">
        <v>14466</v>
      </c>
      <c r="B14467" t="s">
        <v>0</v>
      </c>
      <c r="C14467">
        <v>117</v>
      </c>
      <c r="D14467">
        <v>3504</v>
      </c>
      <c r="E14467">
        <v>80598298</v>
      </c>
    </row>
    <row r="14468" spans="1:6" x14ac:dyDescent="0.25">
      <c r="A14468">
        <v>14467</v>
      </c>
      <c r="B14468">
        <v>42</v>
      </c>
      <c r="C14468">
        <v>0</v>
      </c>
      <c r="D14468">
        <v>0</v>
      </c>
      <c r="E14468">
        <v>0</v>
      </c>
      <c r="F14468">
        <v>0.2</v>
      </c>
    </row>
    <row r="14469" spans="1:6" x14ac:dyDescent="0.25">
      <c r="A14469">
        <v>14468</v>
      </c>
      <c r="B14469">
        <v>43</v>
      </c>
      <c r="C14469">
        <v>0</v>
      </c>
      <c r="D14469">
        <v>0</v>
      </c>
      <c r="E14469">
        <v>0</v>
      </c>
      <c r="F14469">
        <v>0</v>
      </c>
    </row>
    <row r="14470" spans="1:6" x14ac:dyDescent="0.25">
      <c r="A14470">
        <v>14469</v>
      </c>
      <c r="B14470" t="s">
        <v>0</v>
      </c>
      <c r="C14470">
        <v>118</v>
      </c>
      <c r="D14470">
        <v>3504</v>
      </c>
      <c r="E14470">
        <v>80598435</v>
      </c>
    </row>
    <row r="14471" spans="1:6" x14ac:dyDescent="0.25">
      <c r="A14471">
        <v>14470</v>
      </c>
      <c r="B14471">
        <v>45</v>
      </c>
      <c r="C14471">
        <v>0</v>
      </c>
      <c r="D14471">
        <v>0</v>
      </c>
      <c r="E14471">
        <v>0</v>
      </c>
      <c r="F14471">
        <v>517.65899999999999</v>
      </c>
    </row>
    <row r="14472" spans="1:6" x14ac:dyDescent="0.25">
      <c r="A14472">
        <v>14471</v>
      </c>
      <c r="B14472" t="s">
        <v>0</v>
      </c>
      <c r="C14472">
        <v>119</v>
      </c>
      <c r="D14472">
        <v>3504</v>
      </c>
      <c r="E14472">
        <v>80598573</v>
      </c>
    </row>
    <row r="14473" spans="1:6" x14ac:dyDescent="0.25">
      <c r="A14473">
        <v>14472</v>
      </c>
      <c r="B14473">
        <v>2</v>
      </c>
      <c r="C14473">
        <v>0</v>
      </c>
      <c r="D14473">
        <v>0</v>
      </c>
      <c r="E14473">
        <v>0</v>
      </c>
      <c r="F14473">
        <v>242.11699999999999</v>
      </c>
    </row>
    <row r="14474" spans="1:6" x14ac:dyDescent="0.25">
      <c r="A14474">
        <v>14473</v>
      </c>
      <c r="B14474" t="s">
        <v>0</v>
      </c>
      <c r="C14474">
        <v>120</v>
      </c>
      <c r="D14474">
        <v>3504</v>
      </c>
      <c r="E14474">
        <v>80598710</v>
      </c>
    </row>
    <row r="14475" spans="1:6" x14ac:dyDescent="0.25">
      <c r="A14475">
        <v>14474</v>
      </c>
      <c r="B14475">
        <v>13</v>
      </c>
      <c r="C14475">
        <v>0</v>
      </c>
      <c r="D14475">
        <v>0</v>
      </c>
      <c r="E14475">
        <v>0</v>
      </c>
      <c r="F14475">
        <v>1613</v>
      </c>
    </row>
    <row r="14476" spans="1:6" x14ac:dyDescent="0.25">
      <c r="A14476">
        <v>14475</v>
      </c>
      <c r="B14476" t="s">
        <v>0</v>
      </c>
      <c r="C14476">
        <v>121</v>
      </c>
      <c r="D14476">
        <v>3504</v>
      </c>
      <c r="E14476">
        <v>80598847</v>
      </c>
    </row>
    <row r="14477" spans="1:6" x14ac:dyDescent="0.25">
      <c r="A14477">
        <v>14476</v>
      </c>
      <c r="B14477">
        <v>42</v>
      </c>
      <c r="C14477">
        <v>0</v>
      </c>
      <c r="D14477">
        <v>0</v>
      </c>
      <c r="E14477">
        <v>0</v>
      </c>
      <c r="F14477">
        <v>0.2</v>
      </c>
    </row>
    <row r="14478" spans="1:6" x14ac:dyDescent="0.25">
      <c r="A14478">
        <v>14477</v>
      </c>
      <c r="B14478" t="s">
        <v>0</v>
      </c>
      <c r="C14478">
        <v>122</v>
      </c>
      <c r="D14478">
        <v>3504</v>
      </c>
      <c r="E14478">
        <v>80598984</v>
      </c>
    </row>
    <row r="14479" spans="1:6" x14ac:dyDescent="0.25">
      <c r="A14479">
        <v>14478</v>
      </c>
      <c r="B14479">
        <v>44</v>
      </c>
      <c r="C14479">
        <v>0</v>
      </c>
      <c r="D14479">
        <v>0</v>
      </c>
      <c r="E14479">
        <v>0</v>
      </c>
      <c r="F14479">
        <v>23.281400000000001</v>
      </c>
    </row>
    <row r="14480" spans="1:6" x14ac:dyDescent="0.25">
      <c r="A14480">
        <v>14479</v>
      </c>
      <c r="B14480">
        <v>45</v>
      </c>
      <c r="C14480">
        <v>0</v>
      </c>
      <c r="D14480">
        <v>0</v>
      </c>
      <c r="E14480">
        <v>0</v>
      </c>
      <c r="F14480">
        <v>517.68499999999995</v>
      </c>
    </row>
    <row r="14481" spans="1:6" x14ac:dyDescent="0.25">
      <c r="A14481">
        <v>14480</v>
      </c>
      <c r="B14481">
        <v>46</v>
      </c>
      <c r="C14481">
        <v>0</v>
      </c>
      <c r="D14481">
        <v>0</v>
      </c>
      <c r="E14481">
        <v>0</v>
      </c>
      <c r="F14481">
        <v>0</v>
      </c>
    </row>
    <row r="14482" spans="1:6" x14ac:dyDescent="0.25">
      <c r="A14482">
        <v>14481</v>
      </c>
      <c r="B14482">
        <v>2</v>
      </c>
      <c r="C14482">
        <v>0</v>
      </c>
      <c r="D14482">
        <v>0</v>
      </c>
      <c r="E14482">
        <v>0</v>
      </c>
      <c r="F14482">
        <v>242.11799999999999</v>
      </c>
    </row>
    <row r="14483" spans="1:6" x14ac:dyDescent="0.25">
      <c r="A14483">
        <v>14482</v>
      </c>
      <c r="B14483">
        <v>10</v>
      </c>
      <c r="C14483">
        <v>1</v>
      </c>
      <c r="D14483">
        <v>0</v>
      </c>
      <c r="E14483">
        <v>0</v>
      </c>
      <c r="F14483">
        <v>5168</v>
      </c>
    </row>
    <row r="14484" spans="1:6" x14ac:dyDescent="0.25">
      <c r="A14484">
        <v>14483</v>
      </c>
      <c r="B14484">
        <v>13</v>
      </c>
      <c r="C14484">
        <v>0</v>
      </c>
      <c r="D14484">
        <v>0</v>
      </c>
      <c r="E14484">
        <v>0</v>
      </c>
      <c r="F14484">
        <v>1613</v>
      </c>
    </row>
    <row r="14485" spans="1:6" x14ac:dyDescent="0.25">
      <c r="A14485">
        <v>14484</v>
      </c>
      <c r="B14485">
        <v>41</v>
      </c>
      <c r="C14485">
        <v>0</v>
      </c>
      <c r="D14485">
        <v>0</v>
      </c>
      <c r="E14485">
        <v>0</v>
      </c>
      <c r="F14485">
        <v>1</v>
      </c>
    </row>
    <row r="14486" spans="1:6" x14ac:dyDescent="0.25">
      <c r="A14486">
        <v>14485</v>
      </c>
      <c r="B14486">
        <v>42</v>
      </c>
      <c r="C14486">
        <v>0</v>
      </c>
      <c r="D14486">
        <v>0</v>
      </c>
      <c r="E14486">
        <v>0</v>
      </c>
      <c r="F14486">
        <v>0.2</v>
      </c>
    </row>
    <row r="14487" spans="1:6" x14ac:dyDescent="0.25">
      <c r="A14487">
        <v>14486</v>
      </c>
      <c r="B14487">
        <v>43</v>
      </c>
      <c r="C14487">
        <v>0</v>
      </c>
      <c r="D14487">
        <v>0</v>
      </c>
      <c r="E14487">
        <v>0</v>
      </c>
      <c r="F14487">
        <v>0</v>
      </c>
    </row>
    <row r="14488" spans="1:6" x14ac:dyDescent="0.25">
      <c r="A14488">
        <v>14487</v>
      </c>
      <c r="B14488">
        <v>44</v>
      </c>
      <c r="C14488">
        <v>0</v>
      </c>
      <c r="D14488">
        <v>0</v>
      </c>
      <c r="E14488">
        <v>0</v>
      </c>
      <c r="F14488">
        <v>23.434699999999999</v>
      </c>
    </row>
    <row r="14489" spans="1:6" x14ac:dyDescent="0.25">
      <c r="A14489">
        <v>14488</v>
      </c>
      <c r="B14489">
        <v>45</v>
      </c>
      <c r="C14489">
        <v>0</v>
      </c>
      <c r="D14489">
        <v>0</v>
      </c>
      <c r="E14489">
        <v>0</v>
      </c>
      <c r="F14489">
        <v>517.71699999999998</v>
      </c>
    </row>
    <row r="14490" spans="1:6" x14ac:dyDescent="0.25">
      <c r="A14490">
        <v>14489</v>
      </c>
      <c r="B14490">
        <v>46</v>
      </c>
      <c r="C14490">
        <v>0</v>
      </c>
      <c r="D14490">
        <v>0</v>
      </c>
      <c r="E14490">
        <v>0</v>
      </c>
      <c r="F14490">
        <v>0</v>
      </c>
    </row>
    <row r="14491" spans="1:6" x14ac:dyDescent="0.25">
      <c r="A14491">
        <v>14490</v>
      </c>
      <c r="B14491">
        <v>2</v>
      </c>
      <c r="C14491">
        <v>0</v>
      </c>
      <c r="D14491">
        <v>0</v>
      </c>
      <c r="E14491">
        <v>0</v>
      </c>
      <c r="F14491">
        <v>242.11799999999999</v>
      </c>
    </row>
    <row r="14492" spans="1:6" x14ac:dyDescent="0.25">
      <c r="A14492">
        <v>14491</v>
      </c>
      <c r="B14492">
        <v>10</v>
      </c>
      <c r="C14492">
        <v>1</v>
      </c>
      <c r="D14492">
        <v>0</v>
      </c>
      <c r="E14492">
        <v>0</v>
      </c>
      <c r="F14492">
        <v>5169</v>
      </c>
    </row>
    <row r="14493" spans="1:6" x14ac:dyDescent="0.25">
      <c r="A14493">
        <v>14492</v>
      </c>
      <c r="B14493" t="s">
        <v>0</v>
      </c>
      <c r="C14493">
        <v>129</v>
      </c>
      <c r="D14493">
        <v>3504</v>
      </c>
      <c r="E14493">
        <v>80599944</v>
      </c>
    </row>
    <row r="14494" spans="1:6" x14ac:dyDescent="0.25">
      <c r="A14494">
        <v>14493</v>
      </c>
      <c r="B14494">
        <v>13</v>
      </c>
      <c r="C14494">
        <v>0</v>
      </c>
      <c r="D14494">
        <v>0</v>
      </c>
      <c r="E14494">
        <v>0</v>
      </c>
      <c r="F14494">
        <v>1613</v>
      </c>
    </row>
    <row r="14495" spans="1:6" x14ac:dyDescent="0.25">
      <c r="A14495">
        <v>14494</v>
      </c>
      <c r="B14495">
        <v>41</v>
      </c>
      <c r="C14495">
        <v>0</v>
      </c>
      <c r="D14495">
        <v>0</v>
      </c>
      <c r="E14495">
        <v>0</v>
      </c>
      <c r="F14495">
        <v>1</v>
      </c>
    </row>
    <row r="14496" spans="1:6" x14ac:dyDescent="0.25">
      <c r="A14496">
        <v>14495</v>
      </c>
      <c r="B14496" t="s">
        <v>0</v>
      </c>
      <c r="C14496">
        <v>130</v>
      </c>
      <c r="D14496">
        <v>3504</v>
      </c>
      <c r="E14496">
        <v>80600082</v>
      </c>
    </row>
    <row r="14497" spans="1:6" x14ac:dyDescent="0.25">
      <c r="A14497">
        <v>14496</v>
      </c>
      <c r="B14497">
        <v>42</v>
      </c>
      <c r="C14497">
        <v>0</v>
      </c>
      <c r="D14497">
        <v>0</v>
      </c>
      <c r="E14497">
        <v>0</v>
      </c>
      <c r="F14497">
        <v>0.2</v>
      </c>
    </row>
    <row r="14498" spans="1:6" x14ac:dyDescent="0.25">
      <c r="A14498">
        <v>14497</v>
      </c>
      <c r="B14498">
        <v>43</v>
      </c>
      <c r="C14498">
        <v>0</v>
      </c>
      <c r="D14498">
        <v>0</v>
      </c>
      <c r="E14498">
        <v>0</v>
      </c>
      <c r="F14498">
        <v>0</v>
      </c>
    </row>
    <row r="14499" spans="1:6" x14ac:dyDescent="0.25">
      <c r="A14499">
        <v>14498</v>
      </c>
      <c r="B14499" t="s">
        <v>0</v>
      </c>
      <c r="C14499">
        <v>131</v>
      </c>
      <c r="D14499">
        <v>3504</v>
      </c>
      <c r="E14499">
        <v>80600219</v>
      </c>
    </row>
    <row r="14500" spans="1:6" x14ac:dyDescent="0.25">
      <c r="A14500">
        <v>14499</v>
      </c>
      <c r="B14500">
        <v>44</v>
      </c>
      <c r="C14500">
        <v>0</v>
      </c>
      <c r="D14500">
        <v>0</v>
      </c>
      <c r="E14500">
        <v>0</v>
      </c>
      <c r="F14500">
        <v>23.606400000000001</v>
      </c>
    </row>
    <row r="14501" spans="1:6" x14ac:dyDescent="0.25">
      <c r="A14501">
        <v>14500</v>
      </c>
      <c r="B14501">
        <v>45</v>
      </c>
      <c r="C14501">
        <v>0</v>
      </c>
      <c r="D14501">
        <v>0</v>
      </c>
      <c r="E14501">
        <v>0</v>
      </c>
      <c r="F14501">
        <v>517.74300000000005</v>
      </c>
    </row>
    <row r="14502" spans="1:6" x14ac:dyDescent="0.25">
      <c r="A14502">
        <v>14501</v>
      </c>
      <c r="B14502" t="s">
        <v>0</v>
      </c>
      <c r="C14502">
        <v>132</v>
      </c>
      <c r="D14502">
        <v>3504</v>
      </c>
      <c r="E14502">
        <v>80600356</v>
      </c>
    </row>
    <row r="14503" spans="1:6" x14ac:dyDescent="0.25">
      <c r="A14503">
        <v>14502</v>
      </c>
      <c r="B14503">
        <v>46</v>
      </c>
      <c r="C14503">
        <v>0</v>
      </c>
      <c r="D14503">
        <v>0</v>
      </c>
      <c r="E14503">
        <v>0</v>
      </c>
      <c r="F14503">
        <v>0</v>
      </c>
    </row>
    <row r="14504" spans="1:6" x14ac:dyDescent="0.25">
      <c r="A14504">
        <v>14503</v>
      </c>
      <c r="B14504">
        <v>2</v>
      </c>
      <c r="C14504">
        <v>0</v>
      </c>
      <c r="D14504">
        <v>0</v>
      </c>
      <c r="E14504">
        <v>0</v>
      </c>
      <c r="F14504">
        <v>242.11799999999999</v>
      </c>
    </row>
    <row r="14505" spans="1:6" x14ac:dyDescent="0.25">
      <c r="A14505">
        <v>14504</v>
      </c>
      <c r="B14505" t="s">
        <v>0</v>
      </c>
      <c r="C14505">
        <v>133</v>
      </c>
      <c r="D14505">
        <v>3504</v>
      </c>
      <c r="E14505">
        <v>80600493</v>
      </c>
    </row>
    <row r="14506" spans="1:6" x14ac:dyDescent="0.25">
      <c r="A14506">
        <v>14505</v>
      </c>
      <c r="B14506">
        <v>10</v>
      </c>
      <c r="C14506">
        <v>1</v>
      </c>
      <c r="D14506">
        <v>0</v>
      </c>
      <c r="E14506">
        <v>0</v>
      </c>
      <c r="F14506">
        <v>5170</v>
      </c>
    </row>
    <row r="14507" spans="1:6" x14ac:dyDescent="0.25">
      <c r="A14507">
        <v>14506</v>
      </c>
      <c r="B14507">
        <v>13</v>
      </c>
      <c r="C14507">
        <v>0</v>
      </c>
      <c r="D14507">
        <v>0</v>
      </c>
      <c r="E14507">
        <v>0</v>
      </c>
      <c r="F14507">
        <v>1613</v>
      </c>
    </row>
    <row r="14508" spans="1:6" x14ac:dyDescent="0.25">
      <c r="A14508">
        <v>14507</v>
      </c>
      <c r="B14508" t="s">
        <v>0</v>
      </c>
      <c r="C14508">
        <v>134</v>
      </c>
      <c r="D14508">
        <v>3504</v>
      </c>
      <c r="E14508">
        <v>80600630</v>
      </c>
    </row>
    <row r="14509" spans="1:6" x14ac:dyDescent="0.25">
      <c r="A14509">
        <v>14508</v>
      </c>
      <c r="B14509">
        <v>42</v>
      </c>
      <c r="C14509">
        <v>0</v>
      </c>
      <c r="D14509">
        <v>0</v>
      </c>
      <c r="E14509">
        <v>0</v>
      </c>
      <c r="F14509">
        <v>0.2</v>
      </c>
    </row>
    <row r="14510" spans="1:6" x14ac:dyDescent="0.25">
      <c r="A14510">
        <v>14509</v>
      </c>
      <c r="B14510" t="s">
        <v>0</v>
      </c>
      <c r="C14510">
        <v>135</v>
      </c>
      <c r="D14510">
        <v>3504</v>
      </c>
      <c r="E14510">
        <v>80600767</v>
      </c>
    </row>
    <row r="14511" spans="1:6" x14ac:dyDescent="0.25">
      <c r="A14511">
        <v>14510</v>
      </c>
      <c r="B14511">
        <v>44</v>
      </c>
      <c r="C14511">
        <v>0</v>
      </c>
      <c r="D14511">
        <v>0</v>
      </c>
      <c r="E14511">
        <v>0</v>
      </c>
      <c r="F14511">
        <v>23.7316</v>
      </c>
    </row>
    <row r="14512" spans="1:6" x14ac:dyDescent="0.25">
      <c r="A14512">
        <v>14511</v>
      </c>
      <c r="B14512" t="s">
        <v>0</v>
      </c>
      <c r="C14512">
        <v>136</v>
      </c>
      <c r="D14512">
        <v>3504</v>
      </c>
      <c r="E14512">
        <v>80600904</v>
      </c>
    </row>
    <row r="14513" spans="1:6" x14ac:dyDescent="0.25">
      <c r="A14513">
        <v>14512</v>
      </c>
      <c r="B14513">
        <v>46</v>
      </c>
      <c r="C14513">
        <v>0</v>
      </c>
      <c r="D14513">
        <v>0</v>
      </c>
      <c r="E14513">
        <v>0</v>
      </c>
      <c r="F14513">
        <v>0</v>
      </c>
    </row>
    <row r="14514" spans="1:6" x14ac:dyDescent="0.25">
      <c r="A14514">
        <v>14513</v>
      </c>
      <c r="B14514" t="s">
        <v>0</v>
      </c>
      <c r="C14514">
        <v>137</v>
      </c>
      <c r="D14514">
        <v>3504</v>
      </c>
      <c r="E14514">
        <v>80601042</v>
      </c>
    </row>
    <row r="14515" spans="1:6" x14ac:dyDescent="0.25">
      <c r="A14515">
        <v>14514</v>
      </c>
      <c r="B14515">
        <v>10</v>
      </c>
      <c r="C14515">
        <v>1</v>
      </c>
      <c r="D14515">
        <v>0</v>
      </c>
      <c r="E14515">
        <v>0</v>
      </c>
      <c r="F14515">
        <v>5171</v>
      </c>
    </row>
    <row r="14516" spans="1:6" x14ac:dyDescent="0.25">
      <c r="A14516">
        <v>14515</v>
      </c>
      <c r="B14516" t="s">
        <v>0</v>
      </c>
      <c r="C14516">
        <v>138</v>
      </c>
      <c r="D14516">
        <v>3504</v>
      </c>
      <c r="E14516">
        <v>80601179</v>
      </c>
    </row>
    <row r="14517" spans="1:6" x14ac:dyDescent="0.25">
      <c r="A14517">
        <v>14516</v>
      </c>
      <c r="B14517">
        <v>41</v>
      </c>
      <c r="C14517">
        <v>0</v>
      </c>
      <c r="D14517">
        <v>0</v>
      </c>
      <c r="E14517">
        <v>0</v>
      </c>
      <c r="F14517">
        <v>1</v>
      </c>
    </row>
    <row r="14518" spans="1:6" x14ac:dyDescent="0.25">
      <c r="A14518">
        <v>14517</v>
      </c>
      <c r="B14518">
        <v>42</v>
      </c>
      <c r="C14518">
        <v>0</v>
      </c>
      <c r="D14518">
        <v>0</v>
      </c>
      <c r="E14518">
        <v>0</v>
      </c>
      <c r="F14518">
        <v>0.2</v>
      </c>
    </row>
    <row r="14519" spans="1:6" x14ac:dyDescent="0.25">
      <c r="A14519">
        <v>14518</v>
      </c>
      <c r="B14519">
        <v>43</v>
      </c>
      <c r="C14519">
        <v>0</v>
      </c>
      <c r="D14519">
        <v>0</v>
      </c>
      <c r="E14519">
        <v>0</v>
      </c>
      <c r="F14519">
        <v>0</v>
      </c>
    </row>
    <row r="14520" spans="1:6" x14ac:dyDescent="0.25">
      <c r="A14520">
        <v>14519</v>
      </c>
      <c r="B14520">
        <v>44</v>
      </c>
      <c r="C14520">
        <v>0</v>
      </c>
      <c r="D14520">
        <v>0</v>
      </c>
      <c r="E14520">
        <v>0</v>
      </c>
      <c r="F14520">
        <v>23.881499999999999</v>
      </c>
    </row>
    <row r="14521" spans="1:6" x14ac:dyDescent="0.25">
      <c r="A14521">
        <v>14520</v>
      </c>
      <c r="B14521">
        <v>45</v>
      </c>
      <c r="C14521">
        <v>0</v>
      </c>
      <c r="D14521">
        <v>0</v>
      </c>
      <c r="E14521">
        <v>0</v>
      </c>
      <c r="F14521">
        <v>517.80200000000002</v>
      </c>
    </row>
    <row r="14522" spans="1:6" x14ac:dyDescent="0.25">
      <c r="A14522">
        <v>14521</v>
      </c>
      <c r="B14522">
        <v>46</v>
      </c>
      <c r="C14522">
        <v>0</v>
      </c>
      <c r="D14522">
        <v>0</v>
      </c>
      <c r="E14522">
        <v>0</v>
      </c>
      <c r="F14522">
        <v>0</v>
      </c>
    </row>
    <row r="14523" spans="1:6" x14ac:dyDescent="0.25">
      <c r="A14523">
        <v>14522</v>
      </c>
      <c r="B14523">
        <v>2</v>
      </c>
      <c r="C14523">
        <v>0</v>
      </c>
      <c r="D14523">
        <v>0</v>
      </c>
      <c r="E14523">
        <v>0</v>
      </c>
      <c r="F14523">
        <v>242.11799999999999</v>
      </c>
    </row>
    <row r="14524" spans="1:6" x14ac:dyDescent="0.25">
      <c r="A14524">
        <v>14523</v>
      </c>
      <c r="B14524">
        <v>10</v>
      </c>
      <c r="C14524">
        <v>1</v>
      </c>
      <c r="D14524">
        <v>0</v>
      </c>
      <c r="E14524">
        <v>0</v>
      </c>
      <c r="F14524">
        <v>5172</v>
      </c>
    </row>
    <row r="14525" spans="1:6" x14ac:dyDescent="0.25">
      <c r="A14525">
        <v>14524</v>
      </c>
      <c r="B14525">
        <v>13</v>
      </c>
      <c r="C14525">
        <v>0</v>
      </c>
      <c r="D14525">
        <v>0</v>
      </c>
      <c r="E14525">
        <v>0</v>
      </c>
      <c r="F14525">
        <v>1613</v>
      </c>
    </row>
    <row r="14526" spans="1:6" x14ac:dyDescent="0.25">
      <c r="A14526">
        <v>14525</v>
      </c>
      <c r="B14526">
        <v>41</v>
      </c>
      <c r="C14526">
        <v>0</v>
      </c>
      <c r="D14526">
        <v>0</v>
      </c>
      <c r="E14526">
        <v>0</v>
      </c>
      <c r="F14526">
        <v>1</v>
      </c>
    </row>
    <row r="14527" spans="1:6" x14ac:dyDescent="0.25">
      <c r="A14527">
        <v>14526</v>
      </c>
      <c r="B14527">
        <v>42</v>
      </c>
      <c r="C14527">
        <v>0</v>
      </c>
      <c r="D14527">
        <v>0</v>
      </c>
      <c r="E14527">
        <v>0</v>
      </c>
      <c r="F14527">
        <v>0.2</v>
      </c>
    </row>
    <row r="14528" spans="1:6" x14ac:dyDescent="0.25">
      <c r="A14528">
        <v>14527</v>
      </c>
      <c r="B14528">
        <v>43</v>
      </c>
      <c r="C14528">
        <v>0</v>
      </c>
      <c r="D14528">
        <v>0</v>
      </c>
      <c r="E14528">
        <v>0</v>
      </c>
      <c r="F14528">
        <v>0</v>
      </c>
    </row>
    <row r="14529" spans="1:6" x14ac:dyDescent="0.25">
      <c r="A14529">
        <v>14528</v>
      </c>
      <c r="B14529">
        <v>44</v>
      </c>
      <c r="C14529">
        <v>0</v>
      </c>
      <c r="D14529">
        <v>0</v>
      </c>
      <c r="E14529">
        <v>0</v>
      </c>
      <c r="F14529">
        <v>24.0566</v>
      </c>
    </row>
    <row r="14530" spans="1:6" x14ac:dyDescent="0.25">
      <c r="A14530">
        <v>14529</v>
      </c>
      <c r="B14530">
        <v>45</v>
      </c>
      <c r="C14530">
        <v>0</v>
      </c>
      <c r="D14530">
        <v>0</v>
      </c>
      <c r="E14530">
        <v>0</v>
      </c>
      <c r="F14530">
        <v>517.82799999999997</v>
      </c>
    </row>
    <row r="14531" spans="1:6" x14ac:dyDescent="0.25">
      <c r="A14531">
        <v>14530</v>
      </c>
      <c r="B14531" t="s">
        <v>0</v>
      </c>
      <c r="C14531">
        <v>145</v>
      </c>
      <c r="D14531">
        <v>3504</v>
      </c>
      <c r="E14531">
        <v>80602141</v>
      </c>
    </row>
    <row r="14532" spans="1:6" x14ac:dyDescent="0.25">
      <c r="A14532">
        <v>14531</v>
      </c>
      <c r="B14532">
        <v>46</v>
      </c>
      <c r="C14532">
        <v>0</v>
      </c>
      <c r="D14532">
        <v>0</v>
      </c>
      <c r="E14532">
        <v>0</v>
      </c>
      <c r="F14532">
        <v>0</v>
      </c>
    </row>
    <row r="14533" spans="1:6" x14ac:dyDescent="0.25">
      <c r="A14533">
        <v>14532</v>
      </c>
      <c r="B14533">
        <v>2</v>
      </c>
      <c r="C14533">
        <v>0</v>
      </c>
      <c r="D14533">
        <v>0</v>
      </c>
      <c r="E14533">
        <v>0</v>
      </c>
      <c r="F14533">
        <v>242.11500000000001</v>
      </c>
    </row>
    <row r="14534" spans="1:6" x14ac:dyDescent="0.25">
      <c r="A14534">
        <v>14533</v>
      </c>
      <c r="B14534" t="s">
        <v>0</v>
      </c>
      <c r="C14534">
        <v>146</v>
      </c>
      <c r="D14534">
        <v>3504</v>
      </c>
      <c r="E14534">
        <v>80602278</v>
      </c>
    </row>
    <row r="14535" spans="1:6" x14ac:dyDescent="0.25">
      <c r="A14535">
        <v>14534</v>
      </c>
      <c r="B14535">
        <v>10</v>
      </c>
      <c r="C14535">
        <v>1</v>
      </c>
      <c r="D14535">
        <v>0</v>
      </c>
      <c r="E14535">
        <v>0</v>
      </c>
      <c r="F14535">
        <v>5173</v>
      </c>
    </row>
    <row r="14536" spans="1:6" x14ac:dyDescent="0.25">
      <c r="A14536">
        <v>14535</v>
      </c>
      <c r="B14536">
        <v>13</v>
      </c>
      <c r="C14536">
        <v>0</v>
      </c>
      <c r="D14536">
        <v>0</v>
      </c>
      <c r="E14536">
        <v>0</v>
      </c>
      <c r="F14536">
        <v>1613</v>
      </c>
    </row>
    <row r="14537" spans="1:6" x14ac:dyDescent="0.25">
      <c r="A14537">
        <v>14536</v>
      </c>
      <c r="B14537" t="s">
        <v>0</v>
      </c>
      <c r="C14537">
        <v>147</v>
      </c>
      <c r="D14537">
        <v>3504</v>
      </c>
      <c r="E14537">
        <v>80602415</v>
      </c>
    </row>
    <row r="14538" spans="1:6" x14ac:dyDescent="0.25">
      <c r="A14538">
        <v>14537</v>
      </c>
      <c r="B14538">
        <v>41</v>
      </c>
      <c r="C14538">
        <v>0</v>
      </c>
      <c r="D14538">
        <v>0</v>
      </c>
      <c r="E14538">
        <v>0</v>
      </c>
      <c r="F14538">
        <v>1</v>
      </c>
    </row>
    <row r="14539" spans="1:6" x14ac:dyDescent="0.25">
      <c r="A14539">
        <v>14538</v>
      </c>
      <c r="B14539">
        <v>42</v>
      </c>
      <c r="C14539">
        <v>0</v>
      </c>
      <c r="D14539">
        <v>0</v>
      </c>
      <c r="E14539">
        <v>0</v>
      </c>
      <c r="F14539">
        <v>0.2</v>
      </c>
    </row>
    <row r="14540" spans="1:6" x14ac:dyDescent="0.25">
      <c r="A14540">
        <v>14539</v>
      </c>
      <c r="B14540" t="s">
        <v>0</v>
      </c>
      <c r="C14540">
        <v>148</v>
      </c>
      <c r="D14540">
        <v>3504</v>
      </c>
      <c r="E14540">
        <v>80602552</v>
      </c>
    </row>
    <row r="14541" spans="1:6" x14ac:dyDescent="0.25">
      <c r="A14541">
        <v>14540</v>
      </c>
      <c r="B14541">
        <v>43</v>
      </c>
      <c r="C14541">
        <v>0</v>
      </c>
      <c r="D14541">
        <v>0</v>
      </c>
      <c r="E14541">
        <v>0</v>
      </c>
      <c r="F14541">
        <v>0</v>
      </c>
    </row>
    <row r="14542" spans="1:6" x14ac:dyDescent="0.25">
      <c r="A14542">
        <v>14541</v>
      </c>
      <c r="B14542">
        <v>44</v>
      </c>
      <c r="C14542">
        <v>0</v>
      </c>
      <c r="D14542">
        <v>0</v>
      </c>
      <c r="E14542">
        <v>0</v>
      </c>
      <c r="F14542">
        <v>24.1814</v>
      </c>
    </row>
    <row r="14543" spans="1:6" x14ac:dyDescent="0.25">
      <c r="A14543">
        <v>14542</v>
      </c>
      <c r="B14543" t="s">
        <v>0</v>
      </c>
      <c r="C14543">
        <v>149</v>
      </c>
      <c r="D14543">
        <v>3504</v>
      </c>
      <c r="E14543">
        <v>80602689</v>
      </c>
    </row>
    <row r="14544" spans="1:6" x14ac:dyDescent="0.25">
      <c r="A14544">
        <v>14543</v>
      </c>
      <c r="B14544">
        <v>45</v>
      </c>
      <c r="C14544">
        <v>0</v>
      </c>
      <c r="D14544">
        <v>0</v>
      </c>
      <c r="E14544">
        <v>0</v>
      </c>
      <c r="F14544">
        <v>517.86199999999997</v>
      </c>
    </row>
    <row r="14545" spans="1:6" x14ac:dyDescent="0.25">
      <c r="A14545">
        <v>14544</v>
      </c>
      <c r="B14545">
        <v>46</v>
      </c>
      <c r="C14545">
        <v>0</v>
      </c>
      <c r="D14545">
        <v>0</v>
      </c>
      <c r="E14545">
        <v>0</v>
      </c>
      <c r="F14545">
        <v>0</v>
      </c>
    </row>
    <row r="14546" spans="1:6" x14ac:dyDescent="0.25">
      <c r="A14546">
        <v>14545</v>
      </c>
      <c r="B14546" t="s">
        <v>0</v>
      </c>
      <c r="C14546">
        <v>150</v>
      </c>
      <c r="D14546">
        <v>3504</v>
      </c>
      <c r="E14546">
        <v>80602826</v>
      </c>
    </row>
    <row r="14547" spans="1:6" x14ac:dyDescent="0.25">
      <c r="A14547">
        <v>14546</v>
      </c>
      <c r="B14547">
        <v>2</v>
      </c>
      <c r="C14547">
        <v>0</v>
      </c>
      <c r="D14547">
        <v>0</v>
      </c>
      <c r="E14547">
        <v>0</v>
      </c>
      <c r="F14547">
        <v>242.11799999999999</v>
      </c>
    </row>
    <row r="14548" spans="1:6" x14ac:dyDescent="0.25">
      <c r="A14548">
        <v>14547</v>
      </c>
      <c r="B14548">
        <v>10</v>
      </c>
      <c r="C14548">
        <v>1</v>
      </c>
      <c r="D14548">
        <v>0</v>
      </c>
      <c r="E14548">
        <v>0</v>
      </c>
      <c r="F14548">
        <v>5174</v>
      </c>
    </row>
    <row r="14549" spans="1:6" x14ac:dyDescent="0.25">
      <c r="A14549">
        <v>14548</v>
      </c>
      <c r="B14549" t="s">
        <v>0</v>
      </c>
      <c r="C14549">
        <v>151</v>
      </c>
      <c r="D14549">
        <v>3504</v>
      </c>
      <c r="E14549">
        <v>80602963</v>
      </c>
    </row>
    <row r="14550" spans="1:6" x14ac:dyDescent="0.25">
      <c r="A14550">
        <v>14549</v>
      </c>
      <c r="B14550">
        <v>41</v>
      </c>
      <c r="C14550">
        <v>0</v>
      </c>
      <c r="D14550">
        <v>0</v>
      </c>
      <c r="E14550">
        <v>0</v>
      </c>
      <c r="F14550">
        <v>1</v>
      </c>
    </row>
    <row r="14551" spans="1:6" x14ac:dyDescent="0.25">
      <c r="A14551">
        <v>14550</v>
      </c>
      <c r="B14551" t="s">
        <v>0</v>
      </c>
      <c r="C14551">
        <v>152</v>
      </c>
      <c r="D14551">
        <v>3504</v>
      </c>
      <c r="E14551">
        <v>80603101</v>
      </c>
    </row>
    <row r="14552" spans="1:6" x14ac:dyDescent="0.25">
      <c r="A14552">
        <v>14551</v>
      </c>
      <c r="B14552">
        <v>43</v>
      </c>
      <c r="C14552">
        <v>0</v>
      </c>
      <c r="D14552">
        <v>0</v>
      </c>
      <c r="E14552">
        <v>0</v>
      </c>
      <c r="F14552">
        <v>0</v>
      </c>
    </row>
    <row r="14553" spans="1:6" x14ac:dyDescent="0.25">
      <c r="A14553">
        <v>14552</v>
      </c>
      <c r="B14553" t="s">
        <v>0</v>
      </c>
      <c r="C14553">
        <v>153</v>
      </c>
      <c r="D14553">
        <v>3504</v>
      </c>
      <c r="E14553">
        <v>80603238</v>
      </c>
    </row>
    <row r="14554" spans="1:6" x14ac:dyDescent="0.25">
      <c r="A14554">
        <v>14553</v>
      </c>
      <c r="B14554">
        <v>45</v>
      </c>
      <c r="C14554">
        <v>0</v>
      </c>
      <c r="D14554">
        <v>0</v>
      </c>
      <c r="E14554">
        <v>0</v>
      </c>
      <c r="F14554">
        <v>517.88800000000003</v>
      </c>
    </row>
    <row r="14555" spans="1:6" x14ac:dyDescent="0.25">
      <c r="A14555">
        <v>14554</v>
      </c>
      <c r="B14555" t="s">
        <v>0</v>
      </c>
      <c r="C14555">
        <v>154</v>
      </c>
      <c r="D14555">
        <v>3504</v>
      </c>
      <c r="E14555">
        <v>80603375</v>
      </c>
    </row>
    <row r="14556" spans="1:6" x14ac:dyDescent="0.25">
      <c r="A14556">
        <v>14555</v>
      </c>
      <c r="B14556">
        <v>2</v>
      </c>
      <c r="C14556">
        <v>0</v>
      </c>
      <c r="D14556">
        <v>0</v>
      </c>
      <c r="E14556">
        <v>0</v>
      </c>
      <c r="F14556">
        <v>242.11799999999999</v>
      </c>
    </row>
    <row r="14557" spans="1:6" x14ac:dyDescent="0.25">
      <c r="A14557">
        <v>14556</v>
      </c>
      <c r="B14557" t="s">
        <v>0</v>
      </c>
      <c r="C14557">
        <v>155</v>
      </c>
      <c r="D14557">
        <v>3504</v>
      </c>
      <c r="E14557">
        <v>80603512</v>
      </c>
    </row>
    <row r="14558" spans="1:6" x14ac:dyDescent="0.25">
      <c r="A14558">
        <v>14557</v>
      </c>
      <c r="B14558">
        <v>13</v>
      </c>
      <c r="C14558">
        <v>0</v>
      </c>
      <c r="D14558">
        <v>0</v>
      </c>
      <c r="E14558">
        <v>0</v>
      </c>
      <c r="F14558">
        <v>1613</v>
      </c>
    </row>
    <row r="14559" spans="1:6" x14ac:dyDescent="0.25">
      <c r="A14559">
        <v>14558</v>
      </c>
      <c r="B14559" t="s">
        <v>0</v>
      </c>
      <c r="C14559">
        <v>156</v>
      </c>
      <c r="D14559">
        <v>3504</v>
      </c>
      <c r="E14559">
        <v>80603650</v>
      </c>
    </row>
    <row r="14560" spans="1:6" x14ac:dyDescent="0.25">
      <c r="A14560">
        <v>14559</v>
      </c>
      <c r="B14560">
        <v>42</v>
      </c>
      <c r="C14560">
        <v>0</v>
      </c>
      <c r="D14560">
        <v>0</v>
      </c>
      <c r="E14560">
        <v>0</v>
      </c>
      <c r="F14560">
        <v>0.2</v>
      </c>
    </row>
    <row r="14561" spans="1:6" x14ac:dyDescent="0.25">
      <c r="A14561">
        <v>14560</v>
      </c>
      <c r="B14561">
        <v>43</v>
      </c>
      <c r="C14561">
        <v>0</v>
      </c>
      <c r="D14561">
        <v>0</v>
      </c>
      <c r="E14561">
        <v>0</v>
      </c>
      <c r="F14561">
        <v>0</v>
      </c>
    </row>
    <row r="14562" spans="1:6" x14ac:dyDescent="0.25">
      <c r="A14562">
        <v>14561</v>
      </c>
      <c r="B14562">
        <v>44</v>
      </c>
      <c r="C14562">
        <v>0</v>
      </c>
      <c r="D14562">
        <v>0</v>
      </c>
      <c r="E14562">
        <v>0</v>
      </c>
      <c r="F14562">
        <v>24.4816</v>
      </c>
    </row>
    <row r="14563" spans="1:6" x14ac:dyDescent="0.25">
      <c r="A14563">
        <v>14562</v>
      </c>
      <c r="B14563">
        <v>45</v>
      </c>
      <c r="C14563">
        <v>0</v>
      </c>
      <c r="D14563">
        <v>0</v>
      </c>
      <c r="E14563">
        <v>0</v>
      </c>
      <c r="F14563">
        <v>517.91499999999996</v>
      </c>
    </row>
    <row r="14564" spans="1:6" x14ac:dyDescent="0.25">
      <c r="A14564">
        <v>14563</v>
      </c>
      <c r="B14564">
        <v>46</v>
      </c>
      <c r="C14564">
        <v>0</v>
      </c>
      <c r="D14564">
        <v>0</v>
      </c>
      <c r="E14564">
        <v>0</v>
      </c>
      <c r="F14564">
        <v>0</v>
      </c>
    </row>
    <row r="14565" spans="1:6" x14ac:dyDescent="0.25">
      <c r="A14565">
        <v>14564</v>
      </c>
      <c r="B14565">
        <v>2</v>
      </c>
      <c r="C14565">
        <v>0</v>
      </c>
      <c r="D14565">
        <v>0</v>
      </c>
      <c r="E14565">
        <v>0</v>
      </c>
      <c r="F14565">
        <v>242.11799999999999</v>
      </c>
    </row>
    <row r="14566" spans="1:6" x14ac:dyDescent="0.25">
      <c r="A14566">
        <v>14565</v>
      </c>
      <c r="B14566">
        <v>10</v>
      </c>
      <c r="C14566">
        <v>1</v>
      </c>
      <c r="D14566">
        <v>0</v>
      </c>
      <c r="E14566">
        <v>0</v>
      </c>
      <c r="F14566">
        <v>5176</v>
      </c>
    </row>
    <row r="14567" spans="1:6" x14ac:dyDescent="0.25">
      <c r="A14567">
        <v>14566</v>
      </c>
      <c r="B14567">
        <v>13</v>
      </c>
      <c r="C14567">
        <v>0</v>
      </c>
      <c r="D14567">
        <v>0</v>
      </c>
      <c r="E14567">
        <v>0</v>
      </c>
      <c r="F14567">
        <v>1613</v>
      </c>
    </row>
    <row r="14568" spans="1:6" x14ac:dyDescent="0.25">
      <c r="A14568">
        <v>14567</v>
      </c>
      <c r="B14568">
        <v>41</v>
      </c>
      <c r="C14568">
        <v>0</v>
      </c>
      <c r="D14568">
        <v>0</v>
      </c>
      <c r="E14568">
        <v>0</v>
      </c>
      <c r="F14568">
        <v>1</v>
      </c>
    </row>
    <row r="14569" spans="1:6" x14ac:dyDescent="0.25">
      <c r="A14569">
        <v>14568</v>
      </c>
      <c r="B14569">
        <v>42</v>
      </c>
      <c r="C14569">
        <v>0</v>
      </c>
      <c r="D14569">
        <v>0</v>
      </c>
      <c r="E14569">
        <v>0</v>
      </c>
      <c r="F14569">
        <v>0.2</v>
      </c>
    </row>
    <row r="14570" spans="1:6" x14ac:dyDescent="0.25">
      <c r="A14570">
        <v>14569</v>
      </c>
      <c r="B14570">
        <v>43</v>
      </c>
      <c r="C14570">
        <v>0</v>
      </c>
      <c r="D14570">
        <v>0</v>
      </c>
      <c r="E14570">
        <v>0</v>
      </c>
      <c r="F14570">
        <v>0</v>
      </c>
    </row>
    <row r="14571" spans="1:6" x14ac:dyDescent="0.25">
      <c r="A14571">
        <v>14570</v>
      </c>
      <c r="B14571">
        <v>44</v>
      </c>
      <c r="C14571">
        <v>0</v>
      </c>
      <c r="D14571">
        <v>0</v>
      </c>
      <c r="E14571">
        <v>0</v>
      </c>
      <c r="F14571">
        <v>24.631399999999999</v>
      </c>
    </row>
    <row r="14572" spans="1:6" x14ac:dyDescent="0.25">
      <c r="A14572">
        <v>14571</v>
      </c>
      <c r="B14572" t="s">
        <v>0</v>
      </c>
      <c r="C14572">
        <v>162</v>
      </c>
      <c r="D14572">
        <v>3504</v>
      </c>
      <c r="E14572">
        <v>80604472</v>
      </c>
    </row>
    <row r="14573" spans="1:6" x14ac:dyDescent="0.25">
      <c r="A14573">
        <v>14572</v>
      </c>
      <c r="B14573">
        <v>45</v>
      </c>
      <c r="C14573">
        <v>0</v>
      </c>
      <c r="D14573">
        <v>0</v>
      </c>
      <c r="E14573">
        <v>0</v>
      </c>
      <c r="F14573">
        <v>517.94899999999996</v>
      </c>
    </row>
    <row r="14574" spans="1:6" x14ac:dyDescent="0.25">
      <c r="A14574">
        <v>14573</v>
      </c>
      <c r="B14574">
        <v>46</v>
      </c>
      <c r="C14574">
        <v>0</v>
      </c>
      <c r="D14574">
        <v>0</v>
      </c>
      <c r="E14574">
        <v>0</v>
      </c>
      <c r="F14574">
        <v>0</v>
      </c>
    </row>
    <row r="14575" spans="1:6" x14ac:dyDescent="0.25">
      <c r="A14575">
        <v>14574</v>
      </c>
      <c r="B14575" t="s">
        <v>0</v>
      </c>
      <c r="C14575">
        <v>163</v>
      </c>
      <c r="D14575">
        <v>3504</v>
      </c>
      <c r="E14575">
        <v>80604609</v>
      </c>
    </row>
    <row r="14576" spans="1:6" x14ac:dyDescent="0.25">
      <c r="A14576">
        <v>14575</v>
      </c>
      <c r="B14576">
        <v>2</v>
      </c>
      <c r="C14576">
        <v>0</v>
      </c>
      <c r="D14576">
        <v>0</v>
      </c>
      <c r="E14576">
        <v>0</v>
      </c>
      <c r="F14576">
        <v>242.11799999999999</v>
      </c>
    </row>
    <row r="14577" spans="1:6" x14ac:dyDescent="0.25">
      <c r="A14577">
        <v>14576</v>
      </c>
      <c r="B14577">
        <v>10</v>
      </c>
      <c r="C14577">
        <v>1</v>
      </c>
      <c r="D14577">
        <v>0</v>
      </c>
      <c r="E14577">
        <v>0</v>
      </c>
      <c r="F14577">
        <v>5178</v>
      </c>
    </row>
    <row r="14578" spans="1:6" x14ac:dyDescent="0.25">
      <c r="A14578">
        <v>14577</v>
      </c>
      <c r="B14578" t="s">
        <v>0</v>
      </c>
      <c r="C14578">
        <v>164</v>
      </c>
      <c r="D14578">
        <v>3504</v>
      </c>
      <c r="E14578">
        <v>80604746</v>
      </c>
    </row>
    <row r="14579" spans="1:6" x14ac:dyDescent="0.25">
      <c r="A14579">
        <v>14578</v>
      </c>
      <c r="B14579">
        <v>13</v>
      </c>
      <c r="C14579">
        <v>0</v>
      </c>
      <c r="D14579">
        <v>0</v>
      </c>
      <c r="E14579">
        <v>0</v>
      </c>
      <c r="F14579">
        <v>1613</v>
      </c>
    </row>
    <row r="14580" spans="1:6" x14ac:dyDescent="0.25">
      <c r="A14580">
        <v>14579</v>
      </c>
      <c r="B14580">
        <v>41</v>
      </c>
      <c r="C14580">
        <v>0</v>
      </c>
      <c r="D14580">
        <v>0</v>
      </c>
      <c r="E14580">
        <v>0</v>
      </c>
      <c r="F14580">
        <v>1</v>
      </c>
    </row>
    <row r="14581" spans="1:6" x14ac:dyDescent="0.25">
      <c r="A14581">
        <v>14580</v>
      </c>
      <c r="B14581" t="s">
        <v>0</v>
      </c>
      <c r="C14581">
        <v>165</v>
      </c>
      <c r="D14581">
        <v>3504</v>
      </c>
      <c r="E14581">
        <v>80604883</v>
      </c>
    </row>
    <row r="14582" spans="1:6" x14ac:dyDescent="0.25">
      <c r="A14582">
        <v>14581</v>
      </c>
      <c r="B14582">
        <v>42</v>
      </c>
      <c r="C14582">
        <v>0</v>
      </c>
      <c r="D14582">
        <v>0</v>
      </c>
      <c r="E14582">
        <v>0</v>
      </c>
      <c r="F14582">
        <v>0.2</v>
      </c>
    </row>
    <row r="14583" spans="1:6" x14ac:dyDescent="0.25">
      <c r="A14583">
        <v>14582</v>
      </c>
      <c r="B14583">
        <v>43</v>
      </c>
      <c r="C14583">
        <v>0</v>
      </c>
      <c r="D14583">
        <v>0</v>
      </c>
      <c r="E14583">
        <v>0</v>
      </c>
      <c r="F14583">
        <v>0</v>
      </c>
    </row>
    <row r="14584" spans="1:6" x14ac:dyDescent="0.25">
      <c r="A14584">
        <v>14583</v>
      </c>
      <c r="B14584" t="s">
        <v>0</v>
      </c>
      <c r="C14584">
        <v>166</v>
      </c>
      <c r="D14584">
        <v>3504</v>
      </c>
      <c r="E14584">
        <v>80605020</v>
      </c>
    </row>
    <row r="14585" spans="1:6" x14ac:dyDescent="0.25">
      <c r="A14585">
        <v>14584</v>
      </c>
      <c r="B14585">
        <v>44</v>
      </c>
      <c r="C14585">
        <v>0</v>
      </c>
      <c r="D14585">
        <v>0</v>
      </c>
      <c r="E14585">
        <v>0</v>
      </c>
      <c r="F14585">
        <v>24.8065</v>
      </c>
    </row>
    <row r="14586" spans="1:6" x14ac:dyDescent="0.25">
      <c r="A14586">
        <v>14585</v>
      </c>
      <c r="B14586">
        <v>45</v>
      </c>
      <c r="C14586">
        <v>0</v>
      </c>
      <c r="D14586">
        <v>0</v>
      </c>
      <c r="E14586">
        <v>0</v>
      </c>
      <c r="F14586">
        <v>517.976</v>
      </c>
    </row>
    <row r="14587" spans="1:6" x14ac:dyDescent="0.25">
      <c r="A14587">
        <v>14586</v>
      </c>
      <c r="B14587" t="s">
        <v>0</v>
      </c>
      <c r="C14587">
        <v>167</v>
      </c>
      <c r="D14587">
        <v>3504</v>
      </c>
      <c r="E14587">
        <v>80605157</v>
      </c>
    </row>
    <row r="14588" spans="1:6" x14ac:dyDescent="0.25">
      <c r="A14588">
        <v>14587</v>
      </c>
      <c r="B14588">
        <v>2</v>
      </c>
      <c r="C14588">
        <v>0</v>
      </c>
      <c r="D14588">
        <v>0</v>
      </c>
      <c r="E14588">
        <v>0</v>
      </c>
      <c r="F14588">
        <v>242.11799999999999</v>
      </c>
    </row>
    <row r="14589" spans="1:6" x14ac:dyDescent="0.25">
      <c r="A14589">
        <v>14588</v>
      </c>
      <c r="B14589" t="s">
        <v>0</v>
      </c>
      <c r="C14589">
        <v>168</v>
      </c>
      <c r="D14589">
        <v>3504</v>
      </c>
      <c r="E14589">
        <v>80605294</v>
      </c>
    </row>
    <row r="14590" spans="1:6" x14ac:dyDescent="0.25">
      <c r="A14590">
        <v>14589</v>
      </c>
      <c r="B14590">
        <v>13</v>
      </c>
      <c r="C14590">
        <v>0</v>
      </c>
      <c r="D14590">
        <v>0</v>
      </c>
      <c r="E14590">
        <v>0</v>
      </c>
      <c r="F14590">
        <v>1613</v>
      </c>
    </row>
    <row r="14591" spans="1:6" x14ac:dyDescent="0.25">
      <c r="A14591">
        <v>14590</v>
      </c>
      <c r="B14591" t="s">
        <v>0</v>
      </c>
      <c r="C14591">
        <v>169</v>
      </c>
      <c r="D14591">
        <v>3504</v>
      </c>
      <c r="E14591">
        <v>80605431</v>
      </c>
    </row>
    <row r="14592" spans="1:6" x14ac:dyDescent="0.25">
      <c r="A14592">
        <v>14591</v>
      </c>
      <c r="B14592">
        <v>42</v>
      </c>
      <c r="C14592">
        <v>0</v>
      </c>
      <c r="D14592">
        <v>0</v>
      </c>
      <c r="E14592">
        <v>0</v>
      </c>
      <c r="F14592">
        <v>0.2</v>
      </c>
    </row>
    <row r="14593" spans="1:6" x14ac:dyDescent="0.25">
      <c r="A14593">
        <v>14592</v>
      </c>
      <c r="B14593" t="s">
        <v>0</v>
      </c>
      <c r="C14593">
        <v>170</v>
      </c>
      <c r="D14593">
        <v>3504</v>
      </c>
      <c r="E14593">
        <v>80605569</v>
      </c>
    </row>
    <row r="14594" spans="1:6" x14ac:dyDescent="0.25">
      <c r="A14594">
        <v>14593</v>
      </c>
      <c r="B14594">
        <v>44</v>
      </c>
      <c r="C14594">
        <v>0</v>
      </c>
      <c r="D14594">
        <v>0</v>
      </c>
      <c r="E14594">
        <v>0</v>
      </c>
      <c r="F14594">
        <v>24.9315</v>
      </c>
    </row>
    <row r="14595" spans="1:6" x14ac:dyDescent="0.25">
      <c r="A14595">
        <v>14594</v>
      </c>
      <c r="B14595" t="s">
        <v>0</v>
      </c>
      <c r="C14595">
        <v>171</v>
      </c>
      <c r="D14595">
        <v>3504</v>
      </c>
      <c r="E14595">
        <v>80605707</v>
      </c>
    </row>
    <row r="14596" spans="1:6" x14ac:dyDescent="0.25">
      <c r="A14596">
        <v>14595</v>
      </c>
      <c r="B14596">
        <v>46</v>
      </c>
      <c r="C14596">
        <v>0</v>
      </c>
      <c r="D14596">
        <v>0</v>
      </c>
      <c r="E14596">
        <v>0</v>
      </c>
      <c r="F14596">
        <v>0</v>
      </c>
    </row>
    <row r="14597" spans="1:6" x14ac:dyDescent="0.25">
      <c r="A14597">
        <v>14596</v>
      </c>
      <c r="B14597" t="s">
        <v>0</v>
      </c>
      <c r="C14597">
        <v>172</v>
      </c>
      <c r="D14597">
        <v>3504</v>
      </c>
      <c r="E14597">
        <v>80605844</v>
      </c>
    </row>
    <row r="14598" spans="1:6" x14ac:dyDescent="0.25">
      <c r="A14598">
        <v>14597</v>
      </c>
      <c r="B14598">
        <v>10</v>
      </c>
      <c r="C14598">
        <v>1</v>
      </c>
      <c r="D14598">
        <v>0</v>
      </c>
      <c r="E14598">
        <v>0</v>
      </c>
      <c r="F14598">
        <v>5180</v>
      </c>
    </row>
    <row r="14599" spans="1:6" x14ac:dyDescent="0.25">
      <c r="A14599">
        <v>14598</v>
      </c>
      <c r="B14599">
        <v>13</v>
      </c>
      <c r="C14599">
        <v>0</v>
      </c>
      <c r="D14599">
        <v>0</v>
      </c>
      <c r="E14599">
        <v>0</v>
      </c>
      <c r="F14599">
        <v>1613</v>
      </c>
    </row>
    <row r="14600" spans="1:6" x14ac:dyDescent="0.25">
      <c r="A14600">
        <v>14599</v>
      </c>
      <c r="B14600">
        <v>41</v>
      </c>
      <c r="C14600">
        <v>0</v>
      </c>
      <c r="D14600">
        <v>0</v>
      </c>
      <c r="E14600">
        <v>0</v>
      </c>
      <c r="F14600">
        <v>1</v>
      </c>
    </row>
    <row r="14601" spans="1:6" x14ac:dyDescent="0.25">
      <c r="A14601">
        <v>14600</v>
      </c>
      <c r="B14601">
        <v>42</v>
      </c>
      <c r="C14601">
        <v>0</v>
      </c>
      <c r="D14601">
        <v>0</v>
      </c>
      <c r="E14601">
        <v>0</v>
      </c>
      <c r="F14601">
        <v>0.2</v>
      </c>
    </row>
    <row r="14602" spans="1:6" x14ac:dyDescent="0.25">
      <c r="A14602">
        <v>14601</v>
      </c>
      <c r="B14602">
        <v>43</v>
      </c>
      <c r="C14602">
        <v>0</v>
      </c>
      <c r="D14602">
        <v>0</v>
      </c>
      <c r="E14602">
        <v>0</v>
      </c>
      <c r="F14602">
        <v>0</v>
      </c>
    </row>
    <row r="14603" spans="1:6" x14ac:dyDescent="0.25">
      <c r="A14603">
        <v>14602</v>
      </c>
      <c r="B14603">
        <v>44</v>
      </c>
      <c r="C14603">
        <v>0</v>
      </c>
      <c r="D14603">
        <v>0</v>
      </c>
      <c r="E14603">
        <v>0</v>
      </c>
      <c r="F14603">
        <v>25.081399999999999</v>
      </c>
    </row>
    <row r="14604" spans="1:6" x14ac:dyDescent="0.25">
      <c r="A14604">
        <v>14603</v>
      </c>
      <c r="B14604">
        <v>45</v>
      </c>
      <c r="C14604">
        <v>0</v>
      </c>
      <c r="D14604">
        <v>0</v>
      </c>
      <c r="E14604">
        <v>0</v>
      </c>
      <c r="F14604">
        <v>518.03800000000001</v>
      </c>
    </row>
    <row r="14605" spans="1:6" x14ac:dyDescent="0.25">
      <c r="A14605">
        <v>14604</v>
      </c>
      <c r="B14605">
        <v>46</v>
      </c>
      <c r="C14605">
        <v>0</v>
      </c>
      <c r="D14605">
        <v>0</v>
      </c>
      <c r="E14605">
        <v>0</v>
      </c>
      <c r="F14605">
        <v>0</v>
      </c>
    </row>
    <row r="14606" spans="1:6" x14ac:dyDescent="0.25">
      <c r="A14606">
        <v>14605</v>
      </c>
      <c r="B14606">
        <v>2</v>
      </c>
      <c r="C14606">
        <v>0</v>
      </c>
      <c r="D14606">
        <v>0</v>
      </c>
      <c r="E14606">
        <v>0</v>
      </c>
      <c r="F14606">
        <v>242.11799999999999</v>
      </c>
    </row>
    <row r="14607" spans="1:6" x14ac:dyDescent="0.25">
      <c r="A14607">
        <v>14606</v>
      </c>
      <c r="B14607">
        <v>10</v>
      </c>
      <c r="C14607">
        <v>1</v>
      </c>
      <c r="D14607">
        <v>0</v>
      </c>
      <c r="E14607">
        <v>0</v>
      </c>
      <c r="F14607">
        <v>5180</v>
      </c>
    </row>
    <row r="14608" spans="1:6" x14ac:dyDescent="0.25">
      <c r="A14608">
        <v>14607</v>
      </c>
      <c r="B14608">
        <v>13</v>
      </c>
      <c r="C14608">
        <v>0</v>
      </c>
      <c r="D14608">
        <v>0</v>
      </c>
      <c r="E14608">
        <v>0</v>
      </c>
      <c r="F14608">
        <v>1613</v>
      </c>
    </row>
    <row r="14609" spans="1:6" x14ac:dyDescent="0.25">
      <c r="A14609">
        <v>14608</v>
      </c>
      <c r="B14609">
        <v>41</v>
      </c>
      <c r="C14609">
        <v>0</v>
      </c>
      <c r="D14609">
        <v>0</v>
      </c>
      <c r="E14609">
        <v>0</v>
      </c>
      <c r="F14609">
        <v>1</v>
      </c>
    </row>
    <row r="14610" spans="1:6" x14ac:dyDescent="0.25">
      <c r="A14610">
        <v>14609</v>
      </c>
      <c r="B14610">
        <v>42</v>
      </c>
      <c r="C14610">
        <v>0</v>
      </c>
      <c r="D14610">
        <v>0</v>
      </c>
      <c r="E14610">
        <v>0</v>
      </c>
      <c r="F14610">
        <v>0.2</v>
      </c>
    </row>
    <row r="14611" spans="1:6" x14ac:dyDescent="0.25">
      <c r="A14611">
        <v>14610</v>
      </c>
      <c r="B14611">
        <v>43</v>
      </c>
      <c r="C14611">
        <v>0</v>
      </c>
      <c r="D14611">
        <v>0</v>
      </c>
      <c r="E14611">
        <v>0</v>
      </c>
      <c r="F14611">
        <v>0</v>
      </c>
    </row>
    <row r="14612" spans="1:6" x14ac:dyDescent="0.25">
      <c r="A14612">
        <v>14611</v>
      </c>
      <c r="B14612">
        <v>44</v>
      </c>
      <c r="C14612">
        <v>0</v>
      </c>
      <c r="D14612">
        <v>0</v>
      </c>
      <c r="E14612">
        <v>0</v>
      </c>
      <c r="F14612">
        <v>25.206399999999999</v>
      </c>
    </row>
    <row r="14613" spans="1:6" x14ac:dyDescent="0.25">
      <c r="A14613">
        <v>14612</v>
      </c>
      <c r="B14613">
        <v>45</v>
      </c>
      <c r="C14613">
        <v>0</v>
      </c>
      <c r="D14613">
        <v>0</v>
      </c>
      <c r="E14613">
        <v>0</v>
      </c>
      <c r="F14613">
        <v>518.05899999999997</v>
      </c>
    </row>
    <row r="14614" spans="1:6" x14ac:dyDescent="0.25">
      <c r="A14614">
        <v>14613</v>
      </c>
      <c r="B14614" t="s">
        <v>0</v>
      </c>
      <c r="C14614">
        <v>0</v>
      </c>
      <c r="D14614">
        <v>3505</v>
      </c>
      <c r="E14614">
        <v>80606943</v>
      </c>
    </row>
    <row r="14615" spans="1:6" x14ac:dyDescent="0.25">
      <c r="A14615">
        <v>14614</v>
      </c>
      <c r="B14615">
        <v>46</v>
      </c>
      <c r="C14615">
        <v>0</v>
      </c>
      <c r="D14615">
        <v>0</v>
      </c>
      <c r="E14615">
        <v>0</v>
      </c>
      <c r="F14615">
        <v>0</v>
      </c>
    </row>
    <row r="14616" spans="1:6" x14ac:dyDescent="0.25">
      <c r="A14616">
        <v>14615</v>
      </c>
      <c r="B14616">
        <v>2</v>
      </c>
      <c r="C14616">
        <v>0</v>
      </c>
      <c r="D14616">
        <v>0</v>
      </c>
      <c r="E14616">
        <v>0</v>
      </c>
      <c r="F14616">
        <v>242.11799999999999</v>
      </c>
    </row>
    <row r="14617" spans="1:6" x14ac:dyDescent="0.25">
      <c r="A14617">
        <v>14616</v>
      </c>
      <c r="B14617" t="s">
        <v>0</v>
      </c>
      <c r="C14617">
        <v>1</v>
      </c>
      <c r="D14617">
        <v>3505</v>
      </c>
      <c r="E14617">
        <v>80607081</v>
      </c>
    </row>
    <row r="14618" spans="1:6" x14ac:dyDescent="0.25">
      <c r="A14618">
        <v>14617</v>
      </c>
      <c r="B14618">
        <v>10</v>
      </c>
      <c r="C14618">
        <v>1</v>
      </c>
      <c r="D14618">
        <v>0</v>
      </c>
      <c r="E14618">
        <v>0</v>
      </c>
      <c r="F14618">
        <v>5181</v>
      </c>
    </row>
    <row r="14619" spans="1:6" x14ac:dyDescent="0.25">
      <c r="A14619">
        <v>14618</v>
      </c>
      <c r="B14619">
        <v>13</v>
      </c>
      <c r="C14619">
        <v>0</v>
      </c>
      <c r="D14619">
        <v>0</v>
      </c>
      <c r="E14619">
        <v>0</v>
      </c>
      <c r="F14619">
        <v>1613</v>
      </c>
    </row>
    <row r="14620" spans="1:6" x14ac:dyDescent="0.25">
      <c r="A14620">
        <v>14619</v>
      </c>
      <c r="B14620" t="s">
        <v>0</v>
      </c>
      <c r="C14620">
        <v>2</v>
      </c>
      <c r="D14620">
        <v>3505</v>
      </c>
      <c r="E14620">
        <v>80607219</v>
      </c>
    </row>
    <row r="14621" spans="1:6" x14ac:dyDescent="0.25">
      <c r="A14621">
        <v>14620</v>
      </c>
      <c r="B14621">
        <v>41</v>
      </c>
      <c r="C14621">
        <v>0</v>
      </c>
      <c r="D14621">
        <v>0</v>
      </c>
      <c r="E14621">
        <v>0</v>
      </c>
      <c r="F14621">
        <v>1</v>
      </c>
    </row>
    <row r="14622" spans="1:6" x14ac:dyDescent="0.25">
      <c r="A14622">
        <v>14621</v>
      </c>
      <c r="B14622">
        <v>42</v>
      </c>
      <c r="C14622">
        <v>0</v>
      </c>
      <c r="D14622">
        <v>0</v>
      </c>
      <c r="E14622">
        <v>0</v>
      </c>
      <c r="F14622">
        <v>0.2</v>
      </c>
    </row>
    <row r="14623" spans="1:6" x14ac:dyDescent="0.25">
      <c r="A14623">
        <v>14622</v>
      </c>
      <c r="B14623" t="s">
        <v>0</v>
      </c>
      <c r="C14623">
        <v>3</v>
      </c>
      <c r="D14623">
        <v>3505</v>
      </c>
      <c r="E14623">
        <v>80607356</v>
      </c>
    </row>
    <row r="14624" spans="1:6" x14ac:dyDescent="0.25">
      <c r="A14624">
        <v>14623</v>
      </c>
      <c r="B14624">
        <v>44</v>
      </c>
      <c r="C14624">
        <v>0</v>
      </c>
      <c r="D14624">
        <v>0</v>
      </c>
      <c r="E14624">
        <v>0</v>
      </c>
      <c r="F14624">
        <v>25.3813</v>
      </c>
    </row>
    <row r="14625" spans="1:6" x14ac:dyDescent="0.25">
      <c r="A14625">
        <v>14624</v>
      </c>
      <c r="B14625" t="s">
        <v>0</v>
      </c>
      <c r="C14625">
        <v>4</v>
      </c>
      <c r="D14625">
        <v>3505</v>
      </c>
      <c r="E14625">
        <v>80607493</v>
      </c>
    </row>
    <row r="14626" spans="1:6" x14ac:dyDescent="0.25">
      <c r="A14626">
        <v>14625</v>
      </c>
      <c r="B14626">
        <v>46</v>
      </c>
      <c r="C14626">
        <v>0</v>
      </c>
      <c r="D14626">
        <v>0</v>
      </c>
      <c r="E14626">
        <v>0</v>
      </c>
      <c r="F14626">
        <v>0</v>
      </c>
    </row>
    <row r="14627" spans="1:6" x14ac:dyDescent="0.25">
      <c r="A14627">
        <v>14626</v>
      </c>
      <c r="B14627" t="s">
        <v>0</v>
      </c>
      <c r="C14627">
        <v>5</v>
      </c>
      <c r="D14627">
        <v>3505</v>
      </c>
      <c r="E14627">
        <v>80607630</v>
      </c>
    </row>
    <row r="14628" spans="1:6" x14ac:dyDescent="0.25">
      <c r="A14628">
        <v>14627</v>
      </c>
      <c r="B14628">
        <v>10</v>
      </c>
      <c r="C14628">
        <v>1</v>
      </c>
      <c r="D14628">
        <v>0</v>
      </c>
      <c r="E14628">
        <v>0</v>
      </c>
      <c r="F14628">
        <v>5182</v>
      </c>
    </row>
    <row r="14629" spans="1:6" x14ac:dyDescent="0.25">
      <c r="A14629">
        <v>14628</v>
      </c>
      <c r="B14629" t="s">
        <v>0</v>
      </c>
      <c r="C14629">
        <v>6</v>
      </c>
      <c r="D14629">
        <v>3505</v>
      </c>
      <c r="E14629">
        <v>80607767</v>
      </c>
    </row>
    <row r="14630" spans="1:6" x14ac:dyDescent="0.25">
      <c r="A14630">
        <v>14629</v>
      </c>
      <c r="B14630">
        <v>41</v>
      </c>
      <c r="C14630">
        <v>0</v>
      </c>
      <c r="D14630">
        <v>0</v>
      </c>
      <c r="E14630">
        <v>0</v>
      </c>
      <c r="F14630">
        <v>1</v>
      </c>
    </row>
    <row r="14631" spans="1:6" x14ac:dyDescent="0.25">
      <c r="A14631">
        <v>14630</v>
      </c>
      <c r="B14631" t="s">
        <v>0</v>
      </c>
      <c r="C14631">
        <v>7</v>
      </c>
      <c r="D14631">
        <v>3505</v>
      </c>
      <c r="E14631">
        <v>80607904</v>
      </c>
    </row>
    <row r="14632" spans="1:6" x14ac:dyDescent="0.25">
      <c r="A14632">
        <v>14631</v>
      </c>
      <c r="B14632">
        <v>43</v>
      </c>
      <c r="C14632">
        <v>0</v>
      </c>
      <c r="D14632">
        <v>0</v>
      </c>
      <c r="E14632">
        <v>0</v>
      </c>
      <c r="F14632">
        <v>0</v>
      </c>
    </row>
    <row r="14633" spans="1:6" x14ac:dyDescent="0.25">
      <c r="A14633">
        <v>14632</v>
      </c>
      <c r="B14633" t="s">
        <v>0</v>
      </c>
      <c r="C14633">
        <v>8</v>
      </c>
      <c r="D14633">
        <v>3505</v>
      </c>
      <c r="E14633">
        <v>80608041</v>
      </c>
    </row>
    <row r="14634" spans="1:6" x14ac:dyDescent="0.25">
      <c r="A14634">
        <v>14633</v>
      </c>
      <c r="B14634">
        <v>44</v>
      </c>
      <c r="C14634">
        <v>0</v>
      </c>
      <c r="D14634">
        <v>0</v>
      </c>
      <c r="E14634">
        <v>0</v>
      </c>
      <c r="F14634">
        <v>25.4985</v>
      </c>
    </row>
    <row r="14635" spans="1:6" x14ac:dyDescent="0.25">
      <c r="A14635">
        <v>14634</v>
      </c>
      <c r="B14635">
        <v>45</v>
      </c>
      <c r="C14635">
        <v>0</v>
      </c>
      <c r="D14635">
        <v>0</v>
      </c>
      <c r="E14635">
        <v>0</v>
      </c>
      <c r="F14635">
        <v>518.11500000000001</v>
      </c>
    </row>
    <row r="14636" spans="1:6" x14ac:dyDescent="0.25">
      <c r="A14636">
        <v>14635</v>
      </c>
      <c r="B14636">
        <v>46</v>
      </c>
      <c r="C14636">
        <v>0</v>
      </c>
      <c r="D14636">
        <v>0</v>
      </c>
      <c r="E14636">
        <v>0</v>
      </c>
      <c r="F14636">
        <v>0</v>
      </c>
    </row>
    <row r="14637" spans="1:6" x14ac:dyDescent="0.25">
      <c r="A14637">
        <v>14636</v>
      </c>
      <c r="B14637">
        <v>2</v>
      </c>
      <c r="C14637">
        <v>0</v>
      </c>
      <c r="D14637">
        <v>0</v>
      </c>
      <c r="E14637">
        <v>0</v>
      </c>
      <c r="F14637">
        <v>242.19</v>
      </c>
    </row>
    <row r="14638" spans="1:6" x14ac:dyDescent="0.25">
      <c r="A14638">
        <v>14637</v>
      </c>
      <c r="B14638">
        <v>10</v>
      </c>
      <c r="C14638">
        <v>1</v>
      </c>
      <c r="D14638">
        <v>0</v>
      </c>
      <c r="E14638">
        <v>0</v>
      </c>
      <c r="F14638">
        <v>5182</v>
      </c>
    </row>
    <row r="14639" spans="1:6" x14ac:dyDescent="0.25">
      <c r="A14639">
        <v>14638</v>
      </c>
      <c r="B14639">
        <v>13</v>
      </c>
      <c r="C14639">
        <v>0</v>
      </c>
      <c r="D14639">
        <v>0</v>
      </c>
      <c r="E14639">
        <v>0</v>
      </c>
      <c r="F14639">
        <v>1613</v>
      </c>
    </row>
    <row r="14640" spans="1:6" x14ac:dyDescent="0.25">
      <c r="A14640">
        <v>14639</v>
      </c>
      <c r="B14640">
        <v>41</v>
      </c>
      <c r="C14640">
        <v>0</v>
      </c>
      <c r="D14640">
        <v>0</v>
      </c>
      <c r="E14640">
        <v>0</v>
      </c>
      <c r="F14640">
        <v>1</v>
      </c>
    </row>
    <row r="14641" spans="1:6" x14ac:dyDescent="0.25">
      <c r="A14641">
        <v>14640</v>
      </c>
      <c r="B14641">
        <v>42</v>
      </c>
      <c r="C14641">
        <v>0</v>
      </c>
      <c r="D14641">
        <v>0</v>
      </c>
      <c r="E14641">
        <v>0</v>
      </c>
      <c r="F14641">
        <v>0.2</v>
      </c>
    </row>
    <row r="14642" spans="1:6" x14ac:dyDescent="0.25">
      <c r="A14642">
        <v>14641</v>
      </c>
      <c r="B14642">
        <v>43</v>
      </c>
      <c r="C14642">
        <v>0</v>
      </c>
      <c r="D14642">
        <v>0</v>
      </c>
      <c r="E14642">
        <v>0</v>
      </c>
      <c r="F14642">
        <v>0</v>
      </c>
    </row>
    <row r="14643" spans="1:6" x14ac:dyDescent="0.25">
      <c r="A14643">
        <v>14642</v>
      </c>
      <c r="B14643">
        <v>44</v>
      </c>
      <c r="C14643">
        <v>0</v>
      </c>
      <c r="D14643">
        <v>0</v>
      </c>
      <c r="E14643">
        <v>0</v>
      </c>
      <c r="F14643">
        <v>25.568899999999999</v>
      </c>
    </row>
    <row r="14644" spans="1:6" x14ac:dyDescent="0.25">
      <c r="A14644">
        <v>14643</v>
      </c>
      <c r="B14644">
        <v>45</v>
      </c>
      <c r="C14644">
        <v>0</v>
      </c>
      <c r="D14644">
        <v>0</v>
      </c>
      <c r="E14644">
        <v>0</v>
      </c>
      <c r="F14644">
        <v>518.15</v>
      </c>
    </row>
    <row r="14645" spans="1:6" x14ac:dyDescent="0.25">
      <c r="A14645">
        <v>14644</v>
      </c>
      <c r="B14645">
        <v>46</v>
      </c>
      <c r="C14645">
        <v>0</v>
      </c>
      <c r="D14645">
        <v>0</v>
      </c>
      <c r="E14645">
        <v>0</v>
      </c>
      <c r="F14645">
        <v>0</v>
      </c>
    </row>
    <row r="14646" spans="1:6" x14ac:dyDescent="0.25">
      <c r="A14646">
        <v>14645</v>
      </c>
      <c r="B14646">
        <v>2</v>
      </c>
      <c r="C14646">
        <v>0</v>
      </c>
      <c r="D14646">
        <v>0</v>
      </c>
      <c r="E14646">
        <v>0</v>
      </c>
      <c r="F14646">
        <v>242.25399999999999</v>
      </c>
    </row>
    <row r="14647" spans="1:6" x14ac:dyDescent="0.25">
      <c r="A14647">
        <v>14646</v>
      </c>
      <c r="B14647">
        <v>10</v>
      </c>
      <c r="C14647">
        <v>1</v>
      </c>
      <c r="D14647">
        <v>0</v>
      </c>
      <c r="E14647">
        <v>0</v>
      </c>
      <c r="F14647">
        <v>5181</v>
      </c>
    </row>
    <row r="14648" spans="1:6" x14ac:dyDescent="0.25">
      <c r="A14648">
        <v>14647</v>
      </c>
      <c r="B14648" t="s">
        <v>0</v>
      </c>
      <c r="C14648">
        <v>15</v>
      </c>
      <c r="D14648">
        <v>3505</v>
      </c>
      <c r="E14648">
        <v>80609000</v>
      </c>
    </row>
    <row r="14649" spans="1:6" x14ac:dyDescent="0.25">
      <c r="A14649">
        <v>14648</v>
      </c>
      <c r="B14649">
        <v>13</v>
      </c>
      <c r="C14649">
        <v>0</v>
      </c>
      <c r="D14649">
        <v>0</v>
      </c>
      <c r="E14649">
        <v>0</v>
      </c>
      <c r="F14649">
        <v>1613</v>
      </c>
    </row>
    <row r="14650" spans="1:6" x14ac:dyDescent="0.25">
      <c r="A14650">
        <v>14649</v>
      </c>
      <c r="B14650">
        <v>41</v>
      </c>
      <c r="C14650">
        <v>0</v>
      </c>
      <c r="D14650">
        <v>0</v>
      </c>
      <c r="E14650">
        <v>0</v>
      </c>
      <c r="F14650">
        <v>1</v>
      </c>
    </row>
    <row r="14651" spans="1:6" x14ac:dyDescent="0.25">
      <c r="A14651">
        <v>14650</v>
      </c>
      <c r="B14651" t="s">
        <v>0</v>
      </c>
      <c r="C14651">
        <v>16</v>
      </c>
      <c r="D14651">
        <v>3505</v>
      </c>
      <c r="E14651">
        <v>80609137</v>
      </c>
    </row>
    <row r="14652" spans="1:6" x14ac:dyDescent="0.25">
      <c r="A14652">
        <v>14651</v>
      </c>
      <c r="B14652">
        <v>42</v>
      </c>
      <c r="C14652">
        <v>0</v>
      </c>
      <c r="D14652">
        <v>0</v>
      </c>
      <c r="E14652">
        <v>0</v>
      </c>
      <c r="F14652">
        <v>0.2</v>
      </c>
    </row>
    <row r="14653" spans="1:6" x14ac:dyDescent="0.25">
      <c r="A14653">
        <v>14652</v>
      </c>
      <c r="B14653">
        <v>43</v>
      </c>
      <c r="C14653">
        <v>0</v>
      </c>
      <c r="D14653">
        <v>0</v>
      </c>
      <c r="E14653">
        <v>0</v>
      </c>
      <c r="F14653">
        <v>0</v>
      </c>
    </row>
    <row r="14654" spans="1:6" x14ac:dyDescent="0.25">
      <c r="A14654">
        <v>14653</v>
      </c>
      <c r="B14654" t="s">
        <v>0</v>
      </c>
      <c r="C14654">
        <v>17</v>
      </c>
      <c r="D14654">
        <v>3505</v>
      </c>
      <c r="E14654">
        <v>80609274</v>
      </c>
    </row>
    <row r="14655" spans="1:6" x14ac:dyDescent="0.25">
      <c r="A14655">
        <v>14654</v>
      </c>
      <c r="B14655">
        <v>44</v>
      </c>
      <c r="C14655">
        <v>0</v>
      </c>
      <c r="D14655">
        <v>0</v>
      </c>
      <c r="E14655">
        <v>0</v>
      </c>
      <c r="F14655">
        <v>25.689599999999999</v>
      </c>
    </row>
    <row r="14656" spans="1:6" x14ac:dyDescent="0.25">
      <c r="A14656">
        <v>14655</v>
      </c>
      <c r="B14656">
        <v>45</v>
      </c>
      <c r="C14656">
        <v>0</v>
      </c>
      <c r="D14656">
        <v>0</v>
      </c>
      <c r="E14656">
        <v>0</v>
      </c>
      <c r="F14656">
        <v>518.178</v>
      </c>
    </row>
    <row r="14657" spans="1:6" x14ac:dyDescent="0.25">
      <c r="A14657">
        <v>14656</v>
      </c>
      <c r="B14657" t="s">
        <v>0</v>
      </c>
      <c r="C14657">
        <v>18</v>
      </c>
      <c r="D14657">
        <v>3505</v>
      </c>
      <c r="E14657">
        <v>80609411</v>
      </c>
    </row>
    <row r="14658" spans="1:6" x14ac:dyDescent="0.25">
      <c r="A14658">
        <v>14657</v>
      </c>
      <c r="B14658">
        <v>46</v>
      </c>
      <c r="C14658">
        <v>0</v>
      </c>
      <c r="D14658">
        <v>0</v>
      </c>
      <c r="E14658">
        <v>0</v>
      </c>
      <c r="F14658">
        <v>0</v>
      </c>
    </row>
    <row r="14659" spans="1:6" x14ac:dyDescent="0.25">
      <c r="A14659">
        <v>14658</v>
      </c>
      <c r="B14659">
        <v>2</v>
      </c>
      <c r="C14659">
        <v>0</v>
      </c>
      <c r="D14659">
        <v>0</v>
      </c>
      <c r="E14659">
        <v>0</v>
      </c>
      <c r="F14659">
        <v>242.291</v>
      </c>
    </row>
    <row r="14660" spans="1:6" x14ac:dyDescent="0.25">
      <c r="A14660">
        <v>14659</v>
      </c>
      <c r="B14660" t="s">
        <v>0</v>
      </c>
      <c r="C14660">
        <v>19</v>
      </c>
      <c r="D14660">
        <v>3505</v>
      </c>
      <c r="E14660">
        <v>80609548</v>
      </c>
    </row>
    <row r="14661" spans="1:6" x14ac:dyDescent="0.25">
      <c r="A14661">
        <v>14660</v>
      </c>
      <c r="B14661">
        <v>10</v>
      </c>
      <c r="C14661">
        <v>1</v>
      </c>
      <c r="D14661">
        <v>0</v>
      </c>
      <c r="E14661">
        <v>0</v>
      </c>
      <c r="F14661">
        <v>5181</v>
      </c>
    </row>
    <row r="14662" spans="1:6" x14ac:dyDescent="0.25">
      <c r="A14662">
        <v>14661</v>
      </c>
      <c r="B14662">
        <v>13</v>
      </c>
      <c r="C14662">
        <v>0</v>
      </c>
      <c r="D14662">
        <v>0</v>
      </c>
      <c r="E14662">
        <v>0</v>
      </c>
      <c r="F14662">
        <v>1613</v>
      </c>
    </row>
    <row r="14663" spans="1:6" x14ac:dyDescent="0.25">
      <c r="A14663">
        <v>14662</v>
      </c>
      <c r="B14663" t="s">
        <v>0</v>
      </c>
      <c r="C14663">
        <v>20</v>
      </c>
      <c r="D14663">
        <v>3505</v>
      </c>
      <c r="E14663">
        <v>80609685</v>
      </c>
    </row>
    <row r="14664" spans="1:6" x14ac:dyDescent="0.25">
      <c r="A14664">
        <v>14663</v>
      </c>
      <c r="B14664">
        <v>42</v>
      </c>
      <c r="C14664">
        <v>0</v>
      </c>
      <c r="D14664">
        <v>0</v>
      </c>
      <c r="E14664">
        <v>0</v>
      </c>
      <c r="F14664">
        <v>0.2</v>
      </c>
    </row>
    <row r="14665" spans="1:6" x14ac:dyDescent="0.25">
      <c r="A14665">
        <v>14664</v>
      </c>
      <c r="B14665" t="s">
        <v>0</v>
      </c>
      <c r="C14665">
        <v>21</v>
      </c>
      <c r="D14665">
        <v>3505</v>
      </c>
      <c r="E14665">
        <v>80609822</v>
      </c>
    </row>
    <row r="14666" spans="1:6" x14ac:dyDescent="0.25">
      <c r="A14666">
        <v>14665</v>
      </c>
      <c r="B14666">
        <v>44</v>
      </c>
      <c r="C14666">
        <v>0</v>
      </c>
      <c r="D14666">
        <v>0</v>
      </c>
      <c r="E14666">
        <v>0</v>
      </c>
      <c r="F14666">
        <v>25.805</v>
      </c>
    </row>
    <row r="14667" spans="1:6" x14ac:dyDescent="0.25">
      <c r="A14667">
        <v>14666</v>
      </c>
      <c r="B14667" t="s">
        <v>0</v>
      </c>
      <c r="C14667">
        <v>22</v>
      </c>
      <c r="D14667">
        <v>3505</v>
      </c>
      <c r="E14667">
        <v>80609959</v>
      </c>
    </row>
    <row r="14668" spans="1:6" x14ac:dyDescent="0.25">
      <c r="A14668">
        <v>14667</v>
      </c>
      <c r="B14668">
        <v>46</v>
      </c>
      <c r="C14668">
        <v>0</v>
      </c>
      <c r="D14668">
        <v>0</v>
      </c>
      <c r="E14668">
        <v>0</v>
      </c>
      <c r="F14668">
        <v>0</v>
      </c>
    </row>
    <row r="14669" spans="1:6" x14ac:dyDescent="0.25">
      <c r="A14669">
        <v>14668</v>
      </c>
      <c r="B14669" t="s">
        <v>0</v>
      </c>
      <c r="C14669">
        <v>23</v>
      </c>
      <c r="D14669">
        <v>3505</v>
      </c>
      <c r="E14669">
        <v>80610096</v>
      </c>
    </row>
    <row r="14670" spans="1:6" x14ac:dyDescent="0.25">
      <c r="A14670">
        <v>14669</v>
      </c>
      <c r="B14670">
        <v>10</v>
      </c>
      <c r="C14670">
        <v>1</v>
      </c>
      <c r="D14670">
        <v>0</v>
      </c>
      <c r="E14670">
        <v>0</v>
      </c>
      <c r="F14670">
        <v>5181</v>
      </c>
    </row>
    <row r="14671" spans="1:6" x14ac:dyDescent="0.25">
      <c r="A14671">
        <v>14670</v>
      </c>
      <c r="B14671" t="s">
        <v>0</v>
      </c>
      <c r="C14671">
        <v>24</v>
      </c>
      <c r="D14671">
        <v>3505</v>
      </c>
      <c r="E14671">
        <v>80610233</v>
      </c>
    </row>
    <row r="14672" spans="1:6" x14ac:dyDescent="0.25">
      <c r="A14672">
        <v>14671</v>
      </c>
      <c r="B14672">
        <v>41</v>
      </c>
      <c r="C14672">
        <v>0</v>
      </c>
      <c r="D14672">
        <v>0</v>
      </c>
      <c r="E14672">
        <v>0</v>
      </c>
      <c r="F14672">
        <v>1</v>
      </c>
    </row>
    <row r="14673" spans="1:6" x14ac:dyDescent="0.25">
      <c r="A14673">
        <v>14672</v>
      </c>
      <c r="B14673" t="s">
        <v>0</v>
      </c>
      <c r="C14673">
        <v>25</v>
      </c>
      <c r="D14673">
        <v>3505</v>
      </c>
      <c r="E14673">
        <v>80610370</v>
      </c>
    </row>
    <row r="14674" spans="1:6" x14ac:dyDescent="0.25">
      <c r="A14674">
        <v>14673</v>
      </c>
      <c r="B14674">
        <v>43</v>
      </c>
      <c r="C14674">
        <v>0</v>
      </c>
      <c r="D14674">
        <v>0</v>
      </c>
      <c r="E14674">
        <v>0</v>
      </c>
      <c r="F14674">
        <v>0</v>
      </c>
    </row>
    <row r="14675" spans="1:6" x14ac:dyDescent="0.25">
      <c r="A14675">
        <v>14674</v>
      </c>
      <c r="B14675">
        <v>44</v>
      </c>
      <c r="C14675">
        <v>0</v>
      </c>
      <c r="D14675">
        <v>0</v>
      </c>
      <c r="E14675">
        <v>0</v>
      </c>
      <c r="F14675">
        <v>25.902100000000001</v>
      </c>
    </row>
    <row r="14676" spans="1:6" x14ac:dyDescent="0.25">
      <c r="A14676">
        <v>14675</v>
      </c>
      <c r="B14676">
        <v>45</v>
      </c>
      <c r="C14676">
        <v>0</v>
      </c>
      <c r="D14676">
        <v>0</v>
      </c>
      <c r="E14676">
        <v>0</v>
      </c>
      <c r="F14676">
        <v>518.24199999999996</v>
      </c>
    </row>
    <row r="14677" spans="1:6" x14ac:dyDescent="0.25">
      <c r="A14677">
        <v>14676</v>
      </c>
      <c r="B14677">
        <v>46</v>
      </c>
      <c r="C14677">
        <v>0</v>
      </c>
      <c r="D14677">
        <v>0</v>
      </c>
      <c r="E14677">
        <v>0</v>
      </c>
      <c r="F14677">
        <v>0</v>
      </c>
    </row>
    <row r="14678" spans="1:6" x14ac:dyDescent="0.25">
      <c r="A14678">
        <v>14677</v>
      </c>
      <c r="B14678">
        <v>2</v>
      </c>
      <c r="C14678">
        <v>0</v>
      </c>
      <c r="D14678">
        <v>0</v>
      </c>
      <c r="E14678">
        <v>0</v>
      </c>
      <c r="F14678">
        <v>242.35900000000001</v>
      </c>
    </row>
    <row r="14679" spans="1:6" x14ac:dyDescent="0.25">
      <c r="A14679">
        <v>14678</v>
      </c>
      <c r="B14679">
        <v>10</v>
      </c>
      <c r="C14679">
        <v>1</v>
      </c>
      <c r="D14679">
        <v>0</v>
      </c>
      <c r="E14679">
        <v>0</v>
      </c>
      <c r="F14679">
        <v>5181</v>
      </c>
    </row>
    <row r="14680" spans="1:6" x14ac:dyDescent="0.25">
      <c r="A14680">
        <v>14679</v>
      </c>
      <c r="B14680">
        <v>13</v>
      </c>
      <c r="C14680">
        <v>0</v>
      </c>
      <c r="D14680">
        <v>0</v>
      </c>
      <c r="E14680">
        <v>0</v>
      </c>
      <c r="F14680">
        <v>1613</v>
      </c>
    </row>
    <row r="14681" spans="1:6" x14ac:dyDescent="0.25">
      <c r="A14681">
        <v>14680</v>
      </c>
      <c r="B14681">
        <v>41</v>
      </c>
      <c r="C14681">
        <v>0</v>
      </c>
      <c r="D14681">
        <v>0</v>
      </c>
      <c r="E14681">
        <v>0</v>
      </c>
      <c r="F14681">
        <v>1</v>
      </c>
    </row>
    <row r="14682" spans="1:6" x14ac:dyDescent="0.25">
      <c r="A14682">
        <v>14681</v>
      </c>
      <c r="B14682">
        <v>42</v>
      </c>
      <c r="C14682">
        <v>0</v>
      </c>
      <c r="D14682">
        <v>0</v>
      </c>
      <c r="E14682">
        <v>0</v>
      </c>
      <c r="F14682">
        <v>0.2</v>
      </c>
    </row>
    <row r="14683" spans="1:6" x14ac:dyDescent="0.25">
      <c r="A14683">
        <v>14682</v>
      </c>
      <c r="B14683">
        <v>43</v>
      </c>
      <c r="C14683">
        <v>0</v>
      </c>
      <c r="D14683">
        <v>0</v>
      </c>
      <c r="E14683">
        <v>0</v>
      </c>
      <c r="F14683">
        <v>0</v>
      </c>
    </row>
    <row r="14684" spans="1:6" x14ac:dyDescent="0.25">
      <c r="A14684">
        <v>14683</v>
      </c>
      <c r="B14684">
        <v>44</v>
      </c>
      <c r="C14684">
        <v>0</v>
      </c>
      <c r="D14684">
        <v>0</v>
      </c>
      <c r="E14684">
        <v>0</v>
      </c>
      <c r="F14684">
        <v>26.049299999999999</v>
      </c>
    </row>
    <row r="14685" spans="1:6" x14ac:dyDescent="0.25">
      <c r="A14685">
        <v>14684</v>
      </c>
      <c r="B14685">
        <v>45</v>
      </c>
      <c r="C14685">
        <v>0</v>
      </c>
      <c r="D14685">
        <v>0</v>
      </c>
      <c r="E14685">
        <v>0</v>
      </c>
      <c r="F14685">
        <v>518.27099999999996</v>
      </c>
    </row>
    <row r="14686" spans="1:6" x14ac:dyDescent="0.25">
      <c r="A14686">
        <v>14685</v>
      </c>
      <c r="B14686">
        <v>46</v>
      </c>
      <c r="C14686">
        <v>0</v>
      </c>
      <c r="D14686">
        <v>0</v>
      </c>
      <c r="E14686">
        <v>0</v>
      </c>
      <c r="F14686">
        <v>0</v>
      </c>
    </row>
    <row r="14687" spans="1:6" x14ac:dyDescent="0.25">
      <c r="A14687">
        <v>14686</v>
      </c>
      <c r="B14687">
        <v>2</v>
      </c>
      <c r="C14687">
        <v>0</v>
      </c>
      <c r="D14687">
        <v>0</v>
      </c>
      <c r="E14687">
        <v>0</v>
      </c>
      <c r="F14687">
        <v>242.38</v>
      </c>
    </row>
    <row r="14688" spans="1:6" x14ac:dyDescent="0.25">
      <c r="A14688">
        <v>14687</v>
      </c>
      <c r="B14688" t="s">
        <v>0</v>
      </c>
      <c r="C14688">
        <v>32</v>
      </c>
      <c r="D14688">
        <v>3505</v>
      </c>
      <c r="E14688">
        <v>80611329</v>
      </c>
    </row>
    <row r="14689" spans="1:6" x14ac:dyDescent="0.25">
      <c r="A14689">
        <v>14688</v>
      </c>
      <c r="B14689">
        <v>10</v>
      </c>
      <c r="C14689">
        <v>1</v>
      </c>
      <c r="D14689">
        <v>0</v>
      </c>
      <c r="E14689">
        <v>0</v>
      </c>
      <c r="F14689">
        <v>5182</v>
      </c>
    </row>
    <row r="14690" spans="1:6" x14ac:dyDescent="0.25">
      <c r="A14690">
        <v>14689</v>
      </c>
      <c r="B14690">
        <v>13</v>
      </c>
      <c r="C14690">
        <v>0</v>
      </c>
      <c r="D14690">
        <v>0</v>
      </c>
      <c r="E14690">
        <v>0</v>
      </c>
      <c r="F14690">
        <v>1613</v>
      </c>
    </row>
    <row r="14691" spans="1:6" x14ac:dyDescent="0.25">
      <c r="A14691">
        <v>14690</v>
      </c>
      <c r="B14691" t="s">
        <v>0</v>
      </c>
      <c r="C14691">
        <v>33</v>
      </c>
      <c r="D14691">
        <v>3505</v>
      </c>
      <c r="E14691">
        <v>80611466</v>
      </c>
    </row>
    <row r="14692" spans="1:6" x14ac:dyDescent="0.25">
      <c r="A14692">
        <v>14691</v>
      </c>
      <c r="B14692">
        <v>41</v>
      </c>
      <c r="C14692">
        <v>0</v>
      </c>
      <c r="D14692">
        <v>0</v>
      </c>
      <c r="E14692">
        <v>0</v>
      </c>
      <c r="F14692">
        <v>1</v>
      </c>
    </row>
    <row r="14693" spans="1:6" x14ac:dyDescent="0.25">
      <c r="A14693">
        <v>14692</v>
      </c>
      <c r="B14693">
        <v>42</v>
      </c>
      <c r="C14693">
        <v>0</v>
      </c>
      <c r="D14693">
        <v>0</v>
      </c>
      <c r="E14693">
        <v>0</v>
      </c>
      <c r="F14693">
        <v>0.2</v>
      </c>
    </row>
    <row r="14694" spans="1:6" x14ac:dyDescent="0.25">
      <c r="A14694">
        <v>14693</v>
      </c>
      <c r="B14694" t="s">
        <v>0</v>
      </c>
      <c r="C14694">
        <v>34</v>
      </c>
      <c r="D14694">
        <v>3505</v>
      </c>
      <c r="E14694">
        <v>80611603</v>
      </c>
    </row>
    <row r="14695" spans="1:6" x14ac:dyDescent="0.25">
      <c r="A14695">
        <v>14694</v>
      </c>
      <c r="B14695">
        <v>43</v>
      </c>
      <c r="C14695">
        <v>0</v>
      </c>
      <c r="D14695">
        <v>0</v>
      </c>
      <c r="E14695">
        <v>0</v>
      </c>
      <c r="F14695">
        <v>0</v>
      </c>
    </row>
    <row r="14696" spans="1:6" x14ac:dyDescent="0.25">
      <c r="A14696">
        <v>14695</v>
      </c>
      <c r="B14696">
        <v>44</v>
      </c>
      <c r="C14696">
        <v>0</v>
      </c>
      <c r="D14696">
        <v>0</v>
      </c>
      <c r="E14696">
        <v>0</v>
      </c>
      <c r="F14696">
        <v>26.1815</v>
      </c>
    </row>
    <row r="14697" spans="1:6" x14ac:dyDescent="0.25">
      <c r="A14697">
        <v>14696</v>
      </c>
      <c r="B14697" t="s">
        <v>0</v>
      </c>
      <c r="C14697">
        <v>35</v>
      </c>
      <c r="D14697">
        <v>3505</v>
      </c>
      <c r="E14697">
        <v>80611740</v>
      </c>
    </row>
    <row r="14698" spans="1:6" x14ac:dyDescent="0.25">
      <c r="A14698">
        <v>14697</v>
      </c>
      <c r="B14698">
        <v>45</v>
      </c>
      <c r="C14698">
        <v>0</v>
      </c>
      <c r="D14698">
        <v>0</v>
      </c>
      <c r="E14698">
        <v>0</v>
      </c>
      <c r="F14698">
        <v>518.30700000000002</v>
      </c>
    </row>
    <row r="14699" spans="1:6" x14ac:dyDescent="0.25">
      <c r="A14699">
        <v>14698</v>
      </c>
      <c r="B14699">
        <v>46</v>
      </c>
      <c r="C14699">
        <v>0</v>
      </c>
      <c r="D14699">
        <v>0</v>
      </c>
      <c r="E14699">
        <v>0</v>
      </c>
      <c r="F14699">
        <v>0</v>
      </c>
    </row>
    <row r="14700" spans="1:6" x14ac:dyDescent="0.25">
      <c r="A14700">
        <v>14699</v>
      </c>
      <c r="B14700" t="s">
        <v>0</v>
      </c>
      <c r="C14700">
        <v>36</v>
      </c>
      <c r="D14700">
        <v>3505</v>
      </c>
      <c r="E14700">
        <v>80611877</v>
      </c>
    </row>
    <row r="14701" spans="1:6" x14ac:dyDescent="0.25">
      <c r="A14701">
        <v>14700</v>
      </c>
      <c r="B14701">
        <v>2</v>
      </c>
      <c r="C14701">
        <v>0</v>
      </c>
      <c r="D14701">
        <v>0</v>
      </c>
      <c r="E14701">
        <v>0</v>
      </c>
      <c r="F14701">
        <v>242.4</v>
      </c>
    </row>
    <row r="14702" spans="1:6" x14ac:dyDescent="0.25">
      <c r="A14702">
        <v>14701</v>
      </c>
      <c r="B14702">
        <v>10</v>
      </c>
      <c r="C14702">
        <v>1</v>
      </c>
      <c r="D14702">
        <v>0</v>
      </c>
      <c r="E14702">
        <v>0</v>
      </c>
      <c r="F14702">
        <v>5182</v>
      </c>
    </row>
    <row r="14703" spans="1:6" x14ac:dyDescent="0.25">
      <c r="A14703">
        <v>14702</v>
      </c>
      <c r="B14703" t="s">
        <v>0</v>
      </c>
      <c r="C14703">
        <v>37</v>
      </c>
      <c r="D14703">
        <v>3505</v>
      </c>
      <c r="E14703">
        <v>80612014</v>
      </c>
    </row>
    <row r="14704" spans="1:6" x14ac:dyDescent="0.25">
      <c r="A14704">
        <v>14703</v>
      </c>
      <c r="B14704">
        <v>41</v>
      </c>
      <c r="C14704">
        <v>0</v>
      </c>
      <c r="D14704">
        <v>0</v>
      </c>
      <c r="E14704">
        <v>0</v>
      </c>
      <c r="F14704">
        <v>1</v>
      </c>
    </row>
    <row r="14705" spans="1:6" x14ac:dyDescent="0.25">
      <c r="A14705">
        <v>14704</v>
      </c>
      <c r="B14705" t="s">
        <v>0</v>
      </c>
      <c r="C14705">
        <v>38</v>
      </c>
      <c r="D14705">
        <v>3505</v>
      </c>
      <c r="E14705">
        <v>80612151</v>
      </c>
    </row>
    <row r="14706" spans="1:6" x14ac:dyDescent="0.25">
      <c r="A14706">
        <v>14705</v>
      </c>
      <c r="B14706">
        <v>43</v>
      </c>
      <c r="C14706">
        <v>0</v>
      </c>
      <c r="D14706">
        <v>0</v>
      </c>
      <c r="E14706">
        <v>0</v>
      </c>
      <c r="F14706">
        <v>0</v>
      </c>
    </row>
    <row r="14707" spans="1:6" x14ac:dyDescent="0.25">
      <c r="A14707">
        <v>14706</v>
      </c>
      <c r="B14707" t="s">
        <v>0</v>
      </c>
      <c r="C14707">
        <v>39</v>
      </c>
      <c r="D14707">
        <v>3505</v>
      </c>
      <c r="E14707">
        <v>80612288</v>
      </c>
    </row>
    <row r="14708" spans="1:6" x14ac:dyDescent="0.25">
      <c r="A14708">
        <v>14707</v>
      </c>
      <c r="B14708">
        <v>45</v>
      </c>
      <c r="C14708">
        <v>0</v>
      </c>
      <c r="D14708">
        <v>0</v>
      </c>
      <c r="E14708">
        <v>0</v>
      </c>
      <c r="F14708">
        <v>518.33600000000001</v>
      </c>
    </row>
    <row r="14709" spans="1:6" x14ac:dyDescent="0.25">
      <c r="A14709">
        <v>14708</v>
      </c>
      <c r="B14709" t="s">
        <v>0</v>
      </c>
      <c r="C14709">
        <v>40</v>
      </c>
      <c r="D14709">
        <v>3505</v>
      </c>
      <c r="E14709">
        <v>80612425</v>
      </c>
    </row>
    <row r="14710" spans="1:6" x14ac:dyDescent="0.25">
      <c r="A14710">
        <v>14709</v>
      </c>
      <c r="B14710">
        <v>2</v>
      </c>
      <c r="C14710">
        <v>0</v>
      </c>
      <c r="D14710">
        <v>0</v>
      </c>
      <c r="E14710">
        <v>0</v>
      </c>
      <c r="F14710">
        <v>242.41300000000001</v>
      </c>
    </row>
    <row r="14711" spans="1:6" x14ac:dyDescent="0.25">
      <c r="A14711">
        <v>14710</v>
      </c>
      <c r="B14711" t="s">
        <v>0</v>
      </c>
      <c r="C14711">
        <v>41</v>
      </c>
      <c r="D14711">
        <v>3505</v>
      </c>
      <c r="E14711">
        <v>80612562</v>
      </c>
    </row>
    <row r="14712" spans="1:6" x14ac:dyDescent="0.25">
      <c r="A14712">
        <v>14711</v>
      </c>
      <c r="B14712">
        <v>13</v>
      </c>
      <c r="C14712">
        <v>0</v>
      </c>
      <c r="D14712">
        <v>0</v>
      </c>
      <c r="E14712">
        <v>0</v>
      </c>
      <c r="F14712">
        <v>1613</v>
      </c>
    </row>
    <row r="14713" spans="1:6" x14ac:dyDescent="0.25">
      <c r="A14713">
        <v>14712</v>
      </c>
      <c r="B14713" t="s">
        <v>0</v>
      </c>
      <c r="C14713">
        <v>42</v>
      </c>
      <c r="D14713">
        <v>3505</v>
      </c>
      <c r="E14713">
        <v>80612699</v>
      </c>
    </row>
    <row r="14714" spans="1:6" x14ac:dyDescent="0.25">
      <c r="A14714">
        <v>14713</v>
      </c>
      <c r="B14714">
        <v>42</v>
      </c>
      <c r="C14714">
        <v>0</v>
      </c>
      <c r="D14714">
        <v>0</v>
      </c>
      <c r="E14714">
        <v>0</v>
      </c>
      <c r="F14714">
        <v>0.2</v>
      </c>
    </row>
    <row r="14715" spans="1:6" x14ac:dyDescent="0.25">
      <c r="A14715">
        <v>14714</v>
      </c>
      <c r="B14715">
        <v>43</v>
      </c>
      <c r="C14715">
        <v>0</v>
      </c>
      <c r="D14715">
        <v>0</v>
      </c>
      <c r="E14715">
        <v>0</v>
      </c>
      <c r="F14715">
        <v>0</v>
      </c>
    </row>
    <row r="14716" spans="1:6" x14ac:dyDescent="0.25">
      <c r="A14716">
        <v>14715</v>
      </c>
      <c r="B14716">
        <v>44</v>
      </c>
      <c r="C14716">
        <v>0</v>
      </c>
      <c r="D14716">
        <v>0</v>
      </c>
      <c r="E14716">
        <v>0</v>
      </c>
      <c r="F14716">
        <v>26.4528</v>
      </c>
    </row>
    <row r="14717" spans="1:6" x14ac:dyDescent="0.25">
      <c r="A14717">
        <v>14716</v>
      </c>
      <c r="B14717">
        <v>45</v>
      </c>
      <c r="C14717">
        <v>0</v>
      </c>
      <c r="D14717">
        <v>0</v>
      </c>
      <c r="E14717">
        <v>0</v>
      </c>
      <c r="F14717">
        <v>518.36500000000001</v>
      </c>
    </row>
    <row r="14718" spans="1:6" x14ac:dyDescent="0.25">
      <c r="A14718">
        <v>14717</v>
      </c>
      <c r="B14718">
        <v>46</v>
      </c>
      <c r="C14718">
        <v>0</v>
      </c>
      <c r="D14718">
        <v>0</v>
      </c>
      <c r="E14718">
        <v>0</v>
      </c>
      <c r="F14718">
        <v>0</v>
      </c>
    </row>
    <row r="14719" spans="1:6" x14ac:dyDescent="0.25">
      <c r="A14719">
        <v>14718</v>
      </c>
      <c r="B14719">
        <v>2</v>
      </c>
      <c r="C14719">
        <v>0</v>
      </c>
      <c r="D14719">
        <v>0</v>
      </c>
      <c r="E14719">
        <v>0</v>
      </c>
      <c r="F14719">
        <v>242.42400000000001</v>
      </c>
    </row>
    <row r="14720" spans="1:6" x14ac:dyDescent="0.25">
      <c r="A14720">
        <v>14719</v>
      </c>
      <c r="B14720">
        <v>10</v>
      </c>
      <c r="C14720">
        <v>1</v>
      </c>
      <c r="D14720">
        <v>0</v>
      </c>
      <c r="E14720">
        <v>0</v>
      </c>
      <c r="F14720">
        <v>5184</v>
      </c>
    </row>
    <row r="14721" spans="1:6" x14ac:dyDescent="0.25">
      <c r="A14721">
        <v>14720</v>
      </c>
      <c r="B14721">
        <v>13</v>
      </c>
      <c r="C14721">
        <v>0</v>
      </c>
      <c r="D14721">
        <v>0</v>
      </c>
      <c r="E14721">
        <v>0</v>
      </c>
      <c r="F14721">
        <v>1613</v>
      </c>
    </row>
    <row r="14722" spans="1:6" x14ac:dyDescent="0.25">
      <c r="A14722">
        <v>14721</v>
      </c>
      <c r="B14722">
        <v>41</v>
      </c>
      <c r="C14722">
        <v>0</v>
      </c>
      <c r="D14722">
        <v>0</v>
      </c>
      <c r="E14722">
        <v>0</v>
      </c>
      <c r="F14722">
        <v>1</v>
      </c>
    </row>
    <row r="14723" spans="1:6" x14ac:dyDescent="0.25">
      <c r="A14723">
        <v>14722</v>
      </c>
      <c r="B14723">
        <v>42</v>
      </c>
      <c r="C14723">
        <v>0</v>
      </c>
      <c r="D14723">
        <v>0</v>
      </c>
      <c r="E14723">
        <v>0</v>
      </c>
      <c r="F14723">
        <v>0.2</v>
      </c>
    </row>
    <row r="14724" spans="1:6" x14ac:dyDescent="0.25">
      <c r="A14724">
        <v>14723</v>
      </c>
      <c r="B14724">
        <v>43</v>
      </c>
      <c r="C14724">
        <v>0</v>
      </c>
      <c r="D14724">
        <v>0</v>
      </c>
      <c r="E14724">
        <v>0</v>
      </c>
      <c r="F14724">
        <v>0</v>
      </c>
    </row>
    <row r="14725" spans="1:6" x14ac:dyDescent="0.25">
      <c r="A14725">
        <v>14724</v>
      </c>
      <c r="B14725">
        <v>44</v>
      </c>
      <c r="C14725">
        <v>0</v>
      </c>
      <c r="D14725">
        <v>0</v>
      </c>
      <c r="E14725">
        <v>0</v>
      </c>
      <c r="F14725">
        <v>26.5687</v>
      </c>
    </row>
    <row r="14726" spans="1:6" x14ac:dyDescent="0.25">
      <c r="A14726">
        <v>14725</v>
      </c>
      <c r="B14726">
        <v>45</v>
      </c>
      <c r="C14726">
        <v>0</v>
      </c>
      <c r="D14726">
        <v>0</v>
      </c>
      <c r="E14726">
        <v>0</v>
      </c>
      <c r="F14726">
        <v>518.40099999999995</v>
      </c>
    </row>
    <row r="14727" spans="1:6" x14ac:dyDescent="0.25">
      <c r="A14727">
        <v>14726</v>
      </c>
      <c r="B14727">
        <v>46</v>
      </c>
      <c r="C14727">
        <v>0</v>
      </c>
      <c r="D14727">
        <v>0</v>
      </c>
      <c r="E14727">
        <v>0</v>
      </c>
      <c r="F14727">
        <v>0</v>
      </c>
    </row>
    <row r="14728" spans="1:6" x14ac:dyDescent="0.25">
      <c r="A14728">
        <v>14727</v>
      </c>
      <c r="B14728">
        <v>2</v>
      </c>
      <c r="C14728">
        <v>0</v>
      </c>
      <c r="D14728">
        <v>0</v>
      </c>
      <c r="E14728">
        <v>0</v>
      </c>
      <c r="F14728">
        <v>242.434</v>
      </c>
    </row>
    <row r="14729" spans="1:6" x14ac:dyDescent="0.25">
      <c r="A14729">
        <v>14728</v>
      </c>
      <c r="B14729">
        <v>10</v>
      </c>
      <c r="C14729">
        <v>1</v>
      </c>
      <c r="D14729">
        <v>0</v>
      </c>
      <c r="E14729">
        <v>0</v>
      </c>
      <c r="F14729">
        <v>5184</v>
      </c>
    </row>
    <row r="14730" spans="1:6" x14ac:dyDescent="0.25">
      <c r="A14730">
        <v>14729</v>
      </c>
      <c r="B14730" t="s">
        <v>0</v>
      </c>
      <c r="C14730">
        <v>50</v>
      </c>
      <c r="D14730">
        <v>3505</v>
      </c>
      <c r="E14730">
        <v>80613795</v>
      </c>
    </row>
    <row r="14731" spans="1:6" x14ac:dyDescent="0.25">
      <c r="A14731">
        <v>14730</v>
      </c>
      <c r="B14731">
        <v>13</v>
      </c>
      <c r="C14731">
        <v>0</v>
      </c>
      <c r="D14731">
        <v>0</v>
      </c>
      <c r="E14731">
        <v>0</v>
      </c>
      <c r="F14731">
        <v>1613</v>
      </c>
    </row>
    <row r="14732" spans="1:6" x14ac:dyDescent="0.25">
      <c r="A14732">
        <v>14731</v>
      </c>
      <c r="B14732">
        <v>41</v>
      </c>
      <c r="C14732">
        <v>0</v>
      </c>
      <c r="D14732">
        <v>0</v>
      </c>
      <c r="E14732">
        <v>0</v>
      </c>
      <c r="F14732">
        <v>1</v>
      </c>
    </row>
    <row r="14733" spans="1:6" x14ac:dyDescent="0.25">
      <c r="A14733">
        <v>14732</v>
      </c>
      <c r="B14733" t="s">
        <v>0</v>
      </c>
      <c r="C14733">
        <v>51</v>
      </c>
      <c r="D14733">
        <v>3505</v>
      </c>
      <c r="E14733">
        <v>80613932</v>
      </c>
    </row>
    <row r="14734" spans="1:6" x14ac:dyDescent="0.25">
      <c r="A14734">
        <v>14733</v>
      </c>
      <c r="B14734">
        <v>42</v>
      </c>
      <c r="C14734">
        <v>0</v>
      </c>
      <c r="D14734">
        <v>0</v>
      </c>
      <c r="E14734">
        <v>0</v>
      </c>
      <c r="F14734">
        <v>0.2</v>
      </c>
    </row>
    <row r="14735" spans="1:6" x14ac:dyDescent="0.25">
      <c r="A14735">
        <v>14734</v>
      </c>
      <c r="B14735">
        <v>43</v>
      </c>
      <c r="C14735">
        <v>0</v>
      </c>
      <c r="D14735">
        <v>0</v>
      </c>
      <c r="E14735">
        <v>0</v>
      </c>
      <c r="F14735">
        <v>0</v>
      </c>
    </row>
    <row r="14736" spans="1:6" x14ac:dyDescent="0.25">
      <c r="A14736">
        <v>14735</v>
      </c>
      <c r="B14736" t="s">
        <v>0</v>
      </c>
      <c r="C14736">
        <v>52</v>
      </c>
      <c r="D14736">
        <v>3505</v>
      </c>
      <c r="E14736">
        <v>80614069</v>
      </c>
    </row>
    <row r="14737" spans="1:6" x14ac:dyDescent="0.25">
      <c r="A14737">
        <v>14736</v>
      </c>
      <c r="B14737">
        <v>44</v>
      </c>
      <c r="C14737">
        <v>0</v>
      </c>
      <c r="D14737">
        <v>0</v>
      </c>
      <c r="E14737">
        <v>0</v>
      </c>
      <c r="F14737">
        <v>26.7349</v>
      </c>
    </row>
    <row r="14738" spans="1:6" x14ac:dyDescent="0.25">
      <c r="A14738">
        <v>14737</v>
      </c>
      <c r="B14738">
        <v>45</v>
      </c>
      <c r="C14738">
        <v>0</v>
      </c>
      <c r="D14738">
        <v>0</v>
      </c>
      <c r="E14738">
        <v>0</v>
      </c>
      <c r="F14738">
        <v>518.43100000000004</v>
      </c>
    </row>
    <row r="14739" spans="1:6" x14ac:dyDescent="0.25">
      <c r="A14739">
        <v>14738</v>
      </c>
      <c r="B14739" t="s">
        <v>0</v>
      </c>
      <c r="C14739">
        <v>53</v>
      </c>
      <c r="D14739">
        <v>3505</v>
      </c>
      <c r="E14739">
        <v>80614206</v>
      </c>
    </row>
    <row r="14740" spans="1:6" x14ac:dyDescent="0.25">
      <c r="A14740">
        <v>14739</v>
      </c>
      <c r="B14740">
        <v>46</v>
      </c>
      <c r="C14740">
        <v>0</v>
      </c>
      <c r="D14740">
        <v>0</v>
      </c>
      <c r="E14740">
        <v>0</v>
      </c>
      <c r="F14740">
        <v>0</v>
      </c>
    </row>
    <row r="14741" spans="1:6" x14ac:dyDescent="0.25">
      <c r="A14741">
        <v>14740</v>
      </c>
      <c r="B14741">
        <v>2</v>
      </c>
      <c r="C14741">
        <v>0</v>
      </c>
      <c r="D14741">
        <v>0</v>
      </c>
      <c r="E14741">
        <v>0</v>
      </c>
      <c r="F14741">
        <v>242.441</v>
      </c>
    </row>
    <row r="14742" spans="1:6" x14ac:dyDescent="0.25">
      <c r="A14742">
        <v>14741</v>
      </c>
      <c r="B14742" t="s">
        <v>0</v>
      </c>
      <c r="C14742">
        <v>54</v>
      </c>
      <c r="D14742">
        <v>3505</v>
      </c>
      <c r="E14742">
        <v>80614343</v>
      </c>
    </row>
    <row r="14743" spans="1:6" x14ac:dyDescent="0.25">
      <c r="A14743">
        <v>14742</v>
      </c>
      <c r="B14743">
        <v>10</v>
      </c>
      <c r="C14743">
        <v>1</v>
      </c>
      <c r="D14743">
        <v>0</v>
      </c>
      <c r="E14743">
        <v>0</v>
      </c>
      <c r="F14743">
        <v>5185</v>
      </c>
    </row>
    <row r="14744" spans="1:6" x14ac:dyDescent="0.25">
      <c r="A14744">
        <v>14743</v>
      </c>
      <c r="B14744">
        <v>13</v>
      </c>
      <c r="C14744">
        <v>0</v>
      </c>
      <c r="D14744">
        <v>0</v>
      </c>
      <c r="E14744">
        <v>0</v>
      </c>
      <c r="F14744">
        <v>1613</v>
      </c>
    </row>
    <row r="14745" spans="1:6" x14ac:dyDescent="0.25">
      <c r="A14745">
        <v>14744</v>
      </c>
      <c r="B14745" t="s">
        <v>0</v>
      </c>
      <c r="C14745">
        <v>55</v>
      </c>
      <c r="D14745">
        <v>3505</v>
      </c>
      <c r="E14745">
        <v>80614480</v>
      </c>
    </row>
    <row r="14746" spans="1:6" x14ac:dyDescent="0.25">
      <c r="A14746">
        <v>14745</v>
      </c>
      <c r="B14746">
        <v>41</v>
      </c>
      <c r="C14746">
        <v>0</v>
      </c>
      <c r="D14746">
        <v>0</v>
      </c>
      <c r="E14746">
        <v>0</v>
      </c>
      <c r="F14746">
        <v>1</v>
      </c>
    </row>
    <row r="14747" spans="1:6" x14ac:dyDescent="0.25">
      <c r="A14747">
        <v>14746</v>
      </c>
      <c r="B14747">
        <v>42</v>
      </c>
      <c r="C14747">
        <v>0</v>
      </c>
      <c r="D14747">
        <v>0</v>
      </c>
      <c r="E14747">
        <v>0</v>
      </c>
      <c r="F14747">
        <v>0.2</v>
      </c>
    </row>
    <row r="14748" spans="1:6" x14ac:dyDescent="0.25">
      <c r="A14748">
        <v>14747</v>
      </c>
      <c r="B14748" t="s">
        <v>0</v>
      </c>
      <c r="C14748">
        <v>56</v>
      </c>
      <c r="D14748">
        <v>3505</v>
      </c>
      <c r="E14748">
        <v>80614617</v>
      </c>
    </row>
    <row r="14749" spans="1:6" x14ac:dyDescent="0.25">
      <c r="A14749">
        <v>14748</v>
      </c>
      <c r="B14749">
        <v>44</v>
      </c>
      <c r="C14749">
        <v>0</v>
      </c>
      <c r="D14749">
        <v>0</v>
      </c>
      <c r="E14749">
        <v>0</v>
      </c>
      <c r="F14749">
        <v>26.878799999999998</v>
      </c>
    </row>
    <row r="14750" spans="1:6" x14ac:dyDescent="0.25">
      <c r="A14750">
        <v>14749</v>
      </c>
      <c r="B14750" t="s">
        <v>0</v>
      </c>
      <c r="C14750">
        <v>57</v>
      </c>
      <c r="D14750">
        <v>3505</v>
      </c>
      <c r="E14750">
        <v>80614754</v>
      </c>
    </row>
    <row r="14751" spans="1:6" x14ac:dyDescent="0.25">
      <c r="A14751">
        <v>14750</v>
      </c>
      <c r="B14751">
        <v>46</v>
      </c>
      <c r="C14751">
        <v>0</v>
      </c>
      <c r="D14751">
        <v>0</v>
      </c>
      <c r="E14751">
        <v>0</v>
      </c>
      <c r="F14751">
        <v>0</v>
      </c>
    </row>
    <row r="14752" spans="1:6" x14ac:dyDescent="0.25">
      <c r="A14752">
        <v>14751</v>
      </c>
      <c r="B14752" t="s">
        <v>0</v>
      </c>
      <c r="C14752">
        <v>58</v>
      </c>
      <c r="D14752">
        <v>3505</v>
      </c>
      <c r="E14752">
        <v>80614891</v>
      </c>
    </row>
    <row r="14753" spans="1:6" x14ac:dyDescent="0.25">
      <c r="A14753">
        <v>14752</v>
      </c>
      <c r="B14753">
        <v>10</v>
      </c>
      <c r="C14753">
        <v>1</v>
      </c>
      <c r="D14753">
        <v>0</v>
      </c>
      <c r="E14753">
        <v>0</v>
      </c>
      <c r="F14753">
        <v>5186</v>
      </c>
    </row>
    <row r="14754" spans="1:6" x14ac:dyDescent="0.25">
      <c r="A14754">
        <v>14753</v>
      </c>
      <c r="B14754" t="s">
        <v>0</v>
      </c>
      <c r="C14754">
        <v>59</v>
      </c>
      <c r="D14754">
        <v>3505</v>
      </c>
      <c r="E14754">
        <v>80615027</v>
      </c>
    </row>
    <row r="14755" spans="1:6" x14ac:dyDescent="0.25">
      <c r="A14755">
        <v>14754</v>
      </c>
      <c r="B14755">
        <v>41</v>
      </c>
      <c r="C14755">
        <v>0</v>
      </c>
      <c r="D14755">
        <v>0</v>
      </c>
      <c r="E14755">
        <v>0</v>
      </c>
      <c r="F14755">
        <v>1</v>
      </c>
    </row>
    <row r="14756" spans="1:6" x14ac:dyDescent="0.25">
      <c r="A14756">
        <v>14755</v>
      </c>
      <c r="B14756" t="s">
        <v>0</v>
      </c>
      <c r="C14756">
        <v>60</v>
      </c>
      <c r="D14756">
        <v>3505</v>
      </c>
      <c r="E14756">
        <v>80615164</v>
      </c>
    </row>
    <row r="14757" spans="1:6" x14ac:dyDescent="0.25">
      <c r="A14757">
        <v>14756</v>
      </c>
      <c r="B14757">
        <v>43</v>
      </c>
      <c r="C14757">
        <v>0</v>
      </c>
      <c r="D14757">
        <v>0</v>
      </c>
      <c r="E14757">
        <v>0</v>
      </c>
      <c r="F14757">
        <v>0</v>
      </c>
    </row>
    <row r="14758" spans="1:6" x14ac:dyDescent="0.25">
      <c r="A14758">
        <v>14757</v>
      </c>
      <c r="B14758">
        <v>44</v>
      </c>
      <c r="C14758">
        <v>0</v>
      </c>
      <c r="D14758">
        <v>0</v>
      </c>
      <c r="E14758">
        <v>0</v>
      </c>
      <c r="F14758">
        <v>26.998999999999999</v>
      </c>
    </row>
    <row r="14759" spans="1:6" x14ac:dyDescent="0.25">
      <c r="A14759">
        <v>14758</v>
      </c>
      <c r="B14759">
        <v>45</v>
      </c>
      <c r="C14759">
        <v>0</v>
      </c>
      <c r="D14759">
        <v>0</v>
      </c>
      <c r="E14759">
        <v>0</v>
      </c>
      <c r="F14759">
        <v>518.49699999999996</v>
      </c>
    </row>
    <row r="14760" spans="1:6" x14ac:dyDescent="0.25">
      <c r="A14760">
        <v>14759</v>
      </c>
      <c r="B14760">
        <v>46</v>
      </c>
      <c r="C14760">
        <v>0</v>
      </c>
      <c r="D14760">
        <v>0</v>
      </c>
      <c r="E14760">
        <v>0</v>
      </c>
      <c r="F14760">
        <v>0</v>
      </c>
    </row>
    <row r="14761" spans="1:6" x14ac:dyDescent="0.25">
      <c r="A14761">
        <v>14760</v>
      </c>
      <c r="B14761">
        <v>2</v>
      </c>
      <c r="C14761">
        <v>0</v>
      </c>
      <c r="D14761">
        <v>0</v>
      </c>
      <c r="E14761">
        <v>0</v>
      </c>
      <c r="F14761">
        <v>242.452</v>
      </c>
    </row>
    <row r="14762" spans="1:6" x14ac:dyDescent="0.25">
      <c r="A14762">
        <v>14761</v>
      </c>
      <c r="B14762">
        <v>10</v>
      </c>
      <c r="C14762">
        <v>1</v>
      </c>
      <c r="D14762">
        <v>0</v>
      </c>
      <c r="E14762">
        <v>0</v>
      </c>
      <c r="F14762">
        <v>5187</v>
      </c>
    </row>
    <row r="14763" spans="1:6" x14ac:dyDescent="0.25">
      <c r="A14763">
        <v>14762</v>
      </c>
      <c r="B14763">
        <v>13</v>
      </c>
      <c r="C14763">
        <v>0</v>
      </c>
      <c r="D14763">
        <v>0</v>
      </c>
      <c r="E14763">
        <v>0</v>
      </c>
      <c r="F14763">
        <v>1613</v>
      </c>
    </row>
    <row r="14764" spans="1:6" x14ac:dyDescent="0.25">
      <c r="A14764">
        <v>14763</v>
      </c>
      <c r="B14764">
        <v>41</v>
      </c>
      <c r="C14764">
        <v>0</v>
      </c>
      <c r="D14764">
        <v>0</v>
      </c>
      <c r="E14764">
        <v>0</v>
      </c>
      <c r="F14764">
        <v>1</v>
      </c>
    </row>
    <row r="14765" spans="1:6" x14ac:dyDescent="0.25">
      <c r="A14765">
        <v>14764</v>
      </c>
      <c r="B14765">
        <v>42</v>
      </c>
      <c r="C14765">
        <v>0</v>
      </c>
      <c r="D14765">
        <v>0</v>
      </c>
      <c r="E14765">
        <v>0</v>
      </c>
      <c r="F14765">
        <v>0.2</v>
      </c>
    </row>
    <row r="14766" spans="1:6" x14ac:dyDescent="0.25">
      <c r="A14766">
        <v>14765</v>
      </c>
      <c r="B14766">
        <v>43</v>
      </c>
      <c r="C14766">
        <v>0</v>
      </c>
      <c r="D14766">
        <v>0</v>
      </c>
      <c r="E14766">
        <v>0</v>
      </c>
      <c r="F14766">
        <v>0</v>
      </c>
    </row>
    <row r="14767" spans="1:6" x14ac:dyDescent="0.25">
      <c r="A14767">
        <v>14766</v>
      </c>
      <c r="B14767">
        <v>44</v>
      </c>
      <c r="C14767">
        <v>0</v>
      </c>
      <c r="D14767">
        <v>0</v>
      </c>
      <c r="E14767">
        <v>0</v>
      </c>
      <c r="F14767">
        <v>27.1693</v>
      </c>
    </row>
    <row r="14768" spans="1:6" x14ac:dyDescent="0.25">
      <c r="A14768">
        <v>14767</v>
      </c>
      <c r="B14768">
        <v>45</v>
      </c>
      <c r="C14768">
        <v>0</v>
      </c>
      <c r="D14768">
        <v>0</v>
      </c>
      <c r="E14768">
        <v>0</v>
      </c>
      <c r="F14768">
        <v>518.52700000000004</v>
      </c>
    </row>
    <row r="14769" spans="1:6" x14ac:dyDescent="0.25">
      <c r="A14769">
        <v>14768</v>
      </c>
      <c r="B14769">
        <v>46</v>
      </c>
      <c r="C14769">
        <v>0</v>
      </c>
      <c r="D14769">
        <v>0</v>
      </c>
      <c r="E14769">
        <v>0</v>
      </c>
      <c r="F14769">
        <v>0</v>
      </c>
    </row>
    <row r="14770" spans="1:6" x14ac:dyDescent="0.25">
      <c r="A14770">
        <v>14769</v>
      </c>
      <c r="B14770">
        <v>2</v>
      </c>
      <c r="C14770">
        <v>0</v>
      </c>
      <c r="D14770">
        <v>0</v>
      </c>
      <c r="E14770">
        <v>0</v>
      </c>
      <c r="F14770">
        <v>242.45500000000001</v>
      </c>
    </row>
    <row r="14771" spans="1:6" x14ac:dyDescent="0.25">
      <c r="A14771">
        <v>14770</v>
      </c>
      <c r="B14771" t="s">
        <v>0</v>
      </c>
      <c r="C14771">
        <v>67</v>
      </c>
      <c r="D14771">
        <v>3505</v>
      </c>
      <c r="E14771">
        <v>80616123</v>
      </c>
    </row>
    <row r="14772" spans="1:6" x14ac:dyDescent="0.25">
      <c r="A14772">
        <v>14771</v>
      </c>
      <c r="B14772">
        <v>10</v>
      </c>
      <c r="C14772">
        <v>1</v>
      </c>
      <c r="D14772">
        <v>0</v>
      </c>
      <c r="E14772">
        <v>0</v>
      </c>
      <c r="F14772">
        <v>5188</v>
      </c>
    </row>
    <row r="14773" spans="1:6" x14ac:dyDescent="0.25">
      <c r="A14773">
        <v>14772</v>
      </c>
      <c r="B14773">
        <v>13</v>
      </c>
      <c r="C14773">
        <v>0</v>
      </c>
      <c r="D14773">
        <v>0</v>
      </c>
      <c r="E14773">
        <v>0</v>
      </c>
      <c r="F14773">
        <v>1613</v>
      </c>
    </row>
    <row r="14774" spans="1:6" x14ac:dyDescent="0.25">
      <c r="A14774">
        <v>14773</v>
      </c>
      <c r="B14774" t="s">
        <v>0</v>
      </c>
      <c r="C14774">
        <v>68</v>
      </c>
      <c r="D14774">
        <v>3505</v>
      </c>
      <c r="E14774">
        <v>80616260</v>
      </c>
    </row>
    <row r="14775" spans="1:6" x14ac:dyDescent="0.25">
      <c r="A14775">
        <v>14774</v>
      </c>
      <c r="B14775">
        <v>41</v>
      </c>
      <c r="C14775">
        <v>0</v>
      </c>
      <c r="D14775">
        <v>0</v>
      </c>
      <c r="E14775">
        <v>0</v>
      </c>
      <c r="F14775">
        <v>1</v>
      </c>
    </row>
    <row r="14776" spans="1:6" x14ac:dyDescent="0.25">
      <c r="A14776">
        <v>14775</v>
      </c>
      <c r="B14776">
        <v>42</v>
      </c>
      <c r="C14776">
        <v>0</v>
      </c>
      <c r="D14776">
        <v>0</v>
      </c>
      <c r="E14776">
        <v>0</v>
      </c>
      <c r="F14776">
        <v>0.2</v>
      </c>
    </row>
    <row r="14777" spans="1:6" x14ac:dyDescent="0.25">
      <c r="A14777">
        <v>14776</v>
      </c>
      <c r="B14777" t="s">
        <v>0</v>
      </c>
      <c r="C14777">
        <v>69</v>
      </c>
      <c r="D14777">
        <v>3505</v>
      </c>
      <c r="E14777">
        <v>80616397</v>
      </c>
    </row>
    <row r="14778" spans="1:6" x14ac:dyDescent="0.25">
      <c r="A14778">
        <v>14777</v>
      </c>
      <c r="B14778">
        <v>43</v>
      </c>
      <c r="C14778">
        <v>0</v>
      </c>
      <c r="D14778">
        <v>0</v>
      </c>
      <c r="E14778">
        <v>0</v>
      </c>
      <c r="F14778">
        <v>0</v>
      </c>
    </row>
    <row r="14779" spans="1:6" x14ac:dyDescent="0.25">
      <c r="A14779">
        <v>14778</v>
      </c>
      <c r="B14779">
        <v>44</v>
      </c>
      <c r="C14779">
        <v>0</v>
      </c>
      <c r="D14779">
        <v>0</v>
      </c>
      <c r="E14779">
        <v>0</v>
      </c>
      <c r="F14779">
        <v>27.2912</v>
      </c>
    </row>
    <row r="14780" spans="1:6" x14ac:dyDescent="0.25">
      <c r="A14780">
        <v>14779</v>
      </c>
      <c r="B14780" t="s">
        <v>0</v>
      </c>
      <c r="C14780">
        <v>70</v>
      </c>
      <c r="D14780">
        <v>3505</v>
      </c>
      <c r="E14780">
        <v>80616534</v>
      </c>
    </row>
    <row r="14781" spans="1:6" x14ac:dyDescent="0.25">
      <c r="A14781">
        <v>14780</v>
      </c>
      <c r="B14781">
        <v>45</v>
      </c>
      <c r="C14781">
        <v>0</v>
      </c>
      <c r="D14781">
        <v>0</v>
      </c>
      <c r="E14781">
        <v>0</v>
      </c>
      <c r="F14781">
        <v>518.56500000000005</v>
      </c>
    </row>
    <row r="14782" spans="1:6" x14ac:dyDescent="0.25">
      <c r="A14782">
        <v>14781</v>
      </c>
      <c r="B14782">
        <v>46</v>
      </c>
      <c r="C14782">
        <v>0</v>
      </c>
      <c r="D14782">
        <v>0</v>
      </c>
      <c r="E14782">
        <v>0</v>
      </c>
      <c r="F14782">
        <v>0</v>
      </c>
    </row>
    <row r="14783" spans="1:6" x14ac:dyDescent="0.25">
      <c r="A14783">
        <v>14782</v>
      </c>
      <c r="B14783" t="s">
        <v>0</v>
      </c>
      <c r="C14783">
        <v>71</v>
      </c>
      <c r="D14783">
        <v>3505</v>
      </c>
      <c r="E14783">
        <v>80616671</v>
      </c>
    </row>
    <row r="14784" spans="1:6" x14ac:dyDescent="0.25">
      <c r="A14784">
        <v>14783</v>
      </c>
      <c r="B14784">
        <v>2</v>
      </c>
      <c r="C14784">
        <v>0</v>
      </c>
      <c r="D14784">
        <v>0</v>
      </c>
      <c r="E14784">
        <v>0</v>
      </c>
      <c r="F14784">
        <v>242.459</v>
      </c>
    </row>
    <row r="14785" spans="1:6" x14ac:dyDescent="0.25">
      <c r="A14785">
        <v>14784</v>
      </c>
      <c r="B14785">
        <v>10</v>
      </c>
      <c r="C14785">
        <v>1</v>
      </c>
      <c r="D14785">
        <v>0</v>
      </c>
      <c r="E14785">
        <v>0</v>
      </c>
      <c r="F14785">
        <v>5189</v>
      </c>
    </row>
    <row r="14786" spans="1:6" x14ac:dyDescent="0.25">
      <c r="A14786">
        <v>14785</v>
      </c>
      <c r="B14786" t="s">
        <v>0</v>
      </c>
      <c r="C14786">
        <v>72</v>
      </c>
      <c r="D14786">
        <v>3505</v>
      </c>
      <c r="E14786">
        <v>80616808</v>
      </c>
    </row>
    <row r="14787" spans="1:6" x14ac:dyDescent="0.25">
      <c r="A14787">
        <v>14786</v>
      </c>
      <c r="B14787">
        <v>13</v>
      </c>
      <c r="C14787">
        <v>0</v>
      </c>
      <c r="D14787">
        <v>0</v>
      </c>
      <c r="E14787">
        <v>0</v>
      </c>
      <c r="F14787">
        <v>1613</v>
      </c>
    </row>
    <row r="14788" spans="1:6" x14ac:dyDescent="0.25">
      <c r="A14788">
        <v>14787</v>
      </c>
      <c r="B14788">
        <v>41</v>
      </c>
      <c r="C14788">
        <v>0</v>
      </c>
      <c r="D14788">
        <v>0</v>
      </c>
      <c r="E14788">
        <v>0</v>
      </c>
      <c r="F14788">
        <v>1</v>
      </c>
    </row>
    <row r="14789" spans="1:6" x14ac:dyDescent="0.25">
      <c r="A14789">
        <v>14788</v>
      </c>
      <c r="B14789" t="s">
        <v>0</v>
      </c>
      <c r="C14789">
        <v>73</v>
      </c>
      <c r="D14789">
        <v>3505</v>
      </c>
      <c r="E14789">
        <v>80616945</v>
      </c>
    </row>
    <row r="14790" spans="1:6" x14ac:dyDescent="0.25">
      <c r="A14790">
        <v>14789</v>
      </c>
      <c r="B14790">
        <v>43</v>
      </c>
      <c r="C14790">
        <v>0</v>
      </c>
      <c r="D14790">
        <v>0</v>
      </c>
      <c r="E14790">
        <v>0</v>
      </c>
      <c r="F14790">
        <v>0</v>
      </c>
    </row>
    <row r="14791" spans="1:6" x14ac:dyDescent="0.25">
      <c r="A14791">
        <v>14790</v>
      </c>
      <c r="B14791" t="s">
        <v>0</v>
      </c>
      <c r="C14791">
        <v>74</v>
      </c>
      <c r="D14791">
        <v>3505</v>
      </c>
      <c r="E14791">
        <v>80617082</v>
      </c>
    </row>
    <row r="14792" spans="1:6" x14ac:dyDescent="0.25">
      <c r="A14792">
        <v>14791</v>
      </c>
      <c r="B14792">
        <v>45</v>
      </c>
      <c r="C14792">
        <v>0</v>
      </c>
      <c r="D14792">
        <v>0</v>
      </c>
      <c r="E14792">
        <v>0</v>
      </c>
      <c r="F14792">
        <v>518.59500000000003</v>
      </c>
    </row>
    <row r="14793" spans="1:6" x14ac:dyDescent="0.25">
      <c r="A14793">
        <v>14792</v>
      </c>
      <c r="B14793" t="s">
        <v>0</v>
      </c>
      <c r="C14793">
        <v>75</v>
      </c>
      <c r="D14793">
        <v>3505</v>
      </c>
      <c r="E14793">
        <v>80617219</v>
      </c>
    </row>
    <row r="14794" spans="1:6" x14ac:dyDescent="0.25">
      <c r="A14794">
        <v>14793</v>
      </c>
      <c r="B14794">
        <v>2</v>
      </c>
      <c r="C14794">
        <v>0</v>
      </c>
      <c r="D14794">
        <v>0</v>
      </c>
      <c r="E14794">
        <v>0</v>
      </c>
      <c r="F14794">
        <v>242.46100000000001</v>
      </c>
    </row>
    <row r="14795" spans="1:6" x14ac:dyDescent="0.25">
      <c r="A14795">
        <v>14794</v>
      </c>
      <c r="B14795" t="s">
        <v>0</v>
      </c>
      <c r="C14795">
        <v>76</v>
      </c>
      <c r="D14795">
        <v>3505</v>
      </c>
      <c r="E14795">
        <v>80617356</v>
      </c>
    </row>
    <row r="14796" spans="1:6" x14ac:dyDescent="0.25">
      <c r="A14796">
        <v>14795</v>
      </c>
      <c r="B14796">
        <v>13</v>
      </c>
      <c r="C14796">
        <v>0</v>
      </c>
      <c r="D14796">
        <v>0</v>
      </c>
      <c r="E14796">
        <v>0</v>
      </c>
      <c r="F14796">
        <v>1613</v>
      </c>
    </row>
    <row r="14797" spans="1:6" x14ac:dyDescent="0.25">
      <c r="A14797">
        <v>14796</v>
      </c>
      <c r="B14797" t="s">
        <v>0</v>
      </c>
      <c r="C14797">
        <v>77</v>
      </c>
      <c r="D14797">
        <v>3505</v>
      </c>
      <c r="E14797">
        <v>80617493</v>
      </c>
    </row>
    <row r="14798" spans="1:6" x14ac:dyDescent="0.25">
      <c r="A14798">
        <v>14797</v>
      </c>
      <c r="B14798">
        <v>42</v>
      </c>
      <c r="C14798">
        <v>0</v>
      </c>
      <c r="D14798">
        <v>0</v>
      </c>
      <c r="E14798">
        <v>0</v>
      </c>
      <c r="F14798">
        <v>0.2</v>
      </c>
    </row>
    <row r="14799" spans="1:6" x14ac:dyDescent="0.25">
      <c r="A14799">
        <v>14798</v>
      </c>
      <c r="B14799" t="s">
        <v>0</v>
      </c>
      <c r="C14799">
        <v>78</v>
      </c>
      <c r="D14799">
        <v>3505</v>
      </c>
      <c r="E14799">
        <v>80617630</v>
      </c>
    </row>
    <row r="14800" spans="1:6" x14ac:dyDescent="0.25">
      <c r="A14800">
        <v>14799</v>
      </c>
      <c r="B14800">
        <v>44</v>
      </c>
      <c r="C14800">
        <v>0</v>
      </c>
      <c r="D14800">
        <v>0</v>
      </c>
      <c r="E14800">
        <v>0</v>
      </c>
      <c r="F14800">
        <v>27.6114</v>
      </c>
    </row>
    <row r="14801" spans="1:6" x14ac:dyDescent="0.25">
      <c r="A14801">
        <v>14800</v>
      </c>
      <c r="B14801">
        <v>45</v>
      </c>
      <c r="C14801">
        <v>0</v>
      </c>
      <c r="D14801">
        <v>0</v>
      </c>
      <c r="E14801">
        <v>0</v>
      </c>
      <c r="F14801">
        <v>518.625</v>
      </c>
    </row>
    <row r="14802" spans="1:6" x14ac:dyDescent="0.25">
      <c r="A14802">
        <v>14801</v>
      </c>
      <c r="B14802">
        <v>46</v>
      </c>
      <c r="C14802">
        <v>0</v>
      </c>
      <c r="D14802">
        <v>0</v>
      </c>
      <c r="E14802">
        <v>0</v>
      </c>
      <c r="F14802">
        <v>0</v>
      </c>
    </row>
    <row r="14803" spans="1:6" x14ac:dyDescent="0.25">
      <c r="A14803">
        <v>14802</v>
      </c>
      <c r="B14803">
        <v>2</v>
      </c>
      <c r="C14803">
        <v>0</v>
      </c>
      <c r="D14803">
        <v>0</v>
      </c>
      <c r="E14803">
        <v>0</v>
      </c>
      <c r="F14803">
        <v>242.46199999999999</v>
      </c>
    </row>
    <row r="14804" spans="1:6" x14ac:dyDescent="0.25">
      <c r="A14804">
        <v>14803</v>
      </c>
      <c r="B14804">
        <v>10</v>
      </c>
      <c r="C14804">
        <v>1</v>
      </c>
      <c r="D14804">
        <v>0</v>
      </c>
      <c r="E14804">
        <v>0</v>
      </c>
      <c r="F14804">
        <v>5191</v>
      </c>
    </row>
    <row r="14805" spans="1:6" x14ac:dyDescent="0.25">
      <c r="A14805">
        <v>14804</v>
      </c>
      <c r="B14805">
        <v>13</v>
      </c>
      <c r="C14805">
        <v>0</v>
      </c>
      <c r="D14805">
        <v>0</v>
      </c>
      <c r="E14805">
        <v>0</v>
      </c>
      <c r="F14805">
        <v>1613</v>
      </c>
    </row>
    <row r="14806" spans="1:6" x14ac:dyDescent="0.25">
      <c r="A14806">
        <v>14805</v>
      </c>
      <c r="B14806">
        <v>41</v>
      </c>
      <c r="C14806">
        <v>0</v>
      </c>
      <c r="D14806">
        <v>0</v>
      </c>
      <c r="E14806">
        <v>0</v>
      </c>
      <c r="F14806">
        <v>1</v>
      </c>
    </row>
    <row r="14807" spans="1:6" x14ac:dyDescent="0.25">
      <c r="A14807">
        <v>14806</v>
      </c>
      <c r="B14807">
        <v>42</v>
      </c>
      <c r="C14807">
        <v>0</v>
      </c>
      <c r="D14807">
        <v>0</v>
      </c>
      <c r="E14807">
        <v>0</v>
      </c>
      <c r="F14807">
        <v>0.2</v>
      </c>
    </row>
    <row r="14808" spans="1:6" x14ac:dyDescent="0.25">
      <c r="A14808">
        <v>14807</v>
      </c>
      <c r="B14808">
        <v>43</v>
      </c>
      <c r="C14808">
        <v>0</v>
      </c>
      <c r="D14808">
        <v>0</v>
      </c>
      <c r="E14808">
        <v>0</v>
      </c>
      <c r="F14808">
        <v>0</v>
      </c>
    </row>
    <row r="14809" spans="1:6" x14ac:dyDescent="0.25">
      <c r="A14809">
        <v>14808</v>
      </c>
      <c r="B14809">
        <v>44</v>
      </c>
      <c r="C14809">
        <v>0</v>
      </c>
      <c r="D14809">
        <v>0</v>
      </c>
      <c r="E14809">
        <v>0</v>
      </c>
      <c r="F14809">
        <v>27.734999999999999</v>
      </c>
    </row>
    <row r="14810" spans="1:6" x14ac:dyDescent="0.25">
      <c r="A14810">
        <v>14809</v>
      </c>
      <c r="B14810">
        <v>45</v>
      </c>
      <c r="C14810">
        <v>0</v>
      </c>
      <c r="D14810">
        <v>0</v>
      </c>
      <c r="E14810">
        <v>0</v>
      </c>
      <c r="F14810">
        <v>518.66300000000001</v>
      </c>
    </row>
    <row r="14811" spans="1:6" x14ac:dyDescent="0.25">
      <c r="A14811">
        <v>14810</v>
      </c>
      <c r="B14811">
        <v>46</v>
      </c>
      <c r="C14811">
        <v>0</v>
      </c>
      <c r="D14811">
        <v>0</v>
      </c>
      <c r="E14811">
        <v>0</v>
      </c>
      <c r="F14811">
        <v>0</v>
      </c>
    </row>
    <row r="14812" spans="1:6" x14ac:dyDescent="0.25">
      <c r="A14812">
        <v>14811</v>
      </c>
      <c r="B14812">
        <v>2</v>
      </c>
      <c r="C14812">
        <v>0</v>
      </c>
      <c r="D14812">
        <v>0</v>
      </c>
      <c r="E14812">
        <v>0</v>
      </c>
      <c r="F14812">
        <v>242.46100000000001</v>
      </c>
    </row>
    <row r="14813" spans="1:6" x14ac:dyDescent="0.25">
      <c r="A14813">
        <v>14812</v>
      </c>
      <c r="B14813">
        <v>10</v>
      </c>
      <c r="C14813">
        <v>1</v>
      </c>
      <c r="D14813">
        <v>0</v>
      </c>
      <c r="E14813">
        <v>0</v>
      </c>
      <c r="F14813">
        <v>5192</v>
      </c>
    </row>
    <row r="14814" spans="1:6" x14ac:dyDescent="0.25">
      <c r="A14814">
        <v>14813</v>
      </c>
      <c r="B14814">
        <v>13</v>
      </c>
      <c r="C14814">
        <v>0</v>
      </c>
      <c r="D14814">
        <v>0</v>
      </c>
      <c r="E14814">
        <v>0</v>
      </c>
      <c r="F14814">
        <v>1613</v>
      </c>
    </row>
    <row r="14815" spans="1:6" x14ac:dyDescent="0.25">
      <c r="A14815">
        <v>14814</v>
      </c>
      <c r="B14815">
        <v>41</v>
      </c>
      <c r="C14815">
        <v>0</v>
      </c>
      <c r="D14815">
        <v>0</v>
      </c>
      <c r="E14815">
        <v>0</v>
      </c>
      <c r="F14815">
        <v>1</v>
      </c>
    </row>
    <row r="14816" spans="1:6" x14ac:dyDescent="0.25">
      <c r="A14816">
        <v>14815</v>
      </c>
      <c r="B14816" t="s">
        <v>0</v>
      </c>
      <c r="C14816">
        <v>86</v>
      </c>
      <c r="D14816">
        <v>3505</v>
      </c>
      <c r="E14816">
        <v>80618726</v>
      </c>
    </row>
    <row r="14817" spans="1:6" x14ac:dyDescent="0.25">
      <c r="A14817">
        <v>14816</v>
      </c>
      <c r="B14817">
        <v>42</v>
      </c>
      <c r="C14817">
        <v>0</v>
      </c>
      <c r="D14817">
        <v>0</v>
      </c>
      <c r="E14817">
        <v>0</v>
      </c>
      <c r="F14817">
        <v>0.2</v>
      </c>
    </row>
    <row r="14818" spans="1:6" x14ac:dyDescent="0.25">
      <c r="A14818">
        <v>14817</v>
      </c>
      <c r="B14818">
        <v>43</v>
      </c>
      <c r="C14818">
        <v>0</v>
      </c>
      <c r="D14818">
        <v>0</v>
      </c>
      <c r="E14818">
        <v>0</v>
      </c>
      <c r="F14818">
        <v>0</v>
      </c>
    </row>
    <row r="14819" spans="1:6" x14ac:dyDescent="0.25">
      <c r="A14819">
        <v>14818</v>
      </c>
      <c r="B14819" t="s">
        <v>0</v>
      </c>
      <c r="C14819">
        <v>87</v>
      </c>
      <c r="D14819">
        <v>3505</v>
      </c>
      <c r="E14819">
        <v>80618863</v>
      </c>
    </row>
    <row r="14820" spans="1:6" x14ac:dyDescent="0.25">
      <c r="A14820">
        <v>14819</v>
      </c>
      <c r="B14820">
        <v>44</v>
      </c>
      <c r="C14820">
        <v>0</v>
      </c>
      <c r="D14820">
        <v>0</v>
      </c>
      <c r="E14820">
        <v>0</v>
      </c>
      <c r="F14820">
        <v>27.908300000000001</v>
      </c>
    </row>
    <row r="14821" spans="1:6" x14ac:dyDescent="0.25">
      <c r="A14821">
        <v>14820</v>
      </c>
      <c r="B14821">
        <v>45</v>
      </c>
      <c r="C14821">
        <v>0</v>
      </c>
      <c r="D14821">
        <v>0</v>
      </c>
      <c r="E14821">
        <v>0</v>
      </c>
      <c r="F14821">
        <v>518.69399999999996</v>
      </c>
    </row>
    <row r="14822" spans="1:6" x14ac:dyDescent="0.25">
      <c r="A14822">
        <v>14821</v>
      </c>
      <c r="B14822" t="s">
        <v>0</v>
      </c>
      <c r="C14822">
        <v>88</v>
      </c>
      <c r="D14822">
        <v>3505</v>
      </c>
      <c r="E14822">
        <v>80619000</v>
      </c>
    </row>
    <row r="14823" spans="1:6" x14ac:dyDescent="0.25">
      <c r="A14823">
        <v>14822</v>
      </c>
      <c r="B14823">
        <v>46</v>
      </c>
      <c r="C14823">
        <v>0</v>
      </c>
      <c r="D14823">
        <v>0</v>
      </c>
      <c r="E14823">
        <v>0</v>
      </c>
      <c r="F14823">
        <v>0</v>
      </c>
    </row>
    <row r="14824" spans="1:6" x14ac:dyDescent="0.25">
      <c r="A14824">
        <v>14823</v>
      </c>
      <c r="B14824">
        <v>2</v>
      </c>
      <c r="C14824">
        <v>0</v>
      </c>
      <c r="D14824">
        <v>0</v>
      </c>
      <c r="E14824">
        <v>0</v>
      </c>
      <c r="F14824">
        <v>242.465</v>
      </c>
    </row>
    <row r="14825" spans="1:6" x14ac:dyDescent="0.25">
      <c r="A14825">
        <v>14824</v>
      </c>
      <c r="B14825" t="s">
        <v>0</v>
      </c>
      <c r="C14825">
        <v>89</v>
      </c>
      <c r="D14825">
        <v>3505</v>
      </c>
      <c r="E14825">
        <v>80619137</v>
      </c>
    </row>
    <row r="14826" spans="1:6" x14ac:dyDescent="0.25">
      <c r="A14826">
        <v>14825</v>
      </c>
      <c r="B14826">
        <v>10</v>
      </c>
      <c r="C14826">
        <v>1</v>
      </c>
      <c r="D14826">
        <v>0</v>
      </c>
      <c r="E14826">
        <v>0</v>
      </c>
      <c r="F14826">
        <v>5193</v>
      </c>
    </row>
    <row r="14827" spans="1:6" x14ac:dyDescent="0.25">
      <c r="A14827">
        <v>14826</v>
      </c>
      <c r="B14827">
        <v>13</v>
      </c>
      <c r="C14827">
        <v>0</v>
      </c>
      <c r="D14827">
        <v>0</v>
      </c>
      <c r="E14827">
        <v>0</v>
      </c>
      <c r="F14827">
        <v>1613</v>
      </c>
    </row>
    <row r="14828" spans="1:6" x14ac:dyDescent="0.25">
      <c r="A14828">
        <v>14827</v>
      </c>
      <c r="B14828" t="s">
        <v>0</v>
      </c>
      <c r="C14828">
        <v>90</v>
      </c>
      <c r="D14828">
        <v>3505</v>
      </c>
      <c r="E14828">
        <v>80619274</v>
      </c>
    </row>
    <row r="14829" spans="1:6" x14ac:dyDescent="0.25">
      <c r="A14829">
        <v>14828</v>
      </c>
      <c r="B14829">
        <v>41</v>
      </c>
      <c r="C14829">
        <v>0</v>
      </c>
      <c r="D14829">
        <v>0</v>
      </c>
      <c r="E14829">
        <v>0</v>
      </c>
      <c r="F14829">
        <v>1</v>
      </c>
    </row>
    <row r="14830" spans="1:6" x14ac:dyDescent="0.25">
      <c r="A14830">
        <v>14829</v>
      </c>
      <c r="B14830">
        <v>42</v>
      </c>
      <c r="C14830">
        <v>0</v>
      </c>
      <c r="D14830">
        <v>0</v>
      </c>
      <c r="E14830">
        <v>0</v>
      </c>
      <c r="F14830">
        <v>0.2</v>
      </c>
    </row>
    <row r="14831" spans="1:6" x14ac:dyDescent="0.25">
      <c r="A14831">
        <v>14830</v>
      </c>
      <c r="B14831" t="s">
        <v>0</v>
      </c>
      <c r="C14831">
        <v>91</v>
      </c>
      <c r="D14831">
        <v>3505</v>
      </c>
      <c r="E14831">
        <v>80619411</v>
      </c>
    </row>
    <row r="14832" spans="1:6" x14ac:dyDescent="0.25">
      <c r="A14832">
        <v>14831</v>
      </c>
      <c r="B14832">
        <v>44</v>
      </c>
      <c r="C14832">
        <v>0</v>
      </c>
      <c r="D14832">
        <v>0</v>
      </c>
      <c r="E14832">
        <v>0</v>
      </c>
      <c r="F14832">
        <v>28.057500000000001</v>
      </c>
    </row>
    <row r="14833" spans="1:6" x14ac:dyDescent="0.25">
      <c r="A14833">
        <v>14832</v>
      </c>
      <c r="B14833" t="s">
        <v>0</v>
      </c>
      <c r="C14833">
        <v>92</v>
      </c>
      <c r="D14833">
        <v>3505</v>
      </c>
      <c r="E14833">
        <v>80619548</v>
      </c>
    </row>
    <row r="14834" spans="1:6" x14ac:dyDescent="0.25">
      <c r="A14834">
        <v>14833</v>
      </c>
      <c r="B14834">
        <v>46</v>
      </c>
      <c r="C14834">
        <v>0</v>
      </c>
      <c r="D14834">
        <v>0</v>
      </c>
      <c r="E14834">
        <v>0</v>
      </c>
      <c r="F14834">
        <v>0</v>
      </c>
    </row>
    <row r="14835" spans="1:6" x14ac:dyDescent="0.25">
      <c r="A14835">
        <v>14834</v>
      </c>
      <c r="B14835" t="s">
        <v>0</v>
      </c>
      <c r="C14835">
        <v>93</v>
      </c>
      <c r="D14835">
        <v>3505</v>
      </c>
      <c r="E14835">
        <v>80619685</v>
      </c>
    </row>
    <row r="14836" spans="1:6" x14ac:dyDescent="0.25">
      <c r="A14836">
        <v>14835</v>
      </c>
      <c r="B14836">
        <v>10</v>
      </c>
      <c r="C14836">
        <v>1</v>
      </c>
      <c r="D14836">
        <v>0</v>
      </c>
      <c r="E14836">
        <v>0</v>
      </c>
      <c r="F14836">
        <v>5194</v>
      </c>
    </row>
    <row r="14837" spans="1:6" x14ac:dyDescent="0.25">
      <c r="A14837">
        <v>14836</v>
      </c>
      <c r="B14837" t="s">
        <v>0</v>
      </c>
      <c r="C14837">
        <v>94</v>
      </c>
      <c r="D14837">
        <v>3505</v>
      </c>
      <c r="E14837">
        <v>80619822</v>
      </c>
    </row>
    <row r="14838" spans="1:6" x14ac:dyDescent="0.25">
      <c r="A14838">
        <v>14837</v>
      </c>
      <c r="B14838">
        <v>41</v>
      </c>
      <c r="C14838">
        <v>0</v>
      </c>
      <c r="D14838">
        <v>0</v>
      </c>
      <c r="E14838">
        <v>0</v>
      </c>
      <c r="F14838">
        <v>1</v>
      </c>
    </row>
    <row r="14839" spans="1:6" x14ac:dyDescent="0.25">
      <c r="A14839">
        <v>14838</v>
      </c>
      <c r="B14839" t="s">
        <v>0</v>
      </c>
      <c r="C14839">
        <v>95</v>
      </c>
      <c r="D14839">
        <v>3505</v>
      </c>
      <c r="E14839">
        <v>80619959</v>
      </c>
    </row>
    <row r="14840" spans="1:6" x14ac:dyDescent="0.25">
      <c r="A14840">
        <v>14839</v>
      </c>
      <c r="B14840">
        <v>43</v>
      </c>
      <c r="C14840">
        <v>0</v>
      </c>
      <c r="D14840">
        <v>0</v>
      </c>
      <c r="E14840">
        <v>0</v>
      </c>
      <c r="F14840">
        <v>0</v>
      </c>
    </row>
    <row r="14841" spans="1:6" x14ac:dyDescent="0.25">
      <c r="A14841">
        <v>14840</v>
      </c>
      <c r="B14841" t="s">
        <v>0</v>
      </c>
      <c r="C14841">
        <v>96</v>
      </c>
      <c r="D14841">
        <v>3505</v>
      </c>
      <c r="E14841">
        <v>80620096</v>
      </c>
    </row>
    <row r="14842" spans="1:6" x14ac:dyDescent="0.25">
      <c r="A14842">
        <v>14841</v>
      </c>
      <c r="B14842">
        <v>45</v>
      </c>
      <c r="C14842">
        <v>0</v>
      </c>
      <c r="D14842">
        <v>0</v>
      </c>
      <c r="E14842">
        <v>0</v>
      </c>
      <c r="F14842">
        <v>518.76300000000003</v>
      </c>
    </row>
    <row r="14843" spans="1:6" x14ac:dyDescent="0.25">
      <c r="A14843">
        <v>14842</v>
      </c>
      <c r="B14843">
        <v>46</v>
      </c>
      <c r="C14843">
        <v>0</v>
      </c>
      <c r="D14843">
        <v>0</v>
      </c>
      <c r="E14843">
        <v>0</v>
      </c>
      <c r="F14843">
        <v>0</v>
      </c>
    </row>
    <row r="14844" spans="1:6" x14ac:dyDescent="0.25">
      <c r="A14844">
        <v>14843</v>
      </c>
      <c r="B14844">
        <v>2</v>
      </c>
      <c r="C14844">
        <v>0</v>
      </c>
      <c r="D14844">
        <v>0</v>
      </c>
      <c r="E14844">
        <v>0</v>
      </c>
      <c r="F14844">
        <v>242.46700000000001</v>
      </c>
    </row>
    <row r="14845" spans="1:6" x14ac:dyDescent="0.25">
      <c r="A14845">
        <v>14844</v>
      </c>
      <c r="B14845">
        <v>10</v>
      </c>
      <c r="C14845">
        <v>1</v>
      </c>
      <c r="D14845">
        <v>0</v>
      </c>
      <c r="E14845">
        <v>0</v>
      </c>
      <c r="F14845">
        <v>5195</v>
      </c>
    </row>
    <row r="14846" spans="1:6" x14ac:dyDescent="0.25">
      <c r="A14846">
        <v>14845</v>
      </c>
      <c r="B14846">
        <v>13</v>
      </c>
      <c r="C14846">
        <v>0</v>
      </c>
      <c r="D14846">
        <v>0</v>
      </c>
      <c r="E14846">
        <v>0</v>
      </c>
      <c r="F14846">
        <v>1613</v>
      </c>
    </row>
    <row r="14847" spans="1:6" x14ac:dyDescent="0.25">
      <c r="A14847">
        <v>14846</v>
      </c>
      <c r="B14847">
        <v>41</v>
      </c>
      <c r="C14847">
        <v>0</v>
      </c>
      <c r="D14847">
        <v>0</v>
      </c>
      <c r="E14847">
        <v>0</v>
      </c>
      <c r="F14847">
        <v>1</v>
      </c>
    </row>
    <row r="14848" spans="1:6" x14ac:dyDescent="0.25">
      <c r="A14848">
        <v>14847</v>
      </c>
      <c r="B14848">
        <v>42</v>
      </c>
      <c r="C14848">
        <v>0</v>
      </c>
      <c r="D14848">
        <v>0</v>
      </c>
      <c r="E14848">
        <v>0</v>
      </c>
      <c r="F14848">
        <v>0.2</v>
      </c>
    </row>
    <row r="14849" spans="1:6" x14ac:dyDescent="0.25">
      <c r="A14849">
        <v>14848</v>
      </c>
      <c r="B14849">
        <v>43</v>
      </c>
      <c r="C14849">
        <v>0</v>
      </c>
      <c r="D14849">
        <v>0</v>
      </c>
      <c r="E14849">
        <v>0</v>
      </c>
      <c r="F14849">
        <v>0</v>
      </c>
    </row>
    <row r="14850" spans="1:6" x14ac:dyDescent="0.25">
      <c r="A14850">
        <v>14849</v>
      </c>
      <c r="B14850">
        <v>44</v>
      </c>
      <c r="C14850">
        <v>0</v>
      </c>
      <c r="D14850">
        <v>0</v>
      </c>
      <c r="E14850">
        <v>0</v>
      </c>
      <c r="F14850">
        <v>28.355899999999998</v>
      </c>
    </row>
    <row r="14851" spans="1:6" x14ac:dyDescent="0.25">
      <c r="A14851">
        <v>14850</v>
      </c>
      <c r="B14851">
        <v>45</v>
      </c>
      <c r="C14851">
        <v>0</v>
      </c>
      <c r="D14851">
        <v>0</v>
      </c>
      <c r="E14851">
        <v>0</v>
      </c>
      <c r="F14851">
        <v>518.79399999999998</v>
      </c>
    </row>
    <row r="14852" spans="1:6" x14ac:dyDescent="0.25">
      <c r="A14852">
        <v>14851</v>
      </c>
      <c r="B14852">
        <v>46</v>
      </c>
      <c r="C14852">
        <v>0</v>
      </c>
      <c r="D14852">
        <v>0</v>
      </c>
      <c r="E14852">
        <v>0</v>
      </c>
      <c r="F14852">
        <v>0</v>
      </c>
    </row>
    <row r="14853" spans="1:6" x14ac:dyDescent="0.25">
      <c r="A14853">
        <v>14852</v>
      </c>
      <c r="B14853">
        <v>2</v>
      </c>
      <c r="C14853">
        <v>0</v>
      </c>
      <c r="D14853">
        <v>0</v>
      </c>
      <c r="E14853">
        <v>0</v>
      </c>
      <c r="F14853">
        <v>242.46600000000001</v>
      </c>
    </row>
    <row r="14854" spans="1:6" x14ac:dyDescent="0.25">
      <c r="A14854">
        <v>14853</v>
      </c>
      <c r="B14854">
        <v>10</v>
      </c>
      <c r="C14854">
        <v>1</v>
      </c>
      <c r="D14854">
        <v>0</v>
      </c>
      <c r="E14854">
        <v>0</v>
      </c>
      <c r="F14854">
        <v>5196</v>
      </c>
    </row>
    <row r="14855" spans="1:6" x14ac:dyDescent="0.25">
      <c r="A14855">
        <v>14854</v>
      </c>
      <c r="B14855">
        <v>13</v>
      </c>
      <c r="C14855">
        <v>0</v>
      </c>
      <c r="D14855">
        <v>0</v>
      </c>
      <c r="E14855">
        <v>0</v>
      </c>
      <c r="F14855">
        <v>1613</v>
      </c>
    </row>
    <row r="14856" spans="1:6" x14ac:dyDescent="0.25">
      <c r="A14856">
        <v>14855</v>
      </c>
      <c r="B14856" t="s">
        <v>0</v>
      </c>
      <c r="C14856">
        <v>103</v>
      </c>
      <c r="D14856">
        <v>3505</v>
      </c>
      <c r="E14856">
        <v>80621056</v>
      </c>
    </row>
    <row r="14857" spans="1:6" x14ac:dyDescent="0.25">
      <c r="A14857">
        <v>14856</v>
      </c>
      <c r="B14857">
        <v>41</v>
      </c>
      <c r="C14857">
        <v>0</v>
      </c>
      <c r="D14857">
        <v>0</v>
      </c>
      <c r="E14857">
        <v>0</v>
      </c>
      <c r="F14857">
        <v>1</v>
      </c>
    </row>
    <row r="14858" spans="1:6" x14ac:dyDescent="0.25">
      <c r="A14858">
        <v>14857</v>
      </c>
      <c r="B14858">
        <v>42</v>
      </c>
      <c r="C14858">
        <v>0</v>
      </c>
      <c r="D14858">
        <v>0</v>
      </c>
      <c r="E14858">
        <v>0</v>
      </c>
      <c r="F14858">
        <v>0.2</v>
      </c>
    </row>
    <row r="14859" spans="1:6" x14ac:dyDescent="0.25">
      <c r="A14859">
        <v>14858</v>
      </c>
      <c r="B14859" t="s">
        <v>0</v>
      </c>
      <c r="C14859">
        <v>104</v>
      </c>
      <c r="D14859">
        <v>3505</v>
      </c>
      <c r="E14859">
        <v>80621193</v>
      </c>
    </row>
    <row r="14860" spans="1:6" x14ac:dyDescent="0.25">
      <c r="A14860">
        <v>14859</v>
      </c>
      <c r="B14860">
        <v>43</v>
      </c>
      <c r="C14860">
        <v>0</v>
      </c>
      <c r="D14860">
        <v>0</v>
      </c>
      <c r="E14860">
        <v>0</v>
      </c>
      <c r="F14860">
        <v>0</v>
      </c>
    </row>
    <row r="14861" spans="1:6" x14ac:dyDescent="0.25">
      <c r="A14861">
        <v>14860</v>
      </c>
      <c r="B14861">
        <v>44</v>
      </c>
      <c r="C14861">
        <v>0</v>
      </c>
      <c r="D14861">
        <v>0</v>
      </c>
      <c r="E14861">
        <v>0</v>
      </c>
      <c r="F14861">
        <v>28.4803</v>
      </c>
    </row>
    <row r="14862" spans="1:6" x14ac:dyDescent="0.25">
      <c r="A14862">
        <v>14861</v>
      </c>
      <c r="B14862" t="s">
        <v>0</v>
      </c>
      <c r="C14862">
        <v>105</v>
      </c>
      <c r="D14862">
        <v>3505</v>
      </c>
      <c r="E14862">
        <v>80621330</v>
      </c>
    </row>
    <row r="14863" spans="1:6" x14ac:dyDescent="0.25">
      <c r="A14863">
        <v>14862</v>
      </c>
      <c r="B14863">
        <v>45</v>
      </c>
      <c r="C14863">
        <v>0</v>
      </c>
      <c r="D14863">
        <v>0</v>
      </c>
      <c r="E14863">
        <v>0</v>
      </c>
      <c r="F14863">
        <v>518.83299999999997</v>
      </c>
    </row>
    <row r="14864" spans="1:6" x14ac:dyDescent="0.25">
      <c r="A14864">
        <v>14863</v>
      </c>
      <c r="B14864">
        <v>46</v>
      </c>
      <c r="C14864">
        <v>0</v>
      </c>
      <c r="D14864">
        <v>0</v>
      </c>
      <c r="E14864">
        <v>0</v>
      </c>
      <c r="F14864">
        <v>0</v>
      </c>
    </row>
    <row r="14865" spans="1:6" x14ac:dyDescent="0.25">
      <c r="A14865">
        <v>14864</v>
      </c>
      <c r="B14865" t="s">
        <v>0</v>
      </c>
      <c r="C14865">
        <v>106</v>
      </c>
      <c r="D14865">
        <v>3505</v>
      </c>
      <c r="E14865">
        <v>80621467</v>
      </c>
    </row>
    <row r="14866" spans="1:6" x14ac:dyDescent="0.25">
      <c r="A14866">
        <v>14865</v>
      </c>
      <c r="B14866">
        <v>2</v>
      </c>
      <c r="C14866">
        <v>0</v>
      </c>
      <c r="D14866">
        <v>0</v>
      </c>
      <c r="E14866">
        <v>0</v>
      </c>
      <c r="F14866">
        <v>242.46799999999999</v>
      </c>
    </row>
    <row r="14867" spans="1:6" x14ac:dyDescent="0.25">
      <c r="A14867">
        <v>14866</v>
      </c>
      <c r="B14867">
        <v>10</v>
      </c>
      <c r="C14867">
        <v>1</v>
      </c>
      <c r="D14867">
        <v>0</v>
      </c>
      <c r="E14867">
        <v>0</v>
      </c>
      <c r="F14867">
        <v>5197</v>
      </c>
    </row>
    <row r="14868" spans="1:6" x14ac:dyDescent="0.25">
      <c r="A14868">
        <v>14867</v>
      </c>
      <c r="B14868" t="s">
        <v>0</v>
      </c>
      <c r="C14868">
        <v>107</v>
      </c>
      <c r="D14868">
        <v>3505</v>
      </c>
      <c r="E14868">
        <v>80621604</v>
      </c>
    </row>
    <row r="14869" spans="1:6" x14ac:dyDescent="0.25">
      <c r="A14869">
        <v>14868</v>
      </c>
      <c r="B14869">
        <v>13</v>
      </c>
      <c r="C14869">
        <v>0</v>
      </c>
      <c r="D14869">
        <v>0</v>
      </c>
      <c r="E14869">
        <v>0</v>
      </c>
      <c r="F14869">
        <v>1613</v>
      </c>
    </row>
    <row r="14870" spans="1:6" x14ac:dyDescent="0.25">
      <c r="A14870">
        <v>14869</v>
      </c>
      <c r="B14870">
        <v>41</v>
      </c>
      <c r="C14870">
        <v>0</v>
      </c>
      <c r="D14870">
        <v>0</v>
      </c>
      <c r="E14870">
        <v>0</v>
      </c>
      <c r="F14870">
        <v>1</v>
      </c>
    </row>
    <row r="14871" spans="1:6" x14ac:dyDescent="0.25">
      <c r="A14871">
        <v>14870</v>
      </c>
      <c r="B14871" t="s">
        <v>0</v>
      </c>
      <c r="C14871">
        <v>108</v>
      </c>
      <c r="D14871">
        <v>3505</v>
      </c>
      <c r="E14871">
        <v>80621741</v>
      </c>
    </row>
    <row r="14872" spans="1:6" x14ac:dyDescent="0.25">
      <c r="A14872">
        <v>14871</v>
      </c>
      <c r="B14872">
        <v>42</v>
      </c>
      <c r="C14872">
        <v>0</v>
      </c>
      <c r="D14872">
        <v>0</v>
      </c>
      <c r="E14872">
        <v>0</v>
      </c>
      <c r="F14872">
        <v>0.2</v>
      </c>
    </row>
    <row r="14873" spans="1:6" x14ac:dyDescent="0.25">
      <c r="A14873">
        <v>14872</v>
      </c>
      <c r="B14873">
        <v>43</v>
      </c>
      <c r="C14873">
        <v>0</v>
      </c>
      <c r="D14873">
        <v>0</v>
      </c>
      <c r="E14873">
        <v>0</v>
      </c>
      <c r="F14873">
        <v>0</v>
      </c>
    </row>
    <row r="14874" spans="1:6" x14ac:dyDescent="0.25">
      <c r="A14874">
        <v>14873</v>
      </c>
      <c r="B14874" t="s">
        <v>0</v>
      </c>
      <c r="C14874">
        <v>109</v>
      </c>
      <c r="D14874">
        <v>3505</v>
      </c>
      <c r="E14874">
        <v>80621878</v>
      </c>
    </row>
    <row r="14875" spans="1:6" x14ac:dyDescent="0.25">
      <c r="A14875">
        <v>14874</v>
      </c>
      <c r="B14875">
        <v>45</v>
      </c>
      <c r="C14875">
        <v>0</v>
      </c>
      <c r="D14875">
        <v>0</v>
      </c>
      <c r="E14875">
        <v>0</v>
      </c>
      <c r="F14875">
        <v>518.86500000000001</v>
      </c>
    </row>
    <row r="14876" spans="1:6" x14ac:dyDescent="0.25">
      <c r="A14876">
        <v>14875</v>
      </c>
      <c r="B14876" t="s">
        <v>0</v>
      </c>
      <c r="C14876">
        <v>110</v>
      </c>
      <c r="D14876">
        <v>3505</v>
      </c>
      <c r="E14876">
        <v>80622015</v>
      </c>
    </row>
    <row r="14877" spans="1:6" x14ac:dyDescent="0.25">
      <c r="A14877">
        <v>14876</v>
      </c>
      <c r="B14877">
        <v>2</v>
      </c>
      <c r="C14877">
        <v>0</v>
      </c>
      <c r="D14877">
        <v>0</v>
      </c>
      <c r="E14877">
        <v>0</v>
      </c>
      <c r="F14877">
        <v>242.46899999999999</v>
      </c>
    </row>
    <row r="14878" spans="1:6" x14ac:dyDescent="0.25">
      <c r="A14878">
        <v>14877</v>
      </c>
      <c r="B14878" t="s">
        <v>0</v>
      </c>
      <c r="C14878">
        <v>111</v>
      </c>
      <c r="D14878">
        <v>3505</v>
      </c>
      <c r="E14878">
        <v>80622152</v>
      </c>
    </row>
    <row r="14879" spans="1:6" x14ac:dyDescent="0.25">
      <c r="A14879">
        <v>14878</v>
      </c>
      <c r="B14879">
        <v>13</v>
      </c>
      <c r="C14879">
        <v>0</v>
      </c>
      <c r="D14879">
        <v>0</v>
      </c>
      <c r="E14879">
        <v>0</v>
      </c>
      <c r="F14879">
        <v>1613</v>
      </c>
    </row>
    <row r="14880" spans="1:6" x14ac:dyDescent="0.25">
      <c r="A14880">
        <v>14879</v>
      </c>
      <c r="B14880" t="s">
        <v>0</v>
      </c>
      <c r="C14880">
        <v>112</v>
      </c>
      <c r="D14880">
        <v>3505</v>
      </c>
      <c r="E14880">
        <v>80622289</v>
      </c>
    </row>
    <row r="14881" spans="1:6" x14ac:dyDescent="0.25">
      <c r="A14881">
        <v>14880</v>
      </c>
      <c r="B14881">
        <v>42</v>
      </c>
      <c r="C14881">
        <v>0</v>
      </c>
      <c r="D14881">
        <v>0</v>
      </c>
      <c r="E14881">
        <v>0</v>
      </c>
      <c r="F14881">
        <v>0.2</v>
      </c>
    </row>
    <row r="14882" spans="1:6" x14ac:dyDescent="0.25">
      <c r="A14882">
        <v>14881</v>
      </c>
      <c r="B14882" t="s">
        <v>0</v>
      </c>
      <c r="C14882">
        <v>113</v>
      </c>
      <c r="D14882">
        <v>3505</v>
      </c>
      <c r="E14882">
        <v>80622426</v>
      </c>
    </row>
    <row r="14883" spans="1:6" x14ac:dyDescent="0.25">
      <c r="A14883">
        <v>14882</v>
      </c>
      <c r="B14883">
        <v>44</v>
      </c>
      <c r="C14883">
        <v>0</v>
      </c>
      <c r="D14883">
        <v>0</v>
      </c>
      <c r="E14883">
        <v>0</v>
      </c>
      <c r="F14883">
        <v>28.8047</v>
      </c>
    </row>
    <row r="14884" spans="1:6" x14ac:dyDescent="0.25">
      <c r="A14884">
        <v>14883</v>
      </c>
      <c r="B14884" t="s">
        <v>0</v>
      </c>
      <c r="C14884">
        <v>114</v>
      </c>
      <c r="D14884">
        <v>3505</v>
      </c>
      <c r="E14884">
        <v>80622563</v>
      </c>
    </row>
    <row r="14885" spans="1:6" x14ac:dyDescent="0.25">
      <c r="A14885">
        <v>14884</v>
      </c>
      <c r="B14885">
        <v>45</v>
      </c>
      <c r="C14885">
        <v>0</v>
      </c>
      <c r="D14885">
        <v>0</v>
      </c>
      <c r="E14885">
        <v>0</v>
      </c>
      <c r="F14885">
        <v>518.904</v>
      </c>
    </row>
    <row r="14886" spans="1:6" x14ac:dyDescent="0.25">
      <c r="A14886">
        <v>14885</v>
      </c>
      <c r="B14886">
        <v>46</v>
      </c>
      <c r="C14886">
        <v>0</v>
      </c>
      <c r="D14886">
        <v>0</v>
      </c>
      <c r="E14886">
        <v>0</v>
      </c>
      <c r="F14886">
        <v>0</v>
      </c>
    </row>
    <row r="14887" spans="1:6" x14ac:dyDescent="0.25">
      <c r="A14887">
        <v>14886</v>
      </c>
      <c r="B14887">
        <v>2</v>
      </c>
      <c r="C14887">
        <v>0</v>
      </c>
      <c r="D14887">
        <v>0</v>
      </c>
      <c r="E14887">
        <v>0</v>
      </c>
      <c r="F14887">
        <v>242.46899999999999</v>
      </c>
    </row>
    <row r="14888" spans="1:6" x14ac:dyDescent="0.25">
      <c r="A14888">
        <v>14887</v>
      </c>
      <c r="B14888">
        <v>10</v>
      </c>
      <c r="C14888">
        <v>1</v>
      </c>
      <c r="D14888">
        <v>0</v>
      </c>
      <c r="E14888">
        <v>0</v>
      </c>
      <c r="F14888">
        <v>5199</v>
      </c>
    </row>
    <row r="14889" spans="1:6" x14ac:dyDescent="0.25">
      <c r="A14889">
        <v>14888</v>
      </c>
      <c r="B14889">
        <v>13</v>
      </c>
      <c r="C14889">
        <v>0</v>
      </c>
      <c r="D14889">
        <v>0</v>
      </c>
      <c r="E14889">
        <v>0</v>
      </c>
      <c r="F14889">
        <v>1613</v>
      </c>
    </row>
    <row r="14890" spans="1:6" x14ac:dyDescent="0.25">
      <c r="A14890">
        <v>14889</v>
      </c>
      <c r="B14890">
        <v>41</v>
      </c>
      <c r="C14890">
        <v>0</v>
      </c>
      <c r="D14890">
        <v>0</v>
      </c>
      <c r="E14890">
        <v>0</v>
      </c>
      <c r="F14890">
        <v>1</v>
      </c>
    </row>
    <row r="14891" spans="1:6" x14ac:dyDescent="0.25">
      <c r="A14891">
        <v>14890</v>
      </c>
      <c r="B14891">
        <v>42</v>
      </c>
      <c r="C14891">
        <v>0</v>
      </c>
      <c r="D14891">
        <v>0</v>
      </c>
      <c r="E14891">
        <v>0</v>
      </c>
      <c r="F14891">
        <v>0.2</v>
      </c>
    </row>
    <row r="14892" spans="1:6" x14ac:dyDescent="0.25">
      <c r="A14892">
        <v>14891</v>
      </c>
      <c r="B14892">
        <v>43</v>
      </c>
      <c r="C14892">
        <v>0</v>
      </c>
      <c r="D14892">
        <v>0</v>
      </c>
      <c r="E14892">
        <v>0</v>
      </c>
      <c r="F14892">
        <v>0</v>
      </c>
    </row>
    <row r="14893" spans="1:6" x14ac:dyDescent="0.25">
      <c r="A14893">
        <v>14892</v>
      </c>
      <c r="B14893">
        <v>44</v>
      </c>
      <c r="C14893">
        <v>0</v>
      </c>
      <c r="D14893">
        <v>0</v>
      </c>
      <c r="E14893">
        <v>0</v>
      </c>
      <c r="F14893">
        <v>28.979500000000002</v>
      </c>
    </row>
    <row r="14894" spans="1:6" x14ac:dyDescent="0.25">
      <c r="A14894">
        <v>14893</v>
      </c>
      <c r="B14894">
        <v>45</v>
      </c>
      <c r="C14894">
        <v>0</v>
      </c>
      <c r="D14894">
        <v>0</v>
      </c>
      <c r="E14894">
        <v>0</v>
      </c>
      <c r="F14894">
        <v>518.93600000000004</v>
      </c>
    </row>
    <row r="14895" spans="1:6" x14ac:dyDescent="0.25">
      <c r="A14895">
        <v>14894</v>
      </c>
      <c r="B14895">
        <v>46</v>
      </c>
      <c r="C14895">
        <v>0</v>
      </c>
      <c r="D14895">
        <v>0</v>
      </c>
      <c r="E14895">
        <v>0</v>
      </c>
      <c r="F14895">
        <v>0</v>
      </c>
    </row>
    <row r="14896" spans="1:6" x14ac:dyDescent="0.25">
      <c r="A14896">
        <v>14895</v>
      </c>
      <c r="B14896">
        <v>2</v>
      </c>
      <c r="C14896">
        <v>0</v>
      </c>
      <c r="D14896">
        <v>0</v>
      </c>
      <c r="E14896">
        <v>0</v>
      </c>
      <c r="F14896">
        <v>242.46899999999999</v>
      </c>
    </row>
    <row r="14897" spans="1:6" x14ac:dyDescent="0.25">
      <c r="A14897">
        <v>14896</v>
      </c>
      <c r="B14897">
        <v>10</v>
      </c>
      <c r="C14897">
        <v>1</v>
      </c>
      <c r="D14897">
        <v>0</v>
      </c>
      <c r="E14897">
        <v>0</v>
      </c>
      <c r="F14897">
        <v>5200</v>
      </c>
    </row>
    <row r="14898" spans="1:6" x14ac:dyDescent="0.25">
      <c r="A14898">
        <v>14897</v>
      </c>
      <c r="B14898">
        <v>13</v>
      </c>
      <c r="C14898">
        <v>0</v>
      </c>
      <c r="D14898">
        <v>0</v>
      </c>
      <c r="E14898">
        <v>0</v>
      </c>
      <c r="F14898">
        <v>1613</v>
      </c>
    </row>
    <row r="14899" spans="1:6" x14ac:dyDescent="0.25">
      <c r="A14899">
        <v>14898</v>
      </c>
      <c r="B14899" t="s">
        <v>0</v>
      </c>
      <c r="C14899">
        <v>121</v>
      </c>
      <c r="D14899">
        <v>3505</v>
      </c>
      <c r="E14899">
        <v>80623522</v>
      </c>
    </row>
    <row r="14900" spans="1:6" x14ac:dyDescent="0.25">
      <c r="A14900">
        <v>14899</v>
      </c>
      <c r="B14900">
        <v>41</v>
      </c>
      <c r="C14900">
        <v>0</v>
      </c>
      <c r="D14900">
        <v>0</v>
      </c>
      <c r="E14900">
        <v>0</v>
      </c>
      <c r="F14900">
        <v>1</v>
      </c>
    </row>
    <row r="14901" spans="1:6" x14ac:dyDescent="0.25">
      <c r="A14901">
        <v>14900</v>
      </c>
      <c r="B14901">
        <v>42</v>
      </c>
      <c r="C14901">
        <v>0</v>
      </c>
      <c r="D14901">
        <v>0</v>
      </c>
      <c r="E14901">
        <v>0</v>
      </c>
      <c r="F14901">
        <v>0.2</v>
      </c>
    </row>
    <row r="14902" spans="1:6" x14ac:dyDescent="0.25">
      <c r="A14902">
        <v>14901</v>
      </c>
      <c r="B14902" t="s">
        <v>0</v>
      </c>
      <c r="C14902">
        <v>122</v>
      </c>
      <c r="D14902">
        <v>3505</v>
      </c>
      <c r="E14902">
        <v>80623659</v>
      </c>
    </row>
    <row r="14903" spans="1:6" x14ac:dyDescent="0.25">
      <c r="A14903">
        <v>14902</v>
      </c>
      <c r="B14903">
        <v>43</v>
      </c>
      <c r="C14903">
        <v>0</v>
      </c>
      <c r="D14903">
        <v>0</v>
      </c>
      <c r="E14903">
        <v>0</v>
      </c>
      <c r="F14903">
        <v>0</v>
      </c>
    </row>
    <row r="14904" spans="1:6" x14ac:dyDescent="0.25">
      <c r="A14904">
        <v>14903</v>
      </c>
      <c r="B14904">
        <v>44</v>
      </c>
      <c r="C14904">
        <v>0</v>
      </c>
      <c r="D14904">
        <v>0</v>
      </c>
      <c r="E14904">
        <v>0</v>
      </c>
      <c r="F14904">
        <v>29.104099999999999</v>
      </c>
    </row>
    <row r="14905" spans="1:6" x14ac:dyDescent="0.25">
      <c r="A14905">
        <v>14904</v>
      </c>
      <c r="B14905" t="s">
        <v>0</v>
      </c>
      <c r="C14905">
        <v>123</v>
      </c>
      <c r="D14905">
        <v>3505</v>
      </c>
      <c r="E14905">
        <v>80623796</v>
      </c>
    </row>
    <row r="14906" spans="1:6" x14ac:dyDescent="0.25">
      <c r="A14906">
        <v>14905</v>
      </c>
      <c r="B14906">
        <v>45</v>
      </c>
      <c r="C14906">
        <v>0</v>
      </c>
      <c r="D14906">
        <v>0</v>
      </c>
      <c r="E14906">
        <v>0</v>
      </c>
      <c r="F14906">
        <v>518.976</v>
      </c>
    </row>
    <row r="14907" spans="1:6" x14ac:dyDescent="0.25">
      <c r="A14907">
        <v>14906</v>
      </c>
      <c r="B14907">
        <v>46</v>
      </c>
      <c r="C14907">
        <v>0</v>
      </c>
      <c r="D14907">
        <v>0</v>
      </c>
      <c r="E14907">
        <v>0</v>
      </c>
      <c r="F14907">
        <v>0</v>
      </c>
    </row>
    <row r="14908" spans="1:6" x14ac:dyDescent="0.25">
      <c r="A14908">
        <v>14907</v>
      </c>
      <c r="B14908" t="s">
        <v>0</v>
      </c>
      <c r="C14908">
        <v>124</v>
      </c>
      <c r="D14908">
        <v>3505</v>
      </c>
      <c r="E14908">
        <v>80623933</v>
      </c>
    </row>
    <row r="14909" spans="1:6" x14ac:dyDescent="0.25">
      <c r="A14909">
        <v>14908</v>
      </c>
      <c r="B14909">
        <v>2</v>
      </c>
      <c r="C14909">
        <v>0</v>
      </c>
      <c r="D14909">
        <v>0</v>
      </c>
      <c r="E14909">
        <v>0</v>
      </c>
      <c r="F14909">
        <v>242.465</v>
      </c>
    </row>
    <row r="14910" spans="1:6" x14ac:dyDescent="0.25">
      <c r="A14910">
        <v>14909</v>
      </c>
      <c r="B14910">
        <v>10</v>
      </c>
      <c r="C14910">
        <v>1</v>
      </c>
      <c r="D14910">
        <v>0</v>
      </c>
      <c r="E14910">
        <v>0</v>
      </c>
      <c r="F14910">
        <v>5202</v>
      </c>
    </row>
    <row r="14911" spans="1:6" x14ac:dyDescent="0.25">
      <c r="A14911">
        <v>14910</v>
      </c>
      <c r="B14911" t="s">
        <v>0</v>
      </c>
      <c r="C14911">
        <v>125</v>
      </c>
      <c r="D14911">
        <v>3505</v>
      </c>
      <c r="E14911">
        <v>80624070</v>
      </c>
    </row>
    <row r="14912" spans="1:6" x14ac:dyDescent="0.25">
      <c r="A14912">
        <v>14911</v>
      </c>
      <c r="B14912">
        <v>13</v>
      </c>
      <c r="C14912">
        <v>0</v>
      </c>
      <c r="D14912">
        <v>0</v>
      </c>
      <c r="E14912">
        <v>0</v>
      </c>
      <c r="F14912">
        <v>1613</v>
      </c>
    </row>
    <row r="14913" spans="1:6" x14ac:dyDescent="0.25">
      <c r="A14913">
        <v>14912</v>
      </c>
      <c r="B14913">
        <v>41</v>
      </c>
      <c r="C14913">
        <v>0</v>
      </c>
      <c r="D14913">
        <v>0</v>
      </c>
      <c r="E14913">
        <v>0</v>
      </c>
      <c r="F14913">
        <v>1</v>
      </c>
    </row>
    <row r="14914" spans="1:6" x14ac:dyDescent="0.25">
      <c r="A14914">
        <v>14913</v>
      </c>
      <c r="B14914" t="s">
        <v>0</v>
      </c>
      <c r="C14914">
        <v>126</v>
      </c>
      <c r="D14914">
        <v>3505</v>
      </c>
      <c r="E14914">
        <v>80624207</v>
      </c>
    </row>
    <row r="14915" spans="1:6" x14ac:dyDescent="0.25">
      <c r="A14915">
        <v>14914</v>
      </c>
      <c r="B14915">
        <v>42</v>
      </c>
      <c r="C14915">
        <v>0</v>
      </c>
      <c r="D14915">
        <v>0</v>
      </c>
      <c r="E14915">
        <v>0</v>
      </c>
      <c r="F14915">
        <v>0.2</v>
      </c>
    </row>
    <row r="14916" spans="1:6" x14ac:dyDescent="0.25">
      <c r="A14916">
        <v>14915</v>
      </c>
      <c r="B14916">
        <v>43</v>
      </c>
      <c r="C14916">
        <v>0</v>
      </c>
      <c r="D14916">
        <v>0</v>
      </c>
      <c r="E14916">
        <v>0</v>
      </c>
      <c r="F14916">
        <v>0</v>
      </c>
    </row>
    <row r="14917" spans="1:6" x14ac:dyDescent="0.25">
      <c r="A14917">
        <v>14916</v>
      </c>
      <c r="B14917" t="s">
        <v>0</v>
      </c>
      <c r="C14917">
        <v>127</v>
      </c>
      <c r="D14917">
        <v>3505</v>
      </c>
      <c r="E14917">
        <v>80624344</v>
      </c>
    </row>
    <row r="14918" spans="1:6" x14ac:dyDescent="0.25">
      <c r="A14918">
        <v>14917</v>
      </c>
      <c r="B14918">
        <v>45</v>
      </c>
      <c r="C14918">
        <v>0</v>
      </c>
      <c r="D14918">
        <v>0</v>
      </c>
      <c r="E14918">
        <v>0</v>
      </c>
      <c r="F14918">
        <v>519.00800000000004</v>
      </c>
    </row>
    <row r="14919" spans="1:6" x14ac:dyDescent="0.25">
      <c r="A14919">
        <v>14918</v>
      </c>
      <c r="B14919" t="s">
        <v>0</v>
      </c>
      <c r="C14919">
        <v>128</v>
      </c>
      <c r="D14919">
        <v>3505</v>
      </c>
      <c r="E14919">
        <v>80624481</v>
      </c>
    </row>
    <row r="14920" spans="1:6" x14ac:dyDescent="0.25">
      <c r="A14920">
        <v>14919</v>
      </c>
      <c r="B14920">
        <v>2</v>
      </c>
      <c r="C14920">
        <v>0</v>
      </c>
      <c r="D14920">
        <v>0</v>
      </c>
      <c r="E14920">
        <v>0</v>
      </c>
      <c r="F14920">
        <v>242.47</v>
      </c>
    </row>
    <row r="14921" spans="1:6" x14ac:dyDescent="0.25">
      <c r="A14921">
        <v>14920</v>
      </c>
      <c r="B14921" t="s">
        <v>0</v>
      </c>
      <c r="C14921">
        <v>129</v>
      </c>
      <c r="D14921">
        <v>3505</v>
      </c>
      <c r="E14921">
        <v>80624618</v>
      </c>
    </row>
    <row r="14922" spans="1:6" x14ac:dyDescent="0.25">
      <c r="A14922">
        <v>14921</v>
      </c>
      <c r="B14922">
        <v>13</v>
      </c>
      <c r="C14922">
        <v>0</v>
      </c>
      <c r="D14922">
        <v>0</v>
      </c>
      <c r="E14922">
        <v>0</v>
      </c>
      <c r="F14922">
        <v>1613</v>
      </c>
    </row>
    <row r="14923" spans="1:6" x14ac:dyDescent="0.25">
      <c r="A14923">
        <v>14922</v>
      </c>
      <c r="B14923" t="s">
        <v>0</v>
      </c>
      <c r="C14923">
        <v>130</v>
      </c>
      <c r="D14923">
        <v>3505</v>
      </c>
      <c r="E14923">
        <v>80624755</v>
      </c>
    </row>
    <row r="14924" spans="1:6" x14ac:dyDescent="0.25">
      <c r="A14924">
        <v>14923</v>
      </c>
      <c r="B14924">
        <v>42</v>
      </c>
      <c r="C14924">
        <v>0</v>
      </c>
      <c r="D14924">
        <v>0</v>
      </c>
      <c r="E14924">
        <v>0</v>
      </c>
      <c r="F14924">
        <v>0.2</v>
      </c>
    </row>
    <row r="14925" spans="1:6" x14ac:dyDescent="0.25">
      <c r="A14925">
        <v>14924</v>
      </c>
      <c r="B14925" t="s">
        <v>0</v>
      </c>
      <c r="C14925">
        <v>131</v>
      </c>
      <c r="D14925">
        <v>3505</v>
      </c>
      <c r="E14925">
        <v>80624892</v>
      </c>
    </row>
    <row r="14926" spans="1:6" x14ac:dyDescent="0.25">
      <c r="A14926">
        <v>14925</v>
      </c>
      <c r="B14926">
        <v>44</v>
      </c>
      <c r="C14926">
        <v>0</v>
      </c>
      <c r="D14926">
        <v>0</v>
      </c>
      <c r="E14926">
        <v>0</v>
      </c>
      <c r="F14926">
        <v>29.403199999999998</v>
      </c>
    </row>
    <row r="14927" spans="1:6" x14ac:dyDescent="0.25">
      <c r="A14927">
        <v>14926</v>
      </c>
      <c r="B14927" t="s">
        <v>0</v>
      </c>
      <c r="C14927">
        <v>132</v>
      </c>
      <c r="D14927">
        <v>3505</v>
      </c>
      <c r="E14927">
        <v>80625029</v>
      </c>
    </row>
    <row r="14928" spans="1:6" x14ac:dyDescent="0.25">
      <c r="A14928">
        <v>14927</v>
      </c>
      <c r="B14928">
        <v>45</v>
      </c>
      <c r="C14928">
        <v>0</v>
      </c>
      <c r="D14928">
        <v>0</v>
      </c>
      <c r="E14928">
        <v>0</v>
      </c>
      <c r="F14928">
        <v>519.04899999999998</v>
      </c>
    </row>
    <row r="14929" spans="1:6" x14ac:dyDescent="0.25">
      <c r="A14929">
        <v>14928</v>
      </c>
      <c r="B14929">
        <v>46</v>
      </c>
      <c r="C14929">
        <v>0</v>
      </c>
      <c r="D14929">
        <v>0</v>
      </c>
      <c r="E14929">
        <v>0</v>
      </c>
      <c r="F14929">
        <v>0</v>
      </c>
    </row>
    <row r="14930" spans="1:6" x14ac:dyDescent="0.25">
      <c r="A14930">
        <v>14929</v>
      </c>
      <c r="B14930">
        <v>2</v>
      </c>
      <c r="C14930">
        <v>0</v>
      </c>
      <c r="D14930">
        <v>0</v>
      </c>
      <c r="E14930">
        <v>0</v>
      </c>
      <c r="F14930">
        <v>242.46600000000001</v>
      </c>
    </row>
    <row r="14931" spans="1:6" x14ac:dyDescent="0.25">
      <c r="A14931">
        <v>14930</v>
      </c>
      <c r="B14931">
        <v>10</v>
      </c>
      <c r="C14931">
        <v>1</v>
      </c>
      <c r="D14931">
        <v>0</v>
      </c>
      <c r="E14931">
        <v>0</v>
      </c>
      <c r="F14931">
        <v>5204</v>
      </c>
    </row>
    <row r="14932" spans="1:6" x14ac:dyDescent="0.25">
      <c r="A14932">
        <v>14931</v>
      </c>
      <c r="B14932">
        <v>13</v>
      </c>
      <c r="C14932">
        <v>0</v>
      </c>
      <c r="D14932">
        <v>0</v>
      </c>
      <c r="E14932">
        <v>0</v>
      </c>
      <c r="F14932">
        <v>1613</v>
      </c>
    </row>
    <row r="14933" spans="1:6" x14ac:dyDescent="0.25">
      <c r="A14933">
        <v>14932</v>
      </c>
      <c r="B14933">
        <v>41</v>
      </c>
      <c r="C14933">
        <v>0</v>
      </c>
      <c r="D14933">
        <v>0</v>
      </c>
      <c r="E14933">
        <v>0</v>
      </c>
      <c r="F14933">
        <v>1</v>
      </c>
    </row>
    <row r="14934" spans="1:6" x14ac:dyDescent="0.25">
      <c r="A14934">
        <v>14933</v>
      </c>
      <c r="B14934">
        <v>42</v>
      </c>
      <c r="C14934">
        <v>0</v>
      </c>
      <c r="D14934">
        <v>0</v>
      </c>
      <c r="E14934">
        <v>0</v>
      </c>
      <c r="F14934">
        <v>0.2</v>
      </c>
    </row>
    <row r="14935" spans="1:6" x14ac:dyDescent="0.25">
      <c r="A14935">
        <v>14934</v>
      </c>
      <c r="B14935">
        <v>43</v>
      </c>
      <c r="C14935">
        <v>0</v>
      </c>
      <c r="D14935">
        <v>0</v>
      </c>
      <c r="E14935">
        <v>0</v>
      </c>
      <c r="F14935">
        <v>0</v>
      </c>
    </row>
    <row r="14936" spans="1:6" x14ac:dyDescent="0.25">
      <c r="A14936">
        <v>14935</v>
      </c>
      <c r="B14936">
        <v>44</v>
      </c>
      <c r="C14936">
        <v>0</v>
      </c>
      <c r="D14936">
        <v>0</v>
      </c>
      <c r="E14936">
        <v>0</v>
      </c>
      <c r="F14936">
        <v>29.577999999999999</v>
      </c>
    </row>
    <row r="14937" spans="1:6" x14ac:dyDescent="0.25">
      <c r="A14937">
        <v>14936</v>
      </c>
      <c r="B14937">
        <v>45</v>
      </c>
      <c r="C14937">
        <v>0</v>
      </c>
      <c r="D14937">
        <v>0</v>
      </c>
      <c r="E14937">
        <v>0</v>
      </c>
      <c r="F14937">
        <v>519.08100000000002</v>
      </c>
    </row>
    <row r="14938" spans="1:6" x14ac:dyDescent="0.25">
      <c r="A14938">
        <v>14937</v>
      </c>
      <c r="B14938">
        <v>46</v>
      </c>
      <c r="C14938">
        <v>0</v>
      </c>
      <c r="D14938">
        <v>0</v>
      </c>
      <c r="E14938">
        <v>0</v>
      </c>
      <c r="F14938">
        <v>0</v>
      </c>
    </row>
    <row r="14939" spans="1:6" x14ac:dyDescent="0.25">
      <c r="A14939">
        <v>14938</v>
      </c>
      <c r="B14939">
        <v>2</v>
      </c>
      <c r="C14939">
        <v>0</v>
      </c>
      <c r="D14939">
        <v>0</v>
      </c>
      <c r="E14939">
        <v>0</v>
      </c>
      <c r="F14939">
        <v>242.47</v>
      </c>
    </row>
    <row r="14940" spans="1:6" x14ac:dyDescent="0.25">
      <c r="A14940">
        <v>14939</v>
      </c>
      <c r="B14940">
        <v>10</v>
      </c>
      <c r="C14940">
        <v>1</v>
      </c>
      <c r="D14940">
        <v>0</v>
      </c>
      <c r="E14940">
        <v>0</v>
      </c>
      <c r="F14940">
        <v>5205</v>
      </c>
    </row>
    <row r="14941" spans="1:6" x14ac:dyDescent="0.25">
      <c r="A14941">
        <v>14940</v>
      </c>
      <c r="B14941">
        <v>13</v>
      </c>
      <c r="C14941">
        <v>0</v>
      </c>
      <c r="D14941">
        <v>0</v>
      </c>
      <c r="E14941">
        <v>0</v>
      </c>
      <c r="F14941">
        <v>1613</v>
      </c>
    </row>
    <row r="14942" spans="1:6" x14ac:dyDescent="0.25">
      <c r="A14942">
        <v>14941</v>
      </c>
      <c r="B14942" t="s">
        <v>0</v>
      </c>
      <c r="C14942">
        <v>139</v>
      </c>
      <c r="D14942">
        <v>3505</v>
      </c>
      <c r="E14942">
        <v>80625988</v>
      </c>
    </row>
    <row r="14943" spans="1:6" x14ac:dyDescent="0.25">
      <c r="A14943">
        <v>14942</v>
      </c>
      <c r="B14943">
        <v>41</v>
      </c>
      <c r="C14943">
        <v>0</v>
      </c>
      <c r="D14943">
        <v>0</v>
      </c>
      <c r="E14943">
        <v>0</v>
      </c>
      <c r="F14943">
        <v>1</v>
      </c>
    </row>
    <row r="14944" spans="1:6" x14ac:dyDescent="0.25">
      <c r="A14944">
        <v>14943</v>
      </c>
      <c r="B14944">
        <v>42</v>
      </c>
      <c r="C14944">
        <v>0</v>
      </c>
      <c r="D14944">
        <v>0</v>
      </c>
      <c r="E14944">
        <v>0</v>
      </c>
      <c r="F14944">
        <v>0.2</v>
      </c>
    </row>
    <row r="14945" spans="1:6" x14ac:dyDescent="0.25">
      <c r="A14945">
        <v>14944</v>
      </c>
      <c r="B14945" t="s">
        <v>0</v>
      </c>
      <c r="C14945">
        <v>140</v>
      </c>
      <c r="D14945">
        <v>3505</v>
      </c>
      <c r="E14945">
        <v>80626125</v>
      </c>
    </row>
    <row r="14946" spans="1:6" x14ac:dyDescent="0.25">
      <c r="A14946">
        <v>14945</v>
      </c>
      <c r="B14946">
        <v>43</v>
      </c>
      <c r="C14946">
        <v>0</v>
      </c>
      <c r="D14946">
        <v>0</v>
      </c>
      <c r="E14946">
        <v>0</v>
      </c>
      <c r="F14946">
        <v>0</v>
      </c>
    </row>
    <row r="14947" spans="1:6" x14ac:dyDescent="0.25">
      <c r="A14947">
        <v>14946</v>
      </c>
      <c r="B14947">
        <v>44</v>
      </c>
      <c r="C14947">
        <v>0</v>
      </c>
      <c r="D14947">
        <v>0</v>
      </c>
      <c r="E14947">
        <v>0</v>
      </c>
      <c r="F14947">
        <v>29.728000000000002</v>
      </c>
    </row>
    <row r="14948" spans="1:6" x14ac:dyDescent="0.25">
      <c r="A14948">
        <v>14947</v>
      </c>
      <c r="B14948" t="s">
        <v>0</v>
      </c>
      <c r="C14948">
        <v>141</v>
      </c>
      <c r="D14948">
        <v>3505</v>
      </c>
      <c r="E14948">
        <v>80626262</v>
      </c>
    </row>
    <row r="14949" spans="1:6" x14ac:dyDescent="0.25">
      <c r="A14949">
        <v>14948</v>
      </c>
      <c r="B14949">
        <v>45</v>
      </c>
      <c r="C14949">
        <v>0</v>
      </c>
      <c r="D14949">
        <v>0</v>
      </c>
      <c r="E14949">
        <v>0</v>
      </c>
      <c r="F14949">
        <v>519.12199999999996</v>
      </c>
    </row>
    <row r="14950" spans="1:6" x14ac:dyDescent="0.25">
      <c r="A14950">
        <v>14949</v>
      </c>
      <c r="B14950">
        <v>46</v>
      </c>
      <c r="C14950">
        <v>0</v>
      </c>
      <c r="D14950">
        <v>0</v>
      </c>
      <c r="E14950">
        <v>0</v>
      </c>
      <c r="F14950">
        <v>0</v>
      </c>
    </row>
    <row r="14951" spans="1:6" x14ac:dyDescent="0.25">
      <c r="A14951">
        <v>14950</v>
      </c>
      <c r="B14951" t="s">
        <v>0</v>
      </c>
      <c r="C14951">
        <v>142</v>
      </c>
      <c r="D14951">
        <v>3505</v>
      </c>
      <c r="E14951">
        <v>80626399</v>
      </c>
    </row>
    <row r="14952" spans="1:6" x14ac:dyDescent="0.25">
      <c r="A14952">
        <v>14951</v>
      </c>
      <c r="B14952">
        <v>2</v>
      </c>
      <c r="C14952">
        <v>0</v>
      </c>
      <c r="D14952">
        <v>0</v>
      </c>
      <c r="E14952">
        <v>0</v>
      </c>
      <c r="F14952">
        <v>242.47</v>
      </c>
    </row>
    <row r="14953" spans="1:6" x14ac:dyDescent="0.25">
      <c r="A14953">
        <v>14952</v>
      </c>
      <c r="B14953">
        <v>10</v>
      </c>
      <c r="C14953">
        <v>1</v>
      </c>
      <c r="D14953">
        <v>0</v>
      </c>
      <c r="E14953">
        <v>0</v>
      </c>
      <c r="F14953">
        <v>5206</v>
      </c>
    </row>
    <row r="14954" spans="1:6" x14ac:dyDescent="0.25">
      <c r="A14954">
        <v>14953</v>
      </c>
      <c r="B14954" t="s">
        <v>0</v>
      </c>
      <c r="C14954">
        <v>143</v>
      </c>
      <c r="D14954">
        <v>3505</v>
      </c>
      <c r="E14954">
        <v>80626536</v>
      </c>
    </row>
    <row r="14955" spans="1:6" x14ac:dyDescent="0.25">
      <c r="A14955">
        <v>14954</v>
      </c>
      <c r="B14955">
        <v>13</v>
      </c>
      <c r="C14955">
        <v>0</v>
      </c>
      <c r="D14955">
        <v>0</v>
      </c>
      <c r="E14955">
        <v>0</v>
      </c>
      <c r="F14955">
        <v>1613</v>
      </c>
    </row>
    <row r="14956" spans="1:6" x14ac:dyDescent="0.25">
      <c r="A14956">
        <v>14955</v>
      </c>
      <c r="B14956">
        <v>41</v>
      </c>
      <c r="C14956">
        <v>0</v>
      </c>
      <c r="D14956">
        <v>0</v>
      </c>
      <c r="E14956">
        <v>0</v>
      </c>
      <c r="F14956">
        <v>1</v>
      </c>
    </row>
    <row r="14957" spans="1:6" x14ac:dyDescent="0.25">
      <c r="A14957">
        <v>14956</v>
      </c>
      <c r="B14957" t="s">
        <v>0</v>
      </c>
      <c r="C14957">
        <v>144</v>
      </c>
      <c r="D14957">
        <v>3505</v>
      </c>
      <c r="E14957">
        <v>80626673</v>
      </c>
    </row>
    <row r="14958" spans="1:6" x14ac:dyDescent="0.25">
      <c r="A14958">
        <v>14957</v>
      </c>
      <c r="B14958">
        <v>42</v>
      </c>
      <c r="C14958">
        <v>0</v>
      </c>
      <c r="D14958">
        <v>0</v>
      </c>
      <c r="E14958">
        <v>0</v>
      </c>
      <c r="F14958">
        <v>0.2</v>
      </c>
    </row>
    <row r="14959" spans="1:6" x14ac:dyDescent="0.25">
      <c r="A14959">
        <v>14958</v>
      </c>
      <c r="B14959">
        <v>43</v>
      </c>
      <c r="C14959">
        <v>0</v>
      </c>
      <c r="D14959">
        <v>0</v>
      </c>
      <c r="E14959">
        <v>0</v>
      </c>
      <c r="F14959">
        <v>0</v>
      </c>
    </row>
    <row r="14960" spans="1:6" x14ac:dyDescent="0.25">
      <c r="A14960">
        <v>14959</v>
      </c>
      <c r="B14960" t="s">
        <v>0</v>
      </c>
      <c r="C14960">
        <v>145</v>
      </c>
      <c r="D14960">
        <v>3505</v>
      </c>
      <c r="E14960">
        <v>80626810</v>
      </c>
    </row>
    <row r="14961" spans="1:6" x14ac:dyDescent="0.25">
      <c r="A14961">
        <v>14960</v>
      </c>
      <c r="B14961">
        <v>45</v>
      </c>
      <c r="C14961">
        <v>0</v>
      </c>
      <c r="D14961">
        <v>0</v>
      </c>
      <c r="E14961">
        <v>0</v>
      </c>
      <c r="F14961">
        <v>519.15499999999997</v>
      </c>
    </row>
    <row r="14962" spans="1:6" x14ac:dyDescent="0.25">
      <c r="A14962">
        <v>14961</v>
      </c>
      <c r="B14962" t="s">
        <v>0</v>
      </c>
      <c r="C14962">
        <v>146</v>
      </c>
      <c r="D14962">
        <v>3505</v>
      </c>
      <c r="E14962">
        <v>80626946</v>
      </c>
    </row>
    <row r="14963" spans="1:6" x14ac:dyDescent="0.25">
      <c r="A14963">
        <v>14962</v>
      </c>
      <c r="B14963">
        <v>2</v>
      </c>
      <c r="C14963">
        <v>0</v>
      </c>
      <c r="D14963">
        <v>0</v>
      </c>
      <c r="E14963">
        <v>0</v>
      </c>
      <c r="F14963">
        <v>242.47</v>
      </c>
    </row>
    <row r="14964" spans="1:6" x14ac:dyDescent="0.25">
      <c r="A14964">
        <v>14963</v>
      </c>
      <c r="B14964" t="s">
        <v>0</v>
      </c>
      <c r="C14964">
        <v>147</v>
      </c>
      <c r="D14964">
        <v>3505</v>
      </c>
      <c r="E14964">
        <v>80627083</v>
      </c>
    </row>
    <row r="14965" spans="1:6" x14ac:dyDescent="0.25">
      <c r="A14965">
        <v>14964</v>
      </c>
      <c r="B14965">
        <v>13</v>
      </c>
      <c r="C14965">
        <v>0</v>
      </c>
      <c r="D14965">
        <v>0</v>
      </c>
      <c r="E14965">
        <v>0</v>
      </c>
      <c r="F14965">
        <v>1613</v>
      </c>
    </row>
    <row r="14966" spans="1:6" x14ac:dyDescent="0.25">
      <c r="A14966">
        <v>14965</v>
      </c>
      <c r="B14966" t="s">
        <v>0</v>
      </c>
      <c r="C14966">
        <v>148</v>
      </c>
      <c r="D14966">
        <v>3505</v>
      </c>
      <c r="E14966">
        <v>80627220</v>
      </c>
    </row>
    <row r="14967" spans="1:6" x14ac:dyDescent="0.25">
      <c r="A14967">
        <v>14966</v>
      </c>
      <c r="B14967">
        <v>42</v>
      </c>
      <c r="C14967">
        <v>0</v>
      </c>
      <c r="D14967">
        <v>0</v>
      </c>
      <c r="E14967">
        <v>0</v>
      </c>
      <c r="F14967">
        <v>0.2</v>
      </c>
    </row>
    <row r="14968" spans="1:6" x14ac:dyDescent="0.25">
      <c r="A14968">
        <v>14967</v>
      </c>
      <c r="B14968" t="s">
        <v>0</v>
      </c>
      <c r="C14968">
        <v>149</v>
      </c>
      <c r="D14968">
        <v>3505</v>
      </c>
      <c r="E14968">
        <v>80627357</v>
      </c>
    </row>
    <row r="14969" spans="1:6" x14ac:dyDescent="0.25">
      <c r="A14969">
        <v>14968</v>
      </c>
      <c r="B14969">
        <v>44</v>
      </c>
      <c r="C14969">
        <v>0</v>
      </c>
      <c r="D14969">
        <v>0</v>
      </c>
      <c r="E14969">
        <v>0</v>
      </c>
      <c r="F14969">
        <v>30.027799999999999</v>
      </c>
    </row>
    <row r="14970" spans="1:6" x14ac:dyDescent="0.25">
      <c r="A14970">
        <v>14969</v>
      </c>
      <c r="B14970" t="s">
        <v>0</v>
      </c>
      <c r="C14970">
        <v>150</v>
      </c>
      <c r="D14970">
        <v>3505</v>
      </c>
      <c r="E14970">
        <v>80627494</v>
      </c>
    </row>
    <row r="14971" spans="1:6" x14ac:dyDescent="0.25">
      <c r="A14971">
        <v>14970</v>
      </c>
      <c r="B14971">
        <v>46</v>
      </c>
      <c r="C14971">
        <v>0</v>
      </c>
      <c r="D14971">
        <v>0</v>
      </c>
      <c r="E14971">
        <v>0</v>
      </c>
      <c r="F14971">
        <v>0</v>
      </c>
    </row>
    <row r="14972" spans="1:6" x14ac:dyDescent="0.25">
      <c r="A14972">
        <v>14971</v>
      </c>
      <c r="B14972">
        <v>2</v>
      </c>
      <c r="C14972">
        <v>0</v>
      </c>
      <c r="D14972">
        <v>0</v>
      </c>
      <c r="E14972">
        <v>0</v>
      </c>
      <c r="F14972">
        <v>242.46700000000001</v>
      </c>
    </row>
    <row r="14973" spans="1:6" x14ac:dyDescent="0.25">
      <c r="A14973">
        <v>14972</v>
      </c>
      <c r="B14973">
        <v>10</v>
      </c>
      <c r="C14973">
        <v>1</v>
      </c>
      <c r="D14973">
        <v>0</v>
      </c>
      <c r="E14973">
        <v>0</v>
      </c>
      <c r="F14973">
        <v>5208</v>
      </c>
    </row>
    <row r="14974" spans="1:6" x14ac:dyDescent="0.25">
      <c r="A14974">
        <v>14973</v>
      </c>
      <c r="B14974">
        <v>13</v>
      </c>
      <c r="C14974">
        <v>0</v>
      </c>
      <c r="D14974">
        <v>0</v>
      </c>
      <c r="E14974">
        <v>0</v>
      </c>
      <c r="F14974">
        <v>1613</v>
      </c>
    </row>
    <row r="14975" spans="1:6" x14ac:dyDescent="0.25">
      <c r="A14975">
        <v>14974</v>
      </c>
      <c r="B14975">
        <v>41</v>
      </c>
      <c r="C14975">
        <v>0</v>
      </c>
      <c r="D14975">
        <v>0</v>
      </c>
      <c r="E14975">
        <v>0</v>
      </c>
      <c r="F14975">
        <v>1</v>
      </c>
    </row>
    <row r="14976" spans="1:6" x14ac:dyDescent="0.25">
      <c r="A14976">
        <v>14975</v>
      </c>
      <c r="B14976">
        <v>42</v>
      </c>
      <c r="C14976">
        <v>0</v>
      </c>
      <c r="D14976">
        <v>0</v>
      </c>
      <c r="E14976">
        <v>0</v>
      </c>
      <c r="F14976">
        <v>0.2</v>
      </c>
    </row>
    <row r="14977" spans="1:6" x14ac:dyDescent="0.25">
      <c r="A14977">
        <v>14976</v>
      </c>
      <c r="B14977">
        <v>43</v>
      </c>
      <c r="C14977">
        <v>0</v>
      </c>
      <c r="D14977">
        <v>0</v>
      </c>
      <c r="E14977">
        <v>0</v>
      </c>
      <c r="F14977">
        <v>0</v>
      </c>
    </row>
    <row r="14978" spans="1:6" x14ac:dyDescent="0.25">
      <c r="A14978">
        <v>14977</v>
      </c>
      <c r="B14978">
        <v>44</v>
      </c>
      <c r="C14978">
        <v>0</v>
      </c>
      <c r="D14978">
        <v>0</v>
      </c>
      <c r="E14978">
        <v>0</v>
      </c>
      <c r="F14978">
        <v>30.177600000000002</v>
      </c>
    </row>
    <row r="14979" spans="1:6" x14ac:dyDescent="0.25">
      <c r="A14979">
        <v>14978</v>
      </c>
      <c r="B14979">
        <v>45</v>
      </c>
      <c r="C14979">
        <v>0</v>
      </c>
      <c r="D14979">
        <v>0</v>
      </c>
      <c r="E14979">
        <v>0</v>
      </c>
      <c r="F14979">
        <v>519.22900000000004</v>
      </c>
    </row>
    <row r="14980" spans="1:6" x14ac:dyDescent="0.25">
      <c r="A14980">
        <v>14979</v>
      </c>
      <c r="B14980">
        <v>46</v>
      </c>
      <c r="C14980">
        <v>0</v>
      </c>
      <c r="D14980">
        <v>0</v>
      </c>
      <c r="E14980">
        <v>0</v>
      </c>
      <c r="F14980">
        <v>0</v>
      </c>
    </row>
    <row r="14981" spans="1:6" x14ac:dyDescent="0.25">
      <c r="A14981">
        <v>14980</v>
      </c>
      <c r="B14981">
        <v>2</v>
      </c>
      <c r="C14981">
        <v>0</v>
      </c>
      <c r="D14981">
        <v>0</v>
      </c>
      <c r="E14981">
        <v>0</v>
      </c>
      <c r="F14981">
        <v>242.47</v>
      </c>
    </row>
    <row r="14982" spans="1:6" x14ac:dyDescent="0.25">
      <c r="A14982">
        <v>14981</v>
      </c>
      <c r="B14982">
        <v>10</v>
      </c>
      <c r="C14982">
        <v>1</v>
      </c>
      <c r="D14982">
        <v>0</v>
      </c>
      <c r="E14982">
        <v>0</v>
      </c>
      <c r="F14982">
        <v>5209</v>
      </c>
    </row>
    <row r="14983" spans="1:6" x14ac:dyDescent="0.25">
      <c r="A14983">
        <v>14982</v>
      </c>
      <c r="B14983">
        <v>13</v>
      </c>
      <c r="C14983">
        <v>0</v>
      </c>
      <c r="D14983">
        <v>0</v>
      </c>
      <c r="E14983">
        <v>0</v>
      </c>
      <c r="F14983">
        <v>1613</v>
      </c>
    </row>
    <row r="14984" spans="1:6" x14ac:dyDescent="0.25">
      <c r="A14984">
        <v>14983</v>
      </c>
      <c r="B14984">
        <v>41</v>
      </c>
      <c r="C14984">
        <v>0</v>
      </c>
      <c r="D14984">
        <v>0</v>
      </c>
      <c r="E14984">
        <v>0</v>
      </c>
      <c r="F14984">
        <v>1</v>
      </c>
    </row>
    <row r="14985" spans="1:6" x14ac:dyDescent="0.25">
      <c r="A14985">
        <v>14984</v>
      </c>
      <c r="B14985" t="s">
        <v>0</v>
      </c>
      <c r="C14985">
        <v>157</v>
      </c>
      <c r="D14985">
        <v>3505</v>
      </c>
      <c r="E14985">
        <v>80628453</v>
      </c>
    </row>
    <row r="14986" spans="1:6" x14ac:dyDescent="0.25">
      <c r="A14986">
        <v>14985</v>
      </c>
      <c r="B14986">
        <v>42</v>
      </c>
      <c r="C14986">
        <v>0</v>
      </c>
      <c r="D14986">
        <v>0</v>
      </c>
      <c r="E14986">
        <v>0</v>
      </c>
      <c r="F14986">
        <v>0.2</v>
      </c>
    </row>
    <row r="14987" spans="1:6" x14ac:dyDescent="0.25">
      <c r="A14987">
        <v>14986</v>
      </c>
      <c r="B14987">
        <v>43</v>
      </c>
      <c r="C14987">
        <v>0</v>
      </c>
      <c r="D14987">
        <v>0</v>
      </c>
      <c r="E14987">
        <v>0</v>
      </c>
      <c r="F14987">
        <v>0</v>
      </c>
    </row>
    <row r="14988" spans="1:6" x14ac:dyDescent="0.25">
      <c r="A14988">
        <v>14987</v>
      </c>
      <c r="B14988" t="s">
        <v>0</v>
      </c>
      <c r="C14988">
        <v>158</v>
      </c>
      <c r="D14988">
        <v>3505</v>
      </c>
      <c r="E14988">
        <v>80628590</v>
      </c>
    </row>
    <row r="14989" spans="1:6" x14ac:dyDescent="0.25">
      <c r="A14989">
        <v>14988</v>
      </c>
      <c r="B14989">
        <v>44</v>
      </c>
      <c r="C14989">
        <v>0</v>
      </c>
      <c r="D14989">
        <v>0</v>
      </c>
      <c r="E14989">
        <v>0</v>
      </c>
      <c r="F14989">
        <v>30.3277</v>
      </c>
    </row>
    <row r="14990" spans="1:6" x14ac:dyDescent="0.25">
      <c r="A14990">
        <v>14989</v>
      </c>
      <c r="B14990">
        <v>45</v>
      </c>
      <c r="C14990">
        <v>0</v>
      </c>
      <c r="D14990">
        <v>0</v>
      </c>
      <c r="E14990">
        <v>0</v>
      </c>
      <c r="F14990">
        <v>519.26300000000003</v>
      </c>
    </row>
    <row r="14991" spans="1:6" x14ac:dyDescent="0.25">
      <c r="A14991">
        <v>14990</v>
      </c>
      <c r="B14991" t="s">
        <v>0</v>
      </c>
      <c r="C14991">
        <v>159</v>
      </c>
      <c r="D14991">
        <v>3505</v>
      </c>
      <c r="E14991">
        <v>80628727</v>
      </c>
    </row>
    <row r="14992" spans="1:6" x14ac:dyDescent="0.25">
      <c r="A14992">
        <v>14991</v>
      </c>
      <c r="B14992">
        <v>46</v>
      </c>
      <c r="C14992">
        <v>0</v>
      </c>
      <c r="D14992">
        <v>0</v>
      </c>
      <c r="E14992">
        <v>0</v>
      </c>
      <c r="F14992">
        <v>0</v>
      </c>
    </row>
    <row r="14993" spans="1:6" x14ac:dyDescent="0.25">
      <c r="A14993">
        <v>14992</v>
      </c>
      <c r="B14993">
        <v>2</v>
      </c>
      <c r="C14993">
        <v>0</v>
      </c>
      <c r="D14993">
        <v>0</v>
      </c>
      <c r="E14993">
        <v>0</v>
      </c>
      <c r="F14993">
        <v>242.47</v>
      </c>
    </row>
    <row r="14994" spans="1:6" x14ac:dyDescent="0.25">
      <c r="A14994">
        <v>14993</v>
      </c>
      <c r="B14994" t="s">
        <v>0</v>
      </c>
      <c r="C14994">
        <v>160</v>
      </c>
      <c r="D14994">
        <v>3505</v>
      </c>
      <c r="E14994">
        <v>80628863</v>
      </c>
    </row>
    <row r="14995" spans="1:6" x14ac:dyDescent="0.25">
      <c r="A14995">
        <v>14994</v>
      </c>
      <c r="B14995">
        <v>10</v>
      </c>
      <c r="C14995">
        <v>1</v>
      </c>
      <c r="D14995">
        <v>0</v>
      </c>
      <c r="E14995">
        <v>0</v>
      </c>
      <c r="F14995">
        <v>5210</v>
      </c>
    </row>
    <row r="14996" spans="1:6" x14ac:dyDescent="0.25">
      <c r="A14996">
        <v>14995</v>
      </c>
      <c r="B14996">
        <v>13</v>
      </c>
      <c r="C14996">
        <v>0</v>
      </c>
      <c r="D14996">
        <v>0</v>
      </c>
      <c r="E14996">
        <v>0</v>
      </c>
      <c r="F14996">
        <v>1614</v>
      </c>
    </row>
    <row r="14997" spans="1:6" x14ac:dyDescent="0.25">
      <c r="A14997">
        <v>14996</v>
      </c>
      <c r="B14997" t="s">
        <v>0</v>
      </c>
      <c r="C14997">
        <v>161</v>
      </c>
      <c r="D14997">
        <v>3505</v>
      </c>
      <c r="E14997">
        <v>80629000</v>
      </c>
    </row>
    <row r="14998" spans="1:6" x14ac:dyDescent="0.25">
      <c r="A14998">
        <v>14997</v>
      </c>
      <c r="B14998">
        <v>41</v>
      </c>
      <c r="C14998">
        <v>0</v>
      </c>
      <c r="D14998">
        <v>0</v>
      </c>
      <c r="E14998">
        <v>0</v>
      </c>
      <c r="F14998">
        <v>1</v>
      </c>
    </row>
    <row r="14999" spans="1:6" x14ac:dyDescent="0.25">
      <c r="A14999">
        <v>14998</v>
      </c>
      <c r="B14999">
        <v>42</v>
      </c>
      <c r="C14999">
        <v>0</v>
      </c>
      <c r="D14999">
        <v>0</v>
      </c>
      <c r="E14999">
        <v>0</v>
      </c>
      <c r="F14999">
        <v>0.2</v>
      </c>
    </row>
    <row r="15000" spans="1:6" x14ac:dyDescent="0.25">
      <c r="A15000">
        <v>14999</v>
      </c>
      <c r="B15000" t="s">
        <v>0</v>
      </c>
      <c r="C15000">
        <v>162</v>
      </c>
      <c r="D15000">
        <v>3505</v>
      </c>
      <c r="E15000">
        <v>80629137</v>
      </c>
    </row>
    <row r="15001" spans="1:6" x14ac:dyDescent="0.25">
      <c r="A15001">
        <v>15000</v>
      </c>
      <c r="B15001">
        <v>43</v>
      </c>
      <c r="C15001">
        <v>0</v>
      </c>
      <c r="D15001">
        <v>0</v>
      </c>
      <c r="E15001">
        <v>0</v>
      </c>
      <c r="F15001">
        <v>0</v>
      </c>
    </row>
    <row r="15002" spans="1:6" x14ac:dyDescent="0.25">
      <c r="A15002">
        <v>15001</v>
      </c>
      <c r="B15002">
        <v>44</v>
      </c>
      <c r="C15002">
        <v>0</v>
      </c>
      <c r="D15002">
        <v>0</v>
      </c>
      <c r="E15002">
        <v>0</v>
      </c>
      <c r="F15002">
        <v>30.477699999999999</v>
      </c>
    </row>
    <row r="15003" spans="1:6" x14ac:dyDescent="0.25">
      <c r="A15003">
        <v>15002</v>
      </c>
      <c r="B15003" t="s">
        <v>0</v>
      </c>
      <c r="C15003">
        <v>163</v>
      </c>
      <c r="D15003">
        <v>3505</v>
      </c>
      <c r="E15003">
        <v>80629273</v>
      </c>
    </row>
    <row r="15004" spans="1:6" x14ac:dyDescent="0.25">
      <c r="A15004">
        <v>15003</v>
      </c>
      <c r="B15004">
        <v>46</v>
      </c>
      <c r="C15004">
        <v>0</v>
      </c>
      <c r="D15004">
        <v>0</v>
      </c>
      <c r="E15004">
        <v>0</v>
      </c>
      <c r="F15004">
        <v>0</v>
      </c>
    </row>
    <row r="15005" spans="1:6" x14ac:dyDescent="0.25">
      <c r="A15005">
        <v>15004</v>
      </c>
      <c r="B15005" t="s">
        <v>0</v>
      </c>
      <c r="C15005">
        <v>164</v>
      </c>
      <c r="D15005">
        <v>3505</v>
      </c>
      <c r="E15005">
        <v>80629410</v>
      </c>
    </row>
    <row r="15006" spans="1:6" x14ac:dyDescent="0.25">
      <c r="A15006">
        <v>15005</v>
      </c>
      <c r="B15006">
        <v>10</v>
      </c>
      <c r="C15006">
        <v>1</v>
      </c>
      <c r="D15006">
        <v>0</v>
      </c>
      <c r="E15006">
        <v>0</v>
      </c>
      <c r="F15006">
        <v>5211</v>
      </c>
    </row>
    <row r="15007" spans="1:6" x14ac:dyDescent="0.25">
      <c r="A15007">
        <v>15006</v>
      </c>
      <c r="B15007" t="s">
        <v>0</v>
      </c>
      <c r="C15007">
        <v>165</v>
      </c>
      <c r="D15007">
        <v>3505</v>
      </c>
      <c r="E15007">
        <v>80629547</v>
      </c>
    </row>
    <row r="15008" spans="1:6" x14ac:dyDescent="0.25">
      <c r="A15008">
        <v>15007</v>
      </c>
      <c r="B15008">
        <v>41</v>
      </c>
      <c r="C15008">
        <v>0</v>
      </c>
      <c r="D15008">
        <v>0</v>
      </c>
      <c r="E15008">
        <v>0</v>
      </c>
      <c r="F15008">
        <v>1</v>
      </c>
    </row>
    <row r="15009" spans="1:6" x14ac:dyDescent="0.25">
      <c r="A15009">
        <v>15008</v>
      </c>
      <c r="B15009" t="s">
        <v>0</v>
      </c>
      <c r="C15009">
        <v>166</v>
      </c>
      <c r="D15009">
        <v>3505</v>
      </c>
      <c r="E15009">
        <v>80629684</v>
      </c>
    </row>
    <row r="15010" spans="1:6" x14ac:dyDescent="0.25">
      <c r="A15010">
        <v>15009</v>
      </c>
      <c r="B15010">
        <v>43</v>
      </c>
      <c r="C15010">
        <v>0</v>
      </c>
      <c r="D15010">
        <v>0</v>
      </c>
      <c r="E15010">
        <v>0</v>
      </c>
      <c r="F15010">
        <v>0</v>
      </c>
    </row>
    <row r="15011" spans="1:6" x14ac:dyDescent="0.25">
      <c r="A15011">
        <v>15010</v>
      </c>
      <c r="B15011" t="s">
        <v>0</v>
      </c>
      <c r="C15011">
        <v>167</v>
      </c>
      <c r="D15011">
        <v>3505</v>
      </c>
      <c r="E15011">
        <v>80629821</v>
      </c>
    </row>
    <row r="15012" spans="1:6" x14ac:dyDescent="0.25">
      <c r="A15012">
        <v>15011</v>
      </c>
      <c r="B15012">
        <v>45</v>
      </c>
      <c r="C15012">
        <v>0</v>
      </c>
      <c r="D15012">
        <v>0</v>
      </c>
      <c r="E15012">
        <v>0</v>
      </c>
      <c r="F15012">
        <v>519.33799999999997</v>
      </c>
    </row>
    <row r="15013" spans="1:6" x14ac:dyDescent="0.25">
      <c r="A15013">
        <v>15012</v>
      </c>
      <c r="B15013" t="s">
        <v>0</v>
      </c>
      <c r="C15013">
        <v>168</v>
      </c>
      <c r="D15013">
        <v>3505</v>
      </c>
      <c r="E15013">
        <v>80629958</v>
      </c>
    </row>
    <row r="15014" spans="1:6" x14ac:dyDescent="0.25">
      <c r="A15014">
        <v>15013</v>
      </c>
      <c r="B15014">
        <v>2</v>
      </c>
      <c r="C15014">
        <v>0</v>
      </c>
      <c r="D15014">
        <v>0</v>
      </c>
      <c r="E15014">
        <v>0</v>
      </c>
      <c r="F15014">
        <v>242.47</v>
      </c>
    </row>
    <row r="15015" spans="1:6" x14ac:dyDescent="0.25">
      <c r="A15015">
        <v>15014</v>
      </c>
      <c r="B15015">
        <v>10</v>
      </c>
      <c r="C15015">
        <v>1</v>
      </c>
      <c r="D15015">
        <v>0</v>
      </c>
      <c r="E15015">
        <v>0</v>
      </c>
      <c r="F15015">
        <v>5212</v>
      </c>
    </row>
    <row r="15016" spans="1:6" x14ac:dyDescent="0.25">
      <c r="A15016">
        <v>15015</v>
      </c>
      <c r="B15016">
        <v>13</v>
      </c>
      <c r="C15016">
        <v>0</v>
      </c>
      <c r="D15016">
        <v>0</v>
      </c>
      <c r="E15016">
        <v>0</v>
      </c>
      <c r="F15016">
        <v>1614</v>
      </c>
    </row>
    <row r="15017" spans="1:6" x14ac:dyDescent="0.25">
      <c r="A15017">
        <v>15016</v>
      </c>
      <c r="B15017">
        <v>41</v>
      </c>
      <c r="C15017">
        <v>0</v>
      </c>
      <c r="D15017">
        <v>0</v>
      </c>
      <c r="E15017">
        <v>0</v>
      </c>
      <c r="F15017">
        <v>1</v>
      </c>
    </row>
    <row r="15018" spans="1:6" x14ac:dyDescent="0.25">
      <c r="A15018">
        <v>15017</v>
      </c>
      <c r="B15018">
        <v>42</v>
      </c>
      <c r="C15018">
        <v>0</v>
      </c>
      <c r="D15018">
        <v>0</v>
      </c>
      <c r="E15018">
        <v>0</v>
      </c>
      <c r="F15018">
        <v>0.2</v>
      </c>
    </row>
    <row r="15019" spans="1:6" x14ac:dyDescent="0.25">
      <c r="A15019">
        <v>15018</v>
      </c>
      <c r="B15019">
        <v>43</v>
      </c>
      <c r="C15019">
        <v>0</v>
      </c>
      <c r="D15019">
        <v>0</v>
      </c>
      <c r="E15019">
        <v>0</v>
      </c>
      <c r="F15019">
        <v>0</v>
      </c>
    </row>
    <row r="15020" spans="1:6" x14ac:dyDescent="0.25">
      <c r="A15020">
        <v>15019</v>
      </c>
      <c r="B15020">
        <v>44</v>
      </c>
      <c r="C15020">
        <v>0</v>
      </c>
      <c r="D15020">
        <v>0</v>
      </c>
      <c r="E15020">
        <v>0</v>
      </c>
      <c r="F15020">
        <v>30.779</v>
      </c>
    </row>
    <row r="15021" spans="1:6" x14ac:dyDescent="0.25">
      <c r="A15021">
        <v>15020</v>
      </c>
      <c r="B15021">
        <v>45</v>
      </c>
      <c r="C15021">
        <v>0</v>
      </c>
      <c r="D15021">
        <v>0</v>
      </c>
      <c r="E15021">
        <v>0</v>
      </c>
      <c r="F15021">
        <v>519.37199999999996</v>
      </c>
    </row>
    <row r="15022" spans="1:6" x14ac:dyDescent="0.25">
      <c r="A15022">
        <v>15021</v>
      </c>
      <c r="B15022">
        <v>46</v>
      </c>
      <c r="C15022">
        <v>0</v>
      </c>
      <c r="D15022">
        <v>0</v>
      </c>
      <c r="E15022">
        <v>0</v>
      </c>
      <c r="F15022">
        <v>0</v>
      </c>
    </row>
    <row r="15023" spans="1:6" x14ac:dyDescent="0.25">
      <c r="A15023">
        <v>15022</v>
      </c>
      <c r="B15023">
        <v>2</v>
      </c>
      <c r="C15023">
        <v>0</v>
      </c>
      <c r="D15023">
        <v>0</v>
      </c>
      <c r="E15023">
        <v>0</v>
      </c>
      <c r="F15023">
        <v>242.47</v>
      </c>
    </row>
    <row r="15024" spans="1:6" x14ac:dyDescent="0.25">
      <c r="A15024">
        <v>15023</v>
      </c>
      <c r="B15024">
        <v>10</v>
      </c>
      <c r="C15024">
        <v>1</v>
      </c>
      <c r="D15024">
        <v>0</v>
      </c>
      <c r="E15024">
        <v>0</v>
      </c>
      <c r="F15024">
        <v>5213</v>
      </c>
    </row>
    <row r="15025" spans="1:6" x14ac:dyDescent="0.25">
      <c r="A15025">
        <v>15024</v>
      </c>
      <c r="B15025">
        <v>13</v>
      </c>
      <c r="C15025">
        <v>0</v>
      </c>
      <c r="D15025">
        <v>0</v>
      </c>
      <c r="E15025">
        <v>0</v>
      </c>
      <c r="F15025">
        <v>1614</v>
      </c>
    </row>
    <row r="15026" spans="1:6" x14ac:dyDescent="0.25">
      <c r="A15026">
        <v>15025</v>
      </c>
      <c r="B15026">
        <v>41</v>
      </c>
      <c r="C15026">
        <v>0</v>
      </c>
      <c r="D15026">
        <v>0</v>
      </c>
      <c r="E15026">
        <v>0</v>
      </c>
      <c r="F15026">
        <v>1</v>
      </c>
    </row>
    <row r="15027" spans="1:6" x14ac:dyDescent="0.25">
      <c r="A15027">
        <v>15026</v>
      </c>
      <c r="B15027">
        <v>42</v>
      </c>
      <c r="C15027">
        <v>0</v>
      </c>
      <c r="D15027">
        <v>0</v>
      </c>
      <c r="E15027">
        <v>0</v>
      </c>
      <c r="F15027">
        <v>0.2</v>
      </c>
    </row>
    <row r="15028" spans="1:6" x14ac:dyDescent="0.25">
      <c r="A15028">
        <v>15027</v>
      </c>
      <c r="B15028" t="s">
        <v>0</v>
      </c>
      <c r="C15028">
        <v>175</v>
      </c>
      <c r="D15028">
        <v>3505</v>
      </c>
      <c r="E15028">
        <v>80630917</v>
      </c>
    </row>
    <row r="15029" spans="1:6" x14ac:dyDescent="0.25">
      <c r="A15029">
        <v>15028</v>
      </c>
      <c r="B15029">
        <v>43</v>
      </c>
      <c r="C15029">
        <v>0</v>
      </c>
      <c r="D15029">
        <v>0</v>
      </c>
      <c r="E15029">
        <v>0</v>
      </c>
      <c r="F15029">
        <v>0</v>
      </c>
    </row>
    <row r="15030" spans="1:6" x14ac:dyDescent="0.25">
      <c r="A15030">
        <v>15029</v>
      </c>
      <c r="B15030">
        <v>44</v>
      </c>
      <c r="C15030">
        <v>0</v>
      </c>
      <c r="D15030">
        <v>0</v>
      </c>
      <c r="E15030">
        <v>0</v>
      </c>
      <c r="F15030">
        <v>30.929600000000001</v>
      </c>
    </row>
    <row r="15031" spans="1:6" x14ac:dyDescent="0.25">
      <c r="A15031">
        <v>15030</v>
      </c>
      <c r="B15031" t="s">
        <v>0</v>
      </c>
      <c r="C15031">
        <v>176</v>
      </c>
      <c r="D15031">
        <v>3505</v>
      </c>
      <c r="E15031">
        <v>80631054</v>
      </c>
    </row>
    <row r="15032" spans="1:6" x14ac:dyDescent="0.25">
      <c r="A15032">
        <v>15031</v>
      </c>
      <c r="B15032">
        <v>45</v>
      </c>
      <c r="C15032">
        <v>0</v>
      </c>
      <c r="D15032">
        <v>0</v>
      </c>
      <c r="E15032">
        <v>0</v>
      </c>
      <c r="F15032">
        <v>519.41399999999999</v>
      </c>
    </row>
    <row r="15033" spans="1:6" x14ac:dyDescent="0.25">
      <c r="A15033">
        <v>15032</v>
      </c>
      <c r="B15033">
        <v>46</v>
      </c>
      <c r="C15033">
        <v>0</v>
      </c>
      <c r="D15033">
        <v>0</v>
      </c>
      <c r="E15033">
        <v>0</v>
      </c>
      <c r="F15033">
        <v>0</v>
      </c>
    </row>
    <row r="15034" spans="1:6" x14ac:dyDescent="0.25">
      <c r="A15034">
        <v>15033</v>
      </c>
      <c r="B15034" t="s">
        <v>0</v>
      </c>
      <c r="C15034">
        <v>177</v>
      </c>
      <c r="D15034">
        <v>3505</v>
      </c>
      <c r="E15034">
        <v>80631191</v>
      </c>
    </row>
    <row r="15035" spans="1:6" x14ac:dyDescent="0.25">
      <c r="A15035">
        <v>15034</v>
      </c>
      <c r="B15035">
        <v>2</v>
      </c>
      <c r="C15035">
        <v>0</v>
      </c>
      <c r="D15035">
        <v>0</v>
      </c>
      <c r="E15035">
        <v>0</v>
      </c>
      <c r="F15035">
        <v>242.47</v>
      </c>
    </row>
    <row r="15036" spans="1:6" x14ac:dyDescent="0.25">
      <c r="A15036">
        <v>15035</v>
      </c>
      <c r="B15036">
        <v>10</v>
      </c>
      <c r="C15036">
        <v>1</v>
      </c>
      <c r="D15036">
        <v>0</v>
      </c>
      <c r="E15036">
        <v>0</v>
      </c>
      <c r="F15036">
        <v>5214</v>
      </c>
    </row>
    <row r="15037" spans="1:6" x14ac:dyDescent="0.25">
      <c r="A15037">
        <v>15036</v>
      </c>
      <c r="B15037" t="s">
        <v>0</v>
      </c>
      <c r="C15037">
        <v>178</v>
      </c>
      <c r="D15037">
        <v>3505</v>
      </c>
      <c r="E15037">
        <v>80631328</v>
      </c>
    </row>
    <row r="15038" spans="1:6" x14ac:dyDescent="0.25">
      <c r="A15038">
        <v>15037</v>
      </c>
      <c r="B15038">
        <v>13</v>
      </c>
      <c r="C15038">
        <v>0</v>
      </c>
      <c r="D15038">
        <v>0</v>
      </c>
      <c r="E15038">
        <v>0</v>
      </c>
      <c r="F15038">
        <v>1614</v>
      </c>
    </row>
    <row r="15039" spans="1:6" x14ac:dyDescent="0.25">
      <c r="A15039">
        <v>15038</v>
      </c>
      <c r="B15039">
        <v>41</v>
      </c>
      <c r="C15039">
        <v>0</v>
      </c>
      <c r="D15039">
        <v>0</v>
      </c>
      <c r="E15039">
        <v>0</v>
      </c>
      <c r="F15039">
        <v>1</v>
      </c>
    </row>
    <row r="15040" spans="1:6" x14ac:dyDescent="0.25">
      <c r="A15040">
        <v>15039</v>
      </c>
      <c r="B15040">
        <v>42</v>
      </c>
      <c r="C15040">
        <v>0</v>
      </c>
      <c r="D15040">
        <v>0</v>
      </c>
      <c r="E15040">
        <v>0</v>
      </c>
      <c r="F15040">
        <v>0.2</v>
      </c>
    </row>
    <row r="15041" spans="1:6" x14ac:dyDescent="0.25">
      <c r="A15041">
        <v>15040</v>
      </c>
      <c r="B15041">
        <v>43</v>
      </c>
      <c r="C15041">
        <v>0</v>
      </c>
      <c r="D15041">
        <v>0</v>
      </c>
      <c r="E15041">
        <v>0</v>
      </c>
      <c r="F15041">
        <v>0</v>
      </c>
    </row>
    <row r="15042" spans="1:6" x14ac:dyDescent="0.25">
      <c r="A15042">
        <v>15041</v>
      </c>
      <c r="B15042" t="s">
        <v>0</v>
      </c>
      <c r="C15042">
        <v>0</v>
      </c>
      <c r="D15042">
        <v>3506</v>
      </c>
      <c r="E15042">
        <v>80631602</v>
      </c>
    </row>
    <row r="15043" spans="1:6" x14ac:dyDescent="0.25">
      <c r="A15043">
        <v>15042</v>
      </c>
      <c r="B15043">
        <v>44</v>
      </c>
      <c r="C15043">
        <v>0</v>
      </c>
      <c r="D15043">
        <v>0</v>
      </c>
      <c r="E15043">
        <v>0</v>
      </c>
      <c r="F15043">
        <v>31.033799999999999</v>
      </c>
    </row>
    <row r="15044" spans="1:6" x14ac:dyDescent="0.25">
      <c r="A15044">
        <v>15043</v>
      </c>
      <c r="B15044">
        <v>45</v>
      </c>
      <c r="C15044">
        <v>0</v>
      </c>
      <c r="D15044">
        <v>0</v>
      </c>
      <c r="E15044">
        <v>0</v>
      </c>
      <c r="F15044">
        <v>519.43100000000004</v>
      </c>
    </row>
    <row r="15045" spans="1:6" x14ac:dyDescent="0.25">
      <c r="A15045">
        <v>15044</v>
      </c>
      <c r="B15045" t="s">
        <v>0</v>
      </c>
      <c r="C15045">
        <v>1</v>
      </c>
      <c r="D15045">
        <v>3506</v>
      </c>
      <c r="E15045">
        <v>80631740</v>
      </c>
    </row>
    <row r="15046" spans="1:6" x14ac:dyDescent="0.25">
      <c r="A15046">
        <v>15045</v>
      </c>
      <c r="B15046">
        <v>2</v>
      </c>
      <c r="C15046">
        <v>0</v>
      </c>
      <c r="D15046">
        <v>0</v>
      </c>
      <c r="E15046">
        <v>0</v>
      </c>
      <c r="F15046">
        <v>242.464</v>
      </c>
    </row>
    <row r="15047" spans="1:6" x14ac:dyDescent="0.25">
      <c r="A15047">
        <v>15046</v>
      </c>
      <c r="B15047" t="s">
        <v>0</v>
      </c>
      <c r="C15047">
        <v>2</v>
      </c>
      <c r="D15047">
        <v>3506</v>
      </c>
      <c r="E15047">
        <v>80631877</v>
      </c>
    </row>
    <row r="15048" spans="1:6" x14ac:dyDescent="0.25">
      <c r="A15048">
        <v>15047</v>
      </c>
      <c r="B15048">
        <v>13</v>
      </c>
      <c r="C15048">
        <v>0</v>
      </c>
      <c r="D15048">
        <v>0</v>
      </c>
      <c r="E15048">
        <v>0</v>
      </c>
      <c r="F15048">
        <v>1614</v>
      </c>
    </row>
    <row r="15049" spans="1:6" x14ac:dyDescent="0.25">
      <c r="A15049">
        <v>15048</v>
      </c>
      <c r="B15049" t="s">
        <v>0</v>
      </c>
      <c r="C15049">
        <v>3</v>
      </c>
      <c r="D15049">
        <v>3506</v>
      </c>
      <c r="E15049">
        <v>80632014</v>
      </c>
    </row>
    <row r="15050" spans="1:6" x14ac:dyDescent="0.25">
      <c r="A15050">
        <v>15049</v>
      </c>
      <c r="B15050">
        <v>42</v>
      </c>
      <c r="C15050">
        <v>0</v>
      </c>
      <c r="D15050">
        <v>0</v>
      </c>
      <c r="E15050">
        <v>0</v>
      </c>
      <c r="F15050">
        <v>0.2</v>
      </c>
    </row>
    <row r="15051" spans="1:6" x14ac:dyDescent="0.25">
      <c r="A15051">
        <v>15050</v>
      </c>
      <c r="B15051" t="s">
        <v>0</v>
      </c>
      <c r="C15051">
        <v>4</v>
      </c>
      <c r="D15051">
        <v>3506</v>
      </c>
      <c r="E15051">
        <v>80632151</v>
      </c>
    </row>
    <row r="15052" spans="1:6" x14ac:dyDescent="0.25">
      <c r="A15052">
        <v>15051</v>
      </c>
      <c r="B15052">
        <v>44</v>
      </c>
      <c r="C15052">
        <v>0</v>
      </c>
      <c r="D15052">
        <v>0</v>
      </c>
      <c r="E15052">
        <v>0</v>
      </c>
      <c r="F15052">
        <v>31.232900000000001</v>
      </c>
    </row>
    <row r="15053" spans="1:6" x14ac:dyDescent="0.25">
      <c r="A15053">
        <v>15052</v>
      </c>
      <c r="B15053" t="s">
        <v>0</v>
      </c>
      <c r="C15053">
        <v>5</v>
      </c>
      <c r="D15053">
        <v>3506</v>
      </c>
      <c r="E15053">
        <v>80632288</v>
      </c>
    </row>
    <row r="15054" spans="1:6" x14ac:dyDescent="0.25">
      <c r="A15054">
        <v>15053</v>
      </c>
      <c r="B15054">
        <v>46</v>
      </c>
      <c r="C15054">
        <v>0</v>
      </c>
      <c r="D15054">
        <v>0</v>
      </c>
      <c r="E15054">
        <v>0</v>
      </c>
      <c r="F15054">
        <v>0</v>
      </c>
    </row>
    <row r="15055" spans="1:6" x14ac:dyDescent="0.25">
      <c r="A15055">
        <v>15054</v>
      </c>
      <c r="B15055" t="s">
        <v>0</v>
      </c>
      <c r="C15055">
        <v>6</v>
      </c>
      <c r="D15055">
        <v>3506</v>
      </c>
      <c r="E15055">
        <v>80632425</v>
      </c>
    </row>
    <row r="15056" spans="1:6" x14ac:dyDescent="0.25">
      <c r="A15056">
        <v>15055</v>
      </c>
      <c r="B15056">
        <v>2</v>
      </c>
      <c r="C15056">
        <v>0</v>
      </c>
      <c r="D15056">
        <v>0</v>
      </c>
      <c r="E15056">
        <v>0</v>
      </c>
      <c r="F15056">
        <v>242.46600000000001</v>
      </c>
    </row>
    <row r="15057" spans="1:6" x14ac:dyDescent="0.25">
      <c r="A15057">
        <v>15056</v>
      </c>
      <c r="B15057">
        <v>10</v>
      </c>
      <c r="C15057">
        <v>1</v>
      </c>
      <c r="D15057">
        <v>0</v>
      </c>
      <c r="E15057">
        <v>0</v>
      </c>
      <c r="F15057">
        <v>5217</v>
      </c>
    </row>
    <row r="15058" spans="1:6" x14ac:dyDescent="0.25">
      <c r="A15058">
        <v>15057</v>
      </c>
      <c r="B15058">
        <v>13</v>
      </c>
      <c r="C15058">
        <v>0</v>
      </c>
      <c r="D15058">
        <v>0</v>
      </c>
      <c r="E15058">
        <v>0</v>
      </c>
      <c r="F15058">
        <v>1614</v>
      </c>
    </row>
    <row r="15059" spans="1:6" x14ac:dyDescent="0.25">
      <c r="A15059">
        <v>15058</v>
      </c>
      <c r="B15059">
        <v>41</v>
      </c>
      <c r="C15059">
        <v>0</v>
      </c>
      <c r="D15059">
        <v>0</v>
      </c>
      <c r="E15059">
        <v>0</v>
      </c>
      <c r="F15059">
        <v>1</v>
      </c>
    </row>
    <row r="15060" spans="1:6" x14ac:dyDescent="0.25">
      <c r="A15060">
        <v>15059</v>
      </c>
      <c r="B15060">
        <v>42</v>
      </c>
      <c r="C15060">
        <v>0</v>
      </c>
      <c r="D15060">
        <v>0</v>
      </c>
      <c r="E15060">
        <v>0</v>
      </c>
      <c r="F15060">
        <v>0.2</v>
      </c>
    </row>
    <row r="15061" spans="1:6" x14ac:dyDescent="0.25">
      <c r="A15061">
        <v>15060</v>
      </c>
      <c r="B15061">
        <v>43</v>
      </c>
      <c r="C15061">
        <v>0</v>
      </c>
      <c r="D15061">
        <v>0</v>
      </c>
      <c r="E15061">
        <v>0</v>
      </c>
      <c r="F15061">
        <v>0</v>
      </c>
    </row>
    <row r="15062" spans="1:6" x14ac:dyDescent="0.25">
      <c r="A15062">
        <v>15061</v>
      </c>
      <c r="B15062">
        <v>44</v>
      </c>
      <c r="C15062">
        <v>0</v>
      </c>
      <c r="D15062">
        <v>0</v>
      </c>
      <c r="E15062">
        <v>0</v>
      </c>
      <c r="F15062">
        <v>31.406400000000001</v>
      </c>
    </row>
    <row r="15063" spans="1:6" x14ac:dyDescent="0.25">
      <c r="A15063">
        <v>15062</v>
      </c>
      <c r="B15063">
        <v>45</v>
      </c>
      <c r="C15063">
        <v>0</v>
      </c>
      <c r="D15063">
        <v>0</v>
      </c>
      <c r="E15063">
        <v>0</v>
      </c>
      <c r="F15063">
        <v>519.50900000000001</v>
      </c>
    </row>
    <row r="15064" spans="1:6" x14ac:dyDescent="0.25">
      <c r="A15064">
        <v>15063</v>
      </c>
      <c r="B15064">
        <v>46</v>
      </c>
      <c r="C15064">
        <v>0</v>
      </c>
      <c r="D15064">
        <v>0</v>
      </c>
      <c r="E15064">
        <v>0</v>
      </c>
      <c r="F15064">
        <v>0</v>
      </c>
    </row>
    <row r="15065" spans="1:6" x14ac:dyDescent="0.25">
      <c r="A15065">
        <v>15064</v>
      </c>
      <c r="B15065">
        <v>2</v>
      </c>
      <c r="C15065">
        <v>0</v>
      </c>
      <c r="D15065">
        <v>0</v>
      </c>
      <c r="E15065">
        <v>0</v>
      </c>
      <c r="F15065">
        <v>242.46600000000001</v>
      </c>
    </row>
    <row r="15066" spans="1:6" x14ac:dyDescent="0.25">
      <c r="A15066">
        <v>15065</v>
      </c>
      <c r="B15066">
        <v>10</v>
      </c>
      <c r="C15066">
        <v>1</v>
      </c>
      <c r="D15066">
        <v>0</v>
      </c>
      <c r="E15066">
        <v>0</v>
      </c>
      <c r="F15066">
        <v>5218</v>
      </c>
    </row>
    <row r="15067" spans="1:6" x14ac:dyDescent="0.25">
      <c r="A15067">
        <v>15066</v>
      </c>
      <c r="B15067">
        <v>13</v>
      </c>
      <c r="C15067">
        <v>0</v>
      </c>
      <c r="D15067">
        <v>0</v>
      </c>
      <c r="E15067">
        <v>0</v>
      </c>
      <c r="F15067">
        <v>1614</v>
      </c>
    </row>
    <row r="15068" spans="1:6" x14ac:dyDescent="0.25">
      <c r="A15068">
        <v>15067</v>
      </c>
      <c r="B15068">
        <v>41</v>
      </c>
      <c r="C15068">
        <v>0</v>
      </c>
      <c r="D15068">
        <v>0</v>
      </c>
      <c r="E15068">
        <v>0</v>
      </c>
      <c r="F15068">
        <v>1</v>
      </c>
    </row>
    <row r="15069" spans="1:6" x14ac:dyDescent="0.25">
      <c r="A15069">
        <v>15068</v>
      </c>
      <c r="B15069">
        <v>42</v>
      </c>
      <c r="C15069">
        <v>0</v>
      </c>
      <c r="D15069">
        <v>0</v>
      </c>
      <c r="E15069">
        <v>0</v>
      </c>
      <c r="F15069">
        <v>0.2</v>
      </c>
    </row>
    <row r="15070" spans="1:6" x14ac:dyDescent="0.25">
      <c r="A15070">
        <v>15069</v>
      </c>
      <c r="B15070" t="s">
        <v>0</v>
      </c>
      <c r="C15070">
        <v>13</v>
      </c>
      <c r="D15070">
        <v>3506</v>
      </c>
      <c r="E15070">
        <v>80633384</v>
      </c>
    </row>
    <row r="15071" spans="1:6" x14ac:dyDescent="0.25">
      <c r="A15071">
        <v>15070</v>
      </c>
      <c r="B15071">
        <v>43</v>
      </c>
      <c r="C15071">
        <v>0</v>
      </c>
      <c r="D15071">
        <v>0</v>
      </c>
      <c r="E15071">
        <v>0</v>
      </c>
      <c r="F15071">
        <v>0</v>
      </c>
    </row>
    <row r="15072" spans="1:6" x14ac:dyDescent="0.25">
      <c r="A15072">
        <v>15071</v>
      </c>
      <c r="B15072">
        <v>44</v>
      </c>
      <c r="C15072">
        <v>0</v>
      </c>
      <c r="D15072">
        <v>0</v>
      </c>
      <c r="E15072">
        <v>0</v>
      </c>
      <c r="F15072">
        <v>31.5307</v>
      </c>
    </row>
    <row r="15073" spans="1:6" x14ac:dyDescent="0.25">
      <c r="A15073">
        <v>15072</v>
      </c>
      <c r="B15073" t="s">
        <v>0</v>
      </c>
      <c r="C15073">
        <v>14</v>
      </c>
      <c r="D15073">
        <v>3506</v>
      </c>
      <c r="E15073">
        <v>80633521</v>
      </c>
    </row>
    <row r="15074" spans="1:6" x14ac:dyDescent="0.25">
      <c r="A15074">
        <v>15073</v>
      </c>
      <c r="B15074">
        <v>45</v>
      </c>
      <c r="C15074">
        <v>0</v>
      </c>
      <c r="D15074">
        <v>0</v>
      </c>
      <c r="E15074">
        <v>0</v>
      </c>
      <c r="F15074">
        <v>519.55200000000002</v>
      </c>
    </row>
    <row r="15075" spans="1:6" x14ac:dyDescent="0.25">
      <c r="A15075">
        <v>15074</v>
      </c>
      <c r="B15075">
        <v>46</v>
      </c>
      <c r="C15075">
        <v>0</v>
      </c>
      <c r="D15075">
        <v>0</v>
      </c>
      <c r="E15075">
        <v>0</v>
      </c>
      <c r="F15075">
        <v>0</v>
      </c>
    </row>
    <row r="15076" spans="1:6" x14ac:dyDescent="0.25">
      <c r="A15076">
        <v>15075</v>
      </c>
      <c r="B15076" t="s">
        <v>0</v>
      </c>
      <c r="C15076">
        <v>15</v>
      </c>
      <c r="D15076">
        <v>3506</v>
      </c>
      <c r="E15076">
        <v>80633658</v>
      </c>
    </row>
    <row r="15077" spans="1:6" x14ac:dyDescent="0.25">
      <c r="A15077">
        <v>15076</v>
      </c>
      <c r="B15077">
        <v>2</v>
      </c>
      <c r="C15077">
        <v>0</v>
      </c>
      <c r="D15077">
        <v>0</v>
      </c>
      <c r="E15077">
        <v>0</v>
      </c>
      <c r="F15077">
        <v>242.46700000000001</v>
      </c>
    </row>
    <row r="15078" spans="1:6" x14ac:dyDescent="0.25">
      <c r="A15078">
        <v>15077</v>
      </c>
      <c r="B15078">
        <v>10</v>
      </c>
      <c r="C15078">
        <v>1</v>
      </c>
      <c r="D15078">
        <v>0</v>
      </c>
      <c r="E15078">
        <v>0</v>
      </c>
      <c r="F15078">
        <v>5219</v>
      </c>
    </row>
    <row r="15079" spans="1:6" x14ac:dyDescent="0.25">
      <c r="A15079">
        <v>15078</v>
      </c>
      <c r="B15079" t="s">
        <v>0</v>
      </c>
      <c r="C15079">
        <v>16</v>
      </c>
      <c r="D15079">
        <v>3506</v>
      </c>
      <c r="E15079">
        <v>80633795</v>
      </c>
    </row>
    <row r="15080" spans="1:6" x14ac:dyDescent="0.25">
      <c r="A15080">
        <v>15079</v>
      </c>
      <c r="B15080">
        <v>13</v>
      </c>
      <c r="C15080">
        <v>0</v>
      </c>
      <c r="D15080">
        <v>0</v>
      </c>
      <c r="E15080">
        <v>0</v>
      </c>
      <c r="F15080">
        <v>1614</v>
      </c>
    </row>
    <row r="15081" spans="1:6" x14ac:dyDescent="0.25">
      <c r="A15081">
        <v>15080</v>
      </c>
      <c r="B15081">
        <v>41</v>
      </c>
      <c r="C15081">
        <v>0</v>
      </c>
      <c r="D15081">
        <v>0</v>
      </c>
      <c r="E15081">
        <v>0</v>
      </c>
      <c r="F15081">
        <v>1</v>
      </c>
    </row>
    <row r="15082" spans="1:6" x14ac:dyDescent="0.25">
      <c r="A15082">
        <v>15081</v>
      </c>
      <c r="B15082" t="s">
        <v>0</v>
      </c>
      <c r="C15082">
        <v>17</v>
      </c>
      <c r="D15082">
        <v>3506</v>
      </c>
      <c r="E15082">
        <v>80633932</v>
      </c>
    </row>
    <row r="15083" spans="1:6" x14ac:dyDescent="0.25">
      <c r="A15083">
        <v>15082</v>
      </c>
      <c r="B15083">
        <v>42</v>
      </c>
      <c r="C15083">
        <v>0</v>
      </c>
      <c r="D15083">
        <v>0</v>
      </c>
      <c r="E15083">
        <v>0</v>
      </c>
      <c r="F15083">
        <v>0.2</v>
      </c>
    </row>
    <row r="15084" spans="1:6" x14ac:dyDescent="0.25">
      <c r="A15084">
        <v>15083</v>
      </c>
      <c r="B15084">
        <v>43</v>
      </c>
      <c r="C15084">
        <v>0</v>
      </c>
      <c r="D15084">
        <v>0</v>
      </c>
      <c r="E15084">
        <v>0</v>
      </c>
      <c r="F15084">
        <v>0</v>
      </c>
    </row>
    <row r="15085" spans="1:6" x14ac:dyDescent="0.25">
      <c r="A15085">
        <v>15084</v>
      </c>
      <c r="B15085" t="s">
        <v>0</v>
      </c>
      <c r="C15085">
        <v>18</v>
      </c>
      <c r="D15085">
        <v>3506</v>
      </c>
      <c r="E15085">
        <v>80634069</v>
      </c>
    </row>
    <row r="15086" spans="1:6" x14ac:dyDescent="0.25">
      <c r="A15086">
        <v>15085</v>
      </c>
      <c r="B15086">
        <v>45</v>
      </c>
      <c r="C15086">
        <v>0</v>
      </c>
      <c r="D15086">
        <v>0</v>
      </c>
      <c r="E15086">
        <v>0</v>
      </c>
      <c r="F15086">
        <v>519.58699999999999</v>
      </c>
    </row>
    <row r="15087" spans="1:6" x14ac:dyDescent="0.25">
      <c r="A15087">
        <v>15086</v>
      </c>
      <c r="B15087" t="s">
        <v>0</v>
      </c>
      <c r="C15087">
        <v>19</v>
      </c>
      <c r="D15087">
        <v>3506</v>
      </c>
      <c r="E15087">
        <v>80634205</v>
      </c>
    </row>
    <row r="15088" spans="1:6" x14ac:dyDescent="0.25">
      <c r="A15088">
        <v>15087</v>
      </c>
      <c r="B15088">
        <v>2</v>
      </c>
      <c r="C15088">
        <v>0</v>
      </c>
      <c r="D15088">
        <v>0</v>
      </c>
      <c r="E15088">
        <v>0</v>
      </c>
      <c r="F15088">
        <v>242.46199999999999</v>
      </c>
    </row>
    <row r="15089" spans="1:6" x14ac:dyDescent="0.25">
      <c r="A15089">
        <v>15088</v>
      </c>
      <c r="B15089" t="s">
        <v>0</v>
      </c>
      <c r="C15089">
        <v>20</v>
      </c>
      <c r="D15089">
        <v>3506</v>
      </c>
      <c r="E15089">
        <v>80634342</v>
      </c>
    </row>
    <row r="15090" spans="1:6" x14ac:dyDescent="0.25">
      <c r="A15090">
        <v>15089</v>
      </c>
      <c r="B15090">
        <v>13</v>
      </c>
      <c r="C15090">
        <v>0</v>
      </c>
      <c r="D15090">
        <v>0</v>
      </c>
      <c r="E15090">
        <v>0</v>
      </c>
      <c r="F15090">
        <v>1614</v>
      </c>
    </row>
    <row r="15091" spans="1:6" x14ac:dyDescent="0.25">
      <c r="A15091">
        <v>15090</v>
      </c>
      <c r="B15091" t="s">
        <v>0</v>
      </c>
      <c r="C15091">
        <v>21</v>
      </c>
      <c r="D15091">
        <v>3506</v>
      </c>
      <c r="E15091">
        <v>80634479</v>
      </c>
    </row>
    <row r="15092" spans="1:6" x14ac:dyDescent="0.25">
      <c r="A15092">
        <v>15091</v>
      </c>
      <c r="B15092">
        <v>42</v>
      </c>
      <c r="C15092">
        <v>0</v>
      </c>
      <c r="D15092">
        <v>0</v>
      </c>
      <c r="E15092">
        <v>0</v>
      </c>
      <c r="F15092">
        <v>0.2</v>
      </c>
    </row>
    <row r="15093" spans="1:6" x14ac:dyDescent="0.25">
      <c r="A15093">
        <v>15092</v>
      </c>
      <c r="B15093" t="s">
        <v>0</v>
      </c>
      <c r="C15093">
        <v>22</v>
      </c>
      <c r="D15093">
        <v>3506</v>
      </c>
      <c r="E15093">
        <v>80634616</v>
      </c>
    </row>
    <row r="15094" spans="1:6" x14ac:dyDescent="0.25">
      <c r="A15094">
        <v>15093</v>
      </c>
      <c r="B15094">
        <v>44</v>
      </c>
      <c r="C15094">
        <v>0</v>
      </c>
      <c r="D15094">
        <v>0</v>
      </c>
      <c r="E15094">
        <v>0</v>
      </c>
      <c r="F15094">
        <v>31.854299999999999</v>
      </c>
    </row>
    <row r="15095" spans="1:6" x14ac:dyDescent="0.25">
      <c r="A15095">
        <v>15094</v>
      </c>
      <c r="B15095" t="s">
        <v>0</v>
      </c>
      <c r="C15095">
        <v>23</v>
      </c>
      <c r="D15095">
        <v>3506</v>
      </c>
      <c r="E15095">
        <v>80634753</v>
      </c>
    </row>
    <row r="15096" spans="1:6" x14ac:dyDescent="0.25">
      <c r="A15096">
        <v>15095</v>
      </c>
      <c r="B15096">
        <v>46</v>
      </c>
      <c r="C15096">
        <v>0</v>
      </c>
      <c r="D15096">
        <v>0</v>
      </c>
      <c r="E15096">
        <v>0</v>
      </c>
      <c r="F15096">
        <v>0</v>
      </c>
    </row>
    <row r="15097" spans="1:6" x14ac:dyDescent="0.25">
      <c r="A15097">
        <v>15096</v>
      </c>
      <c r="B15097" t="s">
        <v>0</v>
      </c>
      <c r="C15097">
        <v>24</v>
      </c>
      <c r="D15097">
        <v>3506</v>
      </c>
      <c r="E15097">
        <v>80634890</v>
      </c>
    </row>
    <row r="15098" spans="1:6" x14ac:dyDescent="0.25">
      <c r="A15098">
        <v>15097</v>
      </c>
      <c r="B15098">
        <v>10</v>
      </c>
      <c r="C15098">
        <v>1</v>
      </c>
      <c r="D15098">
        <v>0</v>
      </c>
      <c r="E15098">
        <v>0</v>
      </c>
      <c r="F15098">
        <v>5221</v>
      </c>
    </row>
    <row r="15099" spans="1:6" x14ac:dyDescent="0.25">
      <c r="A15099">
        <v>15098</v>
      </c>
      <c r="B15099">
        <v>13</v>
      </c>
      <c r="C15099">
        <v>0</v>
      </c>
      <c r="D15099">
        <v>0</v>
      </c>
      <c r="E15099">
        <v>0</v>
      </c>
      <c r="F15099">
        <v>1614</v>
      </c>
    </row>
    <row r="15100" spans="1:6" x14ac:dyDescent="0.25">
      <c r="A15100">
        <v>15099</v>
      </c>
      <c r="B15100">
        <v>41</v>
      </c>
      <c r="C15100">
        <v>0</v>
      </c>
      <c r="D15100">
        <v>0</v>
      </c>
      <c r="E15100">
        <v>0</v>
      </c>
      <c r="F15100">
        <v>1</v>
      </c>
    </row>
    <row r="15101" spans="1:6" x14ac:dyDescent="0.25">
      <c r="A15101">
        <v>15100</v>
      </c>
      <c r="B15101">
        <v>42</v>
      </c>
      <c r="C15101">
        <v>0</v>
      </c>
      <c r="D15101">
        <v>0</v>
      </c>
      <c r="E15101">
        <v>0</v>
      </c>
      <c r="F15101">
        <v>0.2</v>
      </c>
    </row>
    <row r="15102" spans="1:6" x14ac:dyDescent="0.25">
      <c r="A15102">
        <v>15101</v>
      </c>
      <c r="B15102">
        <v>43</v>
      </c>
      <c r="C15102">
        <v>0</v>
      </c>
      <c r="D15102">
        <v>0</v>
      </c>
      <c r="E15102">
        <v>0</v>
      </c>
      <c r="F15102">
        <v>0</v>
      </c>
    </row>
    <row r="15103" spans="1:6" x14ac:dyDescent="0.25">
      <c r="A15103">
        <v>15102</v>
      </c>
      <c r="B15103">
        <v>44</v>
      </c>
      <c r="C15103">
        <v>0</v>
      </c>
      <c r="D15103">
        <v>0</v>
      </c>
      <c r="E15103">
        <v>0</v>
      </c>
      <c r="F15103">
        <v>31.978999999999999</v>
      </c>
    </row>
    <row r="15104" spans="1:6" x14ac:dyDescent="0.25">
      <c r="A15104">
        <v>15103</v>
      </c>
      <c r="B15104">
        <v>45</v>
      </c>
      <c r="C15104">
        <v>0</v>
      </c>
      <c r="D15104">
        <v>0</v>
      </c>
      <c r="E15104">
        <v>0</v>
      </c>
      <c r="F15104">
        <v>519.66600000000005</v>
      </c>
    </row>
    <row r="15105" spans="1:6" x14ac:dyDescent="0.25">
      <c r="A15105">
        <v>15104</v>
      </c>
      <c r="B15105">
        <v>46</v>
      </c>
      <c r="C15105">
        <v>0</v>
      </c>
      <c r="D15105">
        <v>0</v>
      </c>
      <c r="E15105">
        <v>0</v>
      </c>
      <c r="F15105">
        <v>0</v>
      </c>
    </row>
    <row r="15106" spans="1:6" x14ac:dyDescent="0.25">
      <c r="A15106">
        <v>15105</v>
      </c>
      <c r="B15106">
        <v>2</v>
      </c>
      <c r="C15106">
        <v>0</v>
      </c>
      <c r="D15106">
        <v>0</v>
      </c>
      <c r="E15106">
        <v>0</v>
      </c>
      <c r="F15106">
        <v>242.46899999999999</v>
      </c>
    </row>
    <row r="15107" spans="1:6" x14ac:dyDescent="0.25">
      <c r="A15107">
        <v>15106</v>
      </c>
      <c r="B15107">
        <v>10</v>
      </c>
      <c r="C15107">
        <v>1</v>
      </c>
      <c r="D15107">
        <v>0</v>
      </c>
      <c r="E15107">
        <v>0</v>
      </c>
      <c r="F15107">
        <v>5222</v>
      </c>
    </row>
    <row r="15108" spans="1:6" x14ac:dyDescent="0.25">
      <c r="A15108">
        <v>15107</v>
      </c>
      <c r="B15108">
        <v>13</v>
      </c>
      <c r="C15108">
        <v>0</v>
      </c>
      <c r="D15108">
        <v>0</v>
      </c>
      <c r="E15108">
        <v>0</v>
      </c>
      <c r="F15108">
        <v>1614</v>
      </c>
    </row>
    <row r="15109" spans="1:6" x14ac:dyDescent="0.25">
      <c r="A15109">
        <v>15108</v>
      </c>
      <c r="B15109">
        <v>41</v>
      </c>
      <c r="C15109">
        <v>0</v>
      </c>
      <c r="D15109">
        <v>0</v>
      </c>
      <c r="E15109">
        <v>0</v>
      </c>
      <c r="F15109">
        <v>1</v>
      </c>
    </row>
    <row r="15110" spans="1:6" x14ac:dyDescent="0.25">
      <c r="A15110">
        <v>15109</v>
      </c>
      <c r="B15110">
        <v>42</v>
      </c>
      <c r="C15110">
        <v>0</v>
      </c>
      <c r="D15110">
        <v>0</v>
      </c>
      <c r="E15110">
        <v>0</v>
      </c>
      <c r="F15110">
        <v>0.2</v>
      </c>
    </row>
    <row r="15111" spans="1:6" x14ac:dyDescent="0.25">
      <c r="A15111">
        <v>15110</v>
      </c>
      <c r="B15111">
        <v>43</v>
      </c>
      <c r="C15111">
        <v>0</v>
      </c>
      <c r="D15111">
        <v>0</v>
      </c>
      <c r="E15111">
        <v>0</v>
      </c>
      <c r="F15111">
        <v>0</v>
      </c>
    </row>
    <row r="15112" spans="1:6" x14ac:dyDescent="0.25">
      <c r="A15112">
        <v>15111</v>
      </c>
      <c r="B15112" t="s">
        <v>0</v>
      </c>
      <c r="C15112">
        <v>31</v>
      </c>
      <c r="D15112">
        <v>3506</v>
      </c>
      <c r="E15112">
        <v>80635849</v>
      </c>
    </row>
    <row r="15113" spans="1:6" x14ac:dyDescent="0.25">
      <c r="A15113">
        <v>15112</v>
      </c>
      <c r="B15113">
        <v>44</v>
      </c>
      <c r="C15113">
        <v>0</v>
      </c>
      <c r="D15113">
        <v>0</v>
      </c>
      <c r="E15113">
        <v>0</v>
      </c>
      <c r="F15113">
        <v>32.153700000000001</v>
      </c>
    </row>
    <row r="15114" spans="1:6" x14ac:dyDescent="0.25">
      <c r="A15114">
        <v>15113</v>
      </c>
      <c r="B15114">
        <v>45</v>
      </c>
      <c r="C15114">
        <v>0</v>
      </c>
      <c r="D15114">
        <v>0</v>
      </c>
      <c r="E15114">
        <v>0</v>
      </c>
      <c r="F15114">
        <v>519.70100000000002</v>
      </c>
    </row>
    <row r="15115" spans="1:6" x14ac:dyDescent="0.25">
      <c r="A15115">
        <v>15114</v>
      </c>
      <c r="B15115" t="s">
        <v>0</v>
      </c>
      <c r="C15115">
        <v>32</v>
      </c>
      <c r="D15115">
        <v>3506</v>
      </c>
      <c r="E15115">
        <v>80635986</v>
      </c>
    </row>
    <row r="15116" spans="1:6" x14ac:dyDescent="0.25">
      <c r="A15116">
        <v>15115</v>
      </c>
      <c r="B15116">
        <v>46</v>
      </c>
      <c r="C15116">
        <v>0</v>
      </c>
      <c r="D15116">
        <v>0</v>
      </c>
      <c r="E15116">
        <v>0</v>
      </c>
      <c r="F15116">
        <v>0</v>
      </c>
    </row>
    <row r="15117" spans="1:6" x14ac:dyDescent="0.25">
      <c r="A15117">
        <v>15116</v>
      </c>
      <c r="B15117">
        <v>2</v>
      </c>
      <c r="C15117">
        <v>0</v>
      </c>
      <c r="D15117">
        <v>0</v>
      </c>
      <c r="E15117">
        <v>0</v>
      </c>
      <c r="F15117">
        <v>242.46899999999999</v>
      </c>
    </row>
    <row r="15118" spans="1:6" x14ac:dyDescent="0.25">
      <c r="A15118">
        <v>15117</v>
      </c>
      <c r="B15118" t="s">
        <v>0</v>
      </c>
      <c r="C15118">
        <v>33</v>
      </c>
      <c r="D15118">
        <v>3506</v>
      </c>
      <c r="E15118">
        <v>80636123</v>
      </c>
    </row>
    <row r="15119" spans="1:6" x14ac:dyDescent="0.25">
      <c r="A15119">
        <v>15118</v>
      </c>
      <c r="B15119">
        <v>10</v>
      </c>
      <c r="C15119">
        <v>1</v>
      </c>
      <c r="D15119">
        <v>0</v>
      </c>
      <c r="E15119">
        <v>0</v>
      </c>
      <c r="F15119">
        <v>5223</v>
      </c>
    </row>
    <row r="15120" spans="1:6" x14ac:dyDescent="0.25">
      <c r="A15120">
        <v>15119</v>
      </c>
      <c r="B15120">
        <v>13</v>
      </c>
      <c r="C15120">
        <v>0</v>
      </c>
      <c r="D15120">
        <v>0</v>
      </c>
      <c r="E15120">
        <v>0</v>
      </c>
      <c r="F15120">
        <v>1614</v>
      </c>
    </row>
    <row r="15121" spans="1:6" x14ac:dyDescent="0.25">
      <c r="A15121">
        <v>15120</v>
      </c>
      <c r="B15121" t="s">
        <v>0</v>
      </c>
      <c r="C15121">
        <v>34</v>
      </c>
      <c r="D15121">
        <v>3506</v>
      </c>
      <c r="E15121">
        <v>80636260</v>
      </c>
    </row>
    <row r="15122" spans="1:6" x14ac:dyDescent="0.25">
      <c r="A15122">
        <v>15121</v>
      </c>
      <c r="B15122">
        <v>41</v>
      </c>
      <c r="C15122">
        <v>0</v>
      </c>
      <c r="D15122">
        <v>0</v>
      </c>
      <c r="E15122">
        <v>0</v>
      </c>
      <c r="F15122">
        <v>1</v>
      </c>
    </row>
    <row r="15123" spans="1:6" x14ac:dyDescent="0.25">
      <c r="A15123">
        <v>15122</v>
      </c>
      <c r="B15123">
        <v>42</v>
      </c>
      <c r="C15123">
        <v>0</v>
      </c>
      <c r="D15123">
        <v>0</v>
      </c>
      <c r="E15123">
        <v>0</v>
      </c>
      <c r="F15123">
        <v>0.2</v>
      </c>
    </row>
    <row r="15124" spans="1:6" x14ac:dyDescent="0.25">
      <c r="A15124">
        <v>15123</v>
      </c>
      <c r="B15124" t="s">
        <v>0</v>
      </c>
      <c r="C15124">
        <v>35</v>
      </c>
      <c r="D15124">
        <v>3506</v>
      </c>
      <c r="E15124">
        <v>80636397</v>
      </c>
    </row>
    <row r="15125" spans="1:6" x14ac:dyDescent="0.25">
      <c r="A15125">
        <v>15124</v>
      </c>
      <c r="B15125">
        <v>43</v>
      </c>
      <c r="C15125">
        <v>0</v>
      </c>
      <c r="D15125">
        <v>0</v>
      </c>
      <c r="E15125">
        <v>0</v>
      </c>
      <c r="F15125">
        <v>0</v>
      </c>
    </row>
    <row r="15126" spans="1:6" x14ac:dyDescent="0.25">
      <c r="A15126">
        <v>15125</v>
      </c>
      <c r="B15126">
        <v>44</v>
      </c>
      <c r="C15126">
        <v>0</v>
      </c>
      <c r="D15126">
        <v>0</v>
      </c>
      <c r="E15126">
        <v>0</v>
      </c>
      <c r="F15126">
        <v>32.278399999999998</v>
      </c>
    </row>
    <row r="15127" spans="1:6" x14ac:dyDescent="0.25">
      <c r="A15127">
        <v>15126</v>
      </c>
      <c r="B15127" t="s">
        <v>0</v>
      </c>
      <c r="C15127">
        <v>36</v>
      </c>
      <c r="D15127">
        <v>3506</v>
      </c>
      <c r="E15127">
        <v>80636534</v>
      </c>
    </row>
    <row r="15128" spans="1:6" x14ac:dyDescent="0.25">
      <c r="A15128">
        <v>15127</v>
      </c>
      <c r="B15128">
        <v>46</v>
      </c>
      <c r="C15128">
        <v>0</v>
      </c>
      <c r="D15128">
        <v>0</v>
      </c>
      <c r="E15128">
        <v>0</v>
      </c>
      <c r="F15128">
        <v>0</v>
      </c>
    </row>
    <row r="15129" spans="1:6" x14ac:dyDescent="0.25">
      <c r="A15129">
        <v>15128</v>
      </c>
      <c r="B15129" t="s">
        <v>0</v>
      </c>
      <c r="C15129">
        <v>37</v>
      </c>
      <c r="D15129">
        <v>3506</v>
      </c>
      <c r="E15129">
        <v>80636671</v>
      </c>
    </row>
    <row r="15130" spans="1:6" x14ac:dyDescent="0.25">
      <c r="A15130">
        <v>15129</v>
      </c>
      <c r="B15130">
        <v>10</v>
      </c>
      <c r="C15130">
        <v>1</v>
      </c>
      <c r="D15130">
        <v>0</v>
      </c>
      <c r="E15130">
        <v>0</v>
      </c>
      <c r="F15130">
        <v>5224</v>
      </c>
    </row>
    <row r="15131" spans="1:6" x14ac:dyDescent="0.25">
      <c r="A15131">
        <v>15130</v>
      </c>
      <c r="B15131" t="s">
        <v>0</v>
      </c>
      <c r="C15131">
        <v>38</v>
      </c>
      <c r="D15131">
        <v>3506</v>
      </c>
      <c r="E15131">
        <v>80636808</v>
      </c>
    </row>
    <row r="15132" spans="1:6" x14ac:dyDescent="0.25">
      <c r="A15132">
        <v>15131</v>
      </c>
      <c r="B15132">
        <v>41</v>
      </c>
      <c r="C15132">
        <v>0</v>
      </c>
      <c r="D15132">
        <v>0</v>
      </c>
      <c r="E15132">
        <v>0</v>
      </c>
      <c r="F15132">
        <v>1</v>
      </c>
    </row>
    <row r="15133" spans="1:6" x14ac:dyDescent="0.25">
      <c r="A15133">
        <v>15132</v>
      </c>
      <c r="B15133" t="s">
        <v>0</v>
      </c>
      <c r="C15133">
        <v>39</v>
      </c>
      <c r="D15133">
        <v>3506</v>
      </c>
      <c r="E15133">
        <v>80636945</v>
      </c>
    </row>
    <row r="15134" spans="1:6" x14ac:dyDescent="0.25">
      <c r="A15134">
        <v>15133</v>
      </c>
      <c r="B15134">
        <v>43</v>
      </c>
      <c r="C15134">
        <v>0</v>
      </c>
      <c r="D15134">
        <v>0</v>
      </c>
      <c r="E15134">
        <v>0</v>
      </c>
      <c r="F15134">
        <v>0</v>
      </c>
    </row>
    <row r="15135" spans="1:6" x14ac:dyDescent="0.25">
      <c r="A15135">
        <v>15134</v>
      </c>
      <c r="B15135" t="s">
        <v>0</v>
      </c>
      <c r="C15135">
        <v>40</v>
      </c>
      <c r="D15135">
        <v>3506</v>
      </c>
      <c r="E15135">
        <v>80637082</v>
      </c>
    </row>
    <row r="15136" spans="1:6" x14ac:dyDescent="0.25">
      <c r="A15136">
        <v>15135</v>
      </c>
      <c r="B15136">
        <v>45</v>
      </c>
      <c r="C15136">
        <v>0</v>
      </c>
      <c r="D15136">
        <v>0</v>
      </c>
      <c r="E15136">
        <v>0</v>
      </c>
      <c r="F15136">
        <v>519.78099999999995</v>
      </c>
    </row>
    <row r="15137" spans="1:6" x14ac:dyDescent="0.25">
      <c r="A15137">
        <v>15136</v>
      </c>
      <c r="B15137" t="s">
        <v>0</v>
      </c>
      <c r="C15137">
        <v>41</v>
      </c>
      <c r="D15137">
        <v>3506</v>
      </c>
      <c r="E15137">
        <v>80637219</v>
      </c>
    </row>
    <row r="15138" spans="1:6" x14ac:dyDescent="0.25">
      <c r="A15138">
        <v>15137</v>
      </c>
      <c r="B15138">
        <v>46</v>
      </c>
      <c r="C15138">
        <v>0</v>
      </c>
      <c r="D15138">
        <v>0</v>
      </c>
      <c r="E15138">
        <v>0</v>
      </c>
      <c r="F15138">
        <v>0</v>
      </c>
    </row>
    <row r="15139" spans="1:6" x14ac:dyDescent="0.25">
      <c r="A15139">
        <v>15138</v>
      </c>
      <c r="B15139">
        <v>2</v>
      </c>
      <c r="C15139">
        <v>0</v>
      </c>
      <c r="D15139">
        <v>0</v>
      </c>
      <c r="E15139">
        <v>0</v>
      </c>
      <c r="F15139">
        <v>242.46899999999999</v>
      </c>
    </row>
    <row r="15140" spans="1:6" x14ac:dyDescent="0.25">
      <c r="A15140">
        <v>15139</v>
      </c>
      <c r="B15140">
        <v>10</v>
      </c>
      <c r="C15140">
        <v>1</v>
      </c>
      <c r="D15140">
        <v>0</v>
      </c>
      <c r="E15140">
        <v>0</v>
      </c>
      <c r="F15140">
        <v>5225</v>
      </c>
    </row>
    <row r="15141" spans="1:6" x14ac:dyDescent="0.25">
      <c r="A15141">
        <v>15140</v>
      </c>
      <c r="B15141">
        <v>13</v>
      </c>
      <c r="C15141">
        <v>0</v>
      </c>
      <c r="D15141">
        <v>0</v>
      </c>
      <c r="E15141">
        <v>0</v>
      </c>
      <c r="F15141">
        <v>1614</v>
      </c>
    </row>
    <row r="15142" spans="1:6" x14ac:dyDescent="0.25">
      <c r="A15142">
        <v>15141</v>
      </c>
      <c r="B15142">
        <v>41</v>
      </c>
      <c r="C15142">
        <v>0</v>
      </c>
      <c r="D15142">
        <v>0</v>
      </c>
      <c r="E15142">
        <v>0</v>
      </c>
      <c r="F15142">
        <v>1</v>
      </c>
    </row>
    <row r="15143" spans="1:6" x14ac:dyDescent="0.25">
      <c r="A15143">
        <v>15142</v>
      </c>
      <c r="B15143">
        <v>42</v>
      </c>
      <c r="C15143">
        <v>0</v>
      </c>
      <c r="D15143">
        <v>0</v>
      </c>
      <c r="E15143">
        <v>0</v>
      </c>
      <c r="F15143">
        <v>0.2</v>
      </c>
    </row>
    <row r="15144" spans="1:6" x14ac:dyDescent="0.25">
      <c r="A15144">
        <v>15143</v>
      </c>
      <c r="B15144">
        <v>43</v>
      </c>
      <c r="C15144">
        <v>0</v>
      </c>
      <c r="D15144">
        <v>0</v>
      </c>
      <c r="E15144">
        <v>0</v>
      </c>
      <c r="F15144">
        <v>0</v>
      </c>
    </row>
    <row r="15145" spans="1:6" x14ac:dyDescent="0.25">
      <c r="A15145">
        <v>15144</v>
      </c>
      <c r="B15145">
        <v>44</v>
      </c>
      <c r="C15145">
        <v>0</v>
      </c>
      <c r="D15145">
        <v>0</v>
      </c>
      <c r="E15145">
        <v>0</v>
      </c>
      <c r="F15145">
        <v>32.602800000000002</v>
      </c>
    </row>
    <row r="15146" spans="1:6" x14ac:dyDescent="0.25">
      <c r="A15146">
        <v>15145</v>
      </c>
      <c r="B15146">
        <v>45</v>
      </c>
      <c r="C15146">
        <v>0</v>
      </c>
      <c r="D15146">
        <v>0</v>
      </c>
      <c r="E15146">
        <v>0</v>
      </c>
      <c r="F15146">
        <v>519.82600000000002</v>
      </c>
    </row>
    <row r="15147" spans="1:6" x14ac:dyDescent="0.25">
      <c r="A15147">
        <v>15146</v>
      </c>
      <c r="B15147">
        <v>46</v>
      </c>
      <c r="C15147">
        <v>0</v>
      </c>
      <c r="D15147">
        <v>0</v>
      </c>
      <c r="E15147">
        <v>0</v>
      </c>
      <c r="F15147">
        <v>0</v>
      </c>
    </row>
    <row r="15148" spans="1:6" x14ac:dyDescent="0.25">
      <c r="A15148">
        <v>15147</v>
      </c>
      <c r="B15148">
        <v>2</v>
      </c>
      <c r="C15148">
        <v>0</v>
      </c>
      <c r="D15148">
        <v>0</v>
      </c>
      <c r="E15148">
        <v>0</v>
      </c>
      <c r="F15148">
        <v>242.47</v>
      </c>
    </row>
    <row r="15149" spans="1:6" x14ac:dyDescent="0.25">
      <c r="A15149">
        <v>15148</v>
      </c>
      <c r="B15149">
        <v>10</v>
      </c>
      <c r="C15149">
        <v>1</v>
      </c>
      <c r="D15149">
        <v>0</v>
      </c>
      <c r="E15149">
        <v>0</v>
      </c>
      <c r="F15149">
        <v>5226</v>
      </c>
    </row>
    <row r="15150" spans="1:6" x14ac:dyDescent="0.25">
      <c r="A15150">
        <v>15149</v>
      </c>
      <c r="B15150">
        <v>13</v>
      </c>
      <c r="C15150">
        <v>0</v>
      </c>
      <c r="D15150">
        <v>0</v>
      </c>
      <c r="E15150">
        <v>0</v>
      </c>
      <c r="F15150">
        <v>1614</v>
      </c>
    </row>
    <row r="15151" spans="1:6" x14ac:dyDescent="0.25">
      <c r="A15151">
        <v>15150</v>
      </c>
      <c r="B15151">
        <v>41</v>
      </c>
      <c r="C15151">
        <v>0</v>
      </c>
      <c r="D15151">
        <v>0</v>
      </c>
      <c r="E15151">
        <v>0</v>
      </c>
      <c r="F15151">
        <v>1</v>
      </c>
    </row>
    <row r="15152" spans="1:6" x14ac:dyDescent="0.25">
      <c r="A15152">
        <v>15151</v>
      </c>
      <c r="B15152" t="s">
        <v>0</v>
      </c>
      <c r="C15152">
        <v>48</v>
      </c>
      <c r="D15152">
        <v>3506</v>
      </c>
      <c r="E15152">
        <v>80638178</v>
      </c>
    </row>
    <row r="15153" spans="1:6" x14ac:dyDescent="0.25">
      <c r="A15153">
        <v>15152</v>
      </c>
      <c r="B15153">
        <v>42</v>
      </c>
      <c r="C15153">
        <v>0</v>
      </c>
      <c r="D15153">
        <v>0</v>
      </c>
      <c r="E15153">
        <v>0</v>
      </c>
      <c r="F15153">
        <v>0.2</v>
      </c>
    </row>
    <row r="15154" spans="1:6" x14ac:dyDescent="0.25">
      <c r="A15154">
        <v>15153</v>
      </c>
      <c r="B15154">
        <v>43</v>
      </c>
      <c r="C15154">
        <v>0</v>
      </c>
      <c r="D15154">
        <v>0</v>
      </c>
      <c r="E15154">
        <v>0</v>
      </c>
      <c r="F15154">
        <v>0</v>
      </c>
    </row>
    <row r="15155" spans="1:6" x14ac:dyDescent="0.25">
      <c r="A15155">
        <v>15154</v>
      </c>
      <c r="B15155" t="s">
        <v>0</v>
      </c>
      <c r="C15155">
        <v>49</v>
      </c>
      <c r="D15155">
        <v>3506</v>
      </c>
      <c r="E15155">
        <v>80638314</v>
      </c>
    </row>
    <row r="15156" spans="1:6" x14ac:dyDescent="0.25">
      <c r="A15156">
        <v>15155</v>
      </c>
      <c r="B15156">
        <v>44</v>
      </c>
      <c r="C15156">
        <v>0</v>
      </c>
      <c r="D15156">
        <v>0</v>
      </c>
      <c r="E15156">
        <v>0</v>
      </c>
      <c r="F15156">
        <v>32.777799999999999</v>
      </c>
    </row>
    <row r="15157" spans="1:6" x14ac:dyDescent="0.25">
      <c r="A15157">
        <v>15156</v>
      </c>
      <c r="B15157">
        <v>45</v>
      </c>
      <c r="C15157">
        <v>0</v>
      </c>
      <c r="D15157">
        <v>0</v>
      </c>
      <c r="E15157">
        <v>0</v>
      </c>
      <c r="F15157">
        <v>519.86199999999997</v>
      </c>
    </row>
    <row r="15158" spans="1:6" x14ac:dyDescent="0.25">
      <c r="A15158">
        <v>15157</v>
      </c>
      <c r="B15158" t="s">
        <v>0</v>
      </c>
      <c r="C15158">
        <v>50</v>
      </c>
      <c r="D15158">
        <v>3506</v>
      </c>
      <c r="E15158">
        <v>80638451</v>
      </c>
    </row>
    <row r="15159" spans="1:6" x14ac:dyDescent="0.25">
      <c r="A15159">
        <v>15158</v>
      </c>
      <c r="B15159">
        <v>46</v>
      </c>
      <c r="C15159">
        <v>0</v>
      </c>
      <c r="D15159">
        <v>0</v>
      </c>
      <c r="E15159">
        <v>0</v>
      </c>
      <c r="F15159">
        <v>0</v>
      </c>
    </row>
    <row r="15160" spans="1:6" x14ac:dyDescent="0.25">
      <c r="A15160">
        <v>15159</v>
      </c>
      <c r="B15160">
        <v>2</v>
      </c>
      <c r="C15160">
        <v>0</v>
      </c>
      <c r="D15160">
        <v>0</v>
      </c>
      <c r="E15160">
        <v>0</v>
      </c>
      <c r="F15160">
        <v>242.47</v>
      </c>
    </row>
    <row r="15161" spans="1:6" x14ac:dyDescent="0.25">
      <c r="A15161">
        <v>15160</v>
      </c>
      <c r="B15161" t="s">
        <v>0</v>
      </c>
      <c r="C15161">
        <v>51</v>
      </c>
      <c r="D15161">
        <v>3506</v>
      </c>
      <c r="E15161">
        <v>80638588</v>
      </c>
    </row>
    <row r="15162" spans="1:6" x14ac:dyDescent="0.25">
      <c r="A15162">
        <v>15161</v>
      </c>
      <c r="B15162">
        <v>10</v>
      </c>
      <c r="C15162">
        <v>1</v>
      </c>
      <c r="D15162">
        <v>0</v>
      </c>
      <c r="E15162">
        <v>0</v>
      </c>
      <c r="F15162">
        <v>5227</v>
      </c>
    </row>
    <row r="15163" spans="1:6" x14ac:dyDescent="0.25">
      <c r="A15163">
        <v>15162</v>
      </c>
      <c r="B15163">
        <v>13</v>
      </c>
      <c r="C15163">
        <v>0</v>
      </c>
      <c r="D15163">
        <v>0</v>
      </c>
      <c r="E15163">
        <v>0</v>
      </c>
      <c r="F15163">
        <v>1614</v>
      </c>
    </row>
    <row r="15164" spans="1:6" x14ac:dyDescent="0.25">
      <c r="A15164">
        <v>15163</v>
      </c>
      <c r="B15164" t="s">
        <v>0</v>
      </c>
      <c r="C15164">
        <v>52</v>
      </c>
      <c r="D15164">
        <v>3506</v>
      </c>
      <c r="E15164">
        <v>80638725</v>
      </c>
    </row>
    <row r="15165" spans="1:6" x14ac:dyDescent="0.25">
      <c r="A15165">
        <v>15164</v>
      </c>
      <c r="B15165">
        <v>41</v>
      </c>
      <c r="C15165">
        <v>0</v>
      </c>
      <c r="D15165">
        <v>0</v>
      </c>
      <c r="E15165">
        <v>0</v>
      </c>
      <c r="F15165">
        <v>1</v>
      </c>
    </row>
    <row r="15166" spans="1:6" x14ac:dyDescent="0.25">
      <c r="A15166">
        <v>15165</v>
      </c>
      <c r="B15166">
        <v>42</v>
      </c>
      <c r="C15166">
        <v>0</v>
      </c>
      <c r="D15166">
        <v>0</v>
      </c>
      <c r="E15166">
        <v>0</v>
      </c>
      <c r="F15166">
        <v>0.2</v>
      </c>
    </row>
    <row r="15167" spans="1:6" x14ac:dyDescent="0.25">
      <c r="A15167">
        <v>15166</v>
      </c>
      <c r="B15167" t="s">
        <v>0</v>
      </c>
      <c r="C15167">
        <v>53</v>
      </c>
      <c r="D15167">
        <v>3506</v>
      </c>
      <c r="E15167">
        <v>80638862</v>
      </c>
    </row>
    <row r="15168" spans="1:6" x14ac:dyDescent="0.25">
      <c r="A15168">
        <v>15167</v>
      </c>
      <c r="B15168">
        <v>44</v>
      </c>
      <c r="C15168">
        <v>0</v>
      </c>
      <c r="D15168">
        <v>0</v>
      </c>
      <c r="E15168">
        <v>0</v>
      </c>
      <c r="F15168">
        <v>32.9039</v>
      </c>
    </row>
    <row r="15169" spans="1:6" x14ac:dyDescent="0.25">
      <c r="A15169">
        <v>15168</v>
      </c>
      <c r="B15169" t="s">
        <v>0</v>
      </c>
      <c r="C15169">
        <v>54</v>
      </c>
      <c r="D15169">
        <v>3506</v>
      </c>
      <c r="E15169">
        <v>80638999</v>
      </c>
    </row>
    <row r="15170" spans="1:6" x14ac:dyDescent="0.25">
      <c r="A15170">
        <v>15169</v>
      </c>
      <c r="B15170">
        <v>46</v>
      </c>
      <c r="C15170">
        <v>0</v>
      </c>
      <c r="D15170">
        <v>0</v>
      </c>
      <c r="E15170">
        <v>0</v>
      </c>
      <c r="F15170">
        <v>0</v>
      </c>
    </row>
    <row r="15171" spans="1:6" x14ac:dyDescent="0.25">
      <c r="A15171">
        <v>15170</v>
      </c>
      <c r="B15171" t="s">
        <v>0</v>
      </c>
      <c r="C15171">
        <v>55</v>
      </c>
      <c r="D15171">
        <v>3506</v>
      </c>
      <c r="E15171">
        <v>80639136</v>
      </c>
    </row>
    <row r="15172" spans="1:6" x14ac:dyDescent="0.25">
      <c r="A15172">
        <v>15171</v>
      </c>
      <c r="B15172">
        <v>10</v>
      </c>
      <c r="C15172">
        <v>1</v>
      </c>
      <c r="D15172">
        <v>0</v>
      </c>
      <c r="E15172">
        <v>0</v>
      </c>
      <c r="F15172">
        <v>5229</v>
      </c>
    </row>
    <row r="15173" spans="1:6" x14ac:dyDescent="0.25">
      <c r="A15173">
        <v>15172</v>
      </c>
      <c r="B15173" t="s">
        <v>0</v>
      </c>
      <c r="C15173">
        <v>56</v>
      </c>
      <c r="D15173">
        <v>3506</v>
      </c>
      <c r="E15173">
        <v>80639273</v>
      </c>
    </row>
    <row r="15174" spans="1:6" x14ac:dyDescent="0.25">
      <c r="A15174">
        <v>15173</v>
      </c>
      <c r="B15174">
        <v>41</v>
      </c>
      <c r="C15174">
        <v>0</v>
      </c>
      <c r="D15174">
        <v>0</v>
      </c>
      <c r="E15174">
        <v>0</v>
      </c>
      <c r="F15174">
        <v>1</v>
      </c>
    </row>
    <row r="15175" spans="1:6" x14ac:dyDescent="0.25">
      <c r="A15175">
        <v>15174</v>
      </c>
      <c r="B15175" t="s">
        <v>0</v>
      </c>
      <c r="C15175">
        <v>57</v>
      </c>
      <c r="D15175">
        <v>3506</v>
      </c>
      <c r="E15175">
        <v>80639410</v>
      </c>
    </row>
    <row r="15176" spans="1:6" x14ac:dyDescent="0.25">
      <c r="A15176">
        <v>15175</v>
      </c>
      <c r="B15176">
        <v>43</v>
      </c>
      <c r="C15176">
        <v>0</v>
      </c>
      <c r="D15176">
        <v>0</v>
      </c>
      <c r="E15176">
        <v>0</v>
      </c>
      <c r="F15176">
        <v>0</v>
      </c>
    </row>
    <row r="15177" spans="1:6" x14ac:dyDescent="0.25">
      <c r="A15177">
        <v>15176</v>
      </c>
      <c r="B15177" t="s">
        <v>0</v>
      </c>
      <c r="C15177">
        <v>58</v>
      </c>
      <c r="D15177">
        <v>3506</v>
      </c>
      <c r="E15177">
        <v>80639547</v>
      </c>
    </row>
    <row r="15178" spans="1:6" x14ac:dyDescent="0.25">
      <c r="A15178">
        <v>15177</v>
      </c>
      <c r="B15178">
        <v>45</v>
      </c>
      <c r="C15178">
        <v>0</v>
      </c>
      <c r="D15178">
        <v>0</v>
      </c>
      <c r="E15178">
        <v>0</v>
      </c>
      <c r="F15178">
        <v>519.94299999999998</v>
      </c>
    </row>
    <row r="15179" spans="1:6" x14ac:dyDescent="0.25">
      <c r="A15179">
        <v>15178</v>
      </c>
      <c r="B15179">
        <v>46</v>
      </c>
      <c r="C15179">
        <v>0</v>
      </c>
      <c r="D15179">
        <v>0</v>
      </c>
      <c r="E15179">
        <v>0</v>
      </c>
      <c r="F15179">
        <v>0</v>
      </c>
    </row>
    <row r="15180" spans="1:6" x14ac:dyDescent="0.25">
      <c r="A15180">
        <v>15179</v>
      </c>
      <c r="B15180">
        <v>2</v>
      </c>
      <c r="C15180">
        <v>0</v>
      </c>
      <c r="D15180">
        <v>0</v>
      </c>
      <c r="E15180">
        <v>0</v>
      </c>
      <c r="F15180">
        <v>242.47</v>
      </c>
    </row>
    <row r="15181" spans="1:6" x14ac:dyDescent="0.25">
      <c r="A15181">
        <v>15180</v>
      </c>
      <c r="B15181">
        <v>10</v>
      </c>
      <c r="C15181">
        <v>1</v>
      </c>
      <c r="D15181">
        <v>0</v>
      </c>
      <c r="E15181">
        <v>0</v>
      </c>
      <c r="F15181">
        <v>5230</v>
      </c>
    </row>
    <row r="15182" spans="1:6" x14ac:dyDescent="0.25">
      <c r="A15182">
        <v>15181</v>
      </c>
      <c r="B15182">
        <v>13</v>
      </c>
      <c r="C15182">
        <v>0</v>
      </c>
      <c r="D15182">
        <v>0</v>
      </c>
      <c r="E15182">
        <v>0</v>
      </c>
      <c r="F15182">
        <v>1614</v>
      </c>
    </row>
    <row r="15183" spans="1:6" x14ac:dyDescent="0.25">
      <c r="A15183">
        <v>15182</v>
      </c>
      <c r="B15183">
        <v>41</v>
      </c>
      <c r="C15183">
        <v>0</v>
      </c>
      <c r="D15183">
        <v>0</v>
      </c>
      <c r="E15183">
        <v>0</v>
      </c>
      <c r="F15183">
        <v>1</v>
      </c>
    </row>
    <row r="15184" spans="1:6" x14ac:dyDescent="0.25">
      <c r="A15184">
        <v>15183</v>
      </c>
      <c r="B15184">
        <v>42</v>
      </c>
      <c r="C15184">
        <v>0</v>
      </c>
      <c r="D15184">
        <v>0</v>
      </c>
      <c r="E15184">
        <v>0</v>
      </c>
      <c r="F15184">
        <v>0.2</v>
      </c>
    </row>
    <row r="15185" spans="1:6" x14ac:dyDescent="0.25">
      <c r="A15185">
        <v>15184</v>
      </c>
      <c r="B15185">
        <v>43</v>
      </c>
      <c r="C15185">
        <v>0</v>
      </c>
      <c r="D15185">
        <v>0</v>
      </c>
      <c r="E15185">
        <v>0</v>
      </c>
      <c r="F15185">
        <v>0</v>
      </c>
    </row>
    <row r="15186" spans="1:6" x14ac:dyDescent="0.25">
      <c r="A15186">
        <v>15185</v>
      </c>
      <c r="B15186">
        <v>44</v>
      </c>
      <c r="C15186">
        <v>0</v>
      </c>
      <c r="D15186">
        <v>0</v>
      </c>
      <c r="E15186">
        <v>0</v>
      </c>
      <c r="F15186">
        <v>33.202100000000002</v>
      </c>
    </row>
    <row r="15187" spans="1:6" x14ac:dyDescent="0.25">
      <c r="A15187">
        <v>15186</v>
      </c>
      <c r="B15187">
        <v>45</v>
      </c>
      <c r="C15187">
        <v>0</v>
      </c>
      <c r="D15187">
        <v>0</v>
      </c>
      <c r="E15187">
        <v>0</v>
      </c>
      <c r="F15187">
        <v>519.98</v>
      </c>
    </row>
    <row r="15188" spans="1:6" x14ac:dyDescent="0.25">
      <c r="A15188">
        <v>15187</v>
      </c>
      <c r="B15188">
        <v>46</v>
      </c>
      <c r="C15188">
        <v>0</v>
      </c>
      <c r="D15188">
        <v>0</v>
      </c>
      <c r="E15188">
        <v>0</v>
      </c>
      <c r="F15188">
        <v>0</v>
      </c>
    </row>
    <row r="15189" spans="1:6" x14ac:dyDescent="0.25">
      <c r="A15189">
        <v>15188</v>
      </c>
      <c r="B15189">
        <v>2</v>
      </c>
      <c r="C15189">
        <v>0</v>
      </c>
      <c r="D15189">
        <v>0</v>
      </c>
      <c r="E15189">
        <v>0</v>
      </c>
      <c r="F15189">
        <v>242.47</v>
      </c>
    </row>
    <row r="15190" spans="1:6" x14ac:dyDescent="0.25">
      <c r="A15190">
        <v>15189</v>
      </c>
      <c r="B15190">
        <v>10</v>
      </c>
      <c r="C15190">
        <v>1</v>
      </c>
      <c r="D15190">
        <v>0</v>
      </c>
      <c r="E15190">
        <v>0</v>
      </c>
      <c r="F15190">
        <v>5231</v>
      </c>
    </row>
    <row r="15191" spans="1:6" x14ac:dyDescent="0.25">
      <c r="A15191">
        <v>15190</v>
      </c>
      <c r="B15191">
        <v>13</v>
      </c>
      <c r="C15191">
        <v>0</v>
      </c>
      <c r="D15191">
        <v>0</v>
      </c>
      <c r="E15191">
        <v>0</v>
      </c>
      <c r="F15191">
        <v>1614</v>
      </c>
    </row>
    <row r="15192" spans="1:6" x14ac:dyDescent="0.25">
      <c r="A15192">
        <v>15191</v>
      </c>
      <c r="B15192">
        <v>41</v>
      </c>
      <c r="C15192">
        <v>0</v>
      </c>
      <c r="D15192">
        <v>0</v>
      </c>
      <c r="E15192">
        <v>0</v>
      </c>
      <c r="F15192">
        <v>1</v>
      </c>
    </row>
    <row r="15193" spans="1:6" x14ac:dyDescent="0.25">
      <c r="A15193">
        <v>15192</v>
      </c>
      <c r="B15193">
        <v>42</v>
      </c>
      <c r="C15193">
        <v>0</v>
      </c>
      <c r="D15193">
        <v>0</v>
      </c>
      <c r="E15193">
        <v>0</v>
      </c>
      <c r="F15193">
        <v>0.2</v>
      </c>
    </row>
    <row r="15194" spans="1:6" x14ac:dyDescent="0.25">
      <c r="A15194">
        <v>15193</v>
      </c>
      <c r="B15194" t="s">
        <v>0</v>
      </c>
      <c r="C15194">
        <v>66</v>
      </c>
      <c r="D15194">
        <v>3506</v>
      </c>
      <c r="E15194">
        <v>80640642</v>
      </c>
    </row>
    <row r="15195" spans="1:6" x14ac:dyDescent="0.25">
      <c r="A15195">
        <v>15194</v>
      </c>
      <c r="B15195">
        <v>43</v>
      </c>
      <c r="C15195">
        <v>0</v>
      </c>
      <c r="D15195">
        <v>0</v>
      </c>
      <c r="E15195">
        <v>0</v>
      </c>
      <c r="F15195">
        <v>0</v>
      </c>
    </row>
    <row r="15196" spans="1:6" x14ac:dyDescent="0.25">
      <c r="A15196">
        <v>15195</v>
      </c>
      <c r="B15196">
        <v>44</v>
      </c>
      <c r="C15196">
        <v>0</v>
      </c>
      <c r="D15196">
        <v>0</v>
      </c>
      <c r="E15196">
        <v>0</v>
      </c>
      <c r="F15196">
        <v>33.3521</v>
      </c>
    </row>
    <row r="15197" spans="1:6" x14ac:dyDescent="0.25">
      <c r="A15197">
        <v>15196</v>
      </c>
      <c r="B15197" t="s">
        <v>0</v>
      </c>
      <c r="C15197">
        <v>67</v>
      </c>
      <c r="D15197">
        <v>3506</v>
      </c>
      <c r="E15197">
        <v>80640779</v>
      </c>
    </row>
    <row r="15198" spans="1:6" x14ac:dyDescent="0.25">
      <c r="A15198">
        <v>15197</v>
      </c>
      <c r="B15198">
        <v>45</v>
      </c>
      <c r="C15198">
        <v>0</v>
      </c>
      <c r="D15198">
        <v>0</v>
      </c>
      <c r="E15198">
        <v>0</v>
      </c>
      <c r="F15198">
        <v>520.02599999999995</v>
      </c>
    </row>
    <row r="15199" spans="1:6" x14ac:dyDescent="0.25">
      <c r="A15199">
        <v>15198</v>
      </c>
      <c r="B15199">
        <v>46</v>
      </c>
      <c r="C15199">
        <v>0</v>
      </c>
      <c r="D15199">
        <v>0</v>
      </c>
      <c r="E15199">
        <v>0</v>
      </c>
      <c r="F15199">
        <v>0</v>
      </c>
    </row>
    <row r="15200" spans="1:6" x14ac:dyDescent="0.25">
      <c r="A15200">
        <v>15199</v>
      </c>
      <c r="B15200" t="s">
        <v>0</v>
      </c>
      <c r="C15200">
        <v>68</v>
      </c>
      <c r="D15200">
        <v>3506</v>
      </c>
      <c r="E15200">
        <v>80640916</v>
      </c>
    </row>
    <row r="15201" spans="1:6" x14ac:dyDescent="0.25">
      <c r="A15201">
        <v>15200</v>
      </c>
      <c r="B15201">
        <v>2</v>
      </c>
      <c r="C15201">
        <v>0</v>
      </c>
      <c r="D15201">
        <v>0</v>
      </c>
      <c r="E15201">
        <v>0</v>
      </c>
      <c r="F15201">
        <v>242.47</v>
      </c>
    </row>
    <row r="15202" spans="1:6" x14ac:dyDescent="0.25">
      <c r="A15202">
        <v>15201</v>
      </c>
      <c r="B15202">
        <v>10</v>
      </c>
      <c r="C15202">
        <v>1</v>
      </c>
      <c r="D15202">
        <v>0</v>
      </c>
      <c r="E15202">
        <v>0</v>
      </c>
      <c r="F15202">
        <v>5232</v>
      </c>
    </row>
    <row r="15203" spans="1:6" x14ac:dyDescent="0.25">
      <c r="A15203">
        <v>15202</v>
      </c>
      <c r="B15203" t="s">
        <v>0</v>
      </c>
      <c r="C15203">
        <v>69</v>
      </c>
      <c r="D15203">
        <v>3506</v>
      </c>
      <c r="E15203">
        <v>80641053</v>
      </c>
    </row>
    <row r="15204" spans="1:6" x14ac:dyDescent="0.25">
      <c r="A15204">
        <v>15203</v>
      </c>
      <c r="B15204">
        <v>13</v>
      </c>
      <c r="C15204">
        <v>0</v>
      </c>
      <c r="D15204">
        <v>0</v>
      </c>
      <c r="E15204">
        <v>0</v>
      </c>
      <c r="F15204">
        <v>1614</v>
      </c>
    </row>
    <row r="15205" spans="1:6" x14ac:dyDescent="0.25">
      <c r="A15205">
        <v>15204</v>
      </c>
      <c r="B15205">
        <v>41</v>
      </c>
      <c r="C15205">
        <v>0</v>
      </c>
      <c r="D15205">
        <v>0</v>
      </c>
      <c r="E15205">
        <v>0</v>
      </c>
      <c r="F15205">
        <v>1</v>
      </c>
    </row>
    <row r="15206" spans="1:6" x14ac:dyDescent="0.25">
      <c r="A15206">
        <v>15205</v>
      </c>
      <c r="B15206" t="s">
        <v>0</v>
      </c>
      <c r="C15206">
        <v>70</v>
      </c>
      <c r="D15206">
        <v>3506</v>
      </c>
      <c r="E15206">
        <v>80641190</v>
      </c>
    </row>
    <row r="15207" spans="1:6" x14ac:dyDescent="0.25">
      <c r="A15207">
        <v>15206</v>
      </c>
      <c r="B15207">
        <v>42</v>
      </c>
      <c r="C15207">
        <v>0</v>
      </c>
      <c r="D15207">
        <v>0</v>
      </c>
      <c r="E15207">
        <v>0</v>
      </c>
      <c r="F15207">
        <v>0.2</v>
      </c>
    </row>
    <row r="15208" spans="1:6" x14ac:dyDescent="0.25">
      <c r="A15208">
        <v>15207</v>
      </c>
      <c r="B15208">
        <v>43</v>
      </c>
      <c r="C15208">
        <v>0</v>
      </c>
      <c r="D15208">
        <v>0</v>
      </c>
      <c r="E15208">
        <v>0</v>
      </c>
      <c r="F15208">
        <v>0</v>
      </c>
    </row>
    <row r="15209" spans="1:6" x14ac:dyDescent="0.25">
      <c r="A15209">
        <v>15208</v>
      </c>
      <c r="B15209" t="s">
        <v>0</v>
      </c>
      <c r="C15209">
        <v>71</v>
      </c>
      <c r="D15209">
        <v>3506</v>
      </c>
      <c r="E15209">
        <v>80641327</v>
      </c>
    </row>
    <row r="15210" spans="1:6" x14ac:dyDescent="0.25">
      <c r="A15210">
        <v>15209</v>
      </c>
      <c r="B15210">
        <v>45</v>
      </c>
      <c r="C15210">
        <v>0</v>
      </c>
      <c r="D15210">
        <v>0</v>
      </c>
      <c r="E15210">
        <v>0</v>
      </c>
      <c r="F15210">
        <v>520.06200000000001</v>
      </c>
    </row>
    <row r="15211" spans="1:6" x14ac:dyDescent="0.25">
      <c r="A15211">
        <v>15210</v>
      </c>
      <c r="B15211" t="s">
        <v>0</v>
      </c>
      <c r="C15211">
        <v>72</v>
      </c>
      <c r="D15211">
        <v>3506</v>
      </c>
      <c r="E15211">
        <v>80641464</v>
      </c>
    </row>
    <row r="15212" spans="1:6" x14ac:dyDescent="0.25">
      <c r="A15212">
        <v>15211</v>
      </c>
      <c r="B15212">
        <v>2</v>
      </c>
      <c r="C15212">
        <v>0</v>
      </c>
      <c r="D15212">
        <v>0</v>
      </c>
      <c r="E15212">
        <v>0</v>
      </c>
      <c r="F15212">
        <v>242.47</v>
      </c>
    </row>
    <row r="15213" spans="1:6" x14ac:dyDescent="0.25">
      <c r="A15213">
        <v>15212</v>
      </c>
      <c r="B15213" t="s">
        <v>0</v>
      </c>
      <c r="C15213">
        <v>73</v>
      </c>
      <c r="D15213">
        <v>3506</v>
      </c>
      <c r="E15213">
        <v>80641601</v>
      </c>
    </row>
    <row r="15214" spans="1:6" x14ac:dyDescent="0.25">
      <c r="A15214">
        <v>15213</v>
      </c>
      <c r="B15214">
        <v>13</v>
      </c>
      <c r="C15214">
        <v>0</v>
      </c>
      <c r="D15214">
        <v>0</v>
      </c>
      <c r="E15214">
        <v>0</v>
      </c>
      <c r="F15214">
        <v>1614</v>
      </c>
    </row>
    <row r="15215" spans="1:6" x14ac:dyDescent="0.25">
      <c r="A15215">
        <v>15214</v>
      </c>
      <c r="B15215" t="s">
        <v>0</v>
      </c>
      <c r="C15215">
        <v>74</v>
      </c>
      <c r="D15215">
        <v>3506</v>
      </c>
      <c r="E15215">
        <v>80641738</v>
      </c>
    </row>
    <row r="15216" spans="1:6" x14ac:dyDescent="0.25">
      <c r="A15216">
        <v>15215</v>
      </c>
      <c r="B15216">
        <v>42</v>
      </c>
      <c r="C15216">
        <v>0</v>
      </c>
      <c r="D15216">
        <v>0</v>
      </c>
      <c r="E15216">
        <v>0</v>
      </c>
      <c r="F15216">
        <v>0.2</v>
      </c>
    </row>
    <row r="15217" spans="1:6" x14ac:dyDescent="0.25">
      <c r="A15217">
        <v>15216</v>
      </c>
      <c r="B15217" t="s">
        <v>0</v>
      </c>
      <c r="C15217">
        <v>75</v>
      </c>
      <c r="D15217">
        <v>3506</v>
      </c>
      <c r="E15217">
        <v>80641875</v>
      </c>
    </row>
    <row r="15218" spans="1:6" x14ac:dyDescent="0.25">
      <c r="A15218">
        <v>15217</v>
      </c>
      <c r="B15218">
        <v>44</v>
      </c>
      <c r="C15218">
        <v>0</v>
      </c>
      <c r="D15218">
        <v>0</v>
      </c>
      <c r="E15218">
        <v>0</v>
      </c>
      <c r="F15218">
        <v>33.652099999999997</v>
      </c>
    </row>
    <row r="15219" spans="1:6" x14ac:dyDescent="0.25">
      <c r="A15219">
        <v>15218</v>
      </c>
      <c r="B15219" t="s">
        <v>0</v>
      </c>
      <c r="C15219">
        <v>76</v>
      </c>
      <c r="D15219">
        <v>3506</v>
      </c>
      <c r="E15219">
        <v>80642012</v>
      </c>
    </row>
    <row r="15220" spans="1:6" x14ac:dyDescent="0.25">
      <c r="A15220">
        <v>15219</v>
      </c>
      <c r="B15220">
        <v>46</v>
      </c>
      <c r="C15220">
        <v>0</v>
      </c>
      <c r="D15220">
        <v>0</v>
      </c>
      <c r="E15220">
        <v>0</v>
      </c>
      <c r="F15220">
        <v>0</v>
      </c>
    </row>
    <row r="15221" spans="1:6" x14ac:dyDescent="0.25">
      <c r="A15221">
        <v>15220</v>
      </c>
      <c r="B15221">
        <v>2</v>
      </c>
      <c r="C15221">
        <v>0</v>
      </c>
      <c r="D15221">
        <v>0</v>
      </c>
      <c r="E15221">
        <v>0</v>
      </c>
      <c r="F15221">
        <v>242.47</v>
      </c>
    </row>
    <row r="15222" spans="1:6" x14ac:dyDescent="0.25">
      <c r="A15222">
        <v>15221</v>
      </c>
      <c r="B15222">
        <v>10</v>
      </c>
      <c r="C15222">
        <v>1</v>
      </c>
      <c r="D15222">
        <v>0</v>
      </c>
      <c r="E15222">
        <v>0</v>
      </c>
      <c r="F15222">
        <v>5234</v>
      </c>
    </row>
    <row r="15223" spans="1:6" x14ac:dyDescent="0.25">
      <c r="A15223">
        <v>15222</v>
      </c>
      <c r="B15223">
        <v>13</v>
      </c>
      <c r="C15223">
        <v>0</v>
      </c>
      <c r="D15223">
        <v>0</v>
      </c>
      <c r="E15223">
        <v>0</v>
      </c>
      <c r="F15223">
        <v>1614</v>
      </c>
    </row>
    <row r="15224" spans="1:6" x14ac:dyDescent="0.25">
      <c r="A15224">
        <v>15223</v>
      </c>
      <c r="B15224">
        <v>41</v>
      </c>
      <c r="C15224">
        <v>0</v>
      </c>
      <c r="D15224">
        <v>0</v>
      </c>
      <c r="E15224">
        <v>0</v>
      </c>
      <c r="F15224">
        <v>1</v>
      </c>
    </row>
    <row r="15225" spans="1:6" x14ac:dyDescent="0.25">
      <c r="A15225">
        <v>15224</v>
      </c>
      <c r="B15225">
        <v>42</v>
      </c>
      <c r="C15225">
        <v>0</v>
      </c>
      <c r="D15225">
        <v>0</v>
      </c>
      <c r="E15225">
        <v>0</v>
      </c>
      <c r="F15225">
        <v>0.2</v>
      </c>
    </row>
    <row r="15226" spans="1:6" x14ac:dyDescent="0.25">
      <c r="A15226">
        <v>15225</v>
      </c>
      <c r="B15226">
        <v>43</v>
      </c>
      <c r="C15226">
        <v>0</v>
      </c>
      <c r="D15226">
        <v>0</v>
      </c>
      <c r="E15226">
        <v>0</v>
      </c>
      <c r="F15226">
        <v>0</v>
      </c>
    </row>
    <row r="15227" spans="1:6" x14ac:dyDescent="0.25">
      <c r="A15227">
        <v>15226</v>
      </c>
      <c r="B15227">
        <v>44</v>
      </c>
      <c r="C15227">
        <v>0</v>
      </c>
      <c r="D15227">
        <v>0</v>
      </c>
      <c r="E15227">
        <v>0</v>
      </c>
      <c r="F15227">
        <v>33.802100000000003</v>
      </c>
    </row>
    <row r="15228" spans="1:6" x14ac:dyDescent="0.25">
      <c r="A15228">
        <v>15227</v>
      </c>
      <c r="B15228">
        <v>45</v>
      </c>
      <c r="C15228">
        <v>0</v>
      </c>
      <c r="D15228">
        <v>0</v>
      </c>
      <c r="E15228">
        <v>0</v>
      </c>
      <c r="F15228">
        <v>520.14599999999996</v>
      </c>
    </row>
    <row r="15229" spans="1:6" x14ac:dyDescent="0.25">
      <c r="A15229">
        <v>15228</v>
      </c>
      <c r="B15229">
        <v>46</v>
      </c>
      <c r="C15229">
        <v>0</v>
      </c>
      <c r="D15229">
        <v>0</v>
      </c>
      <c r="E15229">
        <v>0</v>
      </c>
      <c r="F15229">
        <v>0</v>
      </c>
    </row>
    <row r="15230" spans="1:6" x14ac:dyDescent="0.25">
      <c r="A15230">
        <v>15229</v>
      </c>
      <c r="B15230">
        <v>2</v>
      </c>
      <c r="C15230">
        <v>0</v>
      </c>
      <c r="D15230">
        <v>0</v>
      </c>
      <c r="E15230">
        <v>0</v>
      </c>
      <c r="F15230">
        <v>242.47</v>
      </c>
    </row>
    <row r="15231" spans="1:6" x14ac:dyDescent="0.25">
      <c r="A15231">
        <v>15230</v>
      </c>
      <c r="B15231">
        <v>10</v>
      </c>
      <c r="C15231">
        <v>1</v>
      </c>
      <c r="D15231">
        <v>0</v>
      </c>
      <c r="E15231">
        <v>0</v>
      </c>
      <c r="F15231">
        <v>5235</v>
      </c>
    </row>
    <row r="15232" spans="1:6" x14ac:dyDescent="0.25">
      <c r="A15232">
        <v>15231</v>
      </c>
      <c r="B15232">
        <v>13</v>
      </c>
      <c r="C15232">
        <v>0</v>
      </c>
      <c r="D15232">
        <v>0</v>
      </c>
      <c r="E15232">
        <v>0</v>
      </c>
      <c r="F15232">
        <v>1614</v>
      </c>
    </row>
    <row r="15233" spans="1:6" x14ac:dyDescent="0.25">
      <c r="A15233">
        <v>15232</v>
      </c>
      <c r="B15233">
        <v>41</v>
      </c>
      <c r="C15233">
        <v>0</v>
      </c>
      <c r="D15233">
        <v>0</v>
      </c>
      <c r="E15233">
        <v>0</v>
      </c>
      <c r="F15233">
        <v>1</v>
      </c>
    </row>
    <row r="15234" spans="1:6" x14ac:dyDescent="0.25">
      <c r="A15234">
        <v>15233</v>
      </c>
      <c r="B15234">
        <v>42</v>
      </c>
      <c r="C15234">
        <v>0</v>
      </c>
      <c r="D15234">
        <v>0</v>
      </c>
      <c r="E15234">
        <v>0</v>
      </c>
      <c r="F15234">
        <v>0.2</v>
      </c>
    </row>
    <row r="15235" spans="1:6" x14ac:dyDescent="0.25">
      <c r="A15235">
        <v>15234</v>
      </c>
      <c r="B15235">
        <v>43</v>
      </c>
      <c r="C15235">
        <v>0</v>
      </c>
      <c r="D15235">
        <v>0</v>
      </c>
      <c r="E15235">
        <v>0</v>
      </c>
      <c r="F15235">
        <v>0</v>
      </c>
    </row>
    <row r="15236" spans="1:6" x14ac:dyDescent="0.25">
      <c r="A15236">
        <v>15235</v>
      </c>
      <c r="B15236" t="s">
        <v>0</v>
      </c>
      <c r="C15236">
        <v>84</v>
      </c>
      <c r="D15236">
        <v>3506</v>
      </c>
      <c r="E15236">
        <v>80643109</v>
      </c>
    </row>
    <row r="15237" spans="1:6" x14ac:dyDescent="0.25">
      <c r="A15237">
        <v>15236</v>
      </c>
      <c r="B15237">
        <v>44</v>
      </c>
      <c r="C15237">
        <v>0</v>
      </c>
      <c r="D15237">
        <v>0</v>
      </c>
      <c r="E15237">
        <v>0</v>
      </c>
      <c r="F15237">
        <v>33.976999999999997</v>
      </c>
    </row>
    <row r="15238" spans="1:6" x14ac:dyDescent="0.25">
      <c r="A15238">
        <v>15237</v>
      </c>
      <c r="B15238">
        <v>45</v>
      </c>
      <c r="C15238">
        <v>0</v>
      </c>
      <c r="D15238">
        <v>0</v>
      </c>
      <c r="E15238">
        <v>0</v>
      </c>
      <c r="F15238">
        <v>520.18299999999999</v>
      </c>
    </row>
    <row r="15239" spans="1:6" x14ac:dyDescent="0.25">
      <c r="A15239">
        <v>15238</v>
      </c>
      <c r="B15239" t="s">
        <v>0</v>
      </c>
      <c r="C15239">
        <v>85</v>
      </c>
      <c r="D15239">
        <v>3506</v>
      </c>
      <c r="E15239">
        <v>80643246</v>
      </c>
    </row>
    <row r="15240" spans="1:6" x14ac:dyDescent="0.25">
      <c r="A15240">
        <v>15239</v>
      </c>
      <c r="B15240">
        <v>46</v>
      </c>
      <c r="C15240">
        <v>0</v>
      </c>
      <c r="D15240">
        <v>0</v>
      </c>
      <c r="E15240">
        <v>0</v>
      </c>
      <c r="F15240">
        <v>0</v>
      </c>
    </row>
    <row r="15241" spans="1:6" x14ac:dyDescent="0.25">
      <c r="A15241">
        <v>15240</v>
      </c>
      <c r="B15241">
        <v>2</v>
      </c>
      <c r="C15241">
        <v>0</v>
      </c>
      <c r="D15241">
        <v>0</v>
      </c>
      <c r="E15241">
        <v>0</v>
      </c>
      <c r="F15241">
        <v>242.46600000000001</v>
      </c>
    </row>
    <row r="15242" spans="1:6" x14ac:dyDescent="0.25">
      <c r="A15242">
        <v>15241</v>
      </c>
      <c r="B15242" t="s">
        <v>0</v>
      </c>
      <c r="C15242">
        <v>86</v>
      </c>
      <c r="D15242">
        <v>3506</v>
      </c>
      <c r="E15242">
        <v>80643383</v>
      </c>
    </row>
    <row r="15243" spans="1:6" x14ac:dyDescent="0.25">
      <c r="A15243">
        <v>15242</v>
      </c>
      <c r="B15243">
        <v>10</v>
      </c>
      <c r="C15243">
        <v>1</v>
      </c>
      <c r="D15243">
        <v>0</v>
      </c>
      <c r="E15243">
        <v>0</v>
      </c>
      <c r="F15243">
        <v>5236</v>
      </c>
    </row>
    <row r="15244" spans="1:6" x14ac:dyDescent="0.25">
      <c r="A15244">
        <v>15243</v>
      </c>
      <c r="B15244">
        <v>13</v>
      </c>
      <c r="C15244">
        <v>0</v>
      </c>
      <c r="D15244">
        <v>0</v>
      </c>
      <c r="E15244">
        <v>0</v>
      </c>
      <c r="F15244">
        <v>1614</v>
      </c>
    </row>
    <row r="15245" spans="1:6" x14ac:dyDescent="0.25">
      <c r="A15245">
        <v>15244</v>
      </c>
      <c r="B15245" t="s">
        <v>0</v>
      </c>
      <c r="C15245">
        <v>87</v>
      </c>
      <c r="D15245">
        <v>3506</v>
      </c>
      <c r="E15245">
        <v>80643520</v>
      </c>
    </row>
    <row r="15246" spans="1:6" x14ac:dyDescent="0.25">
      <c r="A15246">
        <v>15245</v>
      </c>
      <c r="B15246">
        <v>41</v>
      </c>
      <c r="C15246">
        <v>0</v>
      </c>
      <c r="D15246">
        <v>0</v>
      </c>
      <c r="E15246">
        <v>0</v>
      </c>
      <c r="F15246">
        <v>1</v>
      </c>
    </row>
    <row r="15247" spans="1:6" x14ac:dyDescent="0.25">
      <c r="A15247">
        <v>15246</v>
      </c>
      <c r="B15247">
        <v>42</v>
      </c>
      <c r="C15247">
        <v>0</v>
      </c>
      <c r="D15247">
        <v>0</v>
      </c>
      <c r="E15247">
        <v>0</v>
      </c>
      <c r="F15247">
        <v>0.2</v>
      </c>
    </row>
    <row r="15248" spans="1:6" x14ac:dyDescent="0.25">
      <c r="A15248">
        <v>15247</v>
      </c>
      <c r="B15248" t="s">
        <v>0</v>
      </c>
      <c r="C15248">
        <v>88</v>
      </c>
      <c r="D15248">
        <v>3506</v>
      </c>
      <c r="E15248">
        <v>80643657</v>
      </c>
    </row>
    <row r="15249" spans="1:6" x14ac:dyDescent="0.25">
      <c r="A15249">
        <v>15248</v>
      </c>
      <c r="B15249">
        <v>43</v>
      </c>
      <c r="C15249">
        <v>0</v>
      </c>
      <c r="D15249">
        <v>0</v>
      </c>
      <c r="E15249">
        <v>0</v>
      </c>
      <c r="F15249">
        <v>0</v>
      </c>
    </row>
    <row r="15250" spans="1:6" x14ac:dyDescent="0.25">
      <c r="A15250">
        <v>15249</v>
      </c>
      <c r="B15250">
        <v>44</v>
      </c>
      <c r="C15250">
        <v>0</v>
      </c>
      <c r="D15250">
        <v>0</v>
      </c>
      <c r="E15250">
        <v>0</v>
      </c>
      <c r="F15250">
        <v>34.059399999999997</v>
      </c>
    </row>
    <row r="15251" spans="1:6" x14ac:dyDescent="0.25">
      <c r="A15251">
        <v>15250</v>
      </c>
      <c r="B15251" t="s">
        <v>0</v>
      </c>
      <c r="C15251">
        <v>89</v>
      </c>
      <c r="D15251">
        <v>3506</v>
      </c>
      <c r="E15251">
        <v>80643794</v>
      </c>
    </row>
    <row r="15252" spans="1:6" x14ac:dyDescent="0.25">
      <c r="A15252">
        <v>15251</v>
      </c>
      <c r="B15252">
        <v>45</v>
      </c>
      <c r="C15252">
        <v>0</v>
      </c>
      <c r="D15252">
        <v>0</v>
      </c>
      <c r="E15252">
        <v>0</v>
      </c>
      <c r="F15252">
        <v>520.23</v>
      </c>
    </row>
    <row r="15253" spans="1:6" x14ac:dyDescent="0.25">
      <c r="A15253">
        <v>15252</v>
      </c>
      <c r="B15253">
        <v>46</v>
      </c>
      <c r="C15253">
        <v>0</v>
      </c>
      <c r="D15253">
        <v>0</v>
      </c>
      <c r="E15253">
        <v>0</v>
      </c>
      <c r="F15253">
        <v>0</v>
      </c>
    </row>
    <row r="15254" spans="1:6" x14ac:dyDescent="0.25">
      <c r="A15254">
        <v>15253</v>
      </c>
      <c r="B15254" t="s">
        <v>0</v>
      </c>
      <c r="C15254">
        <v>90</v>
      </c>
      <c r="D15254">
        <v>3506</v>
      </c>
      <c r="E15254">
        <v>80643931</v>
      </c>
    </row>
    <row r="15255" spans="1:6" x14ac:dyDescent="0.25">
      <c r="A15255">
        <v>15254</v>
      </c>
      <c r="B15255">
        <v>10</v>
      </c>
      <c r="C15255">
        <v>1</v>
      </c>
      <c r="D15255">
        <v>0</v>
      </c>
      <c r="E15255">
        <v>0</v>
      </c>
      <c r="F15255">
        <v>5235</v>
      </c>
    </row>
    <row r="15256" spans="1:6" x14ac:dyDescent="0.25">
      <c r="A15256">
        <v>15255</v>
      </c>
      <c r="B15256" t="s">
        <v>0</v>
      </c>
      <c r="C15256">
        <v>91</v>
      </c>
      <c r="D15256">
        <v>3506</v>
      </c>
      <c r="E15256">
        <v>80644068</v>
      </c>
    </row>
    <row r="15257" spans="1:6" x14ac:dyDescent="0.25">
      <c r="A15257">
        <v>15256</v>
      </c>
      <c r="B15257">
        <v>41</v>
      </c>
      <c r="C15257">
        <v>0</v>
      </c>
      <c r="D15257">
        <v>0</v>
      </c>
      <c r="E15257">
        <v>0</v>
      </c>
      <c r="F15257">
        <v>1</v>
      </c>
    </row>
    <row r="15258" spans="1:6" x14ac:dyDescent="0.25">
      <c r="A15258">
        <v>15257</v>
      </c>
      <c r="B15258" t="s">
        <v>0</v>
      </c>
      <c r="C15258">
        <v>92</v>
      </c>
      <c r="D15258">
        <v>3506</v>
      </c>
      <c r="E15258">
        <v>80644205</v>
      </c>
    </row>
    <row r="15259" spans="1:6" x14ac:dyDescent="0.25">
      <c r="A15259">
        <v>15258</v>
      </c>
      <c r="B15259">
        <v>43</v>
      </c>
      <c r="C15259">
        <v>0</v>
      </c>
      <c r="D15259">
        <v>0</v>
      </c>
      <c r="E15259">
        <v>0</v>
      </c>
      <c r="F15259">
        <v>0</v>
      </c>
    </row>
    <row r="15260" spans="1:6" x14ac:dyDescent="0.25">
      <c r="A15260">
        <v>15259</v>
      </c>
      <c r="B15260" t="s">
        <v>0</v>
      </c>
      <c r="C15260">
        <v>93</v>
      </c>
      <c r="D15260">
        <v>3506</v>
      </c>
      <c r="E15260">
        <v>80644342</v>
      </c>
    </row>
    <row r="15261" spans="1:6" x14ac:dyDescent="0.25">
      <c r="A15261">
        <v>15260</v>
      </c>
      <c r="B15261">
        <v>45</v>
      </c>
      <c r="C15261">
        <v>0</v>
      </c>
      <c r="D15261">
        <v>0</v>
      </c>
      <c r="E15261">
        <v>0</v>
      </c>
      <c r="F15261">
        <v>520.26700000000005</v>
      </c>
    </row>
    <row r="15262" spans="1:6" x14ac:dyDescent="0.25">
      <c r="A15262">
        <v>15261</v>
      </c>
      <c r="B15262" t="s">
        <v>0</v>
      </c>
      <c r="C15262">
        <v>94</v>
      </c>
      <c r="D15262">
        <v>3506</v>
      </c>
      <c r="E15262">
        <v>80644479</v>
      </c>
    </row>
    <row r="15263" spans="1:6" x14ac:dyDescent="0.25">
      <c r="A15263">
        <v>15262</v>
      </c>
      <c r="B15263">
        <v>2</v>
      </c>
      <c r="C15263">
        <v>0</v>
      </c>
      <c r="D15263">
        <v>0</v>
      </c>
      <c r="E15263">
        <v>0</v>
      </c>
      <c r="F15263">
        <v>242.595</v>
      </c>
    </row>
    <row r="15264" spans="1:6" x14ac:dyDescent="0.25">
      <c r="A15264">
        <v>15263</v>
      </c>
      <c r="B15264" t="s">
        <v>0</v>
      </c>
      <c r="C15264">
        <v>95</v>
      </c>
      <c r="D15264">
        <v>3506</v>
      </c>
      <c r="E15264">
        <v>80644616</v>
      </c>
    </row>
    <row r="15265" spans="1:6" x14ac:dyDescent="0.25">
      <c r="A15265">
        <v>15264</v>
      </c>
      <c r="B15265">
        <v>13</v>
      </c>
      <c r="C15265">
        <v>0</v>
      </c>
      <c r="D15265">
        <v>0</v>
      </c>
      <c r="E15265">
        <v>0</v>
      </c>
      <c r="F15265">
        <v>1614</v>
      </c>
    </row>
    <row r="15266" spans="1:6" x14ac:dyDescent="0.25">
      <c r="A15266">
        <v>15265</v>
      </c>
      <c r="B15266" t="s">
        <v>0</v>
      </c>
      <c r="C15266">
        <v>96</v>
      </c>
      <c r="D15266">
        <v>3506</v>
      </c>
      <c r="E15266">
        <v>80644753</v>
      </c>
    </row>
    <row r="15267" spans="1:6" x14ac:dyDescent="0.25">
      <c r="A15267">
        <v>15266</v>
      </c>
      <c r="B15267">
        <v>42</v>
      </c>
      <c r="C15267">
        <v>0</v>
      </c>
      <c r="D15267">
        <v>0</v>
      </c>
      <c r="E15267">
        <v>0</v>
      </c>
      <c r="F15267">
        <v>0.2</v>
      </c>
    </row>
    <row r="15268" spans="1:6" x14ac:dyDescent="0.25">
      <c r="A15268">
        <v>15267</v>
      </c>
      <c r="B15268">
        <v>43</v>
      </c>
      <c r="C15268">
        <v>0</v>
      </c>
      <c r="D15268">
        <v>0</v>
      </c>
      <c r="E15268">
        <v>0</v>
      </c>
      <c r="F15268">
        <v>0</v>
      </c>
    </row>
    <row r="15269" spans="1:6" x14ac:dyDescent="0.25">
      <c r="A15269">
        <v>15268</v>
      </c>
      <c r="B15269">
        <v>44</v>
      </c>
      <c r="C15269">
        <v>0</v>
      </c>
      <c r="D15269">
        <v>0</v>
      </c>
      <c r="E15269">
        <v>0</v>
      </c>
      <c r="F15269">
        <v>34.244500000000002</v>
      </c>
    </row>
    <row r="15270" spans="1:6" x14ac:dyDescent="0.25">
      <c r="A15270">
        <v>15269</v>
      </c>
      <c r="B15270">
        <v>45</v>
      </c>
      <c r="C15270">
        <v>0</v>
      </c>
      <c r="D15270">
        <v>0</v>
      </c>
      <c r="E15270">
        <v>0</v>
      </c>
      <c r="F15270">
        <v>520.30499999999995</v>
      </c>
    </row>
    <row r="15271" spans="1:6" x14ac:dyDescent="0.25">
      <c r="A15271">
        <v>15270</v>
      </c>
      <c r="B15271">
        <v>46</v>
      </c>
      <c r="C15271">
        <v>0</v>
      </c>
      <c r="D15271">
        <v>0</v>
      </c>
      <c r="E15271">
        <v>0</v>
      </c>
      <c r="F15271">
        <v>0</v>
      </c>
    </row>
    <row r="15272" spans="1:6" x14ac:dyDescent="0.25">
      <c r="A15272">
        <v>15271</v>
      </c>
      <c r="B15272">
        <v>2</v>
      </c>
      <c r="C15272">
        <v>0</v>
      </c>
      <c r="D15272">
        <v>0</v>
      </c>
      <c r="E15272">
        <v>0</v>
      </c>
      <c r="F15272">
        <v>242.637</v>
      </c>
    </row>
    <row r="15273" spans="1:6" x14ac:dyDescent="0.25">
      <c r="A15273">
        <v>15272</v>
      </c>
      <c r="B15273">
        <v>10</v>
      </c>
      <c r="C15273">
        <v>1</v>
      </c>
      <c r="D15273">
        <v>0</v>
      </c>
      <c r="E15273">
        <v>0</v>
      </c>
      <c r="F15273">
        <v>5235</v>
      </c>
    </row>
    <row r="15274" spans="1:6" x14ac:dyDescent="0.25">
      <c r="A15274">
        <v>15273</v>
      </c>
      <c r="B15274">
        <v>13</v>
      </c>
      <c r="C15274">
        <v>0</v>
      </c>
      <c r="D15274">
        <v>0</v>
      </c>
      <c r="E15274">
        <v>0</v>
      </c>
      <c r="F15274">
        <v>1614</v>
      </c>
    </row>
    <row r="15275" spans="1:6" x14ac:dyDescent="0.25">
      <c r="A15275">
        <v>15274</v>
      </c>
      <c r="B15275">
        <v>41</v>
      </c>
      <c r="C15275">
        <v>0</v>
      </c>
      <c r="D15275">
        <v>0</v>
      </c>
      <c r="E15275">
        <v>0</v>
      </c>
      <c r="F15275">
        <v>1</v>
      </c>
    </row>
    <row r="15276" spans="1:6" x14ac:dyDescent="0.25">
      <c r="A15276">
        <v>15275</v>
      </c>
      <c r="B15276">
        <v>42</v>
      </c>
      <c r="C15276">
        <v>0</v>
      </c>
      <c r="D15276">
        <v>0</v>
      </c>
      <c r="E15276">
        <v>0</v>
      </c>
      <c r="F15276">
        <v>0.2</v>
      </c>
    </row>
    <row r="15277" spans="1:6" x14ac:dyDescent="0.25">
      <c r="A15277">
        <v>15276</v>
      </c>
      <c r="B15277">
        <v>43</v>
      </c>
      <c r="C15277">
        <v>0</v>
      </c>
      <c r="D15277">
        <v>0</v>
      </c>
      <c r="E15277">
        <v>0</v>
      </c>
      <c r="F15277">
        <v>0</v>
      </c>
    </row>
    <row r="15278" spans="1:6" x14ac:dyDescent="0.25">
      <c r="A15278">
        <v>15277</v>
      </c>
      <c r="B15278">
        <v>44</v>
      </c>
      <c r="C15278">
        <v>0</v>
      </c>
      <c r="D15278">
        <v>0</v>
      </c>
      <c r="E15278">
        <v>0</v>
      </c>
      <c r="F15278">
        <v>34.357999999999997</v>
      </c>
    </row>
    <row r="15279" spans="1:6" x14ac:dyDescent="0.25">
      <c r="A15279">
        <v>15278</v>
      </c>
      <c r="B15279">
        <v>45</v>
      </c>
      <c r="C15279">
        <v>0</v>
      </c>
      <c r="D15279">
        <v>0</v>
      </c>
      <c r="E15279">
        <v>0</v>
      </c>
      <c r="F15279">
        <v>520.35199999999998</v>
      </c>
    </row>
    <row r="15280" spans="1:6" x14ac:dyDescent="0.25">
      <c r="A15280">
        <v>15279</v>
      </c>
      <c r="B15280">
        <v>46</v>
      </c>
      <c r="C15280">
        <v>0</v>
      </c>
      <c r="D15280">
        <v>0</v>
      </c>
      <c r="E15280">
        <v>0</v>
      </c>
      <c r="F15280">
        <v>0</v>
      </c>
    </row>
    <row r="15281" spans="1:6" x14ac:dyDescent="0.25">
      <c r="A15281">
        <v>15280</v>
      </c>
      <c r="B15281" t="s">
        <v>0</v>
      </c>
      <c r="C15281">
        <v>103</v>
      </c>
      <c r="D15281">
        <v>3506</v>
      </c>
      <c r="E15281">
        <v>80645711</v>
      </c>
    </row>
    <row r="15282" spans="1:6" x14ac:dyDescent="0.25">
      <c r="A15282">
        <v>15281</v>
      </c>
      <c r="B15282">
        <v>2</v>
      </c>
      <c r="C15282">
        <v>0</v>
      </c>
      <c r="D15282">
        <v>0</v>
      </c>
      <c r="E15282">
        <v>0</v>
      </c>
      <c r="F15282">
        <v>242.679</v>
      </c>
    </row>
    <row r="15283" spans="1:6" x14ac:dyDescent="0.25">
      <c r="A15283">
        <v>15282</v>
      </c>
      <c r="B15283">
        <v>10</v>
      </c>
      <c r="C15283">
        <v>1</v>
      </c>
      <c r="D15283">
        <v>0</v>
      </c>
      <c r="E15283">
        <v>0</v>
      </c>
      <c r="F15283">
        <v>5235</v>
      </c>
    </row>
    <row r="15284" spans="1:6" x14ac:dyDescent="0.25">
      <c r="A15284">
        <v>15283</v>
      </c>
      <c r="B15284" t="s">
        <v>0</v>
      </c>
      <c r="C15284">
        <v>104</v>
      </c>
      <c r="D15284">
        <v>3506</v>
      </c>
      <c r="E15284">
        <v>80645848</v>
      </c>
    </row>
    <row r="15285" spans="1:6" x14ac:dyDescent="0.25">
      <c r="A15285">
        <v>15284</v>
      </c>
      <c r="B15285">
        <v>13</v>
      </c>
      <c r="C15285">
        <v>0</v>
      </c>
      <c r="D15285">
        <v>0</v>
      </c>
      <c r="E15285">
        <v>0</v>
      </c>
      <c r="F15285">
        <v>1614</v>
      </c>
    </row>
    <row r="15286" spans="1:6" x14ac:dyDescent="0.25">
      <c r="A15286">
        <v>15285</v>
      </c>
      <c r="B15286">
        <v>41</v>
      </c>
      <c r="C15286">
        <v>0</v>
      </c>
      <c r="D15286">
        <v>0</v>
      </c>
      <c r="E15286">
        <v>0</v>
      </c>
      <c r="F15286">
        <v>1</v>
      </c>
    </row>
    <row r="15287" spans="1:6" x14ac:dyDescent="0.25">
      <c r="A15287">
        <v>15286</v>
      </c>
      <c r="B15287" t="s">
        <v>0</v>
      </c>
      <c r="C15287">
        <v>105</v>
      </c>
      <c r="D15287">
        <v>3506</v>
      </c>
      <c r="E15287">
        <v>80645985</v>
      </c>
    </row>
    <row r="15288" spans="1:6" x14ac:dyDescent="0.25">
      <c r="A15288">
        <v>15287</v>
      </c>
      <c r="B15288">
        <v>42</v>
      </c>
      <c r="C15288">
        <v>0</v>
      </c>
      <c r="D15288">
        <v>0</v>
      </c>
      <c r="E15288">
        <v>0</v>
      </c>
      <c r="F15288">
        <v>0.2</v>
      </c>
    </row>
    <row r="15289" spans="1:6" x14ac:dyDescent="0.25">
      <c r="A15289">
        <v>15288</v>
      </c>
      <c r="B15289">
        <v>43</v>
      </c>
      <c r="C15289">
        <v>0</v>
      </c>
      <c r="D15289">
        <v>0</v>
      </c>
      <c r="E15289">
        <v>0</v>
      </c>
      <c r="F15289">
        <v>0</v>
      </c>
    </row>
    <row r="15290" spans="1:6" x14ac:dyDescent="0.25">
      <c r="A15290">
        <v>15289</v>
      </c>
      <c r="B15290" t="s">
        <v>0</v>
      </c>
      <c r="C15290">
        <v>106</v>
      </c>
      <c r="D15290">
        <v>3506</v>
      </c>
      <c r="E15290">
        <v>80646122</v>
      </c>
    </row>
    <row r="15291" spans="1:6" x14ac:dyDescent="0.25">
      <c r="A15291">
        <v>15290</v>
      </c>
      <c r="B15291">
        <v>44</v>
      </c>
      <c r="C15291">
        <v>0</v>
      </c>
      <c r="D15291">
        <v>0</v>
      </c>
      <c r="E15291">
        <v>0</v>
      </c>
      <c r="F15291">
        <v>34.497799999999998</v>
      </c>
    </row>
    <row r="15292" spans="1:6" x14ac:dyDescent="0.25">
      <c r="A15292">
        <v>15291</v>
      </c>
      <c r="B15292">
        <v>45</v>
      </c>
      <c r="C15292">
        <v>0</v>
      </c>
      <c r="D15292">
        <v>0</v>
      </c>
      <c r="E15292">
        <v>0</v>
      </c>
      <c r="F15292">
        <v>520.39</v>
      </c>
    </row>
    <row r="15293" spans="1:6" x14ac:dyDescent="0.25">
      <c r="A15293">
        <v>15292</v>
      </c>
      <c r="B15293" t="s">
        <v>0</v>
      </c>
      <c r="C15293">
        <v>107</v>
      </c>
      <c r="D15293">
        <v>3506</v>
      </c>
      <c r="E15293">
        <v>80646259</v>
      </c>
    </row>
    <row r="15294" spans="1:6" x14ac:dyDescent="0.25">
      <c r="A15294">
        <v>15293</v>
      </c>
      <c r="B15294">
        <v>46</v>
      </c>
      <c r="C15294">
        <v>0</v>
      </c>
      <c r="D15294">
        <v>0</v>
      </c>
      <c r="E15294">
        <v>0</v>
      </c>
      <c r="F15294">
        <v>0</v>
      </c>
    </row>
    <row r="15295" spans="1:6" x14ac:dyDescent="0.25">
      <c r="A15295">
        <v>15294</v>
      </c>
      <c r="B15295">
        <v>2</v>
      </c>
      <c r="C15295">
        <v>0</v>
      </c>
      <c r="D15295">
        <v>0</v>
      </c>
      <c r="E15295">
        <v>0</v>
      </c>
      <c r="F15295">
        <v>242.70599999999999</v>
      </c>
    </row>
    <row r="15296" spans="1:6" x14ac:dyDescent="0.25">
      <c r="A15296">
        <v>15295</v>
      </c>
      <c r="B15296" t="s">
        <v>0</v>
      </c>
      <c r="C15296">
        <v>108</v>
      </c>
      <c r="D15296">
        <v>3506</v>
      </c>
      <c r="E15296">
        <v>80646396</v>
      </c>
    </row>
    <row r="15297" spans="1:6" x14ac:dyDescent="0.25">
      <c r="A15297">
        <v>15296</v>
      </c>
      <c r="B15297">
        <v>10</v>
      </c>
      <c r="C15297">
        <v>1</v>
      </c>
      <c r="D15297">
        <v>0</v>
      </c>
      <c r="E15297">
        <v>0</v>
      </c>
      <c r="F15297">
        <v>5235</v>
      </c>
    </row>
    <row r="15298" spans="1:6" x14ac:dyDescent="0.25">
      <c r="A15298">
        <v>15297</v>
      </c>
      <c r="B15298">
        <v>13</v>
      </c>
      <c r="C15298">
        <v>0</v>
      </c>
      <c r="D15298">
        <v>0</v>
      </c>
      <c r="E15298">
        <v>0</v>
      </c>
      <c r="F15298">
        <v>1614</v>
      </c>
    </row>
    <row r="15299" spans="1:6" x14ac:dyDescent="0.25">
      <c r="A15299">
        <v>15298</v>
      </c>
      <c r="B15299" t="s">
        <v>0</v>
      </c>
      <c r="C15299">
        <v>109</v>
      </c>
      <c r="D15299">
        <v>3506</v>
      </c>
      <c r="E15299">
        <v>80646533</v>
      </c>
    </row>
    <row r="15300" spans="1:6" x14ac:dyDescent="0.25">
      <c r="A15300">
        <v>15299</v>
      </c>
      <c r="B15300">
        <v>42</v>
      </c>
      <c r="C15300">
        <v>0</v>
      </c>
      <c r="D15300">
        <v>0</v>
      </c>
      <c r="E15300">
        <v>0</v>
      </c>
      <c r="F15300">
        <v>0.2</v>
      </c>
    </row>
    <row r="15301" spans="1:6" x14ac:dyDescent="0.25">
      <c r="A15301">
        <v>15300</v>
      </c>
      <c r="B15301" t="s">
        <v>0</v>
      </c>
      <c r="C15301">
        <v>110</v>
      </c>
      <c r="D15301">
        <v>3506</v>
      </c>
      <c r="E15301">
        <v>80646670</v>
      </c>
    </row>
    <row r="15302" spans="1:6" x14ac:dyDescent="0.25">
      <c r="A15302">
        <v>15301</v>
      </c>
      <c r="B15302">
        <v>44</v>
      </c>
      <c r="C15302">
        <v>0</v>
      </c>
      <c r="D15302">
        <v>0</v>
      </c>
      <c r="E15302">
        <v>0</v>
      </c>
      <c r="F15302">
        <v>34.5989</v>
      </c>
    </row>
    <row r="15303" spans="1:6" x14ac:dyDescent="0.25">
      <c r="A15303">
        <v>15302</v>
      </c>
      <c r="B15303" t="s">
        <v>0</v>
      </c>
      <c r="C15303">
        <v>111</v>
      </c>
      <c r="D15303">
        <v>3506</v>
      </c>
      <c r="E15303">
        <v>80646807</v>
      </c>
    </row>
    <row r="15304" spans="1:6" x14ac:dyDescent="0.25">
      <c r="A15304">
        <v>15303</v>
      </c>
      <c r="B15304">
        <v>46</v>
      </c>
      <c r="C15304">
        <v>0</v>
      </c>
      <c r="D15304">
        <v>0</v>
      </c>
      <c r="E15304">
        <v>0</v>
      </c>
      <c r="F15304">
        <v>0</v>
      </c>
    </row>
    <row r="15305" spans="1:6" x14ac:dyDescent="0.25">
      <c r="A15305">
        <v>15304</v>
      </c>
      <c r="B15305" t="s">
        <v>0</v>
      </c>
      <c r="C15305">
        <v>112</v>
      </c>
      <c r="D15305">
        <v>3506</v>
      </c>
      <c r="E15305">
        <v>80646944</v>
      </c>
    </row>
    <row r="15306" spans="1:6" x14ac:dyDescent="0.25">
      <c r="A15306">
        <v>15305</v>
      </c>
      <c r="B15306">
        <v>10</v>
      </c>
      <c r="C15306">
        <v>1</v>
      </c>
      <c r="D15306">
        <v>0</v>
      </c>
      <c r="E15306">
        <v>0</v>
      </c>
      <c r="F15306">
        <v>5236</v>
      </c>
    </row>
    <row r="15307" spans="1:6" x14ac:dyDescent="0.25">
      <c r="A15307">
        <v>15306</v>
      </c>
      <c r="B15307" t="s">
        <v>0</v>
      </c>
      <c r="C15307">
        <v>113</v>
      </c>
      <c r="D15307">
        <v>3506</v>
      </c>
      <c r="E15307">
        <v>80647081</v>
      </c>
    </row>
    <row r="15308" spans="1:6" x14ac:dyDescent="0.25">
      <c r="A15308">
        <v>15307</v>
      </c>
      <c r="B15308">
        <v>41</v>
      </c>
      <c r="C15308">
        <v>0</v>
      </c>
      <c r="D15308">
        <v>0</v>
      </c>
      <c r="E15308">
        <v>0</v>
      </c>
      <c r="F15308">
        <v>1</v>
      </c>
    </row>
    <row r="15309" spans="1:6" x14ac:dyDescent="0.25">
      <c r="A15309">
        <v>15308</v>
      </c>
      <c r="B15309" t="s">
        <v>0</v>
      </c>
      <c r="C15309">
        <v>114</v>
      </c>
      <c r="D15309">
        <v>3506</v>
      </c>
      <c r="E15309">
        <v>80647218</v>
      </c>
    </row>
    <row r="15310" spans="1:6" x14ac:dyDescent="0.25">
      <c r="A15310">
        <v>15309</v>
      </c>
      <c r="B15310">
        <v>43</v>
      </c>
      <c r="C15310">
        <v>0</v>
      </c>
      <c r="D15310">
        <v>0</v>
      </c>
      <c r="E15310">
        <v>0</v>
      </c>
      <c r="F15310">
        <v>0</v>
      </c>
    </row>
    <row r="15311" spans="1:6" x14ac:dyDescent="0.25">
      <c r="A15311">
        <v>15310</v>
      </c>
      <c r="B15311" t="s">
        <v>0</v>
      </c>
      <c r="C15311">
        <v>115</v>
      </c>
      <c r="D15311">
        <v>3506</v>
      </c>
      <c r="E15311">
        <v>80647355</v>
      </c>
    </row>
    <row r="15312" spans="1:6" x14ac:dyDescent="0.25">
      <c r="A15312">
        <v>15311</v>
      </c>
      <c r="B15312">
        <v>45</v>
      </c>
      <c r="C15312">
        <v>0</v>
      </c>
      <c r="D15312">
        <v>0</v>
      </c>
      <c r="E15312">
        <v>0</v>
      </c>
      <c r="F15312">
        <v>520.47500000000002</v>
      </c>
    </row>
    <row r="15313" spans="1:6" x14ac:dyDescent="0.25">
      <c r="A15313">
        <v>15312</v>
      </c>
      <c r="B15313">
        <v>46</v>
      </c>
      <c r="C15313">
        <v>0</v>
      </c>
      <c r="D15313">
        <v>0</v>
      </c>
      <c r="E15313">
        <v>0</v>
      </c>
      <c r="F15313">
        <v>0</v>
      </c>
    </row>
    <row r="15314" spans="1:6" x14ac:dyDescent="0.25">
      <c r="A15314">
        <v>15313</v>
      </c>
      <c r="B15314">
        <v>2</v>
      </c>
      <c r="C15314">
        <v>0</v>
      </c>
      <c r="D15314">
        <v>0</v>
      </c>
      <c r="E15314">
        <v>0</v>
      </c>
      <c r="F15314">
        <v>242.75</v>
      </c>
    </row>
    <row r="15315" spans="1:6" x14ac:dyDescent="0.25">
      <c r="A15315">
        <v>15314</v>
      </c>
      <c r="B15315">
        <v>10</v>
      </c>
      <c r="C15315">
        <v>1</v>
      </c>
      <c r="D15315">
        <v>0</v>
      </c>
      <c r="E15315">
        <v>0</v>
      </c>
      <c r="F15315">
        <v>5236</v>
      </c>
    </row>
    <row r="15316" spans="1:6" x14ac:dyDescent="0.25">
      <c r="A15316">
        <v>15315</v>
      </c>
      <c r="B15316">
        <v>13</v>
      </c>
      <c r="C15316">
        <v>0</v>
      </c>
      <c r="D15316">
        <v>0</v>
      </c>
      <c r="E15316">
        <v>0</v>
      </c>
      <c r="F15316">
        <v>1614</v>
      </c>
    </row>
    <row r="15317" spans="1:6" x14ac:dyDescent="0.25">
      <c r="A15317">
        <v>15316</v>
      </c>
      <c r="B15317">
        <v>41</v>
      </c>
      <c r="C15317">
        <v>0</v>
      </c>
      <c r="D15317">
        <v>0</v>
      </c>
      <c r="E15317">
        <v>0</v>
      </c>
      <c r="F15317">
        <v>1</v>
      </c>
    </row>
    <row r="15318" spans="1:6" x14ac:dyDescent="0.25">
      <c r="A15318">
        <v>15317</v>
      </c>
      <c r="B15318">
        <v>42</v>
      </c>
      <c r="C15318">
        <v>0</v>
      </c>
      <c r="D15318">
        <v>0</v>
      </c>
      <c r="E15318">
        <v>0</v>
      </c>
      <c r="F15318">
        <v>0.2</v>
      </c>
    </row>
    <row r="15319" spans="1:6" x14ac:dyDescent="0.25">
      <c r="A15319">
        <v>15318</v>
      </c>
      <c r="B15319">
        <v>43</v>
      </c>
      <c r="C15319">
        <v>0</v>
      </c>
      <c r="D15319">
        <v>0</v>
      </c>
      <c r="E15319">
        <v>0</v>
      </c>
      <c r="F15319">
        <v>0</v>
      </c>
    </row>
    <row r="15320" spans="1:6" x14ac:dyDescent="0.25">
      <c r="A15320">
        <v>15319</v>
      </c>
      <c r="B15320">
        <v>44</v>
      </c>
      <c r="C15320">
        <v>0</v>
      </c>
      <c r="D15320">
        <v>0</v>
      </c>
      <c r="E15320">
        <v>0</v>
      </c>
      <c r="F15320">
        <v>34.886299999999999</v>
      </c>
    </row>
    <row r="15321" spans="1:6" x14ac:dyDescent="0.25">
      <c r="A15321">
        <v>15320</v>
      </c>
      <c r="B15321">
        <v>45</v>
      </c>
      <c r="C15321">
        <v>0</v>
      </c>
      <c r="D15321">
        <v>0</v>
      </c>
      <c r="E15321">
        <v>0</v>
      </c>
      <c r="F15321">
        <v>520.51400000000001</v>
      </c>
    </row>
    <row r="15322" spans="1:6" x14ac:dyDescent="0.25">
      <c r="A15322">
        <v>15321</v>
      </c>
      <c r="B15322">
        <v>46</v>
      </c>
      <c r="C15322">
        <v>0</v>
      </c>
      <c r="D15322">
        <v>0</v>
      </c>
      <c r="E15322">
        <v>0</v>
      </c>
      <c r="F15322">
        <v>0</v>
      </c>
    </row>
    <row r="15323" spans="1:6" x14ac:dyDescent="0.25">
      <c r="A15323">
        <v>15322</v>
      </c>
      <c r="B15323">
        <v>2</v>
      </c>
      <c r="C15323">
        <v>0</v>
      </c>
      <c r="D15323">
        <v>0</v>
      </c>
      <c r="E15323">
        <v>0</v>
      </c>
      <c r="F15323">
        <v>242.76400000000001</v>
      </c>
    </row>
    <row r="15324" spans="1:6" x14ac:dyDescent="0.25">
      <c r="A15324">
        <v>15323</v>
      </c>
      <c r="B15324">
        <v>10</v>
      </c>
      <c r="C15324">
        <v>1</v>
      </c>
      <c r="D15324">
        <v>0</v>
      </c>
      <c r="E15324">
        <v>0</v>
      </c>
      <c r="F15324">
        <v>5237</v>
      </c>
    </row>
    <row r="15325" spans="1:6" x14ac:dyDescent="0.25">
      <c r="A15325">
        <v>15324</v>
      </c>
      <c r="B15325">
        <v>13</v>
      </c>
      <c r="C15325">
        <v>0</v>
      </c>
      <c r="D15325">
        <v>0</v>
      </c>
      <c r="E15325">
        <v>0</v>
      </c>
      <c r="F15325">
        <v>1614</v>
      </c>
    </row>
    <row r="15326" spans="1:6" x14ac:dyDescent="0.25">
      <c r="A15326">
        <v>15325</v>
      </c>
      <c r="B15326" t="s">
        <v>0</v>
      </c>
      <c r="C15326">
        <v>122</v>
      </c>
      <c r="D15326">
        <v>3506</v>
      </c>
      <c r="E15326">
        <v>80648313</v>
      </c>
    </row>
    <row r="15327" spans="1:6" x14ac:dyDescent="0.25">
      <c r="A15327">
        <v>15326</v>
      </c>
      <c r="B15327">
        <v>41</v>
      </c>
      <c r="C15327">
        <v>0</v>
      </c>
      <c r="D15327">
        <v>0</v>
      </c>
      <c r="E15327">
        <v>0</v>
      </c>
      <c r="F15327">
        <v>1</v>
      </c>
    </row>
    <row r="15328" spans="1:6" x14ac:dyDescent="0.25">
      <c r="A15328">
        <v>15327</v>
      </c>
      <c r="B15328">
        <v>42</v>
      </c>
      <c r="C15328">
        <v>0</v>
      </c>
      <c r="D15328">
        <v>0</v>
      </c>
      <c r="E15328">
        <v>0</v>
      </c>
      <c r="F15328">
        <v>0.2</v>
      </c>
    </row>
    <row r="15329" spans="1:6" x14ac:dyDescent="0.25">
      <c r="A15329">
        <v>15328</v>
      </c>
      <c r="B15329" t="s">
        <v>0</v>
      </c>
      <c r="C15329">
        <v>123</v>
      </c>
      <c r="D15329">
        <v>3506</v>
      </c>
      <c r="E15329">
        <v>80648450</v>
      </c>
    </row>
    <row r="15330" spans="1:6" x14ac:dyDescent="0.25">
      <c r="A15330">
        <v>15329</v>
      </c>
      <c r="B15330">
        <v>43</v>
      </c>
      <c r="C15330">
        <v>0</v>
      </c>
      <c r="D15330">
        <v>0</v>
      </c>
      <c r="E15330">
        <v>0</v>
      </c>
      <c r="F15330">
        <v>0</v>
      </c>
    </row>
    <row r="15331" spans="1:6" x14ac:dyDescent="0.25">
      <c r="A15331">
        <v>15330</v>
      </c>
      <c r="B15331">
        <v>44</v>
      </c>
      <c r="C15331">
        <v>0</v>
      </c>
      <c r="D15331">
        <v>0</v>
      </c>
      <c r="E15331">
        <v>0</v>
      </c>
      <c r="F15331">
        <v>34.999400000000001</v>
      </c>
    </row>
    <row r="15332" spans="1:6" x14ac:dyDescent="0.25">
      <c r="A15332">
        <v>15331</v>
      </c>
      <c r="B15332" t="s">
        <v>0</v>
      </c>
      <c r="C15332">
        <v>124</v>
      </c>
      <c r="D15332">
        <v>3506</v>
      </c>
      <c r="E15332">
        <v>80648586</v>
      </c>
    </row>
    <row r="15333" spans="1:6" x14ac:dyDescent="0.25">
      <c r="A15333">
        <v>15332</v>
      </c>
      <c r="B15333">
        <v>45</v>
      </c>
      <c r="C15333">
        <v>0</v>
      </c>
      <c r="D15333">
        <v>0</v>
      </c>
      <c r="E15333">
        <v>0</v>
      </c>
      <c r="F15333">
        <v>520.56200000000001</v>
      </c>
    </row>
    <row r="15334" spans="1:6" x14ac:dyDescent="0.25">
      <c r="A15334">
        <v>15333</v>
      </c>
      <c r="B15334">
        <v>46</v>
      </c>
      <c r="C15334">
        <v>0</v>
      </c>
      <c r="D15334">
        <v>0</v>
      </c>
      <c r="E15334">
        <v>0</v>
      </c>
      <c r="F15334">
        <v>0</v>
      </c>
    </row>
    <row r="15335" spans="1:6" x14ac:dyDescent="0.25">
      <c r="A15335">
        <v>15334</v>
      </c>
      <c r="B15335" t="s">
        <v>0</v>
      </c>
      <c r="C15335">
        <v>125</v>
      </c>
      <c r="D15335">
        <v>3506</v>
      </c>
      <c r="E15335">
        <v>80648723</v>
      </c>
    </row>
    <row r="15336" spans="1:6" x14ac:dyDescent="0.25">
      <c r="A15336">
        <v>15335</v>
      </c>
      <c r="B15336">
        <v>2</v>
      </c>
      <c r="C15336">
        <v>0</v>
      </c>
      <c r="D15336">
        <v>0</v>
      </c>
      <c r="E15336">
        <v>0</v>
      </c>
      <c r="F15336">
        <v>242.77699999999999</v>
      </c>
    </row>
    <row r="15337" spans="1:6" x14ac:dyDescent="0.25">
      <c r="A15337">
        <v>15336</v>
      </c>
      <c r="B15337">
        <v>10</v>
      </c>
      <c r="C15337">
        <v>1</v>
      </c>
      <c r="D15337">
        <v>0</v>
      </c>
      <c r="E15337">
        <v>0</v>
      </c>
      <c r="F15337">
        <v>5238</v>
      </c>
    </row>
    <row r="15338" spans="1:6" x14ac:dyDescent="0.25">
      <c r="A15338">
        <v>15337</v>
      </c>
      <c r="B15338" t="s">
        <v>0</v>
      </c>
      <c r="C15338">
        <v>126</v>
      </c>
      <c r="D15338">
        <v>3506</v>
      </c>
      <c r="E15338">
        <v>80648860</v>
      </c>
    </row>
    <row r="15339" spans="1:6" x14ac:dyDescent="0.25">
      <c r="A15339">
        <v>15338</v>
      </c>
      <c r="B15339">
        <v>13</v>
      </c>
      <c r="C15339">
        <v>0</v>
      </c>
      <c r="D15339">
        <v>0</v>
      </c>
      <c r="E15339">
        <v>0</v>
      </c>
      <c r="F15339">
        <v>1614</v>
      </c>
    </row>
    <row r="15340" spans="1:6" x14ac:dyDescent="0.25">
      <c r="A15340">
        <v>15339</v>
      </c>
      <c r="B15340">
        <v>41</v>
      </c>
      <c r="C15340">
        <v>0</v>
      </c>
      <c r="D15340">
        <v>0</v>
      </c>
      <c r="E15340">
        <v>0</v>
      </c>
      <c r="F15340">
        <v>1</v>
      </c>
    </row>
    <row r="15341" spans="1:6" x14ac:dyDescent="0.25">
      <c r="A15341">
        <v>15340</v>
      </c>
      <c r="B15341" t="s">
        <v>0</v>
      </c>
      <c r="C15341">
        <v>127</v>
      </c>
      <c r="D15341">
        <v>3506</v>
      </c>
      <c r="E15341">
        <v>80648996</v>
      </c>
    </row>
    <row r="15342" spans="1:6" x14ac:dyDescent="0.25">
      <c r="A15342">
        <v>15341</v>
      </c>
      <c r="B15342">
        <v>42</v>
      </c>
      <c r="C15342">
        <v>0</v>
      </c>
      <c r="D15342">
        <v>0</v>
      </c>
      <c r="E15342">
        <v>0</v>
      </c>
      <c r="F15342">
        <v>0.2</v>
      </c>
    </row>
    <row r="15343" spans="1:6" x14ac:dyDescent="0.25">
      <c r="A15343">
        <v>15342</v>
      </c>
      <c r="B15343">
        <v>43</v>
      </c>
      <c r="C15343">
        <v>0</v>
      </c>
      <c r="D15343">
        <v>0</v>
      </c>
      <c r="E15343">
        <v>0</v>
      </c>
      <c r="F15343">
        <v>0</v>
      </c>
    </row>
    <row r="15344" spans="1:6" x14ac:dyDescent="0.25">
      <c r="A15344">
        <v>15343</v>
      </c>
      <c r="B15344" t="s">
        <v>0</v>
      </c>
      <c r="C15344">
        <v>128</v>
      </c>
      <c r="D15344">
        <v>3506</v>
      </c>
      <c r="E15344">
        <v>80649133</v>
      </c>
    </row>
    <row r="15345" spans="1:6" x14ac:dyDescent="0.25">
      <c r="A15345">
        <v>15344</v>
      </c>
      <c r="B15345">
        <v>45</v>
      </c>
      <c r="C15345">
        <v>0</v>
      </c>
      <c r="D15345">
        <v>0</v>
      </c>
      <c r="E15345">
        <v>0</v>
      </c>
      <c r="F15345">
        <v>520.6</v>
      </c>
    </row>
    <row r="15346" spans="1:6" x14ac:dyDescent="0.25">
      <c r="A15346">
        <v>15345</v>
      </c>
      <c r="B15346" t="s">
        <v>0</v>
      </c>
      <c r="C15346">
        <v>129</v>
      </c>
      <c r="D15346">
        <v>3506</v>
      </c>
      <c r="E15346">
        <v>80649269</v>
      </c>
    </row>
    <row r="15347" spans="1:6" x14ac:dyDescent="0.25">
      <c r="A15347">
        <v>15346</v>
      </c>
      <c r="B15347">
        <v>2</v>
      </c>
      <c r="C15347">
        <v>0</v>
      </c>
      <c r="D15347">
        <v>0</v>
      </c>
      <c r="E15347">
        <v>0</v>
      </c>
      <c r="F15347">
        <v>242.786</v>
      </c>
    </row>
    <row r="15348" spans="1:6" x14ac:dyDescent="0.25">
      <c r="A15348">
        <v>15347</v>
      </c>
      <c r="B15348" t="s">
        <v>0</v>
      </c>
      <c r="C15348">
        <v>130</v>
      </c>
      <c r="D15348">
        <v>3506</v>
      </c>
      <c r="E15348">
        <v>80649405</v>
      </c>
    </row>
    <row r="15349" spans="1:6" x14ac:dyDescent="0.25">
      <c r="A15349">
        <v>15348</v>
      </c>
      <c r="B15349">
        <v>13</v>
      </c>
      <c r="C15349">
        <v>0</v>
      </c>
      <c r="D15349">
        <v>0</v>
      </c>
      <c r="E15349">
        <v>0</v>
      </c>
      <c r="F15349">
        <v>1614</v>
      </c>
    </row>
    <row r="15350" spans="1:6" x14ac:dyDescent="0.25">
      <c r="A15350">
        <v>15349</v>
      </c>
      <c r="B15350" t="s">
        <v>0</v>
      </c>
      <c r="C15350">
        <v>131</v>
      </c>
      <c r="D15350">
        <v>3506</v>
      </c>
      <c r="E15350">
        <v>80649542</v>
      </c>
    </row>
    <row r="15351" spans="1:6" x14ac:dyDescent="0.25">
      <c r="A15351">
        <v>15350</v>
      </c>
      <c r="B15351">
        <v>42</v>
      </c>
      <c r="C15351">
        <v>0</v>
      </c>
      <c r="D15351">
        <v>0</v>
      </c>
      <c r="E15351">
        <v>0</v>
      </c>
      <c r="F15351">
        <v>0.2</v>
      </c>
    </row>
    <row r="15352" spans="1:6" x14ac:dyDescent="0.25">
      <c r="A15352">
        <v>15351</v>
      </c>
      <c r="B15352" t="s">
        <v>0</v>
      </c>
      <c r="C15352">
        <v>132</v>
      </c>
      <c r="D15352">
        <v>3506</v>
      </c>
      <c r="E15352">
        <v>80649679</v>
      </c>
    </row>
    <row r="15353" spans="1:6" x14ac:dyDescent="0.25">
      <c r="A15353">
        <v>15352</v>
      </c>
      <c r="B15353">
        <v>44</v>
      </c>
      <c r="C15353">
        <v>0</v>
      </c>
      <c r="D15353">
        <v>0</v>
      </c>
      <c r="E15353">
        <v>0</v>
      </c>
      <c r="F15353">
        <v>35.280500000000004</v>
      </c>
    </row>
    <row r="15354" spans="1:6" x14ac:dyDescent="0.25">
      <c r="A15354">
        <v>15353</v>
      </c>
      <c r="B15354" t="s">
        <v>0</v>
      </c>
      <c r="C15354">
        <v>133</v>
      </c>
      <c r="D15354">
        <v>3506</v>
      </c>
      <c r="E15354">
        <v>80649815</v>
      </c>
    </row>
    <row r="15355" spans="1:6" x14ac:dyDescent="0.25">
      <c r="A15355">
        <v>15354</v>
      </c>
      <c r="B15355">
        <v>46</v>
      </c>
      <c r="C15355">
        <v>0</v>
      </c>
      <c r="D15355">
        <v>0</v>
      </c>
      <c r="E15355">
        <v>0</v>
      </c>
      <c r="F15355">
        <v>0</v>
      </c>
    </row>
    <row r="15356" spans="1:6" x14ac:dyDescent="0.25">
      <c r="A15356">
        <v>15355</v>
      </c>
      <c r="B15356" t="s">
        <v>0</v>
      </c>
      <c r="C15356">
        <v>134</v>
      </c>
      <c r="D15356">
        <v>3506</v>
      </c>
      <c r="E15356">
        <v>80649952</v>
      </c>
    </row>
    <row r="15357" spans="1:6" x14ac:dyDescent="0.25">
      <c r="A15357">
        <v>15356</v>
      </c>
      <c r="B15357">
        <v>10</v>
      </c>
      <c r="C15357">
        <v>1</v>
      </c>
      <c r="D15357">
        <v>0</v>
      </c>
      <c r="E15357">
        <v>0</v>
      </c>
      <c r="F15357">
        <v>5239</v>
      </c>
    </row>
    <row r="15358" spans="1:6" x14ac:dyDescent="0.25">
      <c r="A15358">
        <v>15357</v>
      </c>
      <c r="B15358">
        <v>13</v>
      </c>
      <c r="C15358">
        <v>0</v>
      </c>
      <c r="D15358">
        <v>0</v>
      </c>
      <c r="E15358">
        <v>0</v>
      </c>
      <c r="F15358">
        <v>1614</v>
      </c>
    </row>
    <row r="15359" spans="1:6" x14ac:dyDescent="0.25">
      <c r="A15359">
        <v>15358</v>
      </c>
      <c r="B15359">
        <v>41</v>
      </c>
      <c r="C15359">
        <v>0</v>
      </c>
      <c r="D15359">
        <v>0</v>
      </c>
      <c r="E15359">
        <v>0</v>
      </c>
      <c r="F15359">
        <v>1</v>
      </c>
    </row>
    <row r="15360" spans="1:6" x14ac:dyDescent="0.25">
      <c r="A15360">
        <v>15359</v>
      </c>
      <c r="B15360">
        <v>42</v>
      </c>
      <c r="C15360">
        <v>0</v>
      </c>
      <c r="D15360">
        <v>0</v>
      </c>
      <c r="E15360">
        <v>0</v>
      </c>
      <c r="F15360">
        <v>0.2</v>
      </c>
    </row>
    <row r="15361" spans="1:6" x14ac:dyDescent="0.25">
      <c r="A15361">
        <v>15360</v>
      </c>
      <c r="B15361">
        <v>43</v>
      </c>
      <c r="C15361">
        <v>0</v>
      </c>
      <c r="D15361">
        <v>0</v>
      </c>
      <c r="E15361">
        <v>0</v>
      </c>
      <c r="F15361">
        <v>0</v>
      </c>
    </row>
    <row r="15362" spans="1:6" x14ac:dyDescent="0.25">
      <c r="A15362">
        <v>15361</v>
      </c>
      <c r="B15362">
        <v>44</v>
      </c>
      <c r="C15362">
        <v>0</v>
      </c>
      <c r="D15362">
        <v>0</v>
      </c>
      <c r="E15362">
        <v>0</v>
      </c>
      <c r="F15362">
        <v>35.424500000000002</v>
      </c>
    </row>
    <row r="15363" spans="1:6" x14ac:dyDescent="0.25">
      <c r="A15363">
        <v>15362</v>
      </c>
      <c r="B15363">
        <v>45</v>
      </c>
      <c r="C15363">
        <v>0</v>
      </c>
      <c r="D15363">
        <v>0</v>
      </c>
      <c r="E15363">
        <v>0</v>
      </c>
      <c r="F15363">
        <v>520.68700000000001</v>
      </c>
    </row>
    <row r="15364" spans="1:6" x14ac:dyDescent="0.25">
      <c r="A15364">
        <v>15363</v>
      </c>
      <c r="B15364">
        <v>46</v>
      </c>
      <c r="C15364">
        <v>0</v>
      </c>
      <c r="D15364">
        <v>0</v>
      </c>
      <c r="E15364">
        <v>0</v>
      </c>
      <c r="F15364">
        <v>0</v>
      </c>
    </row>
    <row r="15365" spans="1:6" x14ac:dyDescent="0.25">
      <c r="A15365">
        <v>15364</v>
      </c>
      <c r="B15365">
        <v>2</v>
      </c>
      <c r="C15365">
        <v>0</v>
      </c>
      <c r="D15365">
        <v>0</v>
      </c>
      <c r="E15365">
        <v>0</v>
      </c>
      <c r="F15365">
        <v>242.8</v>
      </c>
    </row>
    <row r="15366" spans="1:6" x14ac:dyDescent="0.25">
      <c r="A15366">
        <v>15365</v>
      </c>
      <c r="B15366">
        <v>10</v>
      </c>
      <c r="C15366">
        <v>1</v>
      </c>
      <c r="D15366">
        <v>0</v>
      </c>
      <c r="E15366">
        <v>0</v>
      </c>
      <c r="F15366">
        <v>5240</v>
      </c>
    </row>
    <row r="15367" spans="1:6" x14ac:dyDescent="0.25">
      <c r="A15367">
        <v>15366</v>
      </c>
      <c r="B15367">
        <v>13</v>
      </c>
      <c r="C15367">
        <v>0</v>
      </c>
      <c r="D15367">
        <v>0</v>
      </c>
      <c r="E15367">
        <v>0</v>
      </c>
      <c r="F15367">
        <v>1614</v>
      </c>
    </row>
    <row r="15368" spans="1:6" x14ac:dyDescent="0.25">
      <c r="A15368">
        <v>15367</v>
      </c>
      <c r="B15368">
        <v>41</v>
      </c>
      <c r="C15368">
        <v>0</v>
      </c>
      <c r="D15368">
        <v>0</v>
      </c>
      <c r="E15368">
        <v>0</v>
      </c>
      <c r="F15368">
        <v>1</v>
      </c>
    </row>
    <row r="15369" spans="1:6" x14ac:dyDescent="0.25">
      <c r="A15369">
        <v>15368</v>
      </c>
      <c r="B15369">
        <v>42</v>
      </c>
      <c r="C15369">
        <v>0</v>
      </c>
      <c r="D15369">
        <v>0</v>
      </c>
      <c r="E15369">
        <v>0</v>
      </c>
      <c r="F15369">
        <v>0.2</v>
      </c>
    </row>
    <row r="15370" spans="1:6" x14ac:dyDescent="0.25">
      <c r="A15370">
        <v>15369</v>
      </c>
      <c r="B15370">
        <v>43</v>
      </c>
      <c r="C15370">
        <v>0</v>
      </c>
      <c r="D15370">
        <v>0</v>
      </c>
      <c r="E15370">
        <v>0</v>
      </c>
      <c r="F15370">
        <v>0</v>
      </c>
    </row>
    <row r="15371" spans="1:6" x14ac:dyDescent="0.25">
      <c r="A15371">
        <v>15370</v>
      </c>
      <c r="B15371" t="s">
        <v>0</v>
      </c>
      <c r="C15371">
        <v>141</v>
      </c>
      <c r="D15371">
        <v>3506</v>
      </c>
      <c r="E15371">
        <v>80650909</v>
      </c>
    </row>
    <row r="15372" spans="1:6" x14ac:dyDescent="0.25">
      <c r="A15372">
        <v>15371</v>
      </c>
      <c r="B15372">
        <v>44</v>
      </c>
      <c r="C15372">
        <v>0</v>
      </c>
      <c r="D15372">
        <v>0</v>
      </c>
      <c r="E15372">
        <v>0</v>
      </c>
      <c r="F15372">
        <v>35.593499999999999</v>
      </c>
    </row>
    <row r="15373" spans="1:6" x14ac:dyDescent="0.25">
      <c r="A15373">
        <v>15372</v>
      </c>
      <c r="B15373">
        <v>45</v>
      </c>
      <c r="C15373">
        <v>0</v>
      </c>
      <c r="D15373">
        <v>0</v>
      </c>
      <c r="E15373">
        <v>0</v>
      </c>
      <c r="F15373">
        <v>520.72699999999998</v>
      </c>
    </row>
    <row r="15374" spans="1:6" x14ac:dyDescent="0.25">
      <c r="A15374">
        <v>15373</v>
      </c>
      <c r="B15374" t="s">
        <v>0</v>
      </c>
      <c r="C15374">
        <v>142</v>
      </c>
      <c r="D15374">
        <v>3506</v>
      </c>
      <c r="E15374">
        <v>80651045</v>
      </c>
    </row>
    <row r="15375" spans="1:6" x14ac:dyDescent="0.25">
      <c r="A15375">
        <v>15374</v>
      </c>
      <c r="B15375">
        <v>46</v>
      </c>
      <c r="C15375">
        <v>0</v>
      </c>
      <c r="D15375">
        <v>0</v>
      </c>
      <c r="E15375">
        <v>0</v>
      </c>
      <c r="F15375">
        <v>0</v>
      </c>
    </row>
    <row r="15376" spans="1:6" x14ac:dyDescent="0.25">
      <c r="A15376">
        <v>15375</v>
      </c>
      <c r="B15376">
        <v>2</v>
      </c>
      <c r="C15376">
        <v>0</v>
      </c>
      <c r="D15376">
        <v>0</v>
      </c>
      <c r="E15376">
        <v>0</v>
      </c>
      <c r="F15376">
        <v>242.804</v>
      </c>
    </row>
    <row r="15377" spans="1:6" x14ac:dyDescent="0.25">
      <c r="A15377">
        <v>15376</v>
      </c>
      <c r="B15377" t="s">
        <v>0</v>
      </c>
      <c r="C15377">
        <v>143</v>
      </c>
      <c r="D15377">
        <v>3506</v>
      </c>
      <c r="E15377">
        <v>80651182</v>
      </c>
    </row>
    <row r="15378" spans="1:6" x14ac:dyDescent="0.25">
      <c r="A15378">
        <v>15377</v>
      </c>
      <c r="B15378">
        <v>10</v>
      </c>
      <c r="C15378">
        <v>1</v>
      </c>
      <c r="D15378">
        <v>0</v>
      </c>
      <c r="E15378">
        <v>0</v>
      </c>
      <c r="F15378">
        <v>5241</v>
      </c>
    </row>
    <row r="15379" spans="1:6" x14ac:dyDescent="0.25">
      <c r="A15379">
        <v>15378</v>
      </c>
      <c r="B15379">
        <v>13</v>
      </c>
      <c r="C15379">
        <v>0</v>
      </c>
      <c r="D15379">
        <v>0</v>
      </c>
      <c r="E15379">
        <v>0</v>
      </c>
      <c r="F15379">
        <v>1614</v>
      </c>
    </row>
    <row r="15380" spans="1:6" x14ac:dyDescent="0.25">
      <c r="A15380">
        <v>15379</v>
      </c>
      <c r="B15380" t="s">
        <v>0</v>
      </c>
      <c r="C15380">
        <v>144</v>
      </c>
      <c r="D15380">
        <v>3506</v>
      </c>
      <c r="E15380">
        <v>80651319</v>
      </c>
    </row>
    <row r="15381" spans="1:6" x14ac:dyDescent="0.25">
      <c r="A15381">
        <v>15380</v>
      </c>
      <c r="B15381">
        <v>41</v>
      </c>
      <c r="C15381">
        <v>0</v>
      </c>
      <c r="D15381">
        <v>0</v>
      </c>
      <c r="E15381">
        <v>0</v>
      </c>
      <c r="F15381">
        <v>1</v>
      </c>
    </row>
    <row r="15382" spans="1:6" x14ac:dyDescent="0.25">
      <c r="A15382">
        <v>15381</v>
      </c>
      <c r="B15382">
        <v>42</v>
      </c>
      <c r="C15382">
        <v>0</v>
      </c>
      <c r="D15382">
        <v>0</v>
      </c>
      <c r="E15382">
        <v>0</v>
      </c>
      <c r="F15382">
        <v>0.2</v>
      </c>
    </row>
    <row r="15383" spans="1:6" x14ac:dyDescent="0.25">
      <c r="A15383">
        <v>15382</v>
      </c>
      <c r="B15383" t="s">
        <v>0</v>
      </c>
      <c r="C15383">
        <v>145</v>
      </c>
      <c r="D15383">
        <v>3506</v>
      </c>
      <c r="E15383">
        <v>80651455</v>
      </c>
    </row>
    <row r="15384" spans="1:6" x14ac:dyDescent="0.25">
      <c r="A15384">
        <v>15383</v>
      </c>
      <c r="B15384">
        <v>43</v>
      </c>
      <c r="C15384">
        <v>0</v>
      </c>
      <c r="D15384">
        <v>0</v>
      </c>
      <c r="E15384">
        <v>0</v>
      </c>
      <c r="F15384">
        <v>0</v>
      </c>
    </row>
    <row r="15385" spans="1:6" x14ac:dyDescent="0.25">
      <c r="A15385">
        <v>15384</v>
      </c>
      <c r="B15385">
        <v>44</v>
      </c>
      <c r="C15385">
        <v>0</v>
      </c>
      <c r="D15385">
        <v>0</v>
      </c>
      <c r="E15385">
        <v>0</v>
      </c>
      <c r="F15385">
        <v>35.714700000000001</v>
      </c>
    </row>
    <row r="15386" spans="1:6" x14ac:dyDescent="0.25">
      <c r="A15386">
        <v>15385</v>
      </c>
      <c r="B15386" t="s">
        <v>0</v>
      </c>
      <c r="C15386">
        <v>146</v>
      </c>
      <c r="D15386">
        <v>3506</v>
      </c>
      <c r="E15386">
        <v>80651592</v>
      </c>
    </row>
    <row r="15387" spans="1:6" x14ac:dyDescent="0.25">
      <c r="A15387">
        <v>15386</v>
      </c>
      <c r="B15387">
        <v>45</v>
      </c>
      <c r="C15387">
        <v>0</v>
      </c>
      <c r="D15387">
        <v>0</v>
      </c>
      <c r="E15387">
        <v>0</v>
      </c>
      <c r="F15387">
        <v>520.77499999999998</v>
      </c>
    </row>
    <row r="15388" spans="1:6" x14ac:dyDescent="0.25">
      <c r="A15388">
        <v>15387</v>
      </c>
      <c r="B15388">
        <v>46</v>
      </c>
      <c r="C15388">
        <v>0</v>
      </c>
      <c r="D15388">
        <v>0</v>
      </c>
      <c r="E15388">
        <v>0</v>
      </c>
      <c r="F15388">
        <v>0</v>
      </c>
    </row>
    <row r="15389" spans="1:6" x14ac:dyDescent="0.25">
      <c r="A15389">
        <v>15388</v>
      </c>
      <c r="B15389" t="s">
        <v>0</v>
      </c>
      <c r="C15389">
        <v>147</v>
      </c>
      <c r="D15389">
        <v>3506</v>
      </c>
      <c r="E15389">
        <v>80651729</v>
      </c>
    </row>
    <row r="15390" spans="1:6" x14ac:dyDescent="0.25">
      <c r="A15390">
        <v>15389</v>
      </c>
      <c r="B15390">
        <v>10</v>
      </c>
      <c r="C15390">
        <v>1</v>
      </c>
      <c r="D15390">
        <v>0</v>
      </c>
      <c r="E15390">
        <v>0</v>
      </c>
      <c r="F15390">
        <v>5242</v>
      </c>
    </row>
    <row r="15391" spans="1:6" x14ac:dyDescent="0.25">
      <c r="A15391">
        <v>15390</v>
      </c>
      <c r="B15391" t="s">
        <v>0</v>
      </c>
      <c r="C15391">
        <v>148</v>
      </c>
      <c r="D15391">
        <v>3506</v>
      </c>
      <c r="E15391">
        <v>80651865</v>
      </c>
    </row>
    <row r="15392" spans="1:6" x14ac:dyDescent="0.25">
      <c r="A15392">
        <v>15391</v>
      </c>
      <c r="B15392">
        <v>41</v>
      </c>
      <c r="C15392">
        <v>0</v>
      </c>
      <c r="D15392">
        <v>0</v>
      </c>
      <c r="E15392">
        <v>0</v>
      </c>
      <c r="F15392">
        <v>1</v>
      </c>
    </row>
    <row r="15393" spans="1:6" x14ac:dyDescent="0.25">
      <c r="A15393">
        <v>15392</v>
      </c>
      <c r="B15393" t="s">
        <v>0</v>
      </c>
      <c r="C15393">
        <v>149</v>
      </c>
      <c r="D15393">
        <v>3506</v>
      </c>
      <c r="E15393">
        <v>80652002</v>
      </c>
    </row>
    <row r="15394" spans="1:6" x14ac:dyDescent="0.25">
      <c r="A15394">
        <v>15393</v>
      </c>
      <c r="B15394">
        <v>43</v>
      </c>
      <c r="C15394">
        <v>0</v>
      </c>
      <c r="D15394">
        <v>0</v>
      </c>
      <c r="E15394">
        <v>0</v>
      </c>
      <c r="F15394">
        <v>0</v>
      </c>
    </row>
    <row r="15395" spans="1:6" x14ac:dyDescent="0.25">
      <c r="A15395">
        <v>15394</v>
      </c>
      <c r="B15395" t="s">
        <v>0</v>
      </c>
      <c r="C15395">
        <v>150</v>
      </c>
      <c r="D15395">
        <v>3506</v>
      </c>
      <c r="E15395">
        <v>80652139</v>
      </c>
    </row>
    <row r="15396" spans="1:6" x14ac:dyDescent="0.25">
      <c r="A15396">
        <v>15395</v>
      </c>
      <c r="B15396">
        <v>45</v>
      </c>
      <c r="C15396">
        <v>0</v>
      </c>
      <c r="D15396">
        <v>0</v>
      </c>
      <c r="E15396">
        <v>0</v>
      </c>
      <c r="F15396">
        <v>520.81500000000005</v>
      </c>
    </row>
    <row r="15397" spans="1:6" x14ac:dyDescent="0.25">
      <c r="A15397">
        <v>15396</v>
      </c>
      <c r="B15397" t="s">
        <v>0</v>
      </c>
      <c r="C15397">
        <v>151</v>
      </c>
      <c r="D15397">
        <v>3506</v>
      </c>
      <c r="E15397">
        <v>80652275</v>
      </c>
    </row>
    <row r="15398" spans="1:6" x14ac:dyDescent="0.25">
      <c r="A15398">
        <v>15397</v>
      </c>
      <c r="B15398">
        <v>2</v>
      </c>
      <c r="C15398">
        <v>0</v>
      </c>
      <c r="D15398">
        <v>0</v>
      </c>
      <c r="E15398">
        <v>0</v>
      </c>
      <c r="F15398">
        <v>242.81100000000001</v>
      </c>
    </row>
    <row r="15399" spans="1:6" x14ac:dyDescent="0.25">
      <c r="A15399">
        <v>15398</v>
      </c>
      <c r="B15399" t="s">
        <v>0</v>
      </c>
      <c r="C15399">
        <v>152</v>
      </c>
      <c r="D15399">
        <v>3506</v>
      </c>
      <c r="E15399">
        <v>80652412</v>
      </c>
    </row>
    <row r="15400" spans="1:6" x14ac:dyDescent="0.25">
      <c r="A15400">
        <v>15399</v>
      </c>
      <c r="B15400">
        <v>13</v>
      </c>
      <c r="C15400">
        <v>0</v>
      </c>
      <c r="D15400">
        <v>0</v>
      </c>
      <c r="E15400">
        <v>0</v>
      </c>
      <c r="F15400">
        <v>1614</v>
      </c>
    </row>
    <row r="15401" spans="1:6" x14ac:dyDescent="0.25">
      <c r="A15401">
        <v>15400</v>
      </c>
      <c r="B15401">
        <v>41</v>
      </c>
      <c r="C15401">
        <v>0</v>
      </c>
      <c r="D15401">
        <v>0</v>
      </c>
      <c r="E15401">
        <v>0</v>
      </c>
      <c r="F15401">
        <v>1</v>
      </c>
    </row>
    <row r="15402" spans="1:6" x14ac:dyDescent="0.25">
      <c r="A15402">
        <v>15401</v>
      </c>
      <c r="B15402">
        <v>42</v>
      </c>
      <c r="C15402">
        <v>0</v>
      </c>
      <c r="D15402">
        <v>0</v>
      </c>
      <c r="E15402">
        <v>0</v>
      </c>
      <c r="F15402">
        <v>0.2</v>
      </c>
    </row>
    <row r="15403" spans="1:6" x14ac:dyDescent="0.25">
      <c r="A15403">
        <v>15402</v>
      </c>
      <c r="B15403">
        <v>43</v>
      </c>
      <c r="C15403">
        <v>0</v>
      </c>
      <c r="D15403">
        <v>0</v>
      </c>
      <c r="E15403">
        <v>0</v>
      </c>
      <c r="F15403">
        <v>0</v>
      </c>
    </row>
    <row r="15404" spans="1:6" x14ac:dyDescent="0.25">
      <c r="A15404">
        <v>15403</v>
      </c>
      <c r="B15404">
        <v>44</v>
      </c>
      <c r="C15404">
        <v>0</v>
      </c>
      <c r="D15404">
        <v>0</v>
      </c>
      <c r="E15404">
        <v>0</v>
      </c>
      <c r="F15404">
        <v>36.008600000000001</v>
      </c>
    </row>
    <row r="15405" spans="1:6" x14ac:dyDescent="0.25">
      <c r="A15405">
        <v>15404</v>
      </c>
      <c r="B15405">
        <v>45</v>
      </c>
      <c r="C15405">
        <v>0</v>
      </c>
      <c r="D15405">
        <v>0</v>
      </c>
      <c r="E15405">
        <v>0</v>
      </c>
      <c r="F15405">
        <v>520.85400000000004</v>
      </c>
    </row>
    <row r="15406" spans="1:6" x14ac:dyDescent="0.25">
      <c r="A15406">
        <v>15405</v>
      </c>
      <c r="B15406">
        <v>46</v>
      </c>
      <c r="C15406">
        <v>0</v>
      </c>
      <c r="D15406">
        <v>0</v>
      </c>
      <c r="E15406">
        <v>0</v>
      </c>
      <c r="F15406">
        <v>0</v>
      </c>
    </row>
    <row r="15407" spans="1:6" x14ac:dyDescent="0.25">
      <c r="A15407">
        <v>15406</v>
      </c>
      <c r="B15407">
        <v>2</v>
      </c>
      <c r="C15407">
        <v>0</v>
      </c>
      <c r="D15407">
        <v>0</v>
      </c>
      <c r="E15407">
        <v>0</v>
      </c>
      <c r="F15407">
        <v>242.81299999999999</v>
      </c>
    </row>
    <row r="15408" spans="1:6" x14ac:dyDescent="0.25">
      <c r="A15408">
        <v>15407</v>
      </c>
      <c r="B15408">
        <v>10</v>
      </c>
      <c r="C15408">
        <v>1</v>
      </c>
      <c r="D15408">
        <v>0</v>
      </c>
      <c r="E15408">
        <v>0</v>
      </c>
      <c r="F15408">
        <v>5244</v>
      </c>
    </row>
    <row r="15409" spans="1:6" x14ac:dyDescent="0.25">
      <c r="A15409">
        <v>15408</v>
      </c>
      <c r="B15409">
        <v>13</v>
      </c>
      <c r="C15409">
        <v>0</v>
      </c>
      <c r="D15409">
        <v>0</v>
      </c>
      <c r="E15409">
        <v>0</v>
      </c>
      <c r="F15409">
        <v>1614</v>
      </c>
    </row>
    <row r="15410" spans="1:6" x14ac:dyDescent="0.25">
      <c r="A15410">
        <v>15409</v>
      </c>
      <c r="B15410">
        <v>41</v>
      </c>
      <c r="C15410">
        <v>0</v>
      </c>
      <c r="D15410">
        <v>0</v>
      </c>
      <c r="E15410">
        <v>0</v>
      </c>
      <c r="F15410">
        <v>1</v>
      </c>
    </row>
    <row r="15411" spans="1:6" x14ac:dyDescent="0.25">
      <c r="A15411">
        <v>15410</v>
      </c>
      <c r="B15411">
        <v>42</v>
      </c>
      <c r="C15411">
        <v>0</v>
      </c>
      <c r="D15411">
        <v>0</v>
      </c>
      <c r="E15411">
        <v>0</v>
      </c>
      <c r="F15411">
        <v>0.2</v>
      </c>
    </row>
    <row r="15412" spans="1:6" x14ac:dyDescent="0.25">
      <c r="A15412">
        <v>15411</v>
      </c>
      <c r="B15412">
        <v>43</v>
      </c>
      <c r="C15412">
        <v>0</v>
      </c>
      <c r="D15412">
        <v>0</v>
      </c>
      <c r="E15412">
        <v>0</v>
      </c>
      <c r="F15412">
        <v>0</v>
      </c>
    </row>
    <row r="15413" spans="1:6" x14ac:dyDescent="0.25">
      <c r="A15413">
        <v>15412</v>
      </c>
      <c r="B15413">
        <v>44</v>
      </c>
      <c r="C15413">
        <v>0</v>
      </c>
      <c r="D15413">
        <v>0</v>
      </c>
      <c r="E15413">
        <v>0</v>
      </c>
      <c r="F15413">
        <v>36.156399999999998</v>
      </c>
    </row>
    <row r="15414" spans="1:6" x14ac:dyDescent="0.25">
      <c r="A15414">
        <v>15413</v>
      </c>
      <c r="B15414">
        <v>45</v>
      </c>
      <c r="C15414">
        <v>0</v>
      </c>
      <c r="D15414">
        <v>0</v>
      </c>
      <c r="E15414">
        <v>0</v>
      </c>
      <c r="F15414">
        <v>520.904</v>
      </c>
    </row>
    <row r="15415" spans="1:6" x14ac:dyDescent="0.25">
      <c r="A15415">
        <v>15414</v>
      </c>
      <c r="B15415">
        <v>46</v>
      </c>
      <c r="C15415">
        <v>0</v>
      </c>
      <c r="D15415">
        <v>0</v>
      </c>
      <c r="E15415">
        <v>0</v>
      </c>
      <c r="F15415">
        <v>0</v>
      </c>
    </row>
    <row r="15416" spans="1:6" x14ac:dyDescent="0.25">
      <c r="A15416">
        <v>15415</v>
      </c>
      <c r="B15416" t="s">
        <v>0</v>
      </c>
      <c r="C15416">
        <v>160</v>
      </c>
      <c r="D15416">
        <v>3506</v>
      </c>
      <c r="E15416">
        <v>80653506</v>
      </c>
    </row>
    <row r="15417" spans="1:6" x14ac:dyDescent="0.25">
      <c r="A15417">
        <v>15416</v>
      </c>
      <c r="B15417">
        <v>2</v>
      </c>
      <c r="C15417">
        <v>0</v>
      </c>
      <c r="D15417">
        <v>0</v>
      </c>
      <c r="E15417">
        <v>0</v>
      </c>
      <c r="F15417">
        <v>242.816</v>
      </c>
    </row>
    <row r="15418" spans="1:6" x14ac:dyDescent="0.25">
      <c r="A15418">
        <v>15417</v>
      </c>
      <c r="B15418">
        <v>10</v>
      </c>
      <c r="C15418">
        <v>1</v>
      </c>
      <c r="D15418">
        <v>0</v>
      </c>
      <c r="E15418">
        <v>0</v>
      </c>
      <c r="F15418">
        <v>5246</v>
      </c>
    </row>
    <row r="15419" spans="1:6" x14ac:dyDescent="0.25">
      <c r="A15419">
        <v>15418</v>
      </c>
      <c r="B15419" t="s">
        <v>0</v>
      </c>
      <c r="C15419">
        <v>161</v>
      </c>
      <c r="D15419">
        <v>3506</v>
      </c>
      <c r="E15419">
        <v>80653643</v>
      </c>
    </row>
    <row r="15420" spans="1:6" x14ac:dyDescent="0.25">
      <c r="A15420">
        <v>15419</v>
      </c>
      <c r="B15420">
        <v>13</v>
      </c>
      <c r="C15420">
        <v>0</v>
      </c>
      <c r="D15420">
        <v>0</v>
      </c>
      <c r="E15420">
        <v>0</v>
      </c>
      <c r="F15420">
        <v>1614</v>
      </c>
    </row>
    <row r="15421" spans="1:6" x14ac:dyDescent="0.25">
      <c r="A15421">
        <v>15420</v>
      </c>
      <c r="B15421">
        <v>41</v>
      </c>
      <c r="C15421">
        <v>0</v>
      </c>
      <c r="D15421">
        <v>0</v>
      </c>
      <c r="E15421">
        <v>0</v>
      </c>
      <c r="F15421">
        <v>1</v>
      </c>
    </row>
    <row r="15422" spans="1:6" x14ac:dyDescent="0.25">
      <c r="A15422">
        <v>15421</v>
      </c>
      <c r="B15422" t="s">
        <v>0</v>
      </c>
      <c r="C15422">
        <v>162</v>
      </c>
      <c r="D15422">
        <v>3506</v>
      </c>
      <c r="E15422">
        <v>80653780</v>
      </c>
    </row>
    <row r="15423" spans="1:6" x14ac:dyDescent="0.25">
      <c r="A15423">
        <v>15422</v>
      </c>
      <c r="B15423">
        <v>42</v>
      </c>
      <c r="C15423">
        <v>0</v>
      </c>
      <c r="D15423">
        <v>0</v>
      </c>
      <c r="E15423">
        <v>0</v>
      </c>
      <c r="F15423">
        <v>0.2</v>
      </c>
    </row>
    <row r="15424" spans="1:6" x14ac:dyDescent="0.25">
      <c r="A15424">
        <v>15423</v>
      </c>
      <c r="B15424">
        <v>43</v>
      </c>
      <c r="C15424">
        <v>0</v>
      </c>
      <c r="D15424">
        <v>0</v>
      </c>
      <c r="E15424">
        <v>0</v>
      </c>
      <c r="F15424">
        <v>0</v>
      </c>
    </row>
    <row r="15425" spans="1:6" x14ac:dyDescent="0.25">
      <c r="A15425">
        <v>15424</v>
      </c>
      <c r="B15425" t="s">
        <v>0</v>
      </c>
      <c r="C15425">
        <v>163</v>
      </c>
      <c r="D15425">
        <v>3506</v>
      </c>
      <c r="E15425">
        <v>80653916</v>
      </c>
    </row>
    <row r="15426" spans="1:6" x14ac:dyDescent="0.25">
      <c r="A15426">
        <v>15425</v>
      </c>
      <c r="B15426">
        <v>44</v>
      </c>
      <c r="C15426">
        <v>0</v>
      </c>
      <c r="D15426">
        <v>0</v>
      </c>
      <c r="E15426">
        <v>0</v>
      </c>
      <c r="F15426">
        <v>36.329500000000003</v>
      </c>
    </row>
    <row r="15427" spans="1:6" x14ac:dyDescent="0.25">
      <c r="A15427">
        <v>15426</v>
      </c>
      <c r="B15427">
        <v>45</v>
      </c>
      <c r="C15427">
        <v>0</v>
      </c>
      <c r="D15427">
        <v>0</v>
      </c>
      <c r="E15427">
        <v>0</v>
      </c>
      <c r="F15427">
        <v>520.94399999999996</v>
      </c>
    </row>
    <row r="15428" spans="1:6" x14ac:dyDescent="0.25">
      <c r="A15428">
        <v>15427</v>
      </c>
      <c r="B15428" t="s">
        <v>0</v>
      </c>
      <c r="C15428">
        <v>164</v>
      </c>
      <c r="D15428">
        <v>3506</v>
      </c>
      <c r="E15428">
        <v>80654053</v>
      </c>
    </row>
    <row r="15429" spans="1:6" x14ac:dyDescent="0.25">
      <c r="A15429">
        <v>15428</v>
      </c>
      <c r="B15429">
        <v>46</v>
      </c>
      <c r="C15429">
        <v>0</v>
      </c>
      <c r="D15429">
        <v>0</v>
      </c>
      <c r="E15429">
        <v>0</v>
      </c>
      <c r="F15429">
        <v>0</v>
      </c>
    </row>
    <row r="15430" spans="1:6" x14ac:dyDescent="0.25">
      <c r="A15430">
        <v>15429</v>
      </c>
      <c r="B15430">
        <v>2</v>
      </c>
      <c r="C15430">
        <v>0</v>
      </c>
      <c r="D15430">
        <v>0</v>
      </c>
      <c r="E15430">
        <v>0</v>
      </c>
      <c r="F15430">
        <v>242.81700000000001</v>
      </c>
    </row>
    <row r="15431" spans="1:6" x14ac:dyDescent="0.25">
      <c r="A15431">
        <v>15430</v>
      </c>
      <c r="B15431" t="s">
        <v>0</v>
      </c>
      <c r="C15431">
        <v>165</v>
      </c>
      <c r="D15431">
        <v>3506</v>
      </c>
      <c r="E15431">
        <v>80654190</v>
      </c>
    </row>
    <row r="15432" spans="1:6" x14ac:dyDescent="0.25">
      <c r="A15432">
        <v>15431</v>
      </c>
      <c r="B15432">
        <v>13</v>
      </c>
      <c r="C15432">
        <v>0</v>
      </c>
      <c r="D15432">
        <v>0</v>
      </c>
      <c r="E15432">
        <v>0</v>
      </c>
      <c r="F15432">
        <v>1614</v>
      </c>
    </row>
    <row r="15433" spans="1:6" x14ac:dyDescent="0.25">
      <c r="A15433">
        <v>15432</v>
      </c>
      <c r="B15433" t="s">
        <v>0</v>
      </c>
      <c r="C15433">
        <v>166</v>
      </c>
      <c r="D15433">
        <v>3506</v>
      </c>
      <c r="E15433">
        <v>80654326</v>
      </c>
    </row>
    <row r="15434" spans="1:6" x14ac:dyDescent="0.25">
      <c r="A15434">
        <v>15433</v>
      </c>
      <c r="B15434">
        <v>42</v>
      </c>
      <c r="C15434">
        <v>0</v>
      </c>
      <c r="D15434">
        <v>0</v>
      </c>
      <c r="E15434">
        <v>0</v>
      </c>
      <c r="F15434">
        <v>0.2</v>
      </c>
    </row>
    <row r="15435" spans="1:6" x14ac:dyDescent="0.25">
      <c r="A15435">
        <v>15434</v>
      </c>
      <c r="B15435" t="s">
        <v>0</v>
      </c>
      <c r="C15435">
        <v>167</v>
      </c>
      <c r="D15435">
        <v>3506</v>
      </c>
      <c r="E15435">
        <v>80654463</v>
      </c>
    </row>
    <row r="15436" spans="1:6" x14ac:dyDescent="0.25">
      <c r="A15436">
        <v>15435</v>
      </c>
      <c r="B15436">
        <v>44</v>
      </c>
      <c r="C15436">
        <v>0</v>
      </c>
      <c r="D15436">
        <v>0</v>
      </c>
      <c r="E15436">
        <v>0</v>
      </c>
      <c r="F15436">
        <v>36.453400000000002</v>
      </c>
    </row>
    <row r="15437" spans="1:6" x14ac:dyDescent="0.25">
      <c r="A15437">
        <v>15436</v>
      </c>
      <c r="B15437" t="s">
        <v>0</v>
      </c>
      <c r="C15437">
        <v>168</v>
      </c>
      <c r="D15437">
        <v>3506</v>
      </c>
      <c r="E15437">
        <v>80654600</v>
      </c>
    </row>
    <row r="15438" spans="1:6" x14ac:dyDescent="0.25">
      <c r="A15438">
        <v>15437</v>
      </c>
      <c r="B15438">
        <v>46</v>
      </c>
      <c r="C15438">
        <v>0</v>
      </c>
      <c r="D15438">
        <v>0</v>
      </c>
      <c r="E15438">
        <v>0</v>
      </c>
      <c r="F15438">
        <v>0</v>
      </c>
    </row>
    <row r="15439" spans="1:6" x14ac:dyDescent="0.25">
      <c r="A15439">
        <v>15438</v>
      </c>
      <c r="B15439" t="s">
        <v>0</v>
      </c>
      <c r="C15439">
        <v>169</v>
      </c>
      <c r="D15439">
        <v>3506</v>
      </c>
      <c r="E15439">
        <v>80654736</v>
      </c>
    </row>
    <row r="15440" spans="1:6" x14ac:dyDescent="0.25">
      <c r="A15440">
        <v>15439</v>
      </c>
      <c r="B15440">
        <v>10</v>
      </c>
      <c r="C15440">
        <v>1</v>
      </c>
      <c r="D15440">
        <v>0</v>
      </c>
      <c r="E15440">
        <v>0</v>
      </c>
      <c r="F15440">
        <v>5248</v>
      </c>
    </row>
    <row r="15441" spans="1:6" x14ac:dyDescent="0.25">
      <c r="A15441">
        <v>15440</v>
      </c>
      <c r="B15441" t="s">
        <v>0</v>
      </c>
      <c r="C15441">
        <v>170</v>
      </c>
      <c r="D15441">
        <v>3506</v>
      </c>
      <c r="E15441">
        <v>80654873</v>
      </c>
    </row>
    <row r="15442" spans="1:6" x14ac:dyDescent="0.25">
      <c r="A15442">
        <v>15441</v>
      </c>
      <c r="B15442">
        <v>41</v>
      </c>
      <c r="C15442">
        <v>0</v>
      </c>
      <c r="D15442">
        <v>0</v>
      </c>
      <c r="E15442">
        <v>0</v>
      </c>
      <c r="F15442">
        <v>1</v>
      </c>
    </row>
    <row r="15443" spans="1:6" x14ac:dyDescent="0.25">
      <c r="A15443">
        <v>15442</v>
      </c>
      <c r="B15443" t="s">
        <v>0</v>
      </c>
      <c r="C15443">
        <v>171</v>
      </c>
      <c r="D15443">
        <v>3506</v>
      </c>
      <c r="E15443">
        <v>80655010</v>
      </c>
    </row>
    <row r="15444" spans="1:6" x14ac:dyDescent="0.25">
      <c r="A15444">
        <v>15443</v>
      </c>
      <c r="B15444">
        <v>43</v>
      </c>
      <c r="C15444">
        <v>0</v>
      </c>
      <c r="D15444">
        <v>0</v>
      </c>
      <c r="E15444">
        <v>0</v>
      </c>
      <c r="F15444">
        <v>0</v>
      </c>
    </row>
    <row r="15445" spans="1:6" x14ac:dyDescent="0.25">
      <c r="A15445">
        <v>15444</v>
      </c>
      <c r="B15445">
        <v>44</v>
      </c>
      <c r="C15445">
        <v>0</v>
      </c>
      <c r="D15445">
        <v>0</v>
      </c>
      <c r="E15445">
        <v>0</v>
      </c>
      <c r="F15445">
        <v>36.602400000000003</v>
      </c>
    </row>
    <row r="15446" spans="1:6" x14ac:dyDescent="0.25">
      <c r="A15446">
        <v>15445</v>
      </c>
      <c r="B15446">
        <v>45</v>
      </c>
      <c r="C15446">
        <v>0</v>
      </c>
      <c r="D15446">
        <v>0</v>
      </c>
      <c r="E15446">
        <v>0</v>
      </c>
      <c r="F15446">
        <v>521.03399999999999</v>
      </c>
    </row>
    <row r="15447" spans="1:6" x14ac:dyDescent="0.25">
      <c r="A15447">
        <v>15446</v>
      </c>
      <c r="B15447">
        <v>46</v>
      </c>
      <c r="C15447">
        <v>0</v>
      </c>
      <c r="D15447">
        <v>0</v>
      </c>
      <c r="E15447">
        <v>0</v>
      </c>
      <c r="F15447">
        <v>0</v>
      </c>
    </row>
    <row r="15448" spans="1:6" x14ac:dyDescent="0.25">
      <c r="A15448">
        <v>15447</v>
      </c>
      <c r="B15448">
        <v>2</v>
      </c>
      <c r="C15448">
        <v>0</v>
      </c>
      <c r="D15448">
        <v>0</v>
      </c>
      <c r="E15448">
        <v>0</v>
      </c>
      <c r="F15448">
        <v>242.81899999999999</v>
      </c>
    </row>
    <row r="15449" spans="1:6" x14ac:dyDescent="0.25">
      <c r="A15449">
        <v>15448</v>
      </c>
      <c r="B15449">
        <v>10</v>
      </c>
      <c r="C15449">
        <v>1</v>
      </c>
      <c r="D15449">
        <v>0</v>
      </c>
      <c r="E15449">
        <v>0</v>
      </c>
      <c r="F15449">
        <v>5249</v>
      </c>
    </row>
    <row r="15450" spans="1:6" x14ac:dyDescent="0.25">
      <c r="A15450">
        <v>15449</v>
      </c>
      <c r="B15450">
        <v>13</v>
      </c>
      <c r="C15450">
        <v>0</v>
      </c>
      <c r="D15450">
        <v>0</v>
      </c>
      <c r="E15450">
        <v>0</v>
      </c>
      <c r="F15450">
        <v>1614</v>
      </c>
    </row>
    <row r="15451" spans="1:6" x14ac:dyDescent="0.25">
      <c r="A15451">
        <v>15450</v>
      </c>
      <c r="B15451">
        <v>41</v>
      </c>
      <c r="C15451">
        <v>0</v>
      </c>
      <c r="D15451">
        <v>0</v>
      </c>
      <c r="E15451">
        <v>0</v>
      </c>
      <c r="F15451">
        <v>1</v>
      </c>
    </row>
    <row r="15452" spans="1:6" x14ac:dyDescent="0.25">
      <c r="A15452">
        <v>15451</v>
      </c>
      <c r="B15452">
        <v>42</v>
      </c>
      <c r="C15452">
        <v>0</v>
      </c>
      <c r="D15452">
        <v>0</v>
      </c>
      <c r="E15452">
        <v>0</v>
      </c>
      <c r="F15452">
        <v>0.2</v>
      </c>
    </row>
    <row r="15453" spans="1:6" x14ac:dyDescent="0.25">
      <c r="A15453">
        <v>15452</v>
      </c>
      <c r="B15453">
        <v>43</v>
      </c>
      <c r="C15453">
        <v>0</v>
      </c>
      <c r="D15453">
        <v>0</v>
      </c>
      <c r="E15453">
        <v>0</v>
      </c>
      <c r="F15453">
        <v>0</v>
      </c>
    </row>
    <row r="15454" spans="1:6" x14ac:dyDescent="0.25">
      <c r="A15454">
        <v>15453</v>
      </c>
      <c r="B15454">
        <v>44</v>
      </c>
      <c r="C15454">
        <v>0</v>
      </c>
      <c r="D15454">
        <v>0</v>
      </c>
      <c r="E15454">
        <v>0</v>
      </c>
      <c r="F15454">
        <v>36.751300000000001</v>
      </c>
    </row>
    <row r="15455" spans="1:6" x14ac:dyDescent="0.25">
      <c r="A15455">
        <v>15454</v>
      </c>
      <c r="B15455">
        <v>45</v>
      </c>
      <c r="C15455">
        <v>0</v>
      </c>
      <c r="D15455">
        <v>0</v>
      </c>
      <c r="E15455">
        <v>0</v>
      </c>
      <c r="F15455">
        <v>521.07399999999996</v>
      </c>
    </row>
    <row r="15456" spans="1:6" x14ac:dyDescent="0.25">
      <c r="A15456">
        <v>15455</v>
      </c>
      <c r="B15456">
        <v>46</v>
      </c>
      <c r="C15456">
        <v>0</v>
      </c>
      <c r="D15456">
        <v>0</v>
      </c>
      <c r="E15456">
        <v>0</v>
      </c>
      <c r="F15456">
        <v>0</v>
      </c>
    </row>
    <row r="15457" spans="1:6" x14ac:dyDescent="0.25">
      <c r="A15457">
        <v>15456</v>
      </c>
      <c r="B15457">
        <v>2</v>
      </c>
      <c r="C15457">
        <v>0</v>
      </c>
      <c r="D15457">
        <v>0</v>
      </c>
      <c r="E15457">
        <v>0</v>
      </c>
      <c r="F15457">
        <v>242.82</v>
      </c>
    </row>
    <row r="15458" spans="1:6" x14ac:dyDescent="0.25">
      <c r="A15458">
        <v>15457</v>
      </c>
      <c r="B15458" t="s">
        <v>0</v>
      </c>
      <c r="C15458">
        <v>178</v>
      </c>
      <c r="D15458">
        <v>3506</v>
      </c>
      <c r="E15458">
        <v>80655966</v>
      </c>
    </row>
    <row r="15459" spans="1:6" x14ac:dyDescent="0.25">
      <c r="A15459">
        <v>15458</v>
      </c>
      <c r="B15459">
        <v>10</v>
      </c>
      <c r="C15459">
        <v>1</v>
      </c>
      <c r="D15459">
        <v>0</v>
      </c>
      <c r="E15459">
        <v>0</v>
      </c>
      <c r="F15459">
        <v>5250</v>
      </c>
    </row>
    <row r="15460" spans="1:6" x14ac:dyDescent="0.25">
      <c r="A15460">
        <v>15459</v>
      </c>
      <c r="B15460">
        <v>13</v>
      </c>
      <c r="C15460">
        <v>0</v>
      </c>
      <c r="D15460">
        <v>0</v>
      </c>
      <c r="E15460">
        <v>0</v>
      </c>
      <c r="F15460">
        <v>1614</v>
      </c>
    </row>
    <row r="15461" spans="1:6" x14ac:dyDescent="0.25">
      <c r="A15461">
        <v>15460</v>
      </c>
      <c r="B15461">
        <v>41</v>
      </c>
      <c r="C15461">
        <v>0</v>
      </c>
      <c r="D15461">
        <v>0</v>
      </c>
      <c r="E15461">
        <v>0</v>
      </c>
      <c r="F15461">
        <v>1</v>
      </c>
    </row>
    <row r="15462" spans="1:6" x14ac:dyDescent="0.25">
      <c r="A15462">
        <v>15461</v>
      </c>
      <c r="B15462">
        <v>42</v>
      </c>
      <c r="C15462">
        <v>0</v>
      </c>
      <c r="D15462">
        <v>0</v>
      </c>
      <c r="E15462">
        <v>0</v>
      </c>
      <c r="F15462">
        <v>0.2</v>
      </c>
    </row>
    <row r="15463" spans="1:6" x14ac:dyDescent="0.25">
      <c r="A15463">
        <v>15462</v>
      </c>
      <c r="B15463" t="s">
        <v>0</v>
      </c>
      <c r="C15463">
        <v>0</v>
      </c>
      <c r="D15463">
        <v>3507</v>
      </c>
      <c r="E15463">
        <v>80656240</v>
      </c>
    </row>
    <row r="15464" spans="1:6" x14ac:dyDescent="0.25">
      <c r="A15464">
        <v>15463</v>
      </c>
      <c r="B15464">
        <v>43</v>
      </c>
      <c r="C15464">
        <v>0</v>
      </c>
      <c r="D15464">
        <v>0</v>
      </c>
      <c r="E15464">
        <v>0</v>
      </c>
      <c r="F15464">
        <v>0</v>
      </c>
    </row>
    <row r="15465" spans="1:6" x14ac:dyDescent="0.25">
      <c r="A15465">
        <v>15464</v>
      </c>
      <c r="B15465">
        <v>44</v>
      </c>
      <c r="C15465">
        <v>0</v>
      </c>
      <c r="D15465">
        <v>0</v>
      </c>
      <c r="E15465">
        <v>0</v>
      </c>
      <c r="F15465">
        <v>36.826000000000001</v>
      </c>
    </row>
    <row r="15466" spans="1:6" x14ac:dyDescent="0.25">
      <c r="A15466">
        <v>15465</v>
      </c>
      <c r="B15466" t="s">
        <v>0</v>
      </c>
      <c r="C15466">
        <v>1</v>
      </c>
      <c r="D15466">
        <v>3507</v>
      </c>
      <c r="E15466">
        <v>80656377</v>
      </c>
    </row>
    <row r="15467" spans="1:6" x14ac:dyDescent="0.25">
      <c r="A15467">
        <v>15466</v>
      </c>
      <c r="B15467">
        <v>45</v>
      </c>
      <c r="C15467">
        <v>0</v>
      </c>
      <c r="D15467">
        <v>0</v>
      </c>
      <c r="E15467">
        <v>0</v>
      </c>
      <c r="F15467">
        <v>521.10500000000002</v>
      </c>
    </row>
    <row r="15468" spans="1:6" x14ac:dyDescent="0.25">
      <c r="A15468">
        <v>15467</v>
      </c>
      <c r="B15468">
        <v>46</v>
      </c>
      <c r="C15468">
        <v>0</v>
      </c>
      <c r="D15468">
        <v>0</v>
      </c>
      <c r="E15468">
        <v>0</v>
      </c>
      <c r="F15468">
        <v>0</v>
      </c>
    </row>
    <row r="15469" spans="1:6" x14ac:dyDescent="0.25">
      <c r="A15469">
        <v>15468</v>
      </c>
      <c r="B15469" t="s">
        <v>0</v>
      </c>
      <c r="C15469">
        <v>2</v>
      </c>
      <c r="D15469">
        <v>3507</v>
      </c>
      <c r="E15469">
        <v>80656514</v>
      </c>
    </row>
    <row r="15470" spans="1:6" x14ac:dyDescent="0.25">
      <c r="A15470">
        <v>15469</v>
      </c>
      <c r="B15470">
        <v>2</v>
      </c>
      <c r="C15470">
        <v>0</v>
      </c>
      <c r="D15470">
        <v>0</v>
      </c>
      <c r="E15470">
        <v>0</v>
      </c>
      <c r="F15470">
        <v>242.821</v>
      </c>
    </row>
    <row r="15471" spans="1:6" x14ac:dyDescent="0.25">
      <c r="A15471">
        <v>15470</v>
      </c>
      <c r="B15471">
        <v>10</v>
      </c>
      <c r="C15471">
        <v>1</v>
      </c>
      <c r="D15471">
        <v>0</v>
      </c>
      <c r="E15471">
        <v>0</v>
      </c>
      <c r="F15471">
        <v>5251</v>
      </c>
    </row>
    <row r="15472" spans="1:6" x14ac:dyDescent="0.25">
      <c r="A15472">
        <v>15471</v>
      </c>
      <c r="B15472" t="s">
        <v>0</v>
      </c>
      <c r="C15472">
        <v>3</v>
      </c>
      <c r="D15472">
        <v>3507</v>
      </c>
      <c r="E15472">
        <v>80656651</v>
      </c>
    </row>
    <row r="15473" spans="1:6" x14ac:dyDescent="0.25">
      <c r="A15473">
        <v>15472</v>
      </c>
      <c r="B15473">
        <v>41</v>
      </c>
      <c r="C15473">
        <v>0</v>
      </c>
      <c r="D15473">
        <v>0</v>
      </c>
      <c r="E15473">
        <v>0</v>
      </c>
      <c r="F15473">
        <v>1</v>
      </c>
    </row>
    <row r="15474" spans="1:6" x14ac:dyDescent="0.25">
      <c r="A15474">
        <v>15473</v>
      </c>
      <c r="B15474" t="s">
        <v>0</v>
      </c>
      <c r="C15474">
        <v>4</v>
      </c>
      <c r="D15474">
        <v>3507</v>
      </c>
      <c r="E15474">
        <v>80656787</v>
      </c>
    </row>
    <row r="15475" spans="1:6" x14ac:dyDescent="0.25">
      <c r="A15475">
        <v>15474</v>
      </c>
      <c r="B15475">
        <v>43</v>
      </c>
      <c r="C15475">
        <v>0</v>
      </c>
      <c r="D15475">
        <v>0</v>
      </c>
      <c r="E15475">
        <v>0</v>
      </c>
      <c r="F15475">
        <v>0</v>
      </c>
    </row>
    <row r="15476" spans="1:6" x14ac:dyDescent="0.25">
      <c r="A15476">
        <v>15475</v>
      </c>
      <c r="B15476" t="s">
        <v>0</v>
      </c>
      <c r="C15476">
        <v>5</v>
      </c>
      <c r="D15476">
        <v>3507</v>
      </c>
      <c r="E15476">
        <v>80656924</v>
      </c>
    </row>
    <row r="15477" spans="1:6" x14ac:dyDescent="0.25">
      <c r="A15477">
        <v>15476</v>
      </c>
      <c r="B15477">
        <v>45</v>
      </c>
      <c r="C15477">
        <v>0</v>
      </c>
      <c r="D15477">
        <v>0</v>
      </c>
      <c r="E15477">
        <v>0</v>
      </c>
      <c r="F15477">
        <v>521.14499999999998</v>
      </c>
    </row>
    <row r="15478" spans="1:6" x14ac:dyDescent="0.25">
      <c r="A15478">
        <v>15477</v>
      </c>
      <c r="B15478" t="s">
        <v>0</v>
      </c>
      <c r="C15478">
        <v>6</v>
      </c>
      <c r="D15478">
        <v>3507</v>
      </c>
      <c r="E15478">
        <v>80657061</v>
      </c>
    </row>
    <row r="15479" spans="1:6" x14ac:dyDescent="0.25">
      <c r="A15479">
        <v>15478</v>
      </c>
      <c r="B15479">
        <v>2</v>
      </c>
      <c r="C15479">
        <v>0</v>
      </c>
      <c r="D15479">
        <v>0</v>
      </c>
      <c r="E15479">
        <v>0</v>
      </c>
      <c r="F15479">
        <v>242.821</v>
      </c>
    </row>
    <row r="15480" spans="1:6" x14ac:dyDescent="0.25">
      <c r="A15480">
        <v>15479</v>
      </c>
      <c r="B15480" t="s">
        <v>0</v>
      </c>
      <c r="C15480">
        <v>7</v>
      </c>
      <c r="D15480">
        <v>3507</v>
      </c>
      <c r="E15480">
        <v>80657197</v>
      </c>
    </row>
    <row r="15481" spans="1:6" x14ac:dyDescent="0.25">
      <c r="A15481">
        <v>15480</v>
      </c>
      <c r="B15481">
        <v>13</v>
      </c>
      <c r="C15481">
        <v>0</v>
      </c>
      <c r="D15481">
        <v>0</v>
      </c>
      <c r="E15481">
        <v>0</v>
      </c>
      <c r="F15481">
        <v>1614</v>
      </c>
    </row>
    <row r="15482" spans="1:6" x14ac:dyDescent="0.25">
      <c r="A15482">
        <v>15481</v>
      </c>
      <c r="B15482" t="s">
        <v>0</v>
      </c>
      <c r="C15482">
        <v>8</v>
      </c>
      <c r="D15482">
        <v>3507</v>
      </c>
      <c r="E15482">
        <v>80657334</v>
      </c>
    </row>
    <row r="15483" spans="1:6" x14ac:dyDescent="0.25">
      <c r="A15483">
        <v>15482</v>
      </c>
      <c r="B15483">
        <v>42</v>
      </c>
      <c r="C15483">
        <v>0</v>
      </c>
      <c r="D15483">
        <v>0</v>
      </c>
      <c r="E15483">
        <v>0</v>
      </c>
      <c r="F15483">
        <v>0.2</v>
      </c>
    </row>
    <row r="15484" spans="1:6" x14ac:dyDescent="0.25">
      <c r="A15484">
        <v>15483</v>
      </c>
      <c r="B15484" t="s">
        <v>0</v>
      </c>
      <c r="C15484">
        <v>9</v>
      </c>
      <c r="D15484">
        <v>3507</v>
      </c>
      <c r="E15484">
        <v>80657471</v>
      </c>
    </row>
    <row r="15485" spans="1:6" x14ac:dyDescent="0.25">
      <c r="A15485">
        <v>15484</v>
      </c>
      <c r="B15485">
        <v>43</v>
      </c>
      <c r="C15485">
        <v>0</v>
      </c>
      <c r="D15485">
        <v>0</v>
      </c>
      <c r="E15485">
        <v>0</v>
      </c>
      <c r="F15485">
        <v>0</v>
      </c>
    </row>
    <row r="15486" spans="1:6" x14ac:dyDescent="0.25">
      <c r="A15486">
        <v>15485</v>
      </c>
      <c r="B15486">
        <v>44</v>
      </c>
      <c r="C15486">
        <v>0</v>
      </c>
      <c r="D15486">
        <v>0</v>
      </c>
      <c r="E15486">
        <v>0</v>
      </c>
      <c r="F15486">
        <v>37.1999</v>
      </c>
    </row>
    <row r="15487" spans="1:6" x14ac:dyDescent="0.25">
      <c r="A15487">
        <v>15486</v>
      </c>
      <c r="B15487">
        <v>45</v>
      </c>
      <c r="C15487">
        <v>0</v>
      </c>
      <c r="D15487">
        <v>0</v>
      </c>
      <c r="E15487">
        <v>0</v>
      </c>
      <c r="F15487">
        <v>521.19600000000003</v>
      </c>
    </row>
    <row r="15488" spans="1:6" x14ac:dyDescent="0.25">
      <c r="A15488">
        <v>15487</v>
      </c>
      <c r="B15488">
        <v>46</v>
      </c>
      <c r="C15488">
        <v>0</v>
      </c>
      <c r="D15488">
        <v>0</v>
      </c>
      <c r="E15488">
        <v>0</v>
      </c>
      <c r="F15488">
        <v>0</v>
      </c>
    </row>
    <row r="15489" spans="1:6" x14ac:dyDescent="0.25">
      <c r="A15489">
        <v>15488</v>
      </c>
      <c r="B15489">
        <v>2</v>
      </c>
      <c r="C15489">
        <v>0</v>
      </c>
      <c r="D15489">
        <v>0</v>
      </c>
      <c r="E15489">
        <v>0</v>
      </c>
      <c r="F15489">
        <v>242.822</v>
      </c>
    </row>
    <row r="15490" spans="1:6" x14ac:dyDescent="0.25">
      <c r="A15490">
        <v>15489</v>
      </c>
      <c r="B15490">
        <v>10</v>
      </c>
      <c r="C15490">
        <v>1</v>
      </c>
      <c r="D15490">
        <v>0</v>
      </c>
      <c r="E15490">
        <v>0</v>
      </c>
      <c r="F15490">
        <v>5253</v>
      </c>
    </row>
    <row r="15491" spans="1:6" x14ac:dyDescent="0.25">
      <c r="A15491">
        <v>15490</v>
      </c>
      <c r="B15491">
        <v>13</v>
      </c>
      <c r="C15491">
        <v>0</v>
      </c>
      <c r="D15491">
        <v>0</v>
      </c>
      <c r="E15491">
        <v>0</v>
      </c>
      <c r="F15491">
        <v>1614</v>
      </c>
    </row>
    <row r="15492" spans="1:6" x14ac:dyDescent="0.25">
      <c r="A15492">
        <v>15491</v>
      </c>
      <c r="B15492">
        <v>41</v>
      </c>
      <c r="C15492">
        <v>0</v>
      </c>
      <c r="D15492">
        <v>0</v>
      </c>
      <c r="E15492">
        <v>0</v>
      </c>
      <c r="F15492">
        <v>1</v>
      </c>
    </row>
    <row r="15493" spans="1:6" x14ac:dyDescent="0.25">
      <c r="A15493">
        <v>15492</v>
      </c>
      <c r="B15493">
        <v>42</v>
      </c>
      <c r="C15493">
        <v>0</v>
      </c>
      <c r="D15493">
        <v>0</v>
      </c>
      <c r="E15493">
        <v>0</v>
      </c>
      <c r="F15493">
        <v>0.2</v>
      </c>
    </row>
    <row r="15494" spans="1:6" x14ac:dyDescent="0.25">
      <c r="A15494">
        <v>15493</v>
      </c>
      <c r="B15494">
        <v>43</v>
      </c>
      <c r="C15494">
        <v>0</v>
      </c>
      <c r="D15494">
        <v>0</v>
      </c>
      <c r="E15494">
        <v>0</v>
      </c>
      <c r="F15494">
        <v>0</v>
      </c>
    </row>
    <row r="15495" spans="1:6" x14ac:dyDescent="0.25">
      <c r="A15495">
        <v>15494</v>
      </c>
      <c r="B15495">
        <v>44</v>
      </c>
      <c r="C15495">
        <v>0</v>
      </c>
      <c r="D15495">
        <v>0</v>
      </c>
      <c r="E15495">
        <v>0</v>
      </c>
      <c r="F15495">
        <v>37.374299999999998</v>
      </c>
    </row>
    <row r="15496" spans="1:6" x14ac:dyDescent="0.25">
      <c r="A15496">
        <v>15495</v>
      </c>
      <c r="B15496">
        <v>45</v>
      </c>
      <c r="C15496">
        <v>0</v>
      </c>
      <c r="D15496">
        <v>0</v>
      </c>
      <c r="E15496">
        <v>0</v>
      </c>
      <c r="F15496">
        <v>521.23699999999997</v>
      </c>
    </row>
    <row r="15497" spans="1:6" x14ac:dyDescent="0.25">
      <c r="A15497">
        <v>15496</v>
      </c>
      <c r="B15497">
        <v>46</v>
      </c>
      <c r="C15497">
        <v>0</v>
      </c>
      <c r="D15497">
        <v>0</v>
      </c>
      <c r="E15497">
        <v>0</v>
      </c>
      <c r="F15497">
        <v>0</v>
      </c>
    </row>
    <row r="15498" spans="1:6" x14ac:dyDescent="0.25">
      <c r="A15498">
        <v>15497</v>
      </c>
      <c r="B15498">
        <v>2</v>
      </c>
      <c r="C15498">
        <v>0</v>
      </c>
      <c r="D15498">
        <v>0</v>
      </c>
      <c r="E15498">
        <v>0</v>
      </c>
      <c r="F15498">
        <v>242.822</v>
      </c>
    </row>
    <row r="15499" spans="1:6" x14ac:dyDescent="0.25">
      <c r="A15499">
        <v>15498</v>
      </c>
      <c r="B15499">
        <v>10</v>
      </c>
      <c r="C15499">
        <v>1</v>
      </c>
      <c r="D15499">
        <v>0</v>
      </c>
      <c r="E15499">
        <v>0</v>
      </c>
      <c r="F15499">
        <v>5254</v>
      </c>
    </row>
    <row r="15500" spans="1:6" x14ac:dyDescent="0.25">
      <c r="A15500">
        <v>15499</v>
      </c>
      <c r="B15500">
        <v>13</v>
      </c>
      <c r="C15500">
        <v>0</v>
      </c>
      <c r="D15500">
        <v>0</v>
      </c>
      <c r="E15500">
        <v>0</v>
      </c>
      <c r="F15500">
        <v>1614</v>
      </c>
    </row>
    <row r="15501" spans="1:6" x14ac:dyDescent="0.25">
      <c r="A15501">
        <v>15500</v>
      </c>
      <c r="B15501" t="s">
        <v>0</v>
      </c>
      <c r="C15501">
        <v>17</v>
      </c>
      <c r="D15501">
        <v>3507</v>
      </c>
      <c r="E15501">
        <v>80658566</v>
      </c>
    </row>
    <row r="15502" spans="1:6" x14ac:dyDescent="0.25">
      <c r="A15502">
        <v>15501</v>
      </c>
      <c r="B15502">
        <v>41</v>
      </c>
      <c r="C15502">
        <v>0</v>
      </c>
      <c r="D15502">
        <v>0</v>
      </c>
      <c r="E15502">
        <v>0</v>
      </c>
      <c r="F15502">
        <v>1</v>
      </c>
    </row>
    <row r="15503" spans="1:6" x14ac:dyDescent="0.25">
      <c r="A15503">
        <v>15502</v>
      </c>
      <c r="B15503">
        <v>42</v>
      </c>
      <c r="C15503">
        <v>0</v>
      </c>
      <c r="D15503">
        <v>0</v>
      </c>
      <c r="E15503">
        <v>0</v>
      </c>
      <c r="F15503">
        <v>0.2</v>
      </c>
    </row>
    <row r="15504" spans="1:6" x14ac:dyDescent="0.25">
      <c r="A15504">
        <v>15503</v>
      </c>
      <c r="B15504" t="s">
        <v>0</v>
      </c>
      <c r="C15504">
        <v>18</v>
      </c>
      <c r="D15504">
        <v>3507</v>
      </c>
      <c r="E15504">
        <v>80658703</v>
      </c>
    </row>
    <row r="15505" spans="1:6" x14ac:dyDescent="0.25">
      <c r="A15505">
        <v>15504</v>
      </c>
      <c r="B15505">
        <v>43</v>
      </c>
      <c r="C15505">
        <v>0</v>
      </c>
      <c r="D15505">
        <v>0</v>
      </c>
      <c r="E15505">
        <v>0</v>
      </c>
      <c r="F15505">
        <v>0</v>
      </c>
    </row>
    <row r="15506" spans="1:6" x14ac:dyDescent="0.25">
      <c r="A15506">
        <v>15505</v>
      </c>
      <c r="B15506">
        <v>44</v>
      </c>
      <c r="C15506">
        <v>0</v>
      </c>
      <c r="D15506">
        <v>0</v>
      </c>
      <c r="E15506">
        <v>0</v>
      </c>
      <c r="F15506">
        <v>37.524099999999997</v>
      </c>
    </row>
    <row r="15507" spans="1:6" x14ac:dyDescent="0.25">
      <c r="A15507">
        <v>15506</v>
      </c>
      <c r="B15507" t="s">
        <v>0</v>
      </c>
      <c r="C15507">
        <v>19</v>
      </c>
      <c r="D15507">
        <v>3507</v>
      </c>
      <c r="E15507">
        <v>80658840</v>
      </c>
    </row>
    <row r="15508" spans="1:6" x14ac:dyDescent="0.25">
      <c r="A15508">
        <v>15507</v>
      </c>
      <c r="B15508">
        <v>45</v>
      </c>
      <c r="C15508">
        <v>0</v>
      </c>
      <c r="D15508">
        <v>0</v>
      </c>
      <c r="E15508">
        <v>0</v>
      </c>
      <c r="F15508">
        <v>521.28899999999999</v>
      </c>
    </row>
    <row r="15509" spans="1:6" x14ac:dyDescent="0.25">
      <c r="A15509">
        <v>15508</v>
      </c>
      <c r="B15509">
        <v>46</v>
      </c>
      <c r="C15509">
        <v>0</v>
      </c>
      <c r="D15509">
        <v>0</v>
      </c>
      <c r="E15509">
        <v>0</v>
      </c>
      <c r="F15509">
        <v>0</v>
      </c>
    </row>
    <row r="15510" spans="1:6" x14ac:dyDescent="0.25">
      <c r="A15510">
        <v>15509</v>
      </c>
      <c r="B15510" t="s">
        <v>0</v>
      </c>
      <c r="C15510">
        <v>20</v>
      </c>
      <c r="D15510">
        <v>3507</v>
      </c>
      <c r="E15510">
        <v>80658977</v>
      </c>
    </row>
    <row r="15511" spans="1:6" x14ac:dyDescent="0.25">
      <c r="A15511">
        <v>15510</v>
      </c>
      <c r="B15511">
        <v>2</v>
      </c>
      <c r="C15511">
        <v>0</v>
      </c>
      <c r="D15511">
        <v>0</v>
      </c>
      <c r="E15511">
        <v>0</v>
      </c>
      <c r="F15511">
        <v>242.822</v>
      </c>
    </row>
    <row r="15512" spans="1:6" x14ac:dyDescent="0.25">
      <c r="A15512">
        <v>15511</v>
      </c>
      <c r="B15512">
        <v>10</v>
      </c>
      <c r="C15512">
        <v>1</v>
      </c>
      <c r="D15512">
        <v>0</v>
      </c>
      <c r="E15512">
        <v>0</v>
      </c>
      <c r="F15512">
        <v>5255</v>
      </c>
    </row>
    <row r="15513" spans="1:6" x14ac:dyDescent="0.25">
      <c r="A15513">
        <v>15512</v>
      </c>
      <c r="B15513" t="s">
        <v>0</v>
      </c>
      <c r="C15513">
        <v>21</v>
      </c>
      <c r="D15513">
        <v>3507</v>
      </c>
      <c r="E15513">
        <v>80659114</v>
      </c>
    </row>
    <row r="15514" spans="1:6" x14ac:dyDescent="0.25">
      <c r="A15514">
        <v>15513</v>
      </c>
      <c r="B15514">
        <v>13</v>
      </c>
      <c r="C15514">
        <v>0</v>
      </c>
      <c r="D15514">
        <v>0</v>
      </c>
      <c r="E15514">
        <v>0</v>
      </c>
      <c r="F15514">
        <v>1614</v>
      </c>
    </row>
    <row r="15515" spans="1:6" x14ac:dyDescent="0.25">
      <c r="A15515">
        <v>15514</v>
      </c>
      <c r="B15515">
        <v>41</v>
      </c>
      <c r="C15515">
        <v>0</v>
      </c>
      <c r="D15515">
        <v>0</v>
      </c>
      <c r="E15515">
        <v>0</v>
      </c>
      <c r="F15515">
        <v>1</v>
      </c>
    </row>
    <row r="15516" spans="1:6" x14ac:dyDescent="0.25">
      <c r="A15516">
        <v>15515</v>
      </c>
      <c r="B15516" t="s">
        <v>0</v>
      </c>
      <c r="C15516">
        <v>22</v>
      </c>
      <c r="D15516">
        <v>3507</v>
      </c>
      <c r="E15516">
        <v>80659251</v>
      </c>
    </row>
    <row r="15517" spans="1:6" x14ac:dyDescent="0.25">
      <c r="A15517">
        <v>15516</v>
      </c>
      <c r="B15517">
        <v>43</v>
      </c>
      <c r="C15517">
        <v>0</v>
      </c>
      <c r="D15517">
        <v>0</v>
      </c>
      <c r="E15517">
        <v>0</v>
      </c>
      <c r="F15517">
        <v>0</v>
      </c>
    </row>
    <row r="15518" spans="1:6" x14ac:dyDescent="0.25">
      <c r="A15518">
        <v>15517</v>
      </c>
      <c r="B15518" t="s">
        <v>0</v>
      </c>
      <c r="C15518">
        <v>23</v>
      </c>
      <c r="D15518">
        <v>3507</v>
      </c>
      <c r="E15518">
        <v>80659388</v>
      </c>
    </row>
    <row r="15519" spans="1:6" x14ac:dyDescent="0.25">
      <c r="A15519">
        <v>15518</v>
      </c>
      <c r="B15519">
        <v>45</v>
      </c>
      <c r="C15519">
        <v>0</v>
      </c>
      <c r="D15519">
        <v>0</v>
      </c>
      <c r="E15519">
        <v>0</v>
      </c>
      <c r="F15519">
        <v>521.33000000000004</v>
      </c>
    </row>
    <row r="15520" spans="1:6" x14ac:dyDescent="0.25">
      <c r="A15520">
        <v>15519</v>
      </c>
      <c r="B15520" t="s">
        <v>0</v>
      </c>
      <c r="C15520">
        <v>24</v>
      </c>
      <c r="D15520">
        <v>3507</v>
      </c>
      <c r="E15520">
        <v>80659525</v>
      </c>
    </row>
    <row r="15521" spans="1:6" x14ac:dyDescent="0.25">
      <c r="A15521">
        <v>15520</v>
      </c>
      <c r="B15521">
        <v>2</v>
      </c>
      <c r="C15521">
        <v>0</v>
      </c>
      <c r="D15521">
        <v>0</v>
      </c>
      <c r="E15521">
        <v>0</v>
      </c>
      <c r="F15521">
        <v>242.822</v>
      </c>
    </row>
    <row r="15522" spans="1:6" x14ac:dyDescent="0.25">
      <c r="A15522">
        <v>15521</v>
      </c>
      <c r="B15522" t="s">
        <v>0</v>
      </c>
      <c r="C15522">
        <v>25</v>
      </c>
      <c r="D15522">
        <v>3507</v>
      </c>
      <c r="E15522">
        <v>80659662</v>
      </c>
    </row>
    <row r="15523" spans="1:6" x14ac:dyDescent="0.25">
      <c r="A15523">
        <v>15522</v>
      </c>
      <c r="B15523">
        <v>13</v>
      </c>
      <c r="C15523">
        <v>0</v>
      </c>
      <c r="D15523">
        <v>0</v>
      </c>
      <c r="E15523">
        <v>0</v>
      </c>
      <c r="F15523">
        <v>1614</v>
      </c>
    </row>
    <row r="15524" spans="1:6" x14ac:dyDescent="0.25">
      <c r="A15524">
        <v>15523</v>
      </c>
      <c r="B15524" t="s">
        <v>0</v>
      </c>
      <c r="C15524">
        <v>26</v>
      </c>
      <c r="D15524">
        <v>3507</v>
      </c>
      <c r="E15524">
        <v>80659799</v>
      </c>
    </row>
    <row r="15525" spans="1:6" x14ac:dyDescent="0.25">
      <c r="A15525">
        <v>15524</v>
      </c>
      <c r="B15525">
        <v>42</v>
      </c>
      <c r="C15525">
        <v>0</v>
      </c>
      <c r="D15525">
        <v>0</v>
      </c>
      <c r="E15525">
        <v>0</v>
      </c>
      <c r="F15525">
        <v>0.2</v>
      </c>
    </row>
    <row r="15526" spans="1:6" x14ac:dyDescent="0.25">
      <c r="A15526">
        <v>15525</v>
      </c>
      <c r="B15526" t="s">
        <v>0</v>
      </c>
      <c r="C15526">
        <v>27</v>
      </c>
      <c r="D15526">
        <v>3507</v>
      </c>
      <c r="E15526">
        <v>80659936</v>
      </c>
    </row>
    <row r="15527" spans="1:6" x14ac:dyDescent="0.25">
      <c r="A15527">
        <v>15526</v>
      </c>
      <c r="B15527">
        <v>44</v>
      </c>
      <c r="C15527">
        <v>0</v>
      </c>
      <c r="D15527">
        <v>0</v>
      </c>
      <c r="E15527">
        <v>0</v>
      </c>
      <c r="F15527">
        <v>37.823599999999999</v>
      </c>
    </row>
    <row r="15528" spans="1:6" x14ac:dyDescent="0.25">
      <c r="A15528">
        <v>15527</v>
      </c>
      <c r="B15528" t="s">
        <v>0</v>
      </c>
      <c r="C15528">
        <v>28</v>
      </c>
      <c r="D15528">
        <v>3507</v>
      </c>
      <c r="E15528">
        <v>80660073</v>
      </c>
    </row>
    <row r="15529" spans="1:6" x14ac:dyDescent="0.25">
      <c r="A15529">
        <v>15528</v>
      </c>
      <c r="B15529">
        <v>45</v>
      </c>
      <c r="C15529">
        <v>0</v>
      </c>
      <c r="D15529">
        <v>0</v>
      </c>
      <c r="E15529">
        <v>0</v>
      </c>
      <c r="F15529">
        <v>521.38199999999995</v>
      </c>
    </row>
    <row r="15530" spans="1:6" x14ac:dyDescent="0.25">
      <c r="A15530">
        <v>15529</v>
      </c>
      <c r="B15530">
        <v>46</v>
      </c>
      <c r="C15530">
        <v>0</v>
      </c>
      <c r="D15530">
        <v>0</v>
      </c>
      <c r="E15530">
        <v>0</v>
      </c>
      <c r="F15530">
        <v>0</v>
      </c>
    </row>
    <row r="15531" spans="1:6" x14ac:dyDescent="0.25">
      <c r="A15531">
        <v>15530</v>
      </c>
      <c r="B15531">
        <v>2</v>
      </c>
      <c r="C15531">
        <v>0</v>
      </c>
      <c r="D15531">
        <v>0</v>
      </c>
      <c r="E15531">
        <v>0</v>
      </c>
      <c r="F15531">
        <v>242.82300000000001</v>
      </c>
    </row>
    <row r="15532" spans="1:6" x14ac:dyDescent="0.25">
      <c r="A15532">
        <v>15531</v>
      </c>
      <c r="B15532">
        <v>10</v>
      </c>
      <c r="C15532">
        <v>1</v>
      </c>
      <c r="D15532">
        <v>0</v>
      </c>
      <c r="E15532">
        <v>0</v>
      </c>
      <c r="F15532">
        <v>5258</v>
      </c>
    </row>
    <row r="15533" spans="1:6" x14ac:dyDescent="0.25">
      <c r="A15533">
        <v>15532</v>
      </c>
      <c r="B15533">
        <v>13</v>
      </c>
      <c r="C15533">
        <v>0</v>
      </c>
      <c r="D15533">
        <v>0</v>
      </c>
      <c r="E15533">
        <v>0</v>
      </c>
      <c r="F15533">
        <v>1614</v>
      </c>
    </row>
    <row r="15534" spans="1:6" x14ac:dyDescent="0.25">
      <c r="A15534">
        <v>15533</v>
      </c>
      <c r="B15534">
        <v>41</v>
      </c>
      <c r="C15534">
        <v>0</v>
      </c>
      <c r="D15534">
        <v>0</v>
      </c>
      <c r="E15534">
        <v>0</v>
      </c>
      <c r="F15534">
        <v>1</v>
      </c>
    </row>
    <row r="15535" spans="1:6" x14ac:dyDescent="0.25">
      <c r="A15535">
        <v>15534</v>
      </c>
      <c r="B15535">
        <v>42</v>
      </c>
      <c r="C15535">
        <v>0</v>
      </c>
      <c r="D15535">
        <v>0</v>
      </c>
      <c r="E15535">
        <v>0</v>
      </c>
      <c r="F15535">
        <v>0.2</v>
      </c>
    </row>
    <row r="15536" spans="1:6" x14ac:dyDescent="0.25">
      <c r="A15536">
        <v>15535</v>
      </c>
      <c r="B15536">
        <v>43</v>
      </c>
      <c r="C15536">
        <v>0</v>
      </c>
      <c r="D15536">
        <v>0</v>
      </c>
      <c r="E15536">
        <v>0</v>
      </c>
      <c r="F15536">
        <v>0</v>
      </c>
    </row>
    <row r="15537" spans="1:6" x14ac:dyDescent="0.25">
      <c r="A15537">
        <v>15536</v>
      </c>
      <c r="B15537">
        <v>44</v>
      </c>
      <c r="C15537">
        <v>0</v>
      </c>
      <c r="D15537">
        <v>0</v>
      </c>
      <c r="E15537">
        <v>0</v>
      </c>
      <c r="F15537">
        <v>37.9983</v>
      </c>
    </row>
    <row r="15538" spans="1:6" x14ac:dyDescent="0.25">
      <c r="A15538">
        <v>15537</v>
      </c>
      <c r="B15538">
        <v>45</v>
      </c>
      <c r="C15538">
        <v>0</v>
      </c>
      <c r="D15538">
        <v>0</v>
      </c>
      <c r="E15538">
        <v>0</v>
      </c>
      <c r="F15538">
        <v>521.42399999999998</v>
      </c>
    </row>
    <row r="15539" spans="1:6" x14ac:dyDescent="0.25">
      <c r="A15539">
        <v>15538</v>
      </c>
      <c r="B15539">
        <v>46</v>
      </c>
      <c r="C15539">
        <v>0</v>
      </c>
      <c r="D15539">
        <v>0</v>
      </c>
      <c r="E15539">
        <v>0</v>
      </c>
      <c r="F15539">
        <v>0</v>
      </c>
    </row>
    <row r="15540" spans="1:6" x14ac:dyDescent="0.25">
      <c r="A15540">
        <v>15539</v>
      </c>
      <c r="B15540">
        <v>2</v>
      </c>
      <c r="C15540">
        <v>0</v>
      </c>
      <c r="D15540">
        <v>0</v>
      </c>
      <c r="E15540">
        <v>0</v>
      </c>
      <c r="F15540">
        <v>242.82300000000001</v>
      </c>
    </row>
    <row r="15541" spans="1:6" x14ac:dyDescent="0.25">
      <c r="A15541">
        <v>15540</v>
      </c>
      <c r="B15541">
        <v>10</v>
      </c>
      <c r="C15541">
        <v>1</v>
      </c>
      <c r="D15541">
        <v>0</v>
      </c>
      <c r="E15541">
        <v>0</v>
      </c>
      <c r="F15541">
        <v>5259</v>
      </c>
    </row>
    <row r="15542" spans="1:6" x14ac:dyDescent="0.25">
      <c r="A15542">
        <v>15541</v>
      </c>
      <c r="B15542">
        <v>13</v>
      </c>
      <c r="C15542">
        <v>0</v>
      </c>
      <c r="D15542">
        <v>0</v>
      </c>
      <c r="E15542">
        <v>0</v>
      </c>
      <c r="F15542">
        <v>1614</v>
      </c>
    </row>
    <row r="15543" spans="1:6" x14ac:dyDescent="0.25">
      <c r="A15543">
        <v>15542</v>
      </c>
      <c r="B15543">
        <v>41</v>
      </c>
      <c r="C15543">
        <v>0</v>
      </c>
      <c r="D15543">
        <v>0</v>
      </c>
      <c r="E15543">
        <v>0</v>
      </c>
      <c r="F15543">
        <v>1</v>
      </c>
    </row>
    <row r="15544" spans="1:6" x14ac:dyDescent="0.25">
      <c r="A15544">
        <v>15543</v>
      </c>
      <c r="B15544">
        <v>42</v>
      </c>
      <c r="C15544">
        <v>0</v>
      </c>
      <c r="D15544">
        <v>0</v>
      </c>
      <c r="E15544">
        <v>0</v>
      </c>
      <c r="F15544">
        <v>0.2</v>
      </c>
    </row>
    <row r="15545" spans="1:6" x14ac:dyDescent="0.25">
      <c r="A15545">
        <v>15544</v>
      </c>
      <c r="B15545" t="s">
        <v>0</v>
      </c>
      <c r="C15545">
        <v>36</v>
      </c>
      <c r="D15545">
        <v>3507</v>
      </c>
      <c r="E15545">
        <v>80661169</v>
      </c>
    </row>
    <row r="15546" spans="1:6" x14ac:dyDescent="0.25">
      <c r="A15546">
        <v>15545</v>
      </c>
      <c r="B15546">
        <v>43</v>
      </c>
      <c r="C15546">
        <v>0</v>
      </c>
      <c r="D15546">
        <v>0</v>
      </c>
      <c r="E15546">
        <v>0</v>
      </c>
      <c r="F15546">
        <v>0</v>
      </c>
    </row>
    <row r="15547" spans="1:6" x14ac:dyDescent="0.25">
      <c r="A15547">
        <v>15546</v>
      </c>
      <c r="B15547">
        <v>44</v>
      </c>
      <c r="C15547">
        <v>0</v>
      </c>
      <c r="D15547">
        <v>0</v>
      </c>
      <c r="E15547">
        <v>0</v>
      </c>
      <c r="F15547">
        <v>38.123199999999997</v>
      </c>
    </row>
    <row r="15548" spans="1:6" x14ac:dyDescent="0.25">
      <c r="A15548">
        <v>15547</v>
      </c>
      <c r="B15548" t="s">
        <v>0</v>
      </c>
      <c r="C15548">
        <v>37</v>
      </c>
      <c r="D15548">
        <v>3507</v>
      </c>
      <c r="E15548">
        <v>80661305</v>
      </c>
    </row>
    <row r="15549" spans="1:6" x14ac:dyDescent="0.25">
      <c r="A15549">
        <v>15548</v>
      </c>
      <c r="B15549">
        <v>45</v>
      </c>
      <c r="C15549">
        <v>0</v>
      </c>
      <c r="D15549">
        <v>0</v>
      </c>
      <c r="E15549">
        <v>0</v>
      </c>
      <c r="F15549">
        <v>521.476</v>
      </c>
    </row>
    <row r="15550" spans="1:6" x14ac:dyDescent="0.25">
      <c r="A15550">
        <v>15549</v>
      </c>
      <c r="B15550">
        <v>46</v>
      </c>
      <c r="C15550">
        <v>0</v>
      </c>
      <c r="D15550">
        <v>0</v>
      </c>
      <c r="E15550">
        <v>0</v>
      </c>
      <c r="F15550">
        <v>0</v>
      </c>
    </row>
    <row r="15551" spans="1:6" x14ac:dyDescent="0.25">
      <c r="A15551">
        <v>15550</v>
      </c>
      <c r="B15551" t="s">
        <v>0</v>
      </c>
      <c r="C15551">
        <v>38</v>
      </c>
      <c r="D15551">
        <v>3507</v>
      </c>
      <c r="E15551">
        <v>80661442</v>
      </c>
    </row>
    <row r="15552" spans="1:6" x14ac:dyDescent="0.25">
      <c r="A15552">
        <v>15551</v>
      </c>
      <c r="B15552">
        <v>2</v>
      </c>
      <c r="C15552">
        <v>0</v>
      </c>
      <c r="D15552">
        <v>0</v>
      </c>
      <c r="E15552">
        <v>0</v>
      </c>
      <c r="F15552">
        <v>242.822</v>
      </c>
    </row>
    <row r="15553" spans="1:6" x14ac:dyDescent="0.25">
      <c r="A15553">
        <v>15552</v>
      </c>
      <c r="B15553">
        <v>10</v>
      </c>
      <c r="C15553">
        <v>1</v>
      </c>
      <c r="D15553">
        <v>0</v>
      </c>
      <c r="E15553">
        <v>0</v>
      </c>
      <c r="F15553">
        <v>5260</v>
      </c>
    </row>
    <row r="15554" spans="1:6" x14ac:dyDescent="0.25">
      <c r="A15554">
        <v>15553</v>
      </c>
      <c r="B15554" t="s">
        <v>0</v>
      </c>
      <c r="C15554">
        <v>39</v>
      </c>
      <c r="D15554">
        <v>3507</v>
      </c>
      <c r="E15554">
        <v>80661579</v>
      </c>
    </row>
    <row r="15555" spans="1:6" x14ac:dyDescent="0.25">
      <c r="A15555">
        <v>15554</v>
      </c>
      <c r="B15555">
        <v>13</v>
      </c>
      <c r="C15555">
        <v>0</v>
      </c>
      <c r="D15555">
        <v>0</v>
      </c>
      <c r="E15555">
        <v>0</v>
      </c>
      <c r="F15555">
        <v>1614</v>
      </c>
    </row>
    <row r="15556" spans="1:6" x14ac:dyDescent="0.25">
      <c r="A15556">
        <v>15555</v>
      </c>
      <c r="B15556">
        <v>41</v>
      </c>
      <c r="C15556">
        <v>0</v>
      </c>
      <c r="D15556">
        <v>0</v>
      </c>
      <c r="E15556">
        <v>0</v>
      </c>
      <c r="F15556">
        <v>1</v>
      </c>
    </row>
    <row r="15557" spans="1:6" x14ac:dyDescent="0.25">
      <c r="A15557">
        <v>15556</v>
      </c>
      <c r="B15557" t="s">
        <v>0</v>
      </c>
      <c r="C15557">
        <v>40</v>
      </c>
      <c r="D15557">
        <v>3507</v>
      </c>
      <c r="E15557">
        <v>80661716</v>
      </c>
    </row>
    <row r="15558" spans="1:6" x14ac:dyDescent="0.25">
      <c r="A15558">
        <v>15557</v>
      </c>
      <c r="B15558">
        <v>42</v>
      </c>
      <c r="C15558">
        <v>0</v>
      </c>
      <c r="D15558">
        <v>0</v>
      </c>
      <c r="E15558">
        <v>0</v>
      </c>
      <c r="F15558">
        <v>0.2</v>
      </c>
    </row>
    <row r="15559" spans="1:6" x14ac:dyDescent="0.25">
      <c r="A15559">
        <v>15558</v>
      </c>
      <c r="B15559">
        <v>43</v>
      </c>
      <c r="C15559">
        <v>0</v>
      </c>
      <c r="D15559">
        <v>0</v>
      </c>
      <c r="E15559">
        <v>0</v>
      </c>
      <c r="F15559">
        <v>0</v>
      </c>
    </row>
    <row r="15560" spans="1:6" x14ac:dyDescent="0.25">
      <c r="A15560">
        <v>15559</v>
      </c>
      <c r="B15560" t="s">
        <v>0</v>
      </c>
      <c r="C15560">
        <v>41</v>
      </c>
      <c r="D15560">
        <v>3507</v>
      </c>
      <c r="E15560">
        <v>80661853</v>
      </c>
    </row>
    <row r="15561" spans="1:6" x14ac:dyDescent="0.25">
      <c r="A15561">
        <v>15560</v>
      </c>
      <c r="B15561">
        <v>44</v>
      </c>
      <c r="C15561">
        <v>0</v>
      </c>
      <c r="D15561">
        <v>0</v>
      </c>
      <c r="E15561">
        <v>0</v>
      </c>
      <c r="F15561">
        <v>38.299300000000002</v>
      </c>
    </row>
    <row r="15562" spans="1:6" x14ac:dyDescent="0.25">
      <c r="A15562">
        <v>15561</v>
      </c>
      <c r="B15562">
        <v>45</v>
      </c>
      <c r="C15562">
        <v>0</v>
      </c>
      <c r="D15562">
        <v>0</v>
      </c>
      <c r="E15562">
        <v>0</v>
      </c>
      <c r="F15562">
        <v>521.51800000000003</v>
      </c>
    </row>
    <row r="15563" spans="1:6" x14ac:dyDescent="0.25">
      <c r="A15563">
        <v>15562</v>
      </c>
      <c r="B15563" t="s">
        <v>0</v>
      </c>
      <c r="C15563">
        <v>42</v>
      </c>
      <c r="D15563">
        <v>3507</v>
      </c>
      <c r="E15563">
        <v>80661990</v>
      </c>
    </row>
    <row r="15564" spans="1:6" x14ac:dyDescent="0.25">
      <c r="A15564">
        <v>15563</v>
      </c>
      <c r="B15564">
        <v>2</v>
      </c>
      <c r="C15564">
        <v>0</v>
      </c>
      <c r="D15564">
        <v>0</v>
      </c>
      <c r="E15564">
        <v>0</v>
      </c>
      <c r="F15564">
        <v>242.82300000000001</v>
      </c>
    </row>
    <row r="15565" spans="1:6" x14ac:dyDescent="0.25">
      <c r="A15565">
        <v>15564</v>
      </c>
      <c r="B15565" t="s">
        <v>0</v>
      </c>
      <c r="C15565">
        <v>43</v>
      </c>
      <c r="D15565">
        <v>3507</v>
      </c>
      <c r="E15565">
        <v>80662127</v>
      </c>
    </row>
    <row r="15566" spans="1:6" x14ac:dyDescent="0.25">
      <c r="A15566">
        <v>15565</v>
      </c>
      <c r="B15566">
        <v>13</v>
      </c>
      <c r="C15566">
        <v>0</v>
      </c>
      <c r="D15566">
        <v>0</v>
      </c>
      <c r="E15566">
        <v>0</v>
      </c>
      <c r="F15566">
        <v>1614</v>
      </c>
    </row>
    <row r="15567" spans="1:6" x14ac:dyDescent="0.25">
      <c r="A15567">
        <v>15566</v>
      </c>
      <c r="B15567" t="s">
        <v>0</v>
      </c>
      <c r="C15567">
        <v>44</v>
      </c>
      <c r="D15567">
        <v>3507</v>
      </c>
      <c r="E15567">
        <v>80662264</v>
      </c>
    </row>
    <row r="15568" spans="1:6" x14ac:dyDescent="0.25">
      <c r="A15568">
        <v>15567</v>
      </c>
      <c r="B15568">
        <v>42</v>
      </c>
      <c r="C15568">
        <v>0</v>
      </c>
      <c r="D15568">
        <v>0</v>
      </c>
      <c r="E15568">
        <v>0</v>
      </c>
      <c r="F15568">
        <v>0.2</v>
      </c>
    </row>
    <row r="15569" spans="1:6" x14ac:dyDescent="0.25">
      <c r="A15569">
        <v>15568</v>
      </c>
      <c r="B15569" t="s">
        <v>0</v>
      </c>
      <c r="C15569">
        <v>45</v>
      </c>
      <c r="D15569">
        <v>3507</v>
      </c>
      <c r="E15569">
        <v>80662401</v>
      </c>
    </row>
    <row r="15570" spans="1:6" x14ac:dyDescent="0.25">
      <c r="A15570">
        <v>15569</v>
      </c>
      <c r="B15570">
        <v>44</v>
      </c>
      <c r="C15570">
        <v>0</v>
      </c>
      <c r="D15570">
        <v>0</v>
      </c>
      <c r="E15570">
        <v>0</v>
      </c>
      <c r="F15570">
        <v>38.447699999999998</v>
      </c>
    </row>
    <row r="15571" spans="1:6" x14ac:dyDescent="0.25">
      <c r="A15571">
        <v>15570</v>
      </c>
      <c r="B15571" t="s">
        <v>0</v>
      </c>
      <c r="C15571">
        <v>46</v>
      </c>
      <c r="D15571">
        <v>3507</v>
      </c>
      <c r="E15571">
        <v>80662538</v>
      </c>
    </row>
    <row r="15572" spans="1:6" x14ac:dyDescent="0.25">
      <c r="A15572">
        <v>15571</v>
      </c>
      <c r="B15572">
        <v>46</v>
      </c>
      <c r="C15572">
        <v>0</v>
      </c>
      <c r="D15572">
        <v>0</v>
      </c>
      <c r="E15572">
        <v>0</v>
      </c>
      <c r="F15572">
        <v>0</v>
      </c>
    </row>
    <row r="15573" spans="1:6" x14ac:dyDescent="0.25">
      <c r="A15573">
        <v>15572</v>
      </c>
      <c r="B15573" t="s">
        <v>0</v>
      </c>
      <c r="C15573">
        <v>47</v>
      </c>
      <c r="D15573">
        <v>3507</v>
      </c>
      <c r="E15573">
        <v>80662675</v>
      </c>
    </row>
    <row r="15574" spans="1:6" x14ac:dyDescent="0.25">
      <c r="A15574">
        <v>15573</v>
      </c>
      <c r="B15574">
        <v>10</v>
      </c>
      <c r="C15574">
        <v>1</v>
      </c>
      <c r="D15574">
        <v>0</v>
      </c>
      <c r="E15574">
        <v>0</v>
      </c>
      <c r="F15574">
        <v>5262</v>
      </c>
    </row>
    <row r="15575" spans="1:6" x14ac:dyDescent="0.25">
      <c r="A15575">
        <v>15574</v>
      </c>
      <c r="B15575">
        <v>13</v>
      </c>
      <c r="C15575">
        <v>0</v>
      </c>
      <c r="D15575">
        <v>0</v>
      </c>
      <c r="E15575">
        <v>0</v>
      </c>
      <c r="F15575">
        <v>1614</v>
      </c>
    </row>
    <row r="15576" spans="1:6" x14ac:dyDescent="0.25">
      <c r="A15576">
        <v>15575</v>
      </c>
      <c r="B15576">
        <v>41</v>
      </c>
      <c r="C15576">
        <v>0</v>
      </c>
      <c r="D15576">
        <v>0</v>
      </c>
      <c r="E15576">
        <v>0</v>
      </c>
      <c r="F15576">
        <v>1</v>
      </c>
    </row>
    <row r="15577" spans="1:6" x14ac:dyDescent="0.25">
      <c r="A15577">
        <v>15576</v>
      </c>
      <c r="B15577">
        <v>42</v>
      </c>
      <c r="C15577">
        <v>0</v>
      </c>
      <c r="D15577">
        <v>0</v>
      </c>
      <c r="E15577">
        <v>0</v>
      </c>
      <c r="F15577">
        <v>0.2</v>
      </c>
    </row>
    <row r="15578" spans="1:6" x14ac:dyDescent="0.25">
      <c r="A15578">
        <v>15577</v>
      </c>
      <c r="B15578">
        <v>43</v>
      </c>
      <c r="C15578">
        <v>0</v>
      </c>
      <c r="D15578">
        <v>0</v>
      </c>
      <c r="E15578">
        <v>0</v>
      </c>
      <c r="F15578">
        <v>0</v>
      </c>
    </row>
    <row r="15579" spans="1:6" x14ac:dyDescent="0.25">
      <c r="A15579">
        <v>15578</v>
      </c>
      <c r="B15579">
        <v>44</v>
      </c>
      <c r="C15579">
        <v>0</v>
      </c>
      <c r="D15579">
        <v>0</v>
      </c>
      <c r="E15579">
        <v>0</v>
      </c>
      <c r="F15579">
        <v>38.572699999999998</v>
      </c>
    </row>
    <row r="15580" spans="1:6" x14ac:dyDescent="0.25">
      <c r="A15580">
        <v>15579</v>
      </c>
      <c r="B15580">
        <v>45</v>
      </c>
      <c r="C15580">
        <v>0</v>
      </c>
      <c r="D15580">
        <v>0</v>
      </c>
      <c r="E15580">
        <v>0</v>
      </c>
      <c r="F15580">
        <v>521.61300000000006</v>
      </c>
    </row>
    <row r="15581" spans="1:6" x14ac:dyDescent="0.25">
      <c r="A15581">
        <v>15580</v>
      </c>
      <c r="B15581">
        <v>46</v>
      </c>
      <c r="C15581">
        <v>0</v>
      </c>
      <c r="D15581">
        <v>0</v>
      </c>
      <c r="E15581">
        <v>0</v>
      </c>
      <c r="F15581">
        <v>0</v>
      </c>
    </row>
    <row r="15582" spans="1:6" x14ac:dyDescent="0.25">
      <c r="A15582">
        <v>15581</v>
      </c>
      <c r="B15582">
        <v>2</v>
      </c>
      <c r="C15582">
        <v>0</v>
      </c>
      <c r="D15582">
        <v>0</v>
      </c>
      <c r="E15582">
        <v>0</v>
      </c>
      <c r="F15582">
        <v>242.82300000000001</v>
      </c>
    </row>
    <row r="15583" spans="1:6" x14ac:dyDescent="0.25">
      <c r="A15583">
        <v>15582</v>
      </c>
      <c r="B15583">
        <v>10</v>
      </c>
      <c r="C15583">
        <v>1</v>
      </c>
      <c r="D15583">
        <v>0</v>
      </c>
      <c r="E15583">
        <v>0</v>
      </c>
      <c r="F15583">
        <v>5263</v>
      </c>
    </row>
    <row r="15584" spans="1:6" x14ac:dyDescent="0.25">
      <c r="A15584">
        <v>15583</v>
      </c>
      <c r="B15584">
        <v>13</v>
      </c>
      <c r="C15584">
        <v>0</v>
      </c>
      <c r="D15584">
        <v>0</v>
      </c>
      <c r="E15584">
        <v>0</v>
      </c>
      <c r="F15584">
        <v>1614</v>
      </c>
    </row>
    <row r="15585" spans="1:6" x14ac:dyDescent="0.25">
      <c r="A15585">
        <v>15584</v>
      </c>
      <c r="B15585">
        <v>41</v>
      </c>
      <c r="C15585">
        <v>0</v>
      </c>
      <c r="D15585">
        <v>0</v>
      </c>
      <c r="E15585">
        <v>0</v>
      </c>
      <c r="F15585">
        <v>1</v>
      </c>
    </row>
    <row r="15586" spans="1:6" x14ac:dyDescent="0.25">
      <c r="A15586">
        <v>15585</v>
      </c>
      <c r="B15586">
        <v>42</v>
      </c>
      <c r="C15586">
        <v>0</v>
      </c>
      <c r="D15586">
        <v>0</v>
      </c>
      <c r="E15586">
        <v>0</v>
      </c>
      <c r="F15586">
        <v>0.2</v>
      </c>
    </row>
    <row r="15587" spans="1:6" x14ac:dyDescent="0.25">
      <c r="A15587">
        <v>15586</v>
      </c>
      <c r="B15587">
        <v>43</v>
      </c>
      <c r="C15587">
        <v>0</v>
      </c>
      <c r="D15587">
        <v>0</v>
      </c>
      <c r="E15587">
        <v>0</v>
      </c>
      <c r="F15587">
        <v>0</v>
      </c>
    </row>
    <row r="15588" spans="1:6" x14ac:dyDescent="0.25">
      <c r="A15588">
        <v>15587</v>
      </c>
      <c r="B15588">
        <v>44</v>
      </c>
      <c r="C15588">
        <v>0</v>
      </c>
      <c r="D15588">
        <v>0</v>
      </c>
      <c r="E15588">
        <v>0</v>
      </c>
      <c r="F15588">
        <v>38.747100000000003</v>
      </c>
    </row>
    <row r="15589" spans="1:6" x14ac:dyDescent="0.25">
      <c r="A15589">
        <v>15588</v>
      </c>
      <c r="B15589">
        <v>45</v>
      </c>
      <c r="C15589">
        <v>0</v>
      </c>
      <c r="D15589">
        <v>0</v>
      </c>
      <c r="E15589">
        <v>0</v>
      </c>
      <c r="F15589">
        <v>521.65499999999997</v>
      </c>
    </row>
    <row r="15590" spans="1:6" x14ac:dyDescent="0.25">
      <c r="A15590">
        <v>15589</v>
      </c>
      <c r="B15590" t="s">
        <v>0</v>
      </c>
      <c r="C15590">
        <v>55</v>
      </c>
      <c r="D15590">
        <v>3507</v>
      </c>
      <c r="E15590">
        <v>80663770</v>
      </c>
    </row>
    <row r="15591" spans="1:6" x14ac:dyDescent="0.25">
      <c r="A15591">
        <v>15590</v>
      </c>
      <c r="B15591">
        <v>46</v>
      </c>
      <c r="C15591">
        <v>0</v>
      </c>
      <c r="D15591">
        <v>0</v>
      </c>
      <c r="E15591">
        <v>0</v>
      </c>
      <c r="F15591">
        <v>0</v>
      </c>
    </row>
    <row r="15592" spans="1:6" x14ac:dyDescent="0.25">
      <c r="A15592">
        <v>15591</v>
      </c>
      <c r="B15592">
        <v>2</v>
      </c>
      <c r="C15592">
        <v>0</v>
      </c>
      <c r="D15592">
        <v>0</v>
      </c>
      <c r="E15592">
        <v>0</v>
      </c>
      <c r="F15592">
        <v>242.82400000000001</v>
      </c>
    </row>
    <row r="15593" spans="1:6" x14ac:dyDescent="0.25">
      <c r="A15593">
        <v>15592</v>
      </c>
      <c r="B15593" t="s">
        <v>0</v>
      </c>
      <c r="C15593">
        <v>56</v>
      </c>
      <c r="D15593">
        <v>3507</v>
      </c>
      <c r="E15593">
        <v>80663906</v>
      </c>
    </row>
    <row r="15594" spans="1:6" x14ac:dyDescent="0.25">
      <c r="A15594">
        <v>15593</v>
      </c>
      <c r="B15594">
        <v>10</v>
      </c>
      <c r="C15594">
        <v>1</v>
      </c>
      <c r="D15594">
        <v>0</v>
      </c>
      <c r="E15594">
        <v>0</v>
      </c>
      <c r="F15594">
        <v>5264</v>
      </c>
    </row>
    <row r="15595" spans="1:6" x14ac:dyDescent="0.25">
      <c r="A15595">
        <v>15594</v>
      </c>
      <c r="B15595">
        <v>13</v>
      </c>
      <c r="C15595">
        <v>0</v>
      </c>
      <c r="D15595">
        <v>0</v>
      </c>
      <c r="E15595">
        <v>0</v>
      </c>
      <c r="F15595">
        <v>1614</v>
      </c>
    </row>
    <row r="15596" spans="1:6" x14ac:dyDescent="0.25">
      <c r="A15596">
        <v>15595</v>
      </c>
      <c r="B15596" t="s">
        <v>0</v>
      </c>
      <c r="C15596">
        <v>57</v>
      </c>
      <c r="D15596">
        <v>3507</v>
      </c>
      <c r="E15596">
        <v>80664043</v>
      </c>
    </row>
    <row r="15597" spans="1:6" x14ac:dyDescent="0.25">
      <c r="A15597">
        <v>15596</v>
      </c>
      <c r="B15597">
        <v>41</v>
      </c>
      <c r="C15597">
        <v>0</v>
      </c>
      <c r="D15597">
        <v>0</v>
      </c>
      <c r="E15597">
        <v>0</v>
      </c>
      <c r="F15597">
        <v>1</v>
      </c>
    </row>
    <row r="15598" spans="1:6" x14ac:dyDescent="0.25">
      <c r="A15598">
        <v>15597</v>
      </c>
      <c r="B15598">
        <v>42</v>
      </c>
      <c r="C15598">
        <v>0</v>
      </c>
      <c r="D15598">
        <v>0</v>
      </c>
      <c r="E15598">
        <v>0</v>
      </c>
      <c r="F15598">
        <v>0.2</v>
      </c>
    </row>
    <row r="15599" spans="1:6" x14ac:dyDescent="0.25">
      <c r="A15599">
        <v>15598</v>
      </c>
      <c r="B15599" t="s">
        <v>0</v>
      </c>
      <c r="C15599">
        <v>58</v>
      </c>
      <c r="D15599">
        <v>3507</v>
      </c>
      <c r="E15599">
        <v>80664180</v>
      </c>
    </row>
    <row r="15600" spans="1:6" x14ac:dyDescent="0.25">
      <c r="A15600">
        <v>15599</v>
      </c>
      <c r="B15600">
        <v>43</v>
      </c>
      <c r="C15600">
        <v>0</v>
      </c>
      <c r="D15600">
        <v>0</v>
      </c>
      <c r="E15600">
        <v>0</v>
      </c>
      <c r="F15600">
        <v>0</v>
      </c>
    </row>
    <row r="15601" spans="1:6" x14ac:dyDescent="0.25">
      <c r="A15601">
        <v>15600</v>
      </c>
      <c r="B15601">
        <v>44</v>
      </c>
      <c r="C15601">
        <v>0</v>
      </c>
      <c r="D15601">
        <v>0</v>
      </c>
      <c r="E15601">
        <v>0</v>
      </c>
      <c r="F15601">
        <v>38.872199999999999</v>
      </c>
    </row>
    <row r="15602" spans="1:6" x14ac:dyDescent="0.25">
      <c r="A15602">
        <v>15601</v>
      </c>
      <c r="B15602" t="s">
        <v>0</v>
      </c>
      <c r="C15602">
        <v>59</v>
      </c>
      <c r="D15602">
        <v>3507</v>
      </c>
      <c r="E15602">
        <v>80664316</v>
      </c>
    </row>
    <row r="15603" spans="1:6" x14ac:dyDescent="0.25">
      <c r="A15603">
        <v>15602</v>
      </c>
      <c r="B15603">
        <v>45</v>
      </c>
      <c r="C15603">
        <v>0</v>
      </c>
      <c r="D15603">
        <v>0</v>
      </c>
      <c r="E15603">
        <v>0</v>
      </c>
      <c r="F15603">
        <v>521.70899999999995</v>
      </c>
    </row>
    <row r="15604" spans="1:6" x14ac:dyDescent="0.25">
      <c r="A15604">
        <v>15603</v>
      </c>
      <c r="B15604">
        <v>46</v>
      </c>
      <c r="C15604">
        <v>0</v>
      </c>
      <c r="D15604">
        <v>0</v>
      </c>
      <c r="E15604">
        <v>0</v>
      </c>
      <c r="F15604">
        <v>0</v>
      </c>
    </row>
    <row r="15605" spans="1:6" x14ac:dyDescent="0.25">
      <c r="A15605">
        <v>15604</v>
      </c>
      <c r="B15605" t="s">
        <v>0</v>
      </c>
      <c r="C15605">
        <v>60</v>
      </c>
      <c r="D15605">
        <v>3507</v>
      </c>
      <c r="E15605">
        <v>80664453</v>
      </c>
    </row>
    <row r="15606" spans="1:6" x14ac:dyDescent="0.25">
      <c r="A15606">
        <v>15605</v>
      </c>
      <c r="B15606">
        <v>2</v>
      </c>
      <c r="C15606">
        <v>0</v>
      </c>
      <c r="D15606">
        <v>0</v>
      </c>
      <c r="E15606">
        <v>0</v>
      </c>
      <c r="F15606">
        <v>242.82400000000001</v>
      </c>
    </row>
    <row r="15607" spans="1:6" x14ac:dyDescent="0.25">
      <c r="A15607">
        <v>15606</v>
      </c>
      <c r="B15607">
        <v>10</v>
      </c>
      <c r="C15607">
        <v>1</v>
      </c>
      <c r="D15607">
        <v>0</v>
      </c>
      <c r="E15607">
        <v>0</v>
      </c>
      <c r="F15607">
        <v>5265</v>
      </c>
    </row>
    <row r="15608" spans="1:6" x14ac:dyDescent="0.25">
      <c r="A15608">
        <v>15607</v>
      </c>
      <c r="B15608" t="s">
        <v>0</v>
      </c>
      <c r="C15608">
        <v>61</v>
      </c>
      <c r="D15608">
        <v>3507</v>
      </c>
      <c r="E15608">
        <v>80664590</v>
      </c>
    </row>
    <row r="15609" spans="1:6" x14ac:dyDescent="0.25">
      <c r="A15609">
        <v>15608</v>
      </c>
      <c r="B15609">
        <v>41</v>
      </c>
      <c r="C15609">
        <v>0</v>
      </c>
      <c r="D15609">
        <v>0</v>
      </c>
      <c r="E15609">
        <v>0</v>
      </c>
      <c r="F15609">
        <v>1</v>
      </c>
    </row>
    <row r="15610" spans="1:6" x14ac:dyDescent="0.25">
      <c r="A15610">
        <v>15609</v>
      </c>
      <c r="B15610" t="s">
        <v>0</v>
      </c>
      <c r="C15610">
        <v>62</v>
      </c>
      <c r="D15610">
        <v>3507</v>
      </c>
      <c r="E15610">
        <v>80664726</v>
      </c>
    </row>
    <row r="15611" spans="1:6" x14ac:dyDescent="0.25">
      <c r="A15611">
        <v>15610</v>
      </c>
      <c r="B15611">
        <v>43</v>
      </c>
      <c r="C15611">
        <v>0</v>
      </c>
      <c r="D15611">
        <v>0</v>
      </c>
      <c r="E15611">
        <v>0</v>
      </c>
      <c r="F15611">
        <v>0</v>
      </c>
    </row>
    <row r="15612" spans="1:6" x14ac:dyDescent="0.25">
      <c r="A15612">
        <v>15611</v>
      </c>
      <c r="B15612" t="s">
        <v>0</v>
      </c>
      <c r="C15612">
        <v>63</v>
      </c>
      <c r="D15612">
        <v>3507</v>
      </c>
      <c r="E15612">
        <v>80664863</v>
      </c>
    </row>
    <row r="15613" spans="1:6" x14ac:dyDescent="0.25">
      <c r="A15613">
        <v>15612</v>
      </c>
      <c r="B15613">
        <v>45</v>
      </c>
      <c r="C15613">
        <v>0</v>
      </c>
      <c r="D15613">
        <v>0</v>
      </c>
      <c r="E15613">
        <v>0</v>
      </c>
      <c r="F15613">
        <v>521.75199999999995</v>
      </c>
    </row>
    <row r="15614" spans="1:6" x14ac:dyDescent="0.25">
      <c r="A15614">
        <v>15613</v>
      </c>
      <c r="B15614" t="s">
        <v>0</v>
      </c>
      <c r="C15614">
        <v>64</v>
      </c>
      <c r="D15614">
        <v>3507</v>
      </c>
      <c r="E15614">
        <v>80664999</v>
      </c>
    </row>
    <row r="15615" spans="1:6" x14ac:dyDescent="0.25">
      <c r="A15615">
        <v>15614</v>
      </c>
      <c r="B15615">
        <v>2</v>
      </c>
      <c r="C15615">
        <v>0</v>
      </c>
      <c r="D15615">
        <v>0</v>
      </c>
      <c r="E15615">
        <v>0</v>
      </c>
      <c r="F15615">
        <v>242.82400000000001</v>
      </c>
    </row>
    <row r="15616" spans="1:6" x14ac:dyDescent="0.25">
      <c r="A15616">
        <v>15615</v>
      </c>
      <c r="B15616" t="s">
        <v>0</v>
      </c>
      <c r="C15616">
        <v>65</v>
      </c>
      <c r="D15616">
        <v>3507</v>
      </c>
      <c r="E15616">
        <v>80665135</v>
      </c>
    </row>
    <row r="15617" spans="1:6" x14ac:dyDescent="0.25">
      <c r="A15617">
        <v>15616</v>
      </c>
      <c r="B15617">
        <v>13</v>
      </c>
      <c r="C15617">
        <v>0</v>
      </c>
      <c r="D15617">
        <v>0</v>
      </c>
      <c r="E15617">
        <v>0</v>
      </c>
      <c r="F15617">
        <v>1614</v>
      </c>
    </row>
    <row r="15618" spans="1:6" x14ac:dyDescent="0.25">
      <c r="A15618">
        <v>15617</v>
      </c>
      <c r="B15618" t="s">
        <v>0</v>
      </c>
      <c r="C15618">
        <v>66</v>
      </c>
      <c r="D15618">
        <v>3507</v>
      </c>
      <c r="E15618">
        <v>80665272</v>
      </c>
    </row>
    <row r="15619" spans="1:6" x14ac:dyDescent="0.25">
      <c r="A15619">
        <v>15618</v>
      </c>
      <c r="B15619">
        <v>42</v>
      </c>
      <c r="C15619">
        <v>0</v>
      </c>
      <c r="D15619">
        <v>0</v>
      </c>
      <c r="E15619">
        <v>0</v>
      </c>
      <c r="F15619">
        <v>0.2</v>
      </c>
    </row>
    <row r="15620" spans="1:6" x14ac:dyDescent="0.25">
      <c r="A15620">
        <v>15619</v>
      </c>
      <c r="B15620">
        <v>43</v>
      </c>
      <c r="C15620">
        <v>0</v>
      </c>
      <c r="D15620">
        <v>0</v>
      </c>
      <c r="E15620">
        <v>0</v>
      </c>
      <c r="F15620">
        <v>0</v>
      </c>
    </row>
    <row r="15621" spans="1:6" x14ac:dyDescent="0.25">
      <c r="A15621">
        <v>15620</v>
      </c>
      <c r="B15621">
        <v>44</v>
      </c>
      <c r="C15621">
        <v>0</v>
      </c>
      <c r="D15621">
        <v>0</v>
      </c>
      <c r="E15621">
        <v>0</v>
      </c>
      <c r="F15621">
        <v>39.197299999999998</v>
      </c>
    </row>
    <row r="15622" spans="1:6" x14ac:dyDescent="0.25">
      <c r="A15622">
        <v>15621</v>
      </c>
      <c r="B15622">
        <v>45</v>
      </c>
      <c r="C15622">
        <v>0</v>
      </c>
      <c r="D15622">
        <v>0</v>
      </c>
      <c r="E15622">
        <v>0</v>
      </c>
      <c r="F15622">
        <v>521.79399999999998</v>
      </c>
    </row>
    <row r="15623" spans="1:6" x14ac:dyDescent="0.25">
      <c r="A15623">
        <v>15622</v>
      </c>
      <c r="B15623">
        <v>46</v>
      </c>
      <c r="C15623">
        <v>0</v>
      </c>
      <c r="D15623">
        <v>0</v>
      </c>
      <c r="E15623">
        <v>0</v>
      </c>
      <c r="F15623">
        <v>0</v>
      </c>
    </row>
    <row r="15624" spans="1:6" x14ac:dyDescent="0.25">
      <c r="A15624">
        <v>15623</v>
      </c>
      <c r="B15624">
        <v>2</v>
      </c>
      <c r="C15624">
        <v>0</v>
      </c>
      <c r="D15624">
        <v>0</v>
      </c>
      <c r="E15624">
        <v>0</v>
      </c>
      <c r="F15624">
        <v>242.82300000000001</v>
      </c>
    </row>
    <row r="15625" spans="1:6" x14ac:dyDescent="0.25">
      <c r="A15625">
        <v>15624</v>
      </c>
      <c r="B15625">
        <v>10</v>
      </c>
      <c r="C15625">
        <v>1</v>
      </c>
      <c r="D15625">
        <v>0</v>
      </c>
      <c r="E15625">
        <v>0</v>
      </c>
      <c r="F15625">
        <v>5268</v>
      </c>
    </row>
    <row r="15626" spans="1:6" x14ac:dyDescent="0.25">
      <c r="A15626">
        <v>15625</v>
      </c>
      <c r="B15626">
        <v>13</v>
      </c>
      <c r="C15626">
        <v>0</v>
      </c>
      <c r="D15626">
        <v>0</v>
      </c>
      <c r="E15626">
        <v>0</v>
      </c>
      <c r="F15626">
        <v>1614</v>
      </c>
    </row>
    <row r="15627" spans="1:6" x14ac:dyDescent="0.25">
      <c r="A15627">
        <v>15626</v>
      </c>
      <c r="B15627">
        <v>41</v>
      </c>
      <c r="C15627">
        <v>0</v>
      </c>
      <c r="D15627">
        <v>0</v>
      </c>
      <c r="E15627">
        <v>0</v>
      </c>
      <c r="F15627">
        <v>1</v>
      </c>
    </row>
    <row r="15628" spans="1:6" x14ac:dyDescent="0.25">
      <c r="A15628">
        <v>15627</v>
      </c>
      <c r="B15628">
        <v>42</v>
      </c>
      <c r="C15628">
        <v>0</v>
      </c>
      <c r="D15628">
        <v>0</v>
      </c>
      <c r="E15628">
        <v>0</v>
      </c>
      <c r="F15628">
        <v>0.2</v>
      </c>
    </row>
    <row r="15629" spans="1:6" x14ac:dyDescent="0.25">
      <c r="A15629">
        <v>15628</v>
      </c>
      <c r="B15629">
        <v>43</v>
      </c>
      <c r="C15629">
        <v>0</v>
      </c>
      <c r="D15629">
        <v>0</v>
      </c>
      <c r="E15629">
        <v>0</v>
      </c>
      <c r="F15629">
        <v>0</v>
      </c>
    </row>
    <row r="15630" spans="1:6" x14ac:dyDescent="0.25">
      <c r="A15630">
        <v>15629</v>
      </c>
      <c r="B15630">
        <v>44</v>
      </c>
      <c r="C15630">
        <v>0</v>
      </c>
      <c r="D15630">
        <v>0</v>
      </c>
      <c r="E15630">
        <v>0</v>
      </c>
      <c r="F15630">
        <v>39.322299999999998</v>
      </c>
    </row>
    <row r="15631" spans="1:6" x14ac:dyDescent="0.25">
      <c r="A15631">
        <v>15630</v>
      </c>
      <c r="B15631">
        <v>45</v>
      </c>
      <c r="C15631">
        <v>0</v>
      </c>
      <c r="D15631">
        <v>0</v>
      </c>
      <c r="E15631">
        <v>0</v>
      </c>
      <c r="F15631">
        <v>521.84799999999996</v>
      </c>
    </row>
    <row r="15632" spans="1:6" x14ac:dyDescent="0.25">
      <c r="A15632">
        <v>15631</v>
      </c>
      <c r="B15632">
        <v>46</v>
      </c>
      <c r="C15632">
        <v>0</v>
      </c>
      <c r="D15632">
        <v>0</v>
      </c>
      <c r="E15632">
        <v>0</v>
      </c>
      <c r="F15632">
        <v>0</v>
      </c>
    </row>
    <row r="15633" spans="1:6" x14ac:dyDescent="0.25">
      <c r="A15633">
        <v>15632</v>
      </c>
      <c r="B15633">
        <v>2</v>
      </c>
      <c r="C15633">
        <v>0</v>
      </c>
      <c r="D15633">
        <v>0</v>
      </c>
      <c r="E15633">
        <v>0</v>
      </c>
      <c r="F15633">
        <v>242.82300000000001</v>
      </c>
    </row>
    <row r="15634" spans="1:6" x14ac:dyDescent="0.25">
      <c r="A15634">
        <v>15633</v>
      </c>
      <c r="B15634">
        <v>10</v>
      </c>
      <c r="C15634">
        <v>1</v>
      </c>
      <c r="D15634">
        <v>0</v>
      </c>
      <c r="E15634">
        <v>0</v>
      </c>
      <c r="F15634">
        <v>5269</v>
      </c>
    </row>
    <row r="15635" spans="1:6" x14ac:dyDescent="0.25">
      <c r="A15635">
        <v>15634</v>
      </c>
      <c r="B15635" t="s">
        <v>0</v>
      </c>
      <c r="C15635">
        <v>74</v>
      </c>
      <c r="D15635">
        <v>3507</v>
      </c>
      <c r="E15635">
        <v>80666365</v>
      </c>
    </row>
    <row r="15636" spans="1:6" x14ac:dyDescent="0.25">
      <c r="A15636">
        <v>15635</v>
      </c>
      <c r="B15636">
        <v>13</v>
      </c>
      <c r="C15636">
        <v>0</v>
      </c>
      <c r="D15636">
        <v>0</v>
      </c>
      <c r="E15636">
        <v>0</v>
      </c>
      <c r="F15636">
        <v>1614</v>
      </c>
    </row>
    <row r="15637" spans="1:6" x14ac:dyDescent="0.25">
      <c r="A15637">
        <v>15636</v>
      </c>
      <c r="B15637">
        <v>41</v>
      </c>
      <c r="C15637">
        <v>0</v>
      </c>
      <c r="D15637">
        <v>0</v>
      </c>
      <c r="E15637">
        <v>0</v>
      </c>
      <c r="F15637">
        <v>1</v>
      </c>
    </row>
    <row r="15638" spans="1:6" x14ac:dyDescent="0.25">
      <c r="A15638">
        <v>15637</v>
      </c>
      <c r="B15638" t="s">
        <v>0</v>
      </c>
      <c r="C15638">
        <v>75</v>
      </c>
      <c r="D15638">
        <v>3507</v>
      </c>
      <c r="E15638">
        <v>80666502</v>
      </c>
    </row>
    <row r="15639" spans="1:6" x14ac:dyDescent="0.25">
      <c r="A15639">
        <v>15638</v>
      </c>
      <c r="B15639">
        <v>42</v>
      </c>
      <c r="C15639">
        <v>0</v>
      </c>
      <c r="D15639">
        <v>0</v>
      </c>
      <c r="E15639">
        <v>0</v>
      </c>
      <c r="F15639">
        <v>0.2</v>
      </c>
    </row>
    <row r="15640" spans="1:6" x14ac:dyDescent="0.25">
      <c r="A15640">
        <v>15639</v>
      </c>
      <c r="B15640">
        <v>43</v>
      </c>
      <c r="C15640">
        <v>0</v>
      </c>
      <c r="D15640">
        <v>0</v>
      </c>
      <c r="E15640">
        <v>0</v>
      </c>
      <c r="F15640">
        <v>0</v>
      </c>
    </row>
    <row r="15641" spans="1:6" x14ac:dyDescent="0.25">
      <c r="A15641">
        <v>15640</v>
      </c>
      <c r="B15641" t="s">
        <v>0</v>
      </c>
      <c r="C15641">
        <v>76</v>
      </c>
      <c r="D15641">
        <v>3507</v>
      </c>
      <c r="E15641">
        <v>80666639</v>
      </c>
    </row>
    <row r="15642" spans="1:6" x14ac:dyDescent="0.25">
      <c r="A15642">
        <v>15641</v>
      </c>
      <c r="B15642">
        <v>44</v>
      </c>
      <c r="C15642">
        <v>0</v>
      </c>
      <c r="D15642">
        <v>0</v>
      </c>
      <c r="E15642">
        <v>0</v>
      </c>
      <c r="F15642">
        <v>39.496499999999997</v>
      </c>
    </row>
    <row r="15643" spans="1:6" x14ac:dyDescent="0.25">
      <c r="A15643">
        <v>15642</v>
      </c>
      <c r="B15643">
        <v>45</v>
      </c>
      <c r="C15643">
        <v>0</v>
      </c>
      <c r="D15643">
        <v>0</v>
      </c>
      <c r="E15643">
        <v>0</v>
      </c>
      <c r="F15643">
        <v>521.89200000000005</v>
      </c>
    </row>
    <row r="15644" spans="1:6" x14ac:dyDescent="0.25">
      <c r="A15644">
        <v>15643</v>
      </c>
      <c r="B15644" t="s">
        <v>0</v>
      </c>
      <c r="C15644">
        <v>77</v>
      </c>
      <c r="D15644">
        <v>3507</v>
      </c>
      <c r="E15644">
        <v>80666775</v>
      </c>
    </row>
    <row r="15645" spans="1:6" x14ac:dyDescent="0.25">
      <c r="A15645">
        <v>15644</v>
      </c>
      <c r="B15645">
        <v>46</v>
      </c>
      <c r="C15645">
        <v>0</v>
      </c>
      <c r="D15645">
        <v>0</v>
      </c>
      <c r="E15645">
        <v>0</v>
      </c>
      <c r="F15645">
        <v>0</v>
      </c>
    </row>
    <row r="15646" spans="1:6" x14ac:dyDescent="0.25">
      <c r="A15646">
        <v>15645</v>
      </c>
      <c r="B15646">
        <v>2</v>
      </c>
      <c r="C15646">
        <v>0</v>
      </c>
      <c r="D15646">
        <v>0</v>
      </c>
      <c r="E15646">
        <v>0</v>
      </c>
      <c r="F15646">
        <v>242.82400000000001</v>
      </c>
    </row>
    <row r="15647" spans="1:6" x14ac:dyDescent="0.25">
      <c r="A15647">
        <v>15646</v>
      </c>
      <c r="B15647" t="s">
        <v>0</v>
      </c>
      <c r="C15647">
        <v>78</v>
      </c>
      <c r="D15647">
        <v>3507</v>
      </c>
      <c r="E15647">
        <v>80666912</v>
      </c>
    </row>
    <row r="15648" spans="1:6" x14ac:dyDescent="0.25">
      <c r="A15648">
        <v>15647</v>
      </c>
      <c r="B15648">
        <v>10</v>
      </c>
      <c r="C15648">
        <v>1</v>
      </c>
      <c r="D15648">
        <v>0</v>
      </c>
      <c r="E15648">
        <v>0</v>
      </c>
      <c r="F15648">
        <v>5270</v>
      </c>
    </row>
    <row r="15649" spans="1:6" x14ac:dyDescent="0.25">
      <c r="A15649">
        <v>15648</v>
      </c>
      <c r="B15649">
        <v>13</v>
      </c>
      <c r="C15649">
        <v>0</v>
      </c>
      <c r="D15649">
        <v>0</v>
      </c>
      <c r="E15649">
        <v>0</v>
      </c>
      <c r="F15649">
        <v>1614</v>
      </c>
    </row>
    <row r="15650" spans="1:6" x14ac:dyDescent="0.25">
      <c r="A15650">
        <v>15649</v>
      </c>
      <c r="B15650" t="s">
        <v>0</v>
      </c>
      <c r="C15650">
        <v>79</v>
      </c>
      <c r="D15650">
        <v>3507</v>
      </c>
      <c r="E15650">
        <v>80667049</v>
      </c>
    </row>
    <row r="15651" spans="1:6" x14ac:dyDescent="0.25">
      <c r="A15651">
        <v>15650</v>
      </c>
      <c r="B15651">
        <v>42</v>
      </c>
      <c r="C15651">
        <v>0</v>
      </c>
      <c r="D15651">
        <v>0</v>
      </c>
      <c r="E15651">
        <v>0</v>
      </c>
      <c r="F15651">
        <v>0.2</v>
      </c>
    </row>
    <row r="15652" spans="1:6" x14ac:dyDescent="0.25">
      <c r="A15652">
        <v>15651</v>
      </c>
      <c r="B15652" t="s">
        <v>0</v>
      </c>
      <c r="C15652">
        <v>80</v>
      </c>
      <c r="D15652">
        <v>3507</v>
      </c>
      <c r="E15652">
        <v>80667185</v>
      </c>
    </row>
    <row r="15653" spans="1:6" x14ac:dyDescent="0.25">
      <c r="A15653">
        <v>15652</v>
      </c>
      <c r="B15653">
        <v>44</v>
      </c>
      <c r="C15653">
        <v>0</v>
      </c>
      <c r="D15653">
        <v>0</v>
      </c>
      <c r="E15653">
        <v>0</v>
      </c>
      <c r="F15653">
        <v>39.621699999999997</v>
      </c>
    </row>
    <row r="15654" spans="1:6" x14ac:dyDescent="0.25">
      <c r="A15654">
        <v>15653</v>
      </c>
      <c r="B15654" t="s">
        <v>0</v>
      </c>
      <c r="C15654">
        <v>81</v>
      </c>
      <c r="D15654">
        <v>3507</v>
      </c>
      <c r="E15654">
        <v>80667322</v>
      </c>
    </row>
    <row r="15655" spans="1:6" x14ac:dyDescent="0.25">
      <c r="A15655">
        <v>15654</v>
      </c>
      <c r="B15655">
        <v>46</v>
      </c>
      <c r="C15655">
        <v>0</v>
      </c>
      <c r="D15655">
        <v>0</v>
      </c>
      <c r="E15655">
        <v>0</v>
      </c>
      <c r="F15655">
        <v>0</v>
      </c>
    </row>
    <row r="15656" spans="1:6" x14ac:dyDescent="0.25">
      <c r="A15656">
        <v>15655</v>
      </c>
      <c r="B15656" t="s">
        <v>0</v>
      </c>
      <c r="C15656">
        <v>82</v>
      </c>
      <c r="D15656">
        <v>3507</v>
      </c>
      <c r="E15656">
        <v>80667459</v>
      </c>
    </row>
    <row r="15657" spans="1:6" x14ac:dyDescent="0.25">
      <c r="A15657">
        <v>15656</v>
      </c>
      <c r="B15657">
        <v>10</v>
      </c>
      <c r="C15657">
        <v>1</v>
      </c>
      <c r="D15657">
        <v>0</v>
      </c>
      <c r="E15657">
        <v>0</v>
      </c>
      <c r="F15657">
        <v>5271</v>
      </c>
    </row>
    <row r="15658" spans="1:6" x14ac:dyDescent="0.25">
      <c r="A15658">
        <v>15657</v>
      </c>
      <c r="B15658" t="s">
        <v>0</v>
      </c>
      <c r="C15658">
        <v>83</v>
      </c>
      <c r="D15658">
        <v>3507</v>
      </c>
      <c r="E15658">
        <v>80667595</v>
      </c>
    </row>
    <row r="15659" spans="1:6" x14ac:dyDescent="0.25">
      <c r="A15659">
        <v>15658</v>
      </c>
      <c r="B15659">
        <v>41</v>
      </c>
      <c r="C15659">
        <v>0</v>
      </c>
      <c r="D15659">
        <v>0</v>
      </c>
      <c r="E15659">
        <v>0</v>
      </c>
      <c r="F15659">
        <v>1</v>
      </c>
    </row>
    <row r="15660" spans="1:6" x14ac:dyDescent="0.25">
      <c r="A15660">
        <v>15659</v>
      </c>
      <c r="B15660" t="s">
        <v>0</v>
      </c>
      <c r="C15660">
        <v>84</v>
      </c>
      <c r="D15660">
        <v>3507</v>
      </c>
      <c r="E15660">
        <v>80667732</v>
      </c>
    </row>
    <row r="15661" spans="1:6" x14ac:dyDescent="0.25">
      <c r="A15661">
        <v>15660</v>
      </c>
      <c r="B15661">
        <v>43</v>
      </c>
      <c r="C15661">
        <v>0</v>
      </c>
      <c r="D15661">
        <v>0</v>
      </c>
      <c r="E15661">
        <v>0</v>
      </c>
      <c r="F15661">
        <v>0</v>
      </c>
    </row>
    <row r="15662" spans="1:6" x14ac:dyDescent="0.25">
      <c r="A15662">
        <v>15661</v>
      </c>
      <c r="B15662" t="s">
        <v>0</v>
      </c>
      <c r="C15662">
        <v>85</v>
      </c>
      <c r="D15662">
        <v>3507</v>
      </c>
      <c r="E15662">
        <v>80667869</v>
      </c>
    </row>
    <row r="15663" spans="1:6" x14ac:dyDescent="0.25">
      <c r="A15663">
        <v>15662</v>
      </c>
      <c r="B15663">
        <v>45</v>
      </c>
      <c r="C15663">
        <v>0</v>
      </c>
      <c r="D15663">
        <v>0</v>
      </c>
      <c r="E15663">
        <v>0</v>
      </c>
      <c r="F15663">
        <v>521.99</v>
      </c>
    </row>
    <row r="15664" spans="1:6" x14ac:dyDescent="0.25">
      <c r="A15664">
        <v>15663</v>
      </c>
      <c r="B15664">
        <v>46</v>
      </c>
      <c r="C15664">
        <v>0</v>
      </c>
      <c r="D15664">
        <v>0</v>
      </c>
      <c r="E15664">
        <v>0</v>
      </c>
      <c r="F15664">
        <v>0</v>
      </c>
    </row>
    <row r="15665" spans="1:6" x14ac:dyDescent="0.25">
      <c r="A15665">
        <v>15664</v>
      </c>
      <c r="B15665">
        <v>2</v>
      </c>
      <c r="C15665">
        <v>0</v>
      </c>
      <c r="D15665">
        <v>0</v>
      </c>
      <c r="E15665">
        <v>0</v>
      </c>
      <c r="F15665">
        <v>242.82400000000001</v>
      </c>
    </row>
    <row r="15666" spans="1:6" x14ac:dyDescent="0.25">
      <c r="A15666">
        <v>15665</v>
      </c>
      <c r="B15666">
        <v>10</v>
      </c>
      <c r="C15666">
        <v>1</v>
      </c>
      <c r="D15666">
        <v>0</v>
      </c>
      <c r="E15666">
        <v>0</v>
      </c>
      <c r="F15666">
        <v>5272</v>
      </c>
    </row>
    <row r="15667" spans="1:6" x14ac:dyDescent="0.25">
      <c r="A15667">
        <v>15666</v>
      </c>
      <c r="B15667">
        <v>13</v>
      </c>
      <c r="C15667">
        <v>0</v>
      </c>
      <c r="D15667">
        <v>0</v>
      </c>
      <c r="E15667">
        <v>0</v>
      </c>
      <c r="F15667">
        <v>1614</v>
      </c>
    </row>
    <row r="15668" spans="1:6" x14ac:dyDescent="0.25">
      <c r="A15668">
        <v>15667</v>
      </c>
      <c r="B15668">
        <v>41</v>
      </c>
      <c r="C15668">
        <v>0</v>
      </c>
      <c r="D15668">
        <v>0</v>
      </c>
      <c r="E15668">
        <v>0</v>
      </c>
      <c r="F15668">
        <v>1</v>
      </c>
    </row>
    <row r="15669" spans="1:6" x14ac:dyDescent="0.25">
      <c r="A15669">
        <v>15668</v>
      </c>
      <c r="B15669">
        <v>42</v>
      </c>
      <c r="C15669">
        <v>0</v>
      </c>
      <c r="D15669">
        <v>0</v>
      </c>
      <c r="E15669">
        <v>0</v>
      </c>
      <c r="F15669">
        <v>0.2</v>
      </c>
    </row>
    <row r="15670" spans="1:6" x14ac:dyDescent="0.25">
      <c r="A15670">
        <v>15669</v>
      </c>
      <c r="B15670">
        <v>43</v>
      </c>
      <c r="C15670">
        <v>0</v>
      </c>
      <c r="D15670">
        <v>0</v>
      </c>
      <c r="E15670">
        <v>0</v>
      </c>
      <c r="F15670">
        <v>0</v>
      </c>
    </row>
    <row r="15671" spans="1:6" x14ac:dyDescent="0.25">
      <c r="A15671">
        <v>15670</v>
      </c>
      <c r="B15671">
        <v>44</v>
      </c>
      <c r="C15671">
        <v>0</v>
      </c>
      <c r="D15671">
        <v>0</v>
      </c>
      <c r="E15671">
        <v>0</v>
      </c>
      <c r="F15671">
        <v>39.946899999999999</v>
      </c>
    </row>
    <row r="15672" spans="1:6" x14ac:dyDescent="0.25">
      <c r="A15672">
        <v>15671</v>
      </c>
      <c r="B15672">
        <v>45</v>
      </c>
      <c r="C15672">
        <v>0</v>
      </c>
      <c r="D15672">
        <v>0</v>
      </c>
      <c r="E15672">
        <v>0</v>
      </c>
      <c r="F15672">
        <v>522.03399999999999</v>
      </c>
    </row>
    <row r="15673" spans="1:6" x14ac:dyDescent="0.25">
      <c r="A15673">
        <v>15672</v>
      </c>
      <c r="B15673">
        <v>46</v>
      </c>
      <c r="C15673">
        <v>0</v>
      </c>
      <c r="D15673">
        <v>0</v>
      </c>
      <c r="E15673">
        <v>0</v>
      </c>
      <c r="F15673">
        <v>0</v>
      </c>
    </row>
    <row r="15674" spans="1:6" x14ac:dyDescent="0.25">
      <c r="A15674">
        <v>15673</v>
      </c>
      <c r="B15674">
        <v>2</v>
      </c>
      <c r="C15674">
        <v>0</v>
      </c>
      <c r="D15674">
        <v>0</v>
      </c>
      <c r="E15674">
        <v>0</v>
      </c>
      <c r="F15674">
        <v>242.82400000000001</v>
      </c>
    </row>
    <row r="15675" spans="1:6" x14ac:dyDescent="0.25">
      <c r="A15675">
        <v>15674</v>
      </c>
      <c r="B15675">
        <v>10</v>
      </c>
      <c r="C15675">
        <v>1</v>
      </c>
      <c r="D15675">
        <v>0</v>
      </c>
      <c r="E15675">
        <v>0</v>
      </c>
      <c r="F15675">
        <v>5273</v>
      </c>
    </row>
    <row r="15676" spans="1:6" x14ac:dyDescent="0.25">
      <c r="A15676">
        <v>15675</v>
      </c>
      <c r="B15676">
        <v>13</v>
      </c>
      <c r="C15676">
        <v>0</v>
      </c>
      <c r="D15676">
        <v>0</v>
      </c>
      <c r="E15676">
        <v>0</v>
      </c>
      <c r="F15676">
        <v>1614</v>
      </c>
    </row>
    <row r="15677" spans="1:6" x14ac:dyDescent="0.25">
      <c r="A15677">
        <v>15676</v>
      </c>
      <c r="B15677" t="s">
        <v>0</v>
      </c>
      <c r="C15677">
        <v>92</v>
      </c>
      <c r="D15677">
        <v>3507</v>
      </c>
      <c r="E15677">
        <v>80668825</v>
      </c>
    </row>
    <row r="15678" spans="1:6" x14ac:dyDescent="0.25">
      <c r="A15678">
        <v>15677</v>
      </c>
      <c r="B15678">
        <v>41</v>
      </c>
      <c r="C15678">
        <v>0</v>
      </c>
      <c r="D15678">
        <v>0</v>
      </c>
      <c r="E15678">
        <v>0</v>
      </c>
      <c r="F15678">
        <v>1</v>
      </c>
    </row>
    <row r="15679" spans="1:6" x14ac:dyDescent="0.25">
      <c r="A15679">
        <v>15678</v>
      </c>
      <c r="B15679">
        <v>42</v>
      </c>
      <c r="C15679">
        <v>0</v>
      </c>
      <c r="D15679">
        <v>0</v>
      </c>
      <c r="E15679">
        <v>0</v>
      </c>
      <c r="F15679">
        <v>0.2</v>
      </c>
    </row>
    <row r="15680" spans="1:6" x14ac:dyDescent="0.25">
      <c r="A15680">
        <v>15679</v>
      </c>
      <c r="B15680" t="s">
        <v>0</v>
      </c>
      <c r="C15680">
        <v>93</v>
      </c>
      <c r="D15680">
        <v>3507</v>
      </c>
      <c r="E15680">
        <v>80668962</v>
      </c>
    </row>
    <row r="15681" spans="1:6" x14ac:dyDescent="0.25">
      <c r="A15681">
        <v>15680</v>
      </c>
      <c r="B15681">
        <v>43</v>
      </c>
      <c r="C15681">
        <v>0</v>
      </c>
      <c r="D15681">
        <v>0</v>
      </c>
      <c r="E15681">
        <v>0</v>
      </c>
      <c r="F15681">
        <v>0</v>
      </c>
    </row>
    <row r="15682" spans="1:6" x14ac:dyDescent="0.25">
      <c r="A15682">
        <v>15681</v>
      </c>
      <c r="B15682">
        <v>44</v>
      </c>
      <c r="C15682">
        <v>0</v>
      </c>
      <c r="D15682">
        <v>0</v>
      </c>
      <c r="E15682">
        <v>0</v>
      </c>
      <c r="F15682">
        <v>40.071899999999999</v>
      </c>
    </row>
    <row r="15683" spans="1:6" x14ac:dyDescent="0.25">
      <c r="A15683">
        <v>15682</v>
      </c>
      <c r="B15683" t="s">
        <v>0</v>
      </c>
      <c r="C15683">
        <v>94</v>
      </c>
      <c r="D15683">
        <v>3507</v>
      </c>
      <c r="E15683">
        <v>80669099</v>
      </c>
    </row>
    <row r="15684" spans="1:6" x14ac:dyDescent="0.25">
      <c r="A15684">
        <v>15683</v>
      </c>
      <c r="B15684">
        <v>45</v>
      </c>
      <c r="C15684">
        <v>0</v>
      </c>
      <c r="D15684">
        <v>0</v>
      </c>
      <c r="E15684">
        <v>0</v>
      </c>
      <c r="F15684">
        <v>522.08900000000006</v>
      </c>
    </row>
    <row r="15685" spans="1:6" x14ac:dyDescent="0.25">
      <c r="A15685">
        <v>15684</v>
      </c>
      <c r="B15685">
        <v>46</v>
      </c>
      <c r="C15685">
        <v>0</v>
      </c>
      <c r="D15685">
        <v>0</v>
      </c>
      <c r="E15685">
        <v>0</v>
      </c>
      <c r="F15685">
        <v>0</v>
      </c>
    </row>
    <row r="15686" spans="1:6" x14ac:dyDescent="0.25">
      <c r="A15686">
        <v>15685</v>
      </c>
      <c r="B15686" t="s">
        <v>0</v>
      </c>
      <c r="C15686">
        <v>95</v>
      </c>
      <c r="D15686">
        <v>3507</v>
      </c>
      <c r="E15686">
        <v>80669235</v>
      </c>
    </row>
    <row r="15687" spans="1:6" x14ac:dyDescent="0.25">
      <c r="A15687">
        <v>15686</v>
      </c>
      <c r="B15687">
        <v>2</v>
      </c>
      <c r="C15687">
        <v>0</v>
      </c>
      <c r="D15687">
        <v>0</v>
      </c>
      <c r="E15687">
        <v>0</v>
      </c>
      <c r="F15687">
        <v>242.82400000000001</v>
      </c>
    </row>
    <row r="15688" spans="1:6" x14ac:dyDescent="0.25">
      <c r="A15688">
        <v>15687</v>
      </c>
      <c r="B15688">
        <v>10</v>
      </c>
      <c r="C15688">
        <v>1</v>
      </c>
      <c r="D15688">
        <v>0</v>
      </c>
      <c r="E15688">
        <v>0</v>
      </c>
      <c r="F15688">
        <v>5275</v>
      </c>
    </row>
    <row r="15689" spans="1:6" x14ac:dyDescent="0.25">
      <c r="A15689">
        <v>15688</v>
      </c>
      <c r="B15689" t="s">
        <v>0</v>
      </c>
      <c r="C15689">
        <v>96</v>
      </c>
      <c r="D15689">
        <v>3507</v>
      </c>
      <c r="E15689">
        <v>80669372</v>
      </c>
    </row>
    <row r="15690" spans="1:6" x14ac:dyDescent="0.25">
      <c r="A15690">
        <v>15689</v>
      </c>
      <c r="B15690">
        <v>13</v>
      </c>
      <c r="C15690">
        <v>0</v>
      </c>
      <c r="D15690">
        <v>0</v>
      </c>
      <c r="E15690">
        <v>0</v>
      </c>
      <c r="F15690">
        <v>1614</v>
      </c>
    </row>
    <row r="15691" spans="1:6" x14ac:dyDescent="0.25">
      <c r="A15691">
        <v>15690</v>
      </c>
      <c r="B15691">
        <v>41</v>
      </c>
      <c r="C15691">
        <v>0</v>
      </c>
      <c r="D15691">
        <v>0</v>
      </c>
      <c r="E15691">
        <v>0</v>
      </c>
      <c r="F15691">
        <v>1</v>
      </c>
    </row>
    <row r="15692" spans="1:6" x14ac:dyDescent="0.25">
      <c r="A15692">
        <v>15691</v>
      </c>
      <c r="B15692" t="s">
        <v>0</v>
      </c>
      <c r="C15692">
        <v>97</v>
      </c>
      <c r="D15692">
        <v>3507</v>
      </c>
      <c r="E15692">
        <v>80669509</v>
      </c>
    </row>
    <row r="15693" spans="1:6" x14ac:dyDescent="0.25">
      <c r="A15693">
        <v>15692</v>
      </c>
      <c r="B15693">
        <v>42</v>
      </c>
      <c r="C15693">
        <v>0</v>
      </c>
      <c r="D15693">
        <v>0</v>
      </c>
      <c r="E15693">
        <v>0</v>
      </c>
      <c r="F15693">
        <v>0.2</v>
      </c>
    </row>
    <row r="15694" spans="1:6" x14ac:dyDescent="0.25">
      <c r="A15694">
        <v>15693</v>
      </c>
      <c r="B15694">
        <v>43</v>
      </c>
      <c r="C15694">
        <v>0</v>
      </c>
      <c r="D15694">
        <v>0</v>
      </c>
      <c r="E15694">
        <v>0</v>
      </c>
      <c r="F15694">
        <v>0</v>
      </c>
    </row>
    <row r="15695" spans="1:6" x14ac:dyDescent="0.25">
      <c r="A15695">
        <v>15694</v>
      </c>
      <c r="B15695" t="s">
        <v>0</v>
      </c>
      <c r="C15695">
        <v>98</v>
      </c>
      <c r="D15695">
        <v>3507</v>
      </c>
      <c r="E15695">
        <v>80669646</v>
      </c>
    </row>
    <row r="15696" spans="1:6" x14ac:dyDescent="0.25">
      <c r="A15696">
        <v>15695</v>
      </c>
      <c r="B15696">
        <v>45</v>
      </c>
      <c r="C15696">
        <v>0</v>
      </c>
      <c r="D15696">
        <v>0</v>
      </c>
      <c r="E15696">
        <v>0</v>
      </c>
      <c r="F15696">
        <v>522.13300000000004</v>
      </c>
    </row>
    <row r="15697" spans="1:6" x14ac:dyDescent="0.25">
      <c r="A15697">
        <v>15696</v>
      </c>
      <c r="B15697" t="s">
        <v>0</v>
      </c>
      <c r="C15697">
        <v>99</v>
      </c>
      <c r="D15697">
        <v>3507</v>
      </c>
      <c r="E15697">
        <v>80669783</v>
      </c>
    </row>
    <row r="15698" spans="1:6" x14ac:dyDescent="0.25">
      <c r="A15698">
        <v>15697</v>
      </c>
      <c r="B15698">
        <v>2</v>
      </c>
      <c r="C15698">
        <v>0</v>
      </c>
      <c r="D15698">
        <v>0</v>
      </c>
      <c r="E15698">
        <v>0</v>
      </c>
      <c r="F15698">
        <v>242.88900000000001</v>
      </c>
    </row>
    <row r="15699" spans="1:6" x14ac:dyDescent="0.25">
      <c r="A15699">
        <v>15698</v>
      </c>
      <c r="B15699" t="s">
        <v>0</v>
      </c>
      <c r="C15699">
        <v>100</v>
      </c>
      <c r="D15699">
        <v>3507</v>
      </c>
      <c r="E15699">
        <v>80669920</v>
      </c>
    </row>
    <row r="15700" spans="1:6" x14ac:dyDescent="0.25">
      <c r="A15700">
        <v>15699</v>
      </c>
      <c r="B15700">
        <v>13</v>
      </c>
      <c r="C15700">
        <v>0</v>
      </c>
      <c r="D15700">
        <v>0</v>
      </c>
      <c r="E15700">
        <v>0</v>
      </c>
      <c r="F15700">
        <v>1614</v>
      </c>
    </row>
    <row r="15701" spans="1:6" x14ac:dyDescent="0.25">
      <c r="A15701">
        <v>15700</v>
      </c>
      <c r="B15701" t="s">
        <v>0</v>
      </c>
      <c r="C15701">
        <v>101</v>
      </c>
      <c r="D15701">
        <v>3507</v>
      </c>
      <c r="E15701">
        <v>80670056</v>
      </c>
    </row>
    <row r="15702" spans="1:6" x14ac:dyDescent="0.25">
      <c r="A15702">
        <v>15701</v>
      </c>
      <c r="B15702">
        <v>42</v>
      </c>
      <c r="C15702">
        <v>0</v>
      </c>
      <c r="D15702">
        <v>0</v>
      </c>
      <c r="E15702">
        <v>0</v>
      </c>
      <c r="F15702">
        <v>0.2</v>
      </c>
    </row>
    <row r="15703" spans="1:6" x14ac:dyDescent="0.25">
      <c r="A15703">
        <v>15702</v>
      </c>
      <c r="B15703" t="s">
        <v>0</v>
      </c>
      <c r="C15703">
        <v>102</v>
      </c>
      <c r="D15703">
        <v>3507</v>
      </c>
      <c r="E15703">
        <v>80670192</v>
      </c>
    </row>
    <row r="15704" spans="1:6" x14ac:dyDescent="0.25">
      <c r="A15704">
        <v>15703</v>
      </c>
      <c r="B15704">
        <v>44</v>
      </c>
      <c r="C15704">
        <v>0</v>
      </c>
      <c r="D15704">
        <v>0</v>
      </c>
      <c r="E15704">
        <v>0</v>
      </c>
      <c r="F15704">
        <v>40.264899999999997</v>
      </c>
    </row>
    <row r="15705" spans="1:6" x14ac:dyDescent="0.25">
      <c r="A15705">
        <v>15704</v>
      </c>
      <c r="B15705" t="s">
        <v>0</v>
      </c>
      <c r="C15705">
        <v>103</v>
      </c>
      <c r="D15705">
        <v>3507</v>
      </c>
      <c r="E15705">
        <v>80670328</v>
      </c>
    </row>
    <row r="15706" spans="1:6" x14ac:dyDescent="0.25">
      <c r="A15706">
        <v>15705</v>
      </c>
      <c r="B15706">
        <v>46</v>
      </c>
      <c r="C15706">
        <v>0</v>
      </c>
      <c r="D15706">
        <v>0</v>
      </c>
      <c r="E15706">
        <v>0</v>
      </c>
      <c r="F15706">
        <v>0</v>
      </c>
    </row>
    <row r="15707" spans="1:6" x14ac:dyDescent="0.25">
      <c r="A15707">
        <v>15706</v>
      </c>
      <c r="B15707" t="s">
        <v>0</v>
      </c>
      <c r="C15707">
        <v>104</v>
      </c>
      <c r="D15707">
        <v>3507</v>
      </c>
      <c r="E15707">
        <v>80670465</v>
      </c>
    </row>
    <row r="15708" spans="1:6" x14ac:dyDescent="0.25">
      <c r="A15708">
        <v>15707</v>
      </c>
      <c r="B15708">
        <v>10</v>
      </c>
      <c r="C15708">
        <v>1</v>
      </c>
      <c r="D15708">
        <v>0</v>
      </c>
      <c r="E15708">
        <v>0</v>
      </c>
      <c r="F15708">
        <v>5273</v>
      </c>
    </row>
    <row r="15709" spans="1:6" x14ac:dyDescent="0.25">
      <c r="A15709">
        <v>15708</v>
      </c>
      <c r="B15709">
        <v>13</v>
      </c>
      <c r="C15709">
        <v>0</v>
      </c>
      <c r="D15709">
        <v>0</v>
      </c>
      <c r="E15709">
        <v>0</v>
      </c>
      <c r="F15709">
        <v>1614</v>
      </c>
    </row>
    <row r="15710" spans="1:6" x14ac:dyDescent="0.25">
      <c r="A15710">
        <v>15709</v>
      </c>
      <c r="B15710">
        <v>41</v>
      </c>
      <c r="C15710">
        <v>0</v>
      </c>
      <c r="D15710">
        <v>0</v>
      </c>
      <c r="E15710">
        <v>0</v>
      </c>
      <c r="F15710">
        <v>1</v>
      </c>
    </row>
    <row r="15711" spans="1:6" x14ac:dyDescent="0.25">
      <c r="A15711">
        <v>15710</v>
      </c>
      <c r="B15711">
        <v>42</v>
      </c>
      <c r="C15711">
        <v>0</v>
      </c>
      <c r="D15711">
        <v>0</v>
      </c>
      <c r="E15711">
        <v>0</v>
      </c>
      <c r="F15711">
        <v>0.2</v>
      </c>
    </row>
    <row r="15712" spans="1:6" x14ac:dyDescent="0.25">
      <c r="A15712">
        <v>15711</v>
      </c>
      <c r="B15712">
        <v>43</v>
      </c>
      <c r="C15712">
        <v>0</v>
      </c>
      <c r="D15712">
        <v>0</v>
      </c>
      <c r="E15712">
        <v>0</v>
      </c>
      <c r="F15712">
        <v>0</v>
      </c>
    </row>
    <row r="15713" spans="1:6" x14ac:dyDescent="0.25">
      <c r="A15713">
        <v>15712</v>
      </c>
      <c r="B15713">
        <v>44</v>
      </c>
      <c r="C15713">
        <v>0</v>
      </c>
      <c r="D15713">
        <v>0</v>
      </c>
      <c r="E15713">
        <v>0</v>
      </c>
      <c r="F15713">
        <v>40.369</v>
      </c>
    </row>
    <row r="15714" spans="1:6" x14ac:dyDescent="0.25">
      <c r="A15714">
        <v>15713</v>
      </c>
      <c r="B15714">
        <v>45</v>
      </c>
      <c r="C15714">
        <v>0</v>
      </c>
      <c r="D15714">
        <v>0</v>
      </c>
      <c r="E15714">
        <v>0</v>
      </c>
      <c r="F15714">
        <v>522.23199999999997</v>
      </c>
    </row>
    <row r="15715" spans="1:6" x14ac:dyDescent="0.25">
      <c r="A15715">
        <v>15714</v>
      </c>
      <c r="B15715">
        <v>46</v>
      </c>
      <c r="C15715">
        <v>0</v>
      </c>
      <c r="D15715">
        <v>0</v>
      </c>
      <c r="E15715">
        <v>0</v>
      </c>
      <c r="F15715">
        <v>0</v>
      </c>
    </row>
    <row r="15716" spans="1:6" x14ac:dyDescent="0.25">
      <c r="A15716">
        <v>15715</v>
      </c>
      <c r="B15716">
        <v>2</v>
      </c>
      <c r="C15716">
        <v>0</v>
      </c>
      <c r="D15716">
        <v>0</v>
      </c>
      <c r="E15716">
        <v>0</v>
      </c>
      <c r="F15716">
        <v>242.995</v>
      </c>
    </row>
    <row r="15717" spans="1:6" x14ac:dyDescent="0.25">
      <c r="A15717">
        <v>15716</v>
      </c>
      <c r="B15717">
        <v>10</v>
      </c>
      <c r="C15717">
        <v>1</v>
      </c>
      <c r="D15717">
        <v>0</v>
      </c>
      <c r="E15717">
        <v>0</v>
      </c>
      <c r="F15717">
        <v>5273</v>
      </c>
    </row>
    <row r="15718" spans="1:6" x14ac:dyDescent="0.25">
      <c r="A15718">
        <v>15717</v>
      </c>
      <c r="B15718">
        <v>13</v>
      </c>
      <c r="C15718">
        <v>0</v>
      </c>
      <c r="D15718">
        <v>0</v>
      </c>
      <c r="E15718">
        <v>0</v>
      </c>
      <c r="F15718">
        <v>1614</v>
      </c>
    </row>
    <row r="15719" spans="1:6" x14ac:dyDescent="0.25">
      <c r="A15719">
        <v>15718</v>
      </c>
      <c r="B15719">
        <v>41</v>
      </c>
      <c r="C15719">
        <v>0</v>
      </c>
      <c r="D15719">
        <v>0</v>
      </c>
      <c r="E15719">
        <v>0</v>
      </c>
      <c r="F15719">
        <v>1</v>
      </c>
    </row>
    <row r="15720" spans="1:6" x14ac:dyDescent="0.25">
      <c r="A15720">
        <v>15719</v>
      </c>
      <c r="B15720">
        <v>42</v>
      </c>
      <c r="C15720">
        <v>0</v>
      </c>
      <c r="D15720">
        <v>0</v>
      </c>
      <c r="E15720">
        <v>0</v>
      </c>
      <c r="F15720">
        <v>0.2</v>
      </c>
    </row>
    <row r="15721" spans="1:6" x14ac:dyDescent="0.25">
      <c r="A15721">
        <v>15720</v>
      </c>
      <c r="B15721">
        <v>43</v>
      </c>
      <c r="C15721">
        <v>0</v>
      </c>
      <c r="D15721">
        <v>0</v>
      </c>
      <c r="E15721">
        <v>0</v>
      </c>
      <c r="F15721">
        <v>0</v>
      </c>
    </row>
    <row r="15722" spans="1:6" x14ac:dyDescent="0.25">
      <c r="A15722">
        <v>15721</v>
      </c>
      <c r="B15722">
        <v>44</v>
      </c>
      <c r="C15722">
        <v>0</v>
      </c>
      <c r="D15722">
        <v>0</v>
      </c>
      <c r="E15722">
        <v>0</v>
      </c>
      <c r="F15722">
        <v>40.498399999999997</v>
      </c>
    </row>
    <row r="15723" spans="1:6" x14ac:dyDescent="0.25">
      <c r="A15723">
        <v>15722</v>
      </c>
      <c r="B15723">
        <v>45</v>
      </c>
      <c r="C15723">
        <v>0</v>
      </c>
      <c r="D15723">
        <v>0</v>
      </c>
      <c r="E15723">
        <v>0</v>
      </c>
      <c r="F15723">
        <v>522.27700000000004</v>
      </c>
    </row>
    <row r="15724" spans="1:6" x14ac:dyDescent="0.25">
      <c r="A15724">
        <v>15723</v>
      </c>
      <c r="B15724" t="s">
        <v>0</v>
      </c>
      <c r="C15724">
        <v>112</v>
      </c>
      <c r="D15724">
        <v>3507</v>
      </c>
      <c r="E15724">
        <v>80671558</v>
      </c>
    </row>
    <row r="15725" spans="1:6" x14ac:dyDescent="0.25">
      <c r="A15725">
        <v>15724</v>
      </c>
      <c r="B15725">
        <v>46</v>
      </c>
      <c r="C15725">
        <v>0</v>
      </c>
      <c r="D15725">
        <v>0</v>
      </c>
      <c r="E15725">
        <v>0</v>
      </c>
      <c r="F15725">
        <v>0</v>
      </c>
    </row>
    <row r="15726" spans="1:6" x14ac:dyDescent="0.25">
      <c r="A15726">
        <v>15725</v>
      </c>
      <c r="B15726">
        <v>2</v>
      </c>
      <c r="C15726">
        <v>0</v>
      </c>
      <c r="D15726">
        <v>0</v>
      </c>
      <c r="E15726">
        <v>0</v>
      </c>
      <c r="F15726">
        <v>243.02600000000001</v>
      </c>
    </row>
    <row r="15727" spans="1:6" x14ac:dyDescent="0.25">
      <c r="A15727">
        <v>15726</v>
      </c>
      <c r="B15727" t="s">
        <v>0</v>
      </c>
      <c r="C15727">
        <v>113</v>
      </c>
      <c r="D15727">
        <v>3507</v>
      </c>
      <c r="E15727">
        <v>80671695</v>
      </c>
    </row>
    <row r="15728" spans="1:6" x14ac:dyDescent="0.25">
      <c r="A15728">
        <v>15727</v>
      </c>
      <c r="B15728">
        <v>10</v>
      </c>
      <c r="C15728">
        <v>1</v>
      </c>
      <c r="D15728">
        <v>0</v>
      </c>
      <c r="E15728">
        <v>0</v>
      </c>
      <c r="F15728">
        <v>5273</v>
      </c>
    </row>
    <row r="15729" spans="1:6" x14ac:dyDescent="0.25">
      <c r="A15729">
        <v>15728</v>
      </c>
      <c r="B15729">
        <v>13</v>
      </c>
      <c r="C15729">
        <v>0</v>
      </c>
      <c r="D15729">
        <v>0</v>
      </c>
      <c r="E15729">
        <v>0</v>
      </c>
      <c r="F15729">
        <v>1614</v>
      </c>
    </row>
    <row r="15730" spans="1:6" x14ac:dyDescent="0.25">
      <c r="A15730">
        <v>15729</v>
      </c>
      <c r="B15730" t="s">
        <v>0</v>
      </c>
      <c r="C15730">
        <v>114</v>
      </c>
      <c r="D15730">
        <v>3507</v>
      </c>
      <c r="E15730">
        <v>80671832</v>
      </c>
    </row>
    <row r="15731" spans="1:6" x14ac:dyDescent="0.25">
      <c r="A15731">
        <v>15730</v>
      </c>
      <c r="B15731">
        <v>41</v>
      </c>
      <c r="C15731">
        <v>0</v>
      </c>
      <c r="D15731">
        <v>0</v>
      </c>
      <c r="E15731">
        <v>0</v>
      </c>
      <c r="F15731">
        <v>1</v>
      </c>
    </row>
    <row r="15732" spans="1:6" x14ac:dyDescent="0.25">
      <c r="A15732">
        <v>15731</v>
      </c>
      <c r="B15732">
        <v>42</v>
      </c>
      <c r="C15732">
        <v>0</v>
      </c>
      <c r="D15732">
        <v>0</v>
      </c>
      <c r="E15732">
        <v>0</v>
      </c>
      <c r="F15732">
        <v>0.2</v>
      </c>
    </row>
    <row r="15733" spans="1:6" x14ac:dyDescent="0.25">
      <c r="A15733">
        <v>15732</v>
      </c>
      <c r="B15733" t="s">
        <v>0</v>
      </c>
      <c r="C15733">
        <v>115</v>
      </c>
      <c r="D15733">
        <v>3507</v>
      </c>
      <c r="E15733">
        <v>80671969</v>
      </c>
    </row>
    <row r="15734" spans="1:6" x14ac:dyDescent="0.25">
      <c r="A15734">
        <v>15733</v>
      </c>
      <c r="B15734">
        <v>43</v>
      </c>
      <c r="C15734">
        <v>0</v>
      </c>
      <c r="D15734">
        <v>0</v>
      </c>
      <c r="E15734">
        <v>0</v>
      </c>
      <c r="F15734">
        <v>0</v>
      </c>
    </row>
    <row r="15735" spans="1:6" x14ac:dyDescent="0.25">
      <c r="A15735">
        <v>15734</v>
      </c>
      <c r="B15735">
        <v>44</v>
      </c>
      <c r="C15735">
        <v>0</v>
      </c>
      <c r="D15735">
        <v>0</v>
      </c>
      <c r="E15735">
        <v>0</v>
      </c>
      <c r="F15735">
        <v>40.594299999999997</v>
      </c>
    </row>
    <row r="15736" spans="1:6" x14ac:dyDescent="0.25">
      <c r="A15736">
        <v>15735</v>
      </c>
      <c r="B15736" t="s">
        <v>0</v>
      </c>
      <c r="C15736">
        <v>116</v>
      </c>
      <c r="D15736">
        <v>3507</v>
      </c>
      <c r="E15736">
        <v>80672105</v>
      </c>
    </row>
    <row r="15737" spans="1:6" x14ac:dyDescent="0.25">
      <c r="A15737">
        <v>15736</v>
      </c>
      <c r="B15737">
        <v>45</v>
      </c>
      <c r="C15737">
        <v>0</v>
      </c>
      <c r="D15737">
        <v>0</v>
      </c>
      <c r="E15737">
        <v>0</v>
      </c>
      <c r="F15737">
        <v>522.33199999999999</v>
      </c>
    </row>
    <row r="15738" spans="1:6" x14ac:dyDescent="0.25">
      <c r="A15738">
        <v>15737</v>
      </c>
      <c r="B15738">
        <v>46</v>
      </c>
      <c r="C15738">
        <v>0</v>
      </c>
      <c r="D15738">
        <v>0</v>
      </c>
      <c r="E15738">
        <v>0</v>
      </c>
      <c r="F15738">
        <v>0</v>
      </c>
    </row>
    <row r="15739" spans="1:6" x14ac:dyDescent="0.25">
      <c r="A15739">
        <v>15738</v>
      </c>
      <c r="B15739" t="s">
        <v>0</v>
      </c>
      <c r="C15739">
        <v>117</v>
      </c>
      <c r="D15739">
        <v>3507</v>
      </c>
      <c r="E15739">
        <v>80672241</v>
      </c>
    </row>
    <row r="15740" spans="1:6" x14ac:dyDescent="0.25">
      <c r="A15740">
        <v>15739</v>
      </c>
      <c r="B15740">
        <v>2</v>
      </c>
      <c r="C15740">
        <v>0</v>
      </c>
      <c r="D15740">
        <v>0</v>
      </c>
      <c r="E15740">
        <v>0</v>
      </c>
      <c r="F15740">
        <v>243.06299999999999</v>
      </c>
    </row>
    <row r="15741" spans="1:6" x14ac:dyDescent="0.25">
      <c r="A15741">
        <v>15740</v>
      </c>
      <c r="B15741">
        <v>10</v>
      </c>
      <c r="C15741">
        <v>1</v>
      </c>
      <c r="D15741">
        <v>0</v>
      </c>
      <c r="E15741">
        <v>0</v>
      </c>
      <c r="F15741">
        <v>5274</v>
      </c>
    </row>
    <row r="15742" spans="1:6" x14ac:dyDescent="0.25">
      <c r="A15742">
        <v>15741</v>
      </c>
      <c r="B15742" t="s">
        <v>0</v>
      </c>
      <c r="C15742">
        <v>118</v>
      </c>
      <c r="D15742">
        <v>3507</v>
      </c>
      <c r="E15742">
        <v>80672377</v>
      </c>
    </row>
    <row r="15743" spans="1:6" x14ac:dyDescent="0.25">
      <c r="A15743">
        <v>15742</v>
      </c>
      <c r="B15743">
        <v>41</v>
      </c>
      <c r="C15743">
        <v>0</v>
      </c>
      <c r="D15743">
        <v>0</v>
      </c>
      <c r="E15743">
        <v>0</v>
      </c>
      <c r="F15743">
        <v>1</v>
      </c>
    </row>
    <row r="15744" spans="1:6" x14ac:dyDescent="0.25">
      <c r="A15744">
        <v>15743</v>
      </c>
      <c r="B15744" t="s">
        <v>0</v>
      </c>
      <c r="C15744">
        <v>119</v>
      </c>
      <c r="D15744">
        <v>3507</v>
      </c>
      <c r="E15744">
        <v>80672514</v>
      </c>
    </row>
    <row r="15745" spans="1:6" x14ac:dyDescent="0.25">
      <c r="A15745">
        <v>15744</v>
      </c>
      <c r="B15745">
        <v>43</v>
      </c>
      <c r="C15745">
        <v>0</v>
      </c>
      <c r="D15745">
        <v>0</v>
      </c>
      <c r="E15745">
        <v>0</v>
      </c>
      <c r="F15745">
        <v>0</v>
      </c>
    </row>
    <row r="15746" spans="1:6" x14ac:dyDescent="0.25">
      <c r="A15746">
        <v>15745</v>
      </c>
      <c r="B15746" t="s">
        <v>0</v>
      </c>
      <c r="C15746">
        <v>120</v>
      </c>
      <c r="D15746">
        <v>3507</v>
      </c>
      <c r="E15746">
        <v>80672651</v>
      </c>
    </row>
    <row r="15747" spans="1:6" x14ac:dyDescent="0.25">
      <c r="A15747">
        <v>15746</v>
      </c>
      <c r="B15747">
        <v>45</v>
      </c>
      <c r="C15747">
        <v>0</v>
      </c>
      <c r="D15747">
        <v>0</v>
      </c>
      <c r="E15747">
        <v>0</v>
      </c>
      <c r="F15747">
        <v>522.37699999999995</v>
      </c>
    </row>
    <row r="15748" spans="1:6" x14ac:dyDescent="0.25">
      <c r="A15748">
        <v>15747</v>
      </c>
      <c r="B15748" t="s">
        <v>0</v>
      </c>
      <c r="C15748">
        <v>121</v>
      </c>
      <c r="D15748">
        <v>3507</v>
      </c>
      <c r="E15748">
        <v>80672788</v>
      </c>
    </row>
    <row r="15749" spans="1:6" x14ac:dyDescent="0.25">
      <c r="A15749">
        <v>15748</v>
      </c>
      <c r="B15749">
        <v>2</v>
      </c>
      <c r="C15749">
        <v>0</v>
      </c>
      <c r="D15749">
        <v>0</v>
      </c>
      <c r="E15749">
        <v>0</v>
      </c>
      <c r="F15749">
        <v>243.08500000000001</v>
      </c>
    </row>
    <row r="15750" spans="1:6" x14ac:dyDescent="0.25">
      <c r="A15750">
        <v>15749</v>
      </c>
      <c r="B15750" t="s">
        <v>0</v>
      </c>
      <c r="C15750">
        <v>122</v>
      </c>
      <c r="D15750">
        <v>3507</v>
      </c>
      <c r="E15750">
        <v>80672925</v>
      </c>
    </row>
    <row r="15751" spans="1:6" x14ac:dyDescent="0.25">
      <c r="A15751">
        <v>15750</v>
      </c>
      <c r="B15751">
        <v>13</v>
      </c>
      <c r="C15751">
        <v>0</v>
      </c>
      <c r="D15751">
        <v>0</v>
      </c>
      <c r="E15751">
        <v>0</v>
      </c>
      <c r="F15751">
        <v>1614</v>
      </c>
    </row>
    <row r="15752" spans="1:6" x14ac:dyDescent="0.25">
      <c r="A15752">
        <v>15751</v>
      </c>
      <c r="B15752" t="s">
        <v>0</v>
      </c>
      <c r="C15752">
        <v>123</v>
      </c>
      <c r="D15752">
        <v>3507</v>
      </c>
      <c r="E15752">
        <v>80673061</v>
      </c>
    </row>
    <row r="15753" spans="1:6" x14ac:dyDescent="0.25">
      <c r="A15753">
        <v>15752</v>
      </c>
      <c r="B15753">
        <v>42</v>
      </c>
      <c r="C15753">
        <v>0</v>
      </c>
      <c r="D15753">
        <v>0</v>
      </c>
      <c r="E15753">
        <v>0</v>
      </c>
      <c r="F15753">
        <v>0.2</v>
      </c>
    </row>
    <row r="15754" spans="1:6" x14ac:dyDescent="0.25">
      <c r="A15754">
        <v>15753</v>
      </c>
      <c r="B15754" t="s">
        <v>0</v>
      </c>
      <c r="C15754">
        <v>124</v>
      </c>
      <c r="D15754">
        <v>3507</v>
      </c>
      <c r="E15754">
        <v>80673197</v>
      </c>
    </row>
    <row r="15755" spans="1:6" x14ac:dyDescent="0.25">
      <c r="A15755">
        <v>15754</v>
      </c>
      <c r="B15755">
        <v>44</v>
      </c>
      <c r="C15755">
        <v>0</v>
      </c>
      <c r="D15755">
        <v>0</v>
      </c>
      <c r="E15755">
        <v>0</v>
      </c>
      <c r="F15755">
        <v>40.8474</v>
      </c>
    </row>
    <row r="15756" spans="1:6" x14ac:dyDescent="0.25">
      <c r="A15756">
        <v>15755</v>
      </c>
      <c r="B15756">
        <v>45</v>
      </c>
      <c r="C15756">
        <v>0</v>
      </c>
      <c r="D15756">
        <v>0</v>
      </c>
      <c r="E15756">
        <v>0</v>
      </c>
      <c r="F15756">
        <v>522.42200000000003</v>
      </c>
    </row>
    <row r="15757" spans="1:6" x14ac:dyDescent="0.25">
      <c r="A15757">
        <v>15756</v>
      </c>
      <c r="B15757">
        <v>46</v>
      </c>
      <c r="C15757">
        <v>0</v>
      </c>
      <c r="D15757">
        <v>0</v>
      </c>
      <c r="E15757">
        <v>0</v>
      </c>
      <c r="F15757">
        <v>0</v>
      </c>
    </row>
    <row r="15758" spans="1:6" x14ac:dyDescent="0.25">
      <c r="A15758">
        <v>15757</v>
      </c>
      <c r="B15758">
        <v>2</v>
      </c>
      <c r="C15758">
        <v>0</v>
      </c>
      <c r="D15758">
        <v>0</v>
      </c>
      <c r="E15758">
        <v>0</v>
      </c>
      <c r="F15758">
        <v>243.102</v>
      </c>
    </row>
    <row r="15759" spans="1:6" x14ac:dyDescent="0.25">
      <c r="A15759">
        <v>15758</v>
      </c>
      <c r="B15759">
        <v>10</v>
      </c>
      <c r="C15759">
        <v>1</v>
      </c>
      <c r="D15759">
        <v>0</v>
      </c>
      <c r="E15759">
        <v>0</v>
      </c>
      <c r="F15759">
        <v>5275</v>
      </c>
    </row>
    <row r="15760" spans="1:6" x14ac:dyDescent="0.25">
      <c r="A15760">
        <v>15759</v>
      </c>
      <c r="B15760">
        <v>13</v>
      </c>
      <c r="C15760">
        <v>0</v>
      </c>
      <c r="D15760">
        <v>0</v>
      </c>
      <c r="E15760">
        <v>0</v>
      </c>
      <c r="F15760">
        <v>1614</v>
      </c>
    </row>
    <row r="15761" spans="1:6" x14ac:dyDescent="0.25">
      <c r="A15761">
        <v>15760</v>
      </c>
      <c r="B15761">
        <v>41</v>
      </c>
      <c r="C15761">
        <v>0</v>
      </c>
      <c r="D15761">
        <v>0</v>
      </c>
      <c r="E15761">
        <v>0</v>
      </c>
      <c r="F15761">
        <v>1</v>
      </c>
    </row>
    <row r="15762" spans="1:6" x14ac:dyDescent="0.25">
      <c r="A15762">
        <v>15761</v>
      </c>
      <c r="B15762">
        <v>42</v>
      </c>
      <c r="C15762">
        <v>0</v>
      </c>
      <c r="D15762">
        <v>0</v>
      </c>
      <c r="E15762">
        <v>0</v>
      </c>
      <c r="F15762">
        <v>0.2</v>
      </c>
    </row>
    <row r="15763" spans="1:6" x14ac:dyDescent="0.25">
      <c r="A15763">
        <v>15762</v>
      </c>
      <c r="B15763">
        <v>43</v>
      </c>
      <c r="C15763">
        <v>0</v>
      </c>
      <c r="D15763">
        <v>0</v>
      </c>
      <c r="E15763">
        <v>0</v>
      </c>
      <c r="F15763">
        <v>0</v>
      </c>
    </row>
    <row r="15764" spans="1:6" x14ac:dyDescent="0.25">
      <c r="A15764">
        <v>15763</v>
      </c>
      <c r="B15764">
        <v>44</v>
      </c>
      <c r="C15764">
        <v>0</v>
      </c>
      <c r="D15764">
        <v>0</v>
      </c>
      <c r="E15764">
        <v>0</v>
      </c>
      <c r="F15764">
        <v>40.982500000000002</v>
      </c>
    </row>
    <row r="15765" spans="1:6" x14ac:dyDescent="0.25">
      <c r="A15765">
        <v>15764</v>
      </c>
      <c r="B15765">
        <v>45</v>
      </c>
      <c r="C15765">
        <v>0</v>
      </c>
      <c r="D15765">
        <v>0</v>
      </c>
      <c r="E15765">
        <v>0</v>
      </c>
      <c r="F15765">
        <v>522.47799999999995</v>
      </c>
    </row>
    <row r="15766" spans="1:6" x14ac:dyDescent="0.25">
      <c r="A15766">
        <v>15765</v>
      </c>
      <c r="B15766">
        <v>46</v>
      </c>
      <c r="C15766">
        <v>0</v>
      </c>
      <c r="D15766">
        <v>0</v>
      </c>
      <c r="E15766">
        <v>0</v>
      </c>
      <c r="F15766">
        <v>0</v>
      </c>
    </row>
    <row r="15767" spans="1:6" x14ac:dyDescent="0.25">
      <c r="A15767">
        <v>15766</v>
      </c>
      <c r="B15767">
        <v>2</v>
      </c>
      <c r="C15767">
        <v>0</v>
      </c>
      <c r="D15767">
        <v>0</v>
      </c>
      <c r="E15767">
        <v>0</v>
      </c>
      <c r="F15767">
        <v>243.119</v>
      </c>
    </row>
    <row r="15768" spans="1:6" x14ac:dyDescent="0.25">
      <c r="A15768">
        <v>15767</v>
      </c>
      <c r="B15768">
        <v>10</v>
      </c>
      <c r="C15768">
        <v>1</v>
      </c>
      <c r="D15768">
        <v>0</v>
      </c>
      <c r="E15768">
        <v>0</v>
      </c>
      <c r="F15768">
        <v>5275</v>
      </c>
    </row>
    <row r="15769" spans="1:6" x14ac:dyDescent="0.25">
      <c r="A15769">
        <v>15768</v>
      </c>
      <c r="B15769">
        <v>13</v>
      </c>
      <c r="C15769">
        <v>0</v>
      </c>
      <c r="D15769">
        <v>0</v>
      </c>
      <c r="E15769">
        <v>0</v>
      </c>
      <c r="F15769">
        <v>1614</v>
      </c>
    </row>
    <row r="15770" spans="1:6" x14ac:dyDescent="0.25">
      <c r="A15770">
        <v>15769</v>
      </c>
      <c r="B15770">
        <v>41</v>
      </c>
      <c r="C15770">
        <v>0</v>
      </c>
      <c r="D15770">
        <v>0</v>
      </c>
      <c r="E15770">
        <v>0</v>
      </c>
      <c r="F15770">
        <v>1</v>
      </c>
    </row>
    <row r="15771" spans="1:6" x14ac:dyDescent="0.25">
      <c r="A15771">
        <v>15770</v>
      </c>
      <c r="B15771" t="s">
        <v>0</v>
      </c>
      <c r="C15771">
        <v>132</v>
      </c>
      <c r="D15771">
        <v>3507</v>
      </c>
      <c r="E15771">
        <v>80674290</v>
      </c>
    </row>
    <row r="15772" spans="1:6" x14ac:dyDescent="0.25">
      <c r="A15772">
        <v>15771</v>
      </c>
      <c r="B15772">
        <v>42</v>
      </c>
      <c r="C15772">
        <v>0</v>
      </c>
      <c r="D15772">
        <v>0</v>
      </c>
      <c r="E15772">
        <v>0</v>
      </c>
      <c r="F15772">
        <v>0.2</v>
      </c>
    </row>
    <row r="15773" spans="1:6" x14ac:dyDescent="0.25">
      <c r="A15773">
        <v>15772</v>
      </c>
      <c r="B15773">
        <v>43</v>
      </c>
      <c r="C15773">
        <v>0</v>
      </c>
      <c r="D15773">
        <v>0</v>
      </c>
      <c r="E15773">
        <v>0</v>
      </c>
      <c r="F15773">
        <v>0</v>
      </c>
    </row>
    <row r="15774" spans="1:6" x14ac:dyDescent="0.25">
      <c r="A15774">
        <v>15773</v>
      </c>
      <c r="B15774" t="s">
        <v>0</v>
      </c>
      <c r="C15774">
        <v>133</v>
      </c>
      <c r="D15774">
        <v>3507</v>
      </c>
      <c r="E15774">
        <v>80674426</v>
      </c>
    </row>
    <row r="15775" spans="1:6" x14ac:dyDescent="0.25">
      <c r="A15775">
        <v>15774</v>
      </c>
      <c r="B15775">
        <v>44</v>
      </c>
      <c r="C15775">
        <v>0</v>
      </c>
      <c r="D15775">
        <v>0</v>
      </c>
      <c r="E15775">
        <v>0</v>
      </c>
      <c r="F15775">
        <v>41.142800000000001</v>
      </c>
    </row>
    <row r="15776" spans="1:6" x14ac:dyDescent="0.25">
      <c r="A15776">
        <v>15775</v>
      </c>
      <c r="B15776">
        <v>45</v>
      </c>
      <c r="C15776">
        <v>0</v>
      </c>
      <c r="D15776">
        <v>0</v>
      </c>
      <c r="E15776">
        <v>0</v>
      </c>
      <c r="F15776">
        <v>522.52300000000002</v>
      </c>
    </row>
    <row r="15777" spans="1:6" x14ac:dyDescent="0.25">
      <c r="A15777">
        <v>15776</v>
      </c>
      <c r="B15777" t="s">
        <v>0</v>
      </c>
      <c r="C15777">
        <v>134</v>
      </c>
      <c r="D15777">
        <v>3507</v>
      </c>
      <c r="E15777">
        <v>80674562</v>
      </c>
    </row>
    <row r="15778" spans="1:6" x14ac:dyDescent="0.25">
      <c r="A15778">
        <v>15777</v>
      </c>
      <c r="B15778">
        <v>46</v>
      </c>
      <c r="C15778">
        <v>0</v>
      </c>
      <c r="D15778">
        <v>0</v>
      </c>
      <c r="E15778">
        <v>0</v>
      </c>
      <c r="F15778">
        <v>0</v>
      </c>
    </row>
    <row r="15779" spans="1:6" x14ac:dyDescent="0.25">
      <c r="A15779">
        <v>15778</v>
      </c>
      <c r="B15779">
        <v>2</v>
      </c>
      <c r="C15779">
        <v>0</v>
      </c>
      <c r="D15779">
        <v>0</v>
      </c>
      <c r="E15779">
        <v>0</v>
      </c>
      <c r="F15779">
        <v>243.13</v>
      </c>
    </row>
    <row r="15780" spans="1:6" x14ac:dyDescent="0.25">
      <c r="A15780">
        <v>15779</v>
      </c>
      <c r="B15780" t="s">
        <v>0</v>
      </c>
      <c r="C15780">
        <v>135</v>
      </c>
      <c r="D15780">
        <v>3507</v>
      </c>
      <c r="E15780">
        <v>80674699</v>
      </c>
    </row>
    <row r="15781" spans="1:6" x14ac:dyDescent="0.25">
      <c r="A15781">
        <v>15780</v>
      </c>
      <c r="B15781">
        <v>10</v>
      </c>
      <c r="C15781">
        <v>1</v>
      </c>
      <c r="D15781">
        <v>0</v>
      </c>
      <c r="E15781">
        <v>0</v>
      </c>
      <c r="F15781">
        <v>5276</v>
      </c>
    </row>
    <row r="15782" spans="1:6" x14ac:dyDescent="0.25">
      <c r="A15782">
        <v>15781</v>
      </c>
      <c r="B15782">
        <v>13</v>
      </c>
      <c r="C15782">
        <v>0</v>
      </c>
      <c r="D15782">
        <v>0</v>
      </c>
      <c r="E15782">
        <v>0</v>
      </c>
      <c r="F15782">
        <v>1614</v>
      </c>
    </row>
    <row r="15783" spans="1:6" x14ac:dyDescent="0.25">
      <c r="A15783">
        <v>15782</v>
      </c>
      <c r="B15783" t="s">
        <v>0</v>
      </c>
      <c r="C15783">
        <v>136</v>
      </c>
      <c r="D15783">
        <v>3507</v>
      </c>
      <c r="E15783">
        <v>80674836</v>
      </c>
    </row>
    <row r="15784" spans="1:6" x14ac:dyDescent="0.25">
      <c r="A15784">
        <v>15783</v>
      </c>
      <c r="B15784">
        <v>41</v>
      </c>
      <c r="C15784">
        <v>0</v>
      </c>
      <c r="D15784">
        <v>0</v>
      </c>
      <c r="E15784">
        <v>0</v>
      </c>
      <c r="F15784">
        <v>1</v>
      </c>
    </row>
    <row r="15785" spans="1:6" x14ac:dyDescent="0.25">
      <c r="A15785">
        <v>15784</v>
      </c>
      <c r="B15785">
        <v>42</v>
      </c>
      <c r="C15785">
        <v>0</v>
      </c>
      <c r="D15785">
        <v>0</v>
      </c>
      <c r="E15785">
        <v>0</v>
      </c>
      <c r="F15785">
        <v>0.2</v>
      </c>
    </row>
    <row r="15786" spans="1:6" x14ac:dyDescent="0.25">
      <c r="A15786">
        <v>15785</v>
      </c>
      <c r="B15786" t="s">
        <v>0</v>
      </c>
      <c r="C15786">
        <v>137</v>
      </c>
      <c r="D15786">
        <v>3507</v>
      </c>
      <c r="E15786">
        <v>80674973</v>
      </c>
    </row>
    <row r="15787" spans="1:6" x14ac:dyDescent="0.25">
      <c r="A15787">
        <v>15786</v>
      </c>
      <c r="B15787">
        <v>43</v>
      </c>
      <c r="C15787">
        <v>0</v>
      </c>
      <c r="D15787">
        <v>0</v>
      </c>
      <c r="E15787">
        <v>0</v>
      </c>
      <c r="F15787">
        <v>0</v>
      </c>
    </row>
    <row r="15788" spans="1:6" x14ac:dyDescent="0.25">
      <c r="A15788">
        <v>15787</v>
      </c>
      <c r="B15788">
        <v>44</v>
      </c>
      <c r="C15788">
        <v>0</v>
      </c>
      <c r="D15788">
        <v>0</v>
      </c>
      <c r="E15788">
        <v>0</v>
      </c>
      <c r="F15788">
        <v>41.258299999999998</v>
      </c>
    </row>
    <row r="15789" spans="1:6" x14ac:dyDescent="0.25">
      <c r="A15789">
        <v>15788</v>
      </c>
      <c r="B15789" t="s">
        <v>0</v>
      </c>
      <c r="C15789">
        <v>138</v>
      </c>
      <c r="D15789">
        <v>3507</v>
      </c>
      <c r="E15789">
        <v>80675110</v>
      </c>
    </row>
    <row r="15790" spans="1:6" x14ac:dyDescent="0.25">
      <c r="A15790">
        <v>15789</v>
      </c>
      <c r="B15790">
        <v>46</v>
      </c>
      <c r="C15790">
        <v>0</v>
      </c>
      <c r="D15790">
        <v>0</v>
      </c>
      <c r="E15790">
        <v>0</v>
      </c>
      <c r="F15790">
        <v>0</v>
      </c>
    </row>
    <row r="15791" spans="1:6" x14ac:dyDescent="0.25">
      <c r="A15791">
        <v>15790</v>
      </c>
      <c r="B15791" t="s">
        <v>0</v>
      </c>
      <c r="C15791">
        <v>139</v>
      </c>
      <c r="D15791">
        <v>3507</v>
      </c>
      <c r="E15791">
        <v>80675246</v>
      </c>
    </row>
    <row r="15792" spans="1:6" x14ac:dyDescent="0.25">
      <c r="A15792">
        <v>15791</v>
      </c>
      <c r="B15792">
        <v>10</v>
      </c>
      <c r="C15792">
        <v>1</v>
      </c>
      <c r="D15792">
        <v>0</v>
      </c>
      <c r="E15792">
        <v>0</v>
      </c>
      <c r="F15792">
        <v>5277</v>
      </c>
    </row>
    <row r="15793" spans="1:6" x14ac:dyDescent="0.25">
      <c r="A15793">
        <v>15792</v>
      </c>
      <c r="B15793" t="s">
        <v>0</v>
      </c>
      <c r="C15793">
        <v>140</v>
      </c>
      <c r="D15793">
        <v>3507</v>
      </c>
      <c r="E15793">
        <v>80675382</v>
      </c>
    </row>
    <row r="15794" spans="1:6" x14ac:dyDescent="0.25">
      <c r="A15794">
        <v>15793</v>
      </c>
      <c r="B15794">
        <v>41</v>
      </c>
      <c r="C15794">
        <v>0</v>
      </c>
      <c r="D15794">
        <v>0</v>
      </c>
      <c r="E15794">
        <v>0</v>
      </c>
      <c r="F15794">
        <v>1</v>
      </c>
    </row>
    <row r="15795" spans="1:6" x14ac:dyDescent="0.25">
      <c r="A15795">
        <v>15794</v>
      </c>
      <c r="B15795" t="s">
        <v>0</v>
      </c>
      <c r="C15795">
        <v>141</v>
      </c>
      <c r="D15795">
        <v>3507</v>
      </c>
      <c r="E15795">
        <v>80675518</v>
      </c>
    </row>
    <row r="15796" spans="1:6" x14ac:dyDescent="0.25">
      <c r="A15796">
        <v>15795</v>
      </c>
      <c r="B15796">
        <v>43</v>
      </c>
      <c r="C15796">
        <v>0</v>
      </c>
      <c r="D15796">
        <v>0</v>
      </c>
      <c r="E15796">
        <v>0</v>
      </c>
      <c r="F15796">
        <v>0</v>
      </c>
    </row>
    <row r="15797" spans="1:6" x14ac:dyDescent="0.25">
      <c r="A15797">
        <v>15796</v>
      </c>
      <c r="B15797" t="s">
        <v>0</v>
      </c>
      <c r="C15797">
        <v>142</v>
      </c>
      <c r="D15797">
        <v>3507</v>
      </c>
      <c r="E15797">
        <v>80675655</v>
      </c>
    </row>
    <row r="15798" spans="1:6" x14ac:dyDescent="0.25">
      <c r="A15798">
        <v>15797</v>
      </c>
      <c r="B15798">
        <v>45</v>
      </c>
      <c r="C15798">
        <v>0</v>
      </c>
      <c r="D15798">
        <v>0</v>
      </c>
      <c r="E15798">
        <v>0</v>
      </c>
      <c r="F15798">
        <v>522.625</v>
      </c>
    </row>
    <row r="15799" spans="1:6" x14ac:dyDescent="0.25">
      <c r="A15799">
        <v>15798</v>
      </c>
      <c r="B15799" t="s">
        <v>0</v>
      </c>
      <c r="C15799">
        <v>143</v>
      </c>
      <c r="D15799">
        <v>3507</v>
      </c>
      <c r="E15799">
        <v>80675792</v>
      </c>
    </row>
    <row r="15800" spans="1:6" x14ac:dyDescent="0.25">
      <c r="A15800">
        <v>15799</v>
      </c>
      <c r="B15800">
        <v>2</v>
      </c>
      <c r="C15800">
        <v>0</v>
      </c>
      <c r="D15800">
        <v>0</v>
      </c>
      <c r="E15800">
        <v>0</v>
      </c>
      <c r="F15800">
        <v>243.148</v>
      </c>
    </row>
    <row r="15801" spans="1:6" x14ac:dyDescent="0.25">
      <c r="A15801">
        <v>15800</v>
      </c>
      <c r="B15801" t="s">
        <v>0</v>
      </c>
      <c r="C15801">
        <v>144</v>
      </c>
      <c r="D15801">
        <v>3507</v>
      </c>
      <c r="E15801">
        <v>80675929</v>
      </c>
    </row>
    <row r="15802" spans="1:6" x14ac:dyDescent="0.25">
      <c r="A15802">
        <v>15801</v>
      </c>
      <c r="B15802">
        <v>13</v>
      </c>
      <c r="C15802">
        <v>0</v>
      </c>
      <c r="D15802">
        <v>0</v>
      </c>
      <c r="E15802">
        <v>0</v>
      </c>
      <c r="F15802">
        <v>1614</v>
      </c>
    </row>
    <row r="15803" spans="1:6" x14ac:dyDescent="0.25">
      <c r="A15803">
        <v>15802</v>
      </c>
      <c r="B15803">
        <v>41</v>
      </c>
      <c r="C15803">
        <v>0</v>
      </c>
      <c r="D15803">
        <v>0</v>
      </c>
      <c r="E15803">
        <v>0</v>
      </c>
      <c r="F15803">
        <v>1</v>
      </c>
    </row>
    <row r="15804" spans="1:6" x14ac:dyDescent="0.25">
      <c r="A15804">
        <v>15803</v>
      </c>
      <c r="B15804">
        <v>42</v>
      </c>
      <c r="C15804">
        <v>0</v>
      </c>
      <c r="D15804">
        <v>0</v>
      </c>
      <c r="E15804">
        <v>0</v>
      </c>
      <c r="F15804">
        <v>0.2</v>
      </c>
    </row>
    <row r="15805" spans="1:6" x14ac:dyDescent="0.25">
      <c r="A15805">
        <v>15804</v>
      </c>
      <c r="B15805">
        <v>43</v>
      </c>
      <c r="C15805">
        <v>0</v>
      </c>
      <c r="D15805">
        <v>0</v>
      </c>
      <c r="E15805">
        <v>0</v>
      </c>
      <c r="F15805">
        <v>0</v>
      </c>
    </row>
    <row r="15806" spans="1:6" x14ac:dyDescent="0.25">
      <c r="A15806">
        <v>15805</v>
      </c>
      <c r="B15806">
        <v>44</v>
      </c>
      <c r="C15806">
        <v>0</v>
      </c>
      <c r="D15806">
        <v>0</v>
      </c>
      <c r="E15806">
        <v>0</v>
      </c>
      <c r="F15806">
        <v>41.567999999999998</v>
      </c>
    </row>
    <row r="15807" spans="1:6" x14ac:dyDescent="0.25">
      <c r="A15807">
        <v>15806</v>
      </c>
      <c r="B15807">
        <v>45</v>
      </c>
      <c r="C15807">
        <v>0</v>
      </c>
      <c r="D15807">
        <v>0</v>
      </c>
      <c r="E15807">
        <v>0</v>
      </c>
      <c r="F15807">
        <v>522.66999999999996</v>
      </c>
    </row>
    <row r="15808" spans="1:6" x14ac:dyDescent="0.25">
      <c r="A15808">
        <v>15807</v>
      </c>
      <c r="B15808">
        <v>46</v>
      </c>
      <c r="C15808">
        <v>0</v>
      </c>
      <c r="D15808">
        <v>0</v>
      </c>
      <c r="E15808">
        <v>0</v>
      </c>
      <c r="F15808">
        <v>0</v>
      </c>
    </row>
    <row r="15809" spans="1:6" x14ac:dyDescent="0.25">
      <c r="A15809">
        <v>15808</v>
      </c>
      <c r="B15809">
        <v>2</v>
      </c>
      <c r="C15809">
        <v>0</v>
      </c>
      <c r="D15809">
        <v>0</v>
      </c>
      <c r="E15809">
        <v>0</v>
      </c>
      <c r="F15809">
        <v>243.15299999999999</v>
      </c>
    </row>
    <row r="15810" spans="1:6" x14ac:dyDescent="0.25">
      <c r="A15810">
        <v>15809</v>
      </c>
      <c r="B15810">
        <v>10</v>
      </c>
      <c r="C15810">
        <v>1</v>
      </c>
      <c r="D15810">
        <v>0</v>
      </c>
      <c r="E15810">
        <v>0</v>
      </c>
      <c r="F15810">
        <v>5279</v>
      </c>
    </row>
    <row r="15811" spans="1:6" x14ac:dyDescent="0.25">
      <c r="A15811">
        <v>15810</v>
      </c>
      <c r="B15811">
        <v>13</v>
      </c>
      <c r="C15811">
        <v>0</v>
      </c>
      <c r="D15811">
        <v>0</v>
      </c>
      <c r="E15811">
        <v>0</v>
      </c>
      <c r="F15811">
        <v>1614</v>
      </c>
    </row>
    <row r="15812" spans="1:6" x14ac:dyDescent="0.25">
      <c r="A15812">
        <v>15811</v>
      </c>
      <c r="B15812">
        <v>41</v>
      </c>
      <c r="C15812">
        <v>0</v>
      </c>
      <c r="D15812">
        <v>0</v>
      </c>
      <c r="E15812">
        <v>0</v>
      </c>
      <c r="F15812">
        <v>1</v>
      </c>
    </row>
    <row r="15813" spans="1:6" x14ac:dyDescent="0.25">
      <c r="A15813">
        <v>15812</v>
      </c>
      <c r="B15813">
        <v>42</v>
      </c>
      <c r="C15813">
        <v>0</v>
      </c>
      <c r="D15813">
        <v>0</v>
      </c>
      <c r="E15813">
        <v>0</v>
      </c>
      <c r="F15813">
        <v>0.2</v>
      </c>
    </row>
    <row r="15814" spans="1:6" x14ac:dyDescent="0.25">
      <c r="A15814">
        <v>15813</v>
      </c>
      <c r="B15814">
        <v>43</v>
      </c>
      <c r="C15814">
        <v>0</v>
      </c>
      <c r="D15814">
        <v>0</v>
      </c>
      <c r="E15814">
        <v>0</v>
      </c>
      <c r="F15814">
        <v>0</v>
      </c>
    </row>
    <row r="15815" spans="1:6" x14ac:dyDescent="0.25">
      <c r="A15815">
        <v>15814</v>
      </c>
      <c r="B15815">
        <v>44</v>
      </c>
      <c r="C15815">
        <v>0</v>
      </c>
      <c r="D15815">
        <v>0</v>
      </c>
      <c r="E15815">
        <v>0</v>
      </c>
      <c r="F15815">
        <v>41.688099999999999</v>
      </c>
    </row>
    <row r="15816" spans="1:6" x14ac:dyDescent="0.25">
      <c r="A15816">
        <v>15815</v>
      </c>
      <c r="B15816">
        <v>45</v>
      </c>
      <c r="C15816">
        <v>0</v>
      </c>
      <c r="D15816">
        <v>0</v>
      </c>
      <c r="E15816">
        <v>0</v>
      </c>
      <c r="F15816">
        <v>522.72699999999998</v>
      </c>
    </row>
    <row r="15817" spans="1:6" x14ac:dyDescent="0.25">
      <c r="A15817">
        <v>15816</v>
      </c>
      <c r="B15817">
        <v>46</v>
      </c>
      <c r="C15817">
        <v>0</v>
      </c>
      <c r="D15817">
        <v>0</v>
      </c>
      <c r="E15817">
        <v>0</v>
      </c>
      <c r="F15817">
        <v>0</v>
      </c>
    </row>
    <row r="15818" spans="1:6" x14ac:dyDescent="0.25">
      <c r="A15818">
        <v>15817</v>
      </c>
      <c r="B15818" t="s">
        <v>0</v>
      </c>
      <c r="C15818">
        <v>152</v>
      </c>
      <c r="D15818">
        <v>3507</v>
      </c>
      <c r="E15818">
        <v>80677022</v>
      </c>
    </row>
    <row r="15819" spans="1:6" x14ac:dyDescent="0.25">
      <c r="A15819">
        <v>15818</v>
      </c>
      <c r="B15819">
        <v>2</v>
      </c>
      <c r="C15819">
        <v>0</v>
      </c>
      <c r="D15819">
        <v>0</v>
      </c>
      <c r="E15819">
        <v>0</v>
      </c>
      <c r="F15819">
        <v>243.15899999999999</v>
      </c>
    </row>
    <row r="15820" spans="1:6" x14ac:dyDescent="0.25">
      <c r="A15820">
        <v>15819</v>
      </c>
      <c r="B15820">
        <v>10</v>
      </c>
      <c r="C15820">
        <v>1</v>
      </c>
      <c r="D15820">
        <v>0</v>
      </c>
      <c r="E15820">
        <v>0</v>
      </c>
      <c r="F15820">
        <v>5280</v>
      </c>
    </row>
    <row r="15821" spans="1:6" x14ac:dyDescent="0.25">
      <c r="A15821">
        <v>15820</v>
      </c>
      <c r="B15821" t="s">
        <v>0</v>
      </c>
      <c r="C15821">
        <v>153</v>
      </c>
      <c r="D15821">
        <v>3507</v>
      </c>
      <c r="E15821">
        <v>80677159</v>
      </c>
    </row>
    <row r="15822" spans="1:6" x14ac:dyDescent="0.25">
      <c r="A15822">
        <v>15821</v>
      </c>
      <c r="B15822">
        <v>13</v>
      </c>
      <c r="C15822">
        <v>0</v>
      </c>
      <c r="D15822">
        <v>0</v>
      </c>
      <c r="E15822">
        <v>0</v>
      </c>
      <c r="F15822">
        <v>1614</v>
      </c>
    </row>
    <row r="15823" spans="1:6" x14ac:dyDescent="0.25">
      <c r="A15823">
        <v>15822</v>
      </c>
      <c r="B15823">
        <v>41</v>
      </c>
      <c r="C15823">
        <v>0</v>
      </c>
      <c r="D15823">
        <v>0</v>
      </c>
      <c r="E15823">
        <v>0</v>
      </c>
      <c r="F15823">
        <v>1</v>
      </c>
    </row>
    <row r="15824" spans="1:6" x14ac:dyDescent="0.25">
      <c r="A15824">
        <v>15823</v>
      </c>
      <c r="B15824" t="s">
        <v>0</v>
      </c>
      <c r="C15824">
        <v>154</v>
      </c>
      <c r="D15824">
        <v>3507</v>
      </c>
      <c r="E15824">
        <v>80677296</v>
      </c>
    </row>
    <row r="15825" spans="1:6" x14ac:dyDescent="0.25">
      <c r="A15825">
        <v>15824</v>
      </c>
      <c r="B15825">
        <v>42</v>
      </c>
      <c r="C15825">
        <v>0</v>
      </c>
      <c r="D15825">
        <v>0</v>
      </c>
      <c r="E15825">
        <v>0</v>
      </c>
      <c r="F15825">
        <v>0.2</v>
      </c>
    </row>
    <row r="15826" spans="1:6" x14ac:dyDescent="0.25">
      <c r="A15826">
        <v>15825</v>
      </c>
      <c r="B15826">
        <v>43</v>
      </c>
      <c r="C15826">
        <v>0</v>
      </c>
      <c r="D15826">
        <v>0</v>
      </c>
      <c r="E15826">
        <v>0</v>
      </c>
      <c r="F15826">
        <v>0</v>
      </c>
    </row>
    <row r="15827" spans="1:6" x14ac:dyDescent="0.25">
      <c r="A15827">
        <v>15826</v>
      </c>
      <c r="B15827" t="s">
        <v>0</v>
      </c>
      <c r="C15827">
        <v>155</v>
      </c>
      <c r="D15827">
        <v>3507</v>
      </c>
      <c r="E15827">
        <v>80677432</v>
      </c>
    </row>
    <row r="15828" spans="1:6" x14ac:dyDescent="0.25">
      <c r="A15828">
        <v>15827</v>
      </c>
      <c r="B15828">
        <v>44</v>
      </c>
      <c r="C15828">
        <v>0</v>
      </c>
      <c r="D15828">
        <v>0</v>
      </c>
      <c r="E15828">
        <v>0</v>
      </c>
      <c r="F15828">
        <v>41.858199999999997</v>
      </c>
    </row>
    <row r="15829" spans="1:6" x14ac:dyDescent="0.25">
      <c r="A15829">
        <v>15828</v>
      </c>
      <c r="B15829">
        <v>45</v>
      </c>
      <c r="C15829">
        <v>0</v>
      </c>
      <c r="D15829">
        <v>0</v>
      </c>
      <c r="E15829">
        <v>0</v>
      </c>
      <c r="F15829">
        <v>522.77300000000002</v>
      </c>
    </row>
    <row r="15830" spans="1:6" x14ac:dyDescent="0.25">
      <c r="A15830">
        <v>15829</v>
      </c>
      <c r="B15830" t="s">
        <v>0</v>
      </c>
      <c r="C15830">
        <v>156</v>
      </c>
      <c r="D15830">
        <v>3507</v>
      </c>
      <c r="E15830">
        <v>80677568</v>
      </c>
    </row>
    <row r="15831" spans="1:6" x14ac:dyDescent="0.25">
      <c r="A15831">
        <v>15830</v>
      </c>
      <c r="B15831">
        <v>46</v>
      </c>
      <c r="C15831">
        <v>0</v>
      </c>
      <c r="D15831">
        <v>0</v>
      </c>
      <c r="E15831">
        <v>0</v>
      </c>
      <c r="F15831">
        <v>0</v>
      </c>
    </row>
    <row r="15832" spans="1:6" x14ac:dyDescent="0.25">
      <c r="A15832">
        <v>15831</v>
      </c>
      <c r="B15832">
        <v>2</v>
      </c>
      <c r="C15832">
        <v>0</v>
      </c>
      <c r="D15832">
        <v>0</v>
      </c>
      <c r="E15832">
        <v>0</v>
      </c>
      <c r="F15832">
        <v>243.16300000000001</v>
      </c>
    </row>
    <row r="15833" spans="1:6" x14ac:dyDescent="0.25">
      <c r="A15833">
        <v>15832</v>
      </c>
      <c r="B15833" t="s">
        <v>0</v>
      </c>
      <c r="C15833">
        <v>157</v>
      </c>
      <c r="D15833">
        <v>3507</v>
      </c>
      <c r="E15833">
        <v>80677704</v>
      </c>
    </row>
    <row r="15834" spans="1:6" x14ac:dyDescent="0.25">
      <c r="A15834">
        <v>15833</v>
      </c>
      <c r="B15834">
        <v>10</v>
      </c>
      <c r="C15834">
        <v>1</v>
      </c>
      <c r="D15834">
        <v>0</v>
      </c>
      <c r="E15834">
        <v>0</v>
      </c>
      <c r="F15834">
        <v>5281</v>
      </c>
    </row>
    <row r="15835" spans="1:6" x14ac:dyDescent="0.25">
      <c r="A15835">
        <v>15834</v>
      </c>
      <c r="B15835">
        <v>13</v>
      </c>
      <c r="C15835">
        <v>0</v>
      </c>
      <c r="D15835">
        <v>0</v>
      </c>
      <c r="E15835">
        <v>0</v>
      </c>
      <c r="F15835">
        <v>1614</v>
      </c>
    </row>
    <row r="15836" spans="1:6" x14ac:dyDescent="0.25">
      <c r="A15836">
        <v>15835</v>
      </c>
      <c r="B15836" t="s">
        <v>0</v>
      </c>
      <c r="C15836">
        <v>158</v>
      </c>
      <c r="D15836">
        <v>3507</v>
      </c>
      <c r="E15836">
        <v>80677841</v>
      </c>
    </row>
    <row r="15837" spans="1:6" x14ac:dyDescent="0.25">
      <c r="A15837">
        <v>15836</v>
      </c>
      <c r="B15837">
        <v>41</v>
      </c>
      <c r="C15837">
        <v>0</v>
      </c>
      <c r="D15837">
        <v>0</v>
      </c>
      <c r="E15837">
        <v>0</v>
      </c>
      <c r="F15837">
        <v>1</v>
      </c>
    </row>
    <row r="15838" spans="1:6" x14ac:dyDescent="0.25">
      <c r="A15838">
        <v>15837</v>
      </c>
      <c r="B15838">
        <v>42</v>
      </c>
      <c r="C15838">
        <v>0</v>
      </c>
      <c r="D15838">
        <v>0</v>
      </c>
      <c r="E15838">
        <v>0</v>
      </c>
      <c r="F15838">
        <v>0.2</v>
      </c>
    </row>
    <row r="15839" spans="1:6" x14ac:dyDescent="0.25">
      <c r="A15839">
        <v>15838</v>
      </c>
      <c r="B15839" t="s">
        <v>0</v>
      </c>
      <c r="C15839">
        <v>159</v>
      </c>
      <c r="D15839">
        <v>3507</v>
      </c>
      <c r="E15839">
        <v>80677978</v>
      </c>
    </row>
    <row r="15840" spans="1:6" x14ac:dyDescent="0.25">
      <c r="A15840">
        <v>15839</v>
      </c>
      <c r="B15840">
        <v>44</v>
      </c>
      <c r="C15840">
        <v>0</v>
      </c>
      <c r="D15840">
        <v>0</v>
      </c>
      <c r="E15840">
        <v>0</v>
      </c>
      <c r="F15840">
        <v>41.9803</v>
      </c>
    </row>
    <row r="15841" spans="1:6" x14ac:dyDescent="0.25">
      <c r="A15841">
        <v>15840</v>
      </c>
      <c r="B15841" t="s">
        <v>0</v>
      </c>
      <c r="C15841">
        <v>160</v>
      </c>
      <c r="D15841">
        <v>3507</v>
      </c>
      <c r="E15841">
        <v>80678115</v>
      </c>
    </row>
    <row r="15842" spans="1:6" x14ac:dyDescent="0.25">
      <c r="A15842">
        <v>15841</v>
      </c>
      <c r="B15842">
        <v>46</v>
      </c>
      <c r="C15842">
        <v>0</v>
      </c>
      <c r="D15842">
        <v>0</v>
      </c>
      <c r="E15842">
        <v>0</v>
      </c>
      <c r="F15842">
        <v>0</v>
      </c>
    </row>
    <row r="15843" spans="1:6" x14ac:dyDescent="0.25">
      <c r="A15843">
        <v>15842</v>
      </c>
      <c r="B15843" t="s">
        <v>0</v>
      </c>
      <c r="C15843">
        <v>161</v>
      </c>
      <c r="D15843">
        <v>3507</v>
      </c>
      <c r="E15843">
        <v>80678252</v>
      </c>
    </row>
    <row r="15844" spans="1:6" x14ac:dyDescent="0.25">
      <c r="A15844">
        <v>15843</v>
      </c>
      <c r="B15844">
        <v>10</v>
      </c>
      <c r="C15844">
        <v>1</v>
      </c>
      <c r="D15844">
        <v>0</v>
      </c>
      <c r="E15844">
        <v>0</v>
      </c>
      <c r="F15844">
        <v>5282</v>
      </c>
    </row>
    <row r="15845" spans="1:6" x14ac:dyDescent="0.25">
      <c r="A15845">
        <v>15844</v>
      </c>
      <c r="B15845" t="s">
        <v>0</v>
      </c>
      <c r="C15845">
        <v>162</v>
      </c>
      <c r="D15845">
        <v>3507</v>
      </c>
      <c r="E15845">
        <v>80678388</v>
      </c>
    </row>
    <row r="15846" spans="1:6" x14ac:dyDescent="0.25">
      <c r="A15846">
        <v>15845</v>
      </c>
      <c r="B15846">
        <v>41</v>
      </c>
      <c r="C15846">
        <v>0</v>
      </c>
      <c r="D15846">
        <v>0</v>
      </c>
      <c r="E15846">
        <v>0</v>
      </c>
      <c r="F15846">
        <v>1</v>
      </c>
    </row>
    <row r="15847" spans="1:6" x14ac:dyDescent="0.25">
      <c r="A15847">
        <v>15846</v>
      </c>
      <c r="B15847" t="s">
        <v>0</v>
      </c>
      <c r="C15847">
        <v>163</v>
      </c>
      <c r="D15847">
        <v>3507</v>
      </c>
      <c r="E15847">
        <v>80678524</v>
      </c>
    </row>
    <row r="15848" spans="1:6" x14ac:dyDescent="0.25">
      <c r="A15848">
        <v>15847</v>
      </c>
      <c r="B15848">
        <v>43</v>
      </c>
      <c r="C15848">
        <v>0</v>
      </c>
      <c r="D15848">
        <v>0</v>
      </c>
      <c r="E15848">
        <v>0</v>
      </c>
      <c r="F15848">
        <v>0</v>
      </c>
    </row>
    <row r="15849" spans="1:6" x14ac:dyDescent="0.25">
      <c r="A15849">
        <v>15848</v>
      </c>
      <c r="B15849" t="s">
        <v>0</v>
      </c>
      <c r="C15849">
        <v>164</v>
      </c>
      <c r="D15849">
        <v>3507</v>
      </c>
      <c r="E15849">
        <v>80678660</v>
      </c>
    </row>
    <row r="15850" spans="1:6" x14ac:dyDescent="0.25">
      <c r="A15850">
        <v>15849</v>
      </c>
      <c r="B15850">
        <v>45</v>
      </c>
      <c r="C15850">
        <v>0</v>
      </c>
      <c r="D15850">
        <v>0</v>
      </c>
      <c r="E15850">
        <v>0</v>
      </c>
      <c r="F15850">
        <v>522.87699999999995</v>
      </c>
    </row>
    <row r="15851" spans="1:6" x14ac:dyDescent="0.25">
      <c r="A15851">
        <v>15850</v>
      </c>
      <c r="B15851">
        <v>46</v>
      </c>
      <c r="C15851">
        <v>0</v>
      </c>
      <c r="D15851">
        <v>0</v>
      </c>
      <c r="E15851">
        <v>0</v>
      </c>
      <c r="F15851">
        <v>0</v>
      </c>
    </row>
    <row r="15852" spans="1:6" x14ac:dyDescent="0.25">
      <c r="A15852">
        <v>15851</v>
      </c>
      <c r="B15852">
        <v>2</v>
      </c>
      <c r="C15852">
        <v>0</v>
      </c>
      <c r="D15852">
        <v>0</v>
      </c>
      <c r="E15852">
        <v>0</v>
      </c>
      <c r="F15852">
        <v>243.16499999999999</v>
      </c>
    </row>
    <row r="15853" spans="1:6" x14ac:dyDescent="0.25">
      <c r="A15853">
        <v>15852</v>
      </c>
      <c r="B15853">
        <v>10</v>
      </c>
      <c r="C15853">
        <v>1</v>
      </c>
      <c r="D15853">
        <v>0</v>
      </c>
      <c r="E15853">
        <v>0</v>
      </c>
      <c r="F15853">
        <v>5283</v>
      </c>
    </row>
    <row r="15854" spans="1:6" x14ac:dyDescent="0.25">
      <c r="A15854">
        <v>15853</v>
      </c>
      <c r="B15854">
        <v>13</v>
      </c>
      <c r="C15854">
        <v>0</v>
      </c>
      <c r="D15854">
        <v>0</v>
      </c>
      <c r="E15854">
        <v>0</v>
      </c>
      <c r="F15854">
        <v>1615</v>
      </c>
    </row>
    <row r="15855" spans="1:6" x14ac:dyDescent="0.25">
      <c r="A15855">
        <v>15854</v>
      </c>
      <c r="B15855">
        <v>41</v>
      </c>
      <c r="C15855">
        <v>0</v>
      </c>
      <c r="D15855">
        <v>0</v>
      </c>
      <c r="E15855">
        <v>0</v>
      </c>
      <c r="F15855">
        <v>1</v>
      </c>
    </row>
    <row r="15856" spans="1:6" x14ac:dyDescent="0.25">
      <c r="A15856">
        <v>15855</v>
      </c>
      <c r="B15856">
        <v>42</v>
      </c>
      <c r="C15856">
        <v>0</v>
      </c>
      <c r="D15856">
        <v>0</v>
      </c>
      <c r="E15856">
        <v>0</v>
      </c>
      <c r="F15856">
        <v>0.2</v>
      </c>
    </row>
    <row r="15857" spans="1:6" x14ac:dyDescent="0.25">
      <c r="A15857">
        <v>15856</v>
      </c>
      <c r="B15857">
        <v>43</v>
      </c>
      <c r="C15857">
        <v>0</v>
      </c>
      <c r="D15857">
        <v>0</v>
      </c>
      <c r="E15857">
        <v>0</v>
      </c>
      <c r="F15857">
        <v>0</v>
      </c>
    </row>
    <row r="15858" spans="1:6" x14ac:dyDescent="0.25">
      <c r="A15858">
        <v>15857</v>
      </c>
      <c r="B15858">
        <v>44</v>
      </c>
      <c r="C15858">
        <v>0</v>
      </c>
      <c r="D15858">
        <v>0</v>
      </c>
      <c r="E15858">
        <v>0</v>
      </c>
      <c r="F15858">
        <v>42.300199999999997</v>
      </c>
    </row>
    <row r="15859" spans="1:6" x14ac:dyDescent="0.25">
      <c r="A15859">
        <v>15858</v>
      </c>
      <c r="B15859">
        <v>45</v>
      </c>
      <c r="C15859">
        <v>0</v>
      </c>
      <c r="D15859">
        <v>0</v>
      </c>
      <c r="E15859">
        <v>0</v>
      </c>
      <c r="F15859">
        <v>522.923</v>
      </c>
    </row>
    <row r="15860" spans="1:6" x14ac:dyDescent="0.25">
      <c r="A15860">
        <v>15859</v>
      </c>
      <c r="B15860">
        <v>46</v>
      </c>
      <c r="C15860">
        <v>0</v>
      </c>
      <c r="D15860">
        <v>0</v>
      </c>
      <c r="E15860">
        <v>0</v>
      </c>
      <c r="F15860">
        <v>0</v>
      </c>
    </row>
    <row r="15861" spans="1:6" x14ac:dyDescent="0.25">
      <c r="A15861">
        <v>15860</v>
      </c>
      <c r="B15861">
        <v>2</v>
      </c>
      <c r="C15861">
        <v>0</v>
      </c>
      <c r="D15861">
        <v>0</v>
      </c>
      <c r="E15861">
        <v>0</v>
      </c>
      <c r="F15861">
        <v>243.17</v>
      </c>
    </row>
    <row r="15862" spans="1:6" x14ac:dyDescent="0.25">
      <c r="A15862">
        <v>15861</v>
      </c>
      <c r="B15862">
        <v>10</v>
      </c>
      <c r="C15862">
        <v>1</v>
      </c>
      <c r="D15862">
        <v>0</v>
      </c>
      <c r="E15862">
        <v>0</v>
      </c>
      <c r="F15862">
        <v>5284</v>
      </c>
    </row>
    <row r="15863" spans="1:6" x14ac:dyDescent="0.25">
      <c r="A15863">
        <v>15862</v>
      </c>
      <c r="B15863">
        <v>13</v>
      </c>
      <c r="C15863">
        <v>0</v>
      </c>
      <c r="D15863">
        <v>0</v>
      </c>
      <c r="E15863">
        <v>0</v>
      </c>
      <c r="F15863">
        <v>1615</v>
      </c>
    </row>
    <row r="15864" spans="1:6" x14ac:dyDescent="0.25">
      <c r="A15864">
        <v>15863</v>
      </c>
      <c r="B15864">
        <v>41</v>
      </c>
      <c r="C15864">
        <v>0</v>
      </c>
      <c r="D15864">
        <v>0</v>
      </c>
      <c r="E15864">
        <v>0</v>
      </c>
      <c r="F15864">
        <v>1</v>
      </c>
    </row>
    <row r="15865" spans="1:6" x14ac:dyDescent="0.25">
      <c r="A15865">
        <v>15864</v>
      </c>
      <c r="B15865">
        <v>42</v>
      </c>
      <c r="C15865">
        <v>0</v>
      </c>
      <c r="D15865">
        <v>0</v>
      </c>
      <c r="E15865">
        <v>0</v>
      </c>
      <c r="F15865">
        <v>0.2</v>
      </c>
    </row>
    <row r="15866" spans="1:6" x14ac:dyDescent="0.25">
      <c r="A15866">
        <v>15865</v>
      </c>
      <c r="B15866" t="s">
        <v>0</v>
      </c>
      <c r="C15866">
        <v>172</v>
      </c>
      <c r="D15866">
        <v>3507</v>
      </c>
      <c r="E15866">
        <v>80679753</v>
      </c>
    </row>
    <row r="15867" spans="1:6" x14ac:dyDescent="0.25">
      <c r="A15867">
        <v>15866</v>
      </c>
      <c r="B15867">
        <v>43</v>
      </c>
      <c r="C15867">
        <v>0</v>
      </c>
      <c r="D15867">
        <v>0</v>
      </c>
      <c r="E15867">
        <v>0</v>
      </c>
      <c r="F15867">
        <v>0</v>
      </c>
    </row>
    <row r="15868" spans="1:6" x14ac:dyDescent="0.25">
      <c r="A15868">
        <v>15867</v>
      </c>
      <c r="B15868">
        <v>44</v>
      </c>
      <c r="C15868">
        <v>0</v>
      </c>
      <c r="D15868">
        <v>0</v>
      </c>
      <c r="E15868">
        <v>0</v>
      </c>
      <c r="F15868">
        <v>42.4238</v>
      </c>
    </row>
    <row r="15869" spans="1:6" x14ac:dyDescent="0.25">
      <c r="A15869">
        <v>15868</v>
      </c>
      <c r="B15869" t="s">
        <v>0</v>
      </c>
      <c r="C15869">
        <v>173</v>
      </c>
      <c r="D15869">
        <v>3507</v>
      </c>
      <c r="E15869">
        <v>80679890</v>
      </c>
    </row>
    <row r="15870" spans="1:6" x14ac:dyDescent="0.25">
      <c r="A15870">
        <v>15869</v>
      </c>
      <c r="B15870">
        <v>45</v>
      </c>
      <c r="C15870">
        <v>0</v>
      </c>
      <c r="D15870">
        <v>0</v>
      </c>
      <c r="E15870">
        <v>0</v>
      </c>
      <c r="F15870">
        <v>522.98099999999999</v>
      </c>
    </row>
    <row r="15871" spans="1:6" x14ac:dyDescent="0.25">
      <c r="A15871">
        <v>15870</v>
      </c>
      <c r="B15871">
        <v>46</v>
      </c>
      <c r="C15871">
        <v>0</v>
      </c>
      <c r="D15871">
        <v>0</v>
      </c>
      <c r="E15871">
        <v>0</v>
      </c>
      <c r="F15871">
        <v>0</v>
      </c>
    </row>
    <row r="15872" spans="1:6" x14ac:dyDescent="0.25">
      <c r="A15872">
        <v>15871</v>
      </c>
      <c r="B15872" t="s">
        <v>0</v>
      </c>
      <c r="C15872">
        <v>174</v>
      </c>
      <c r="D15872">
        <v>3507</v>
      </c>
      <c r="E15872">
        <v>80680027</v>
      </c>
    </row>
    <row r="15873" spans="1:6" x14ac:dyDescent="0.25">
      <c r="A15873">
        <v>15872</v>
      </c>
      <c r="B15873">
        <v>2</v>
      </c>
      <c r="C15873">
        <v>0</v>
      </c>
      <c r="D15873">
        <v>0</v>
      </c>
      <c r="E15873">
        <v>0</v>
      </c>
      <c r="F15873">
        <v>243.172</v>
      </c>
    </row>
    <row r="15874" spans="1:6" x14ac:dyDescent="0.25">
      <c r="A15874">
        <v>15873</v>
      </c>
      <c r="B15874">
        <v>10</v>
      </c>
      <c r="C15874">
        <v>1</v>
      </c>
      <c r="D15874">
        <v>0</v>
      </c>
      <c r="E15874">
        <v>0</v>
      </c>
      <c r="F15874">
        <v>5285</v>
      </c>
    </row>
    <row r="15875" spans="1:6" x14ac:dyDescent="0.25">
      <c r="A15875">
        <v>15874</v>
      </c>
      <c r="B15875" t="s">
        <v>0</v>
      </c>
      <c r="C15875">
        <v>175</v>
      </c>
      <c r="D15875">
        <v>3507</v>
      </c>
      <c r="E15875">
        <v>80680164</v>
      </c>
    </row>
    <row r="15876" spans="1:6" x14ac:dyDescent="0.25">
      <c r="A15876">
        <v>15875</v>
      </c>
      <c r="B15876">
        <v>13</v>
      </c>
      <c r="C15876">
        <v>0</v>
      </c>
      <c r="D15876">
        <v>0</v>
      </c>
      <c r="E15876">
        <v>0</v>
      </c>
      <c r="F15876">
        <v>1615</v>
      </c>
    </row>
    <row r="15877" spans="1:6" x14ac:dyDescent="0.25">
      <c r="A15877">
        <v>15876</v>
      </c>
      <c r="B15877">
        <v>41</v>
      </c>
      <c r="C15877">
        <v>0</v>
      </c>
      <c r="D15877">
        <v>0</v>
      </c>
      <c r="E15877">
        <v>0</v>
      </c>
      <c r="F15877">
        <v>1</v>
      </c>
    </row>
    <row r="15878" spans="1:6" x14ac:dyDescent="0.25">
      <c r="A15878">
        <v>15877</v>
      </c>
      <c r="B15878" t="s">
        <v>0</v>
      </c>
      <c r="C15878">
        <v>176</v>
      </c>
      <c r="D15878">
        <v>3507</v>
      </c>
      <c r="E15878">
        <v>80680301</v>
      </c>
    </row>
    <row r="15879" spans="1:6" x14ac:dyDescent="0.25">
      <c r="A15879">
        <v>15878</v>
      </c>
      <c r="B15879">
        <v>42</v>
      </c>
      <c r="C15879">
        <v>0</v>
      </c>
      <c r="D15879">
        <v>0</v>
      </c>
      <c r="E15879">
        <v>0</v>
      </c>
      <c r="F15879">
        <v>0.2</v>
      </c>
    </row>
    <row r="15880" spans="1:6" x14ac:dyDescent="0.25">
      <c r="A15880">
        <v>15879</v>
      </c>
      <c r="B15880">
        <v>43</v>
      </c>
      <c r="C15880">
        <v>0</v>
      </c>
      <c r="D15880">
        <v>0</v>
      </c>
      <c r="E15880">
        <v>0</v>
      </c>
      <c r="F15880">
        <v>0</v>
      </c>
    </row>
    <row r="15881" spans="1:6" x14ac:dyDescent="0.25">
      <c r="A15881">
        <v>15880</v>
      </c>
      <c r="B15881" t="s">
        <v>0</v>
      </c>
      <c r="C15881">
        <v>177</v>
      </c>
      <c r="D15881">
        <v>3507</v>
      </c>
      <c r="E15881">
        <v>80680438</v>
      </c>
    </row>
    <row r="15882" spans="1:6" x14ac:dyDescent="0.25">
      <c r="A15882">
        <v>15881</v>
      </c>
      <c r="B15882">
        <v>44</v>
      </c>
      <c r="C15882">
        <v>0</v>
      </c>
      <c r="D15882">
        <v>0</v>
      </c>
      <c r="E15882">
        <v>0</v>
      </c>
      <c r="F15882">
        <v>42.597299999999997</v>
      </c>
    </row>
    <row r="15883" spans="1:6" x14ac:dyDescent="0.25">
      <c r="A15883">
        <v>15882</v>
      </c>
      <c r="B15883">
        <v>45</v>
      </c>
      <c r="C15883">
        <v>0</v>
      </c>
      <c r="D15883">
        <v>0</v>
      </c>
      <c r="E15883">
        <v>0</v>
      </c>
      <c r="F15883">
        <v>523.02800000000002</v>
      </c>
    </row>
    <row r="15884" spans="1:6" x14ac:dyDescent="0.25">
      <c r="A15884">
        <v>15883</v>
      </c>
      <c r="B15884" t="s">
        <v>0</v>
      </c>
      <c r="C15884">
        <v>178</v>
      </c>
      <c r="D15884">
        <v>3507</v>
      </c>
      <c r="E15884">
        <v>80680574</v>
      </c>
    </row>
    <row r="15885" spans="1:6" x14ac:dyDescent="0.25">
      <c r="A15885">
        <v>15884</v>
      </c>
      <c r="B15885">
        <v>2</v>
      </c>
      <c r="C15885">
        <v>0</v>
      </c>
      <c r="D15885">
        <v>0</v>
      </c>
      <c r="E15885">
        <v>0</v>
      </c>
      <c r="F15885">
        <v>243.173</v>
      </c>
    </row>
    <row r="15886" spans="1:6" x14ac:dyDescent="0.25">
      <c r="A15886">
        <v>15885</v>
      </c>
      <c r="B15886">
        <v>10</v>
      </c>
      <c r="C15886">
        <v>1</v>
      </c>
      <c r="D15886">
        <v>0</v>
      </c>
      <c r="E15886">
        <v>0</v>
      </c>
      <c r="F15886">
        <v>5286</v>
      </c>
    </row>
    <row r="15887" spans="1:6" x14ac:dyDescent="0.25">
      <c r="A15887">
        <v>15886</v>
      </c>
      <c r="B15887">
        <v>13</v>
      </c>
      <c r="C15887">
        <v>0</v>
      </c>
      <c r="D15887">
        <v>0</v>
      </c>
      <c r="E15887">
        <v>0</v>
      </c>
      <c r="F15887">
        <v>1615</v>
      </c>
    </row>
    <row r="15888" spans="1:6" x14ac:dyDescent="0.25">
      <c r="A15888">
        <v>15887</v>
      </c>
      <c r="B15888" t="s">
        <v>0</v>
      </c>
      <c r="C15888">
        <v>0</v>
      </c>
      <c r="D15888">
        <v>3508</v>
      </c>
      <c r="E15888">
        <v>80680847</v>
      </c>
    </row>
    <row r="15889" spans="1:6" x14ac:dyDescent="0.25">
      <c r="A15889">
        <v>15888</v>
      </c>
      <c r="B15889">
        <v>42</v>
      </c>
      <c r="C15889">
        <v>0</v>
      </c>
      <c r="D15889">
        <v>0</v>
      </c>
      <c r="E15889">
        <v>0</v>
      </c>
      <c r="F15889">
        <v>0.2</v>
      </c>
    </row>
    <row r="15890" spans="1:6" x14ac:dyDescent="0.25">
      <c r="A15890">
        <v>15889</v>
      </c>
      <c r="B15890" t="s">
        <v>0</v>
      </c>
      <c r="C15890">
        <v>1</v>
      </c>
      <c r="D15890">
        <v>3508</v>
      </c>
      <c r="E15890">
        <v>80680985</v>
      </c>
    </row>
    <row r="15891" spans="1:6" x14ac:dyDescent="0.25">
      <c r="A15891">
        <v>15890</v>
      </c>
      <c r="B15891">
        <v>44</v>
      </c>
      <c r="C15891">
        <v>0</v>
      </c>
      <c r="D15891">
        <v>0</v>
      </c>
      <c r="E15891">
        <v>0</v>
      </c>
      <c r="F15891">
        <v>42.721800000000002</v>
      </c>
    </row>
    <row r="15892" spans="1:6" x14ac:dyDescent="0.25">
      <c r="A15892">
        <v>15891</v>
      </c>
      <c r="B15892" t="s">
        <v>0</v>
      </c>
      <c r="C15892">
        <v>2</v>
      </c>
      <c r="D15892">
        <v>3508</v>
      </c>
      <c r="E15892">
        <v>80681122</v>
      </c>
    </row>
    <row r="15893" spans="1:6" x14ac:dyDescent="0.25">
      <c r="A15893">
        <v>15892</v>
      </c>
      <c r="B15893">
        <v>46</v>
      </c>
      <c r="C15893">
        <v>0</v>
      </c>
      <c r="D15893">
        <v>0</v>
      </c>
      <c r="E15893">
        <v>0</v>
      </c>
      <c r="F15893">
        <v>0</v>
      </c>
    </row>
    <row r="15894" spans="1:6" x14ac:dyDescent="0.25">
      <c r="A15894">
        <v>15893</v>
      </c>
      <c r="B15894" t="s">
        <v>0</v>
      </c>
      <c r="C15894">
        <v>3</v>
      </c>
      <c r="D15894">
        <v>3508</v>
      </c>
      <c r="E15894">
        <v>80681259</v>
      </c>
    </row>
    <row r="15895" spans="1:6" x14ac:dyDescent="0.25">
      <c r="A15895">
        <v>15894</v>
      </c>
      <c r="B15895">
        <v>10</v>
      </c>
      <c r="C15895">
        <v>1</v>
      </c>
      <c r="D15895">
        <v>0</v>
      </c>
      <c r="E15895">
        <v>0</v>
      </c>
      <c r="F15895">
        <v>5288</v>
      </c>
    </row>
    <row r="15896" spans="1:6" x14ac:dyDescent="0.25">
      <c r="A15896">
        <v>15895</v>
      </c>
      <c r="B15896" t="s">
        <v>0</v>
      </c>
      <c r="C15896">
        <v>4</v>
      </c>
      <c r="D15896">
        <v>3508</v>
      </c>
      <c r="E15896">
        <v>80681396</v>
      </c>
    </row>
    <row r="15897" spans="1:6" x14ac:dyDescent="0.25">
      <c r="A15897">
        <v>15896</v>
      </c>
      <c r="B15897">
        <v>13</v>
      </c>
      <c r="C15897">
        <v>0</v>
      </c>
      <c r="D15897">
        <v>0</v>
      </c>
      <c r="E15897">
        <v>0</v>
      </c>
      <c r="F15897">
        <v>1615</v>
      </c>
    </row>
    <row r="15898" spans="1:6" x14ac:dyDescent="0.25">
      <c r="A15898">
        <v>15897</v>
      </c>
      <c r="B15898">
        <v>41</v>
      </c>
      <c r="C15898">
        <v>0</v>
      </c>
      <c r="D15898">
        <v>0</v>
      </c>
      <c r="E15898">
        <v>0</v>
      </c>
      <c r="F15898">
        <v>1</v>
      </c>
    </row>
    <row r="15899" spans="1:6" x14ac:dyDescent="0.25">
      <c r="A15899">
        <v>15898</v>
      </c>
      <c r="B15899">
        <v>42</v>
      </c>
      <c r="C15899">
        <v>0</v>
      </c>
      <c r="D15899">
        <v>0</v>
      </c>
      <c r="E15899">
        <v>0</v>
      </c>
      <c r="F15899">
        <v>0.2</v>
      </c>
    </row>
    <row r="15900" spans="1:6" x14ac:dyDescent="0.25">
      <c r="A15900">
        <v>15899</v>
      </c>
      <c r="B15900">
        <v>43</v>
      </c>
      <c r="C15900">
        <v>0</v>
      </c>
      <c r="D15900">
        <v>0</v>
      </c>
      <c r="E15900">
        <v>0</v>
      </c>
      <c r="F15900">
        <v>0</v>
      </c>
    </row>
    <row r="15901" spans="1:6" x14ac:dyDescent="0.25">
      <c r="A15901">
        <v>15900</v>
      </c>
      <c r="B15901">
        <v>44</v>
      </c>
      <c r="C15901">
        <v>0</v>
      </c>
      <c r="D15901">
        <v>0</v>
      </c>
      <c r="E15901">
        <v>0</v>
      </c>
      <c r="F15901">
        <v>42.895800000000001</v>
      </c>
    </row>
    <row r="15902" spans="1:6" x14ac:dyDescent="0.25">
      <c r="A15902">
        <v>15901</v>
      </c>
      <c r="B15902">
        <v>45</v>
      </c>
      <c r="C15902">
        <v>0</v>
      </c>
      <c r="D15902">
        <v>0</v>
      </c>
      <c r="E15902">
        <v>0</v>
      </c>
      <c r="F15902">
        <v>523.11</v>
      </c>
    </row>
    <row r="15903" spans="1:6" x14ac:dyDescent="0.25">
      <c r="A15903">
        <v>15902</v>
      </c>
      <c r="B15903">
        <v>46</v>
      </c>
      <c r="C15903">
        <v>0</v>
      </c>
      <c r="D15903">
        <v>0</v>
      </c>
      <c r="E15903">
        <v>0</v>
      </c>
      <c r="F15903">
        <v>0</v>
      </c>
    </row>
    <row r="15904" spans="1:6" x14ac:dyDescent="0.25">
      <c r="A15904">
        <v>15903</v>
      </c>
      <c r="B15904">
        <v>2</v>
      </c>
      <c r="C15904">
        <v>0</v>
      </c>
      <c r="D15904">
        <v>0</v>
      </c>
      <c r="E15904">
        <v>0</v>
      </c>
      <c r="F15904">
        <v>243.17400000000001</v>
      </c>
    </row>
    <row r="15905" spans="1:6" x14ac:dyDescent="0.25">
      <c r="A15905">
        <v>15904</v>
      </c>
      <c r="B15905">
        <v>10</v>
      </c>
      <c r="C15905">
        <v>1</v>
      </c>
      <c r="D15905">
        <v>0</v>
      </c>
      <c r="E15905">
        <v>0</v>
      </c>
      <c r="F15905">
        <v>5289</v>
      </c>
    </row>
    <row r="15906" spans="1:6" x14ac:dyDescent="0.25">
      <c r="A15906">
        <v>15905</v>
      </c>
      <c r="B15906">
        <v>13</v>
      </c>
      <c r="C15906">
        <v>0</v>
      </c>
      <c r="D15906">
        <v>0</v>
      </c>
      <c r="E15906">
        <v>0</v>
      </c>
      <c r="F15906">
        <v>1615</v>
      </c>
    </row>
    <row r="15907" spans="1:6" x14ac:dyDescent="0.25">
      <c r="A15907">
        <v>15906</v>
      </c>
      <c r="B15907">
        <v>41</v>
      </c>
      <c r="C15907">
        <v>0</v>
      </c>
      <c r="D15907">
        <v>0</v>
      </c>
      <c r="E15907">
        <v>0</v>
      </c>
      <c r="F15907">
        <v>1</v>
      </c>
    </row>
    <row r="15908" spans="1:6" x14ac:dyDescent="0.25">
      <c r="A15908">
        <v>15907</v>
      </c>
      <c r="B15908">
        <v>42</v>
      </c>
      <c r="C15908">
        <v>0</v>
      </c>
      <c r="D15908">
        <v>0</v>
      </c>
      <c r="E15908">
        <v>0</v>
      </c>
      <c r="F15908">
        <v>0.2</v>
      </c>
    </row>
    <row r="15909" spans="1:6" x14ac:dyDescent="0.25">
      <c r="A15909">
        <v>15908</v>
      </c>
      <c r="B15909">
        <v>43</v>
      </c>
      <c r="C15909">
        <v>0</v>
      </c>
      <c r="D15909">
        <v>0</v>
      </c>
      <c r="E15909">
        <v>0</v>
      </c>
      <c r="F15909">
        <v>0</v>
      </c>
    </row>
    <row r="15910" spans="1:6" x14ac:dyDescent="0.25">
      <c r="A15910">
        <v>15909</v>
      </c>
      <c r="B15910">
        <v>44</v>
      </c>
      <c r="C15910">
        <v>0</v>
      </c>
      <c r="D15910">
        <v>0</v>
      </c>
      <c r="E15910">
        <v>0</v>
      </c>
      <c r="F15910">
        <v>43.044800000000002</v>
      </c>
    </row>
    <row r="15911" spans="1:6" x14ac:dyDescent="0.25">
      <c r="A15911">
        <v>15910</v>
      </c>
      <c r="B15911">
        <v>45</v>
      </c>
      <c r="C15911">
        <v>0</v>
      </c>
      <c r="D15911">
        <v>0</v>
      </c>
      <c r="E15911">
        <v>0</v>
      </c>
      <c r="F15911">
        <v>523.16899999999998</v>
      </c>
    </row>
    <row r="15912" spans="1:6" x14ac:dyDescent="0.25">
      <c r="A15912">
        <v>15911</v>
      </c>
      <c r="B15912">
        <v>46</v>
      </c>
      <c r="C15912">
        <v>0</v>
      </c>
      <c r="D15912">
        <v>0</v>
      </c>
      <c r="E15912">
        <v>0</v>
      </c>
      <c r="F15912">
        <v>0</v>
      </c>
    </row>
    <row r="15913" spans="1:6" x14ac:dyDescent="0.25">
      <c r="A15913">
        <v>15912</v>
      </c>
      <c r="B15913" t="s">
        <v>0</v>
      </c>
      <c r="C15913">
        <v>12</v>
      </c>
      <c r="D15913">
        <v>3508</v>
      </c>
      <c r="E15913">
        <v>80682488</v>
      </c>
    </row>
    <row r="15914" spans="1:6" x14ac:dyDescent="0.25">
      <c r="A15914">
        <v>15913</v>
      </c>
      <c r="B15914">
        <v>2</v>
      </c>
      <c r="C15914">
        <v>0</v>
      </c>
      <c r="D15914">
        <v>0</v>
      </c>
      <c r="E15914">
        <v>0</v>
      </c>
      <c r="F15914">
        <v>243.17500000000001</v>
      </c>
    </row>
    <row r="15915" spans="1:6" x14ac:dyDescent="0.25">
      <c r="A15915">
        <v>15914</v>
      </c>
      <c r="B15915">
        <v>10</v>
      </c>
      <c r="C15915">
        <v>1</v>
      </c>
      <c r="D15915">
        <v>0</v>
      </c>
      <c r="E15915">
        <v>0</v>
      </c>
      <c r="F15915">
        <v>5290</v>
      </c>
    </row>
    <row r="15916" spans="1:6" x14ac:dyDescent="0.25">
      <c r="A15916">
        <v>15915</v>
      </c>
      <c r="B15916" t="s">
        <v>0</v>
      </c>
      <c r="C15916">
        <v>13</v>
      </c>
      <c r="D15916">
        <v>3508</v>
      </c>
      <c r="E15916">
        <v>80682624</v>
      </c>
    </row>
    <row r="15917" spans="1:6" x14ac:dyDescent="0.25">
      <c r="A15917">
        <v>15916</v>
      </c>
      <c r="B15917">
        <v>13</v>
      </c>
      <c r="C15917">
        <v>0</v>
      </c>
      <c r="D15917">
        <v>0</v>
      </c>
      <c r="E15917">
        <v>0</v>
      </c>
      <c r="F15917">
        <v>1615</v>
      </c>
    </row>
    <row r="15918" spans="1:6" x14ac:dyDescent="0.25">
      <c r="A15918">
        <v>15917</v>
      </c>
      <c r="B15918">
        <v>41</v>
      </c>
      <c r="C15918">
        <v>0</v>
      </c>
      <c r="D15918">
        <v>0</v>
      </c>
      <c r="E15918">
        <v>0</v>
      </c>
      <c r="F15918">
        <v>1</v>
      </c>
    </row>
    <row r="15919" spans="1:6" x14ac:dyDescent="0.25">
      <c r="A15919">
        <v>15918</v>
      </c>
      <c r="B15919" t="s">
        <v>0</v>
      </c>
      <c r="C15919">
        <v>14</v>
      </c>
      <c r="D15919">
        <v>3508</v>
      </c>
      <c r="E15919">
        <v>80682760</v>
      </c>
    </row>
    <row r="15920" spans="1:6" x14ac:dyDescent="0.25">
      <c r="A15920">
        <v>15919</v>
      </c>
      <c r="B15920">
        <v>42</v>
      </c>
      <c r="C15920">
        <v>0</v>
      </c>
      <c r="D15920">
        <v>0</v>
      </c>
      <c r="E15920">
        <v>0</v>
      </c>
      <c r="F15920">
        <v>0.2</v>
      </c>
    </row>
    <row r="15921" spans="1:6" x14ac:dyDescent="0.25">
      <c r="A15921">
        <v>15920</v>
      </c>
      <c r="B15921">
        <v>43</v>
      </c>
      <c r="C15921">
        <v>0</v>
      </c>
      <c r="D15921">
        <v>0</v>
      </c>
      <c r="E15921">
        <v>0</v>
      </c>
      <c r="F15921">
        <v>0</v>
      </c>
    </row>
    <row r="15922" spans="1:6" x14ac:dyDescent="0.25">
      <c r="A15922">
        <v>15921</v>
      </c>
      <c r="B15922" t="s">
        <v>0</v>
      </c>
      <c r="C15922">
        <v>15</v>
      </c>
      <c r="D15922">
        <v>3508</v>
      </c>
      <c r="E15922">
        <v>80682896</v>
      </c>
    </row>
    <row r="15923" spans="1:6" x14ac:dyDescent="0.25">
      <c r="A15923">
        <v>15922</v>
      </c>
      <c r="B15923">
        <v>44</v>
      </c>
      <c r="C15923">
        <v>0</v>
      </c>
      <c r="D15923">
        <v>0</v>
      </c>
      <c r="E15923">
        <v>0</v>
      </c>
      <c r="F15923">
        <v>43.193800000000003</v>
      </c>
    </row>
    <row r="15924" spans="1:6" x14ac:dyDescent="0.25">
      <c r="A15924">
        <v>15923</v>
      </c>
      <c r="B15924">
        <v>45</v>
      </c>
      <c r="C15924">
        <v>0</v>
      </c>
      <c r="D15924">
        <v>0</v>
      </c>
      <c r="E15924">
        <v>0</v>
      </c>
      <c r="F15924">
        <v>523.21600000000001</v>
      </c>
    </row>
    <row r="15925" spans="1:6" x14ac:dyDescent="0.25">
      <c r="A15925">
        <v>15924</v>
      </c>
      <c r="B15925" t="s">
        <v>0</v>
      </c>
      <c r="C15925">
        <v>16</v>
      </c>
      <c r="D15925">
        <v>3508</v>
      </c>
      <c r="E15925">
        <v>80683033</v>
      </c>
    </row>
    <row r="15926" spans="1:6" x14ac:dyDescent="0.25">
      <c r="A15926">
        <v>15925</v>
      </c>
      <c r="B15926">
        <v>46</v>
      </c>
      <c r="C15926">
        <v>0</v>
      </c>
      <c r="D15926">
        <v>0</v>
      </c>
      <c r="E15926">
        <v>0</v>
      </c>
      <c r="F15926">
        <v>0</v>
      </c>
    </row>
    <row r="15927" spans="1:6" x14ac:dyDescent="0.25">
      <c r="A15927">
        <v>15926</v>
      </c>
      <c r="B15927">
        <v>2</v>
      </c>
      <c r="C15927">
        <v>0</v>
      </c>
      <c r="D15927">
        <v>0</v>
      </c>
      <c r="E15927">
        <v>0</v>
      </c>
      <c r="F15927">
        <v>243.172</v>
      </c>
    </row>
    <row r="15928" spans="1:6" x14ac:dyDescent="0.25">
      <c r="A15928">
        <v>15927</v>
      </c>
      <c r="B15928" t="s">
        <v>0</v>
      </c>
      <c r="C15928">
        <v>17</v>
      </c>
      <c r="D15928">
        <v>3508</v>
      </c>
      <c r="E15928">
        <v>80683170</v>
      </c>
    </row>
    <row r="15929" spans="1:6" x14ac:dyDescent="0.25">
      <c r="A15929">
        <v>15928</v>
      </c>
      <c r="B15929">
        <v>10</v>
      </c>
      <c r="C15929">
        <v>1</v>
      </c>
      <c r="D15929">
        <v>0</v>
      </c>
      <c r="E15929">
        <v>0</v>
      </c>
      <c r="F15929">
        <v>5291</v>
      </c>
    </row>
    <row r="15930" spans="1:6" x14ac:dyDescent="0.25">
      <c r="A15930">
        <v>15929</v>
      </c>
      <c r="B15930">
        <v>13</v>
      </c>
      <c r="C15930">
        <v>0</v>
      </c>
      <c r="D15930">
        <v>0</v>
      </c>
      <c r="E15930">
        <v>0</v>
      </c>
      <c r="F15930">
        <v>1615</v>
      </c>
    </row>
    <row r="15931" spans="1:6" x14ac:dyDescent="0.25">
      <c r="A15931">
        <v>15930</v>
      </c>
      <c r="B15931" t="s">
        <v>0</v>
      </c>
      <c r="C15931">
        <v>18</v>
      </c>
      <c r="D15931">
        <v>3508</v>
      </c>
      <c r="E15931">
        <v>80683307</v>
      </c>
    </row>
    <row r="15932" spans="1:6" x14ac:dyDescent="0.25">
      <c r="A15932">
        <v>15931</v>
      </c>
      <c r="B15932">
        <v>41</v>
      </c>
      <c r="C15932">
        <v>0</v>
      </c>
      <c r="D15932">
        <v>0</v>
      </c>
      <c r="E15932">
        <v>0</v>
      </c>
      <c r="F15932">
        <v>1</v>
      </c>
    </row>
    <row r="15933" spans="1:6" x14ac:dyDescent="0.25">
      <c r="A15933">
        <v>15932</v>
      </c>
      <c r="B15933">
        <v>42</v>
      </c>
      <c r="C15933">
        <v>0</v>
      </c>
      <c r="D15933">
        <v>0</v>
      </c>
      <c r="E15933">
        <v>0</v>
      </c>
      <c r="F15933">
        <v>0.2</v>
      </c>
    </row>
    <row r="15934" spans="1:6" x14ac:dyDescent="0.25">
      <c r="A15934">
        <v>15933</v>
      </c>
      <c r="B15934" t="s">
        <v>0</v>
      </c>
      <c r="C15934">
        <v>19</v>
      </c>
      <c r="D15934">
        <v>3508</v>
      </c>
      <c r="E15934">
        <v>80683444</v>
      </c>
    </row>
    <row r="15935" spans="1:6" x14ac:dyDescent="0.25">
      <c r="A15935">
        <v>15934</v>
      </c>
      <c r="B15935">
        <v>44</v>
      </c>
      <c r="C15935">
        <v>0</v>
      </c>
      <c r="D15935">
        <v>0</v>
      </c>
      <c r="E15935">
        <v>0</v>
      </c>
      <c r="F15935">
        <v>43.343299999999999</v>
      </c>
    </row>
    <row r="15936" spans="1:6" x14ac:dyDescent="0.25">
      <c r="A15936">
        <v>15935</v>
      </c>
      <c r="B15936" t="s">
        <v>0</v>
      </c>
      <c r="C15936">
        <v>20</v>
      </c>
      <c r="D15936">
        <v>3508</v>
      </c>
      <c r="E15936">
        <v>80683581</v>
      </c>
    </row>
    <row r="15937" spans="1:6" x14ac:dyDescent="0.25">
      <c r="A15937">
        <v>15936</v>
      </c>
      <c r="B15937">
        <v>46</v>
      </c>
      <c r="C15937">
        <v>0</v>
      </c>
      <c r="D15937">
        <v>0</v>
      </c>
      <c r="E15937">
        <v>0</v>
      </c>
      <c r="F15937">
        <v>0</v>
      </c>
    </row>
    <row r="15938" spans="1:6" x14ac:dyDescent="0.25">
      <c r="A15938">
        <v>15937</v>
      </c>
      <c r="B15938" t="s">
        <v>0</v>
      </c>
      <c r="C15938">
        <v>21</v>
      </c>
      <c r="D15938">
        <v>3508</v>
      </c>
      <c r="E15938">
        <v>80683717</v>
      </c>
    </row>
    <row r="15939" spans="1:6" x14ac:dyDescent="0.25">
      <c r="A15939">
        <v>15938</v>
      </c>
      <c r="B15939">
        <v>10</v>
      </c>
      <c r="C15939">
        <v>1</v>
      </c>
      <c r="D15939">
        <v>0</v>
      </c>
      <c r="E15939">
        <v>0</v>
      </c>
      <c r="F15939">
        <v>5292</v>
      </c>
    </row>
    <row r="15940" spans="1:6" x14ac:dyDescent="0.25">
      <c r="A15940">
        <v>15939</v>
      </c>
      <c r="B15940" t="s">
        <v>0</v>
      </c>
      <c r="C15940">
        <v>22</v>
      </c>
      <c r="D15940">
        <v>3508</v>
      </c>
      <c r="E15940">
        <v>80683853</v>
      </c>
    </row>
    <row r="15941" spans="1:6" x14ac:dyDescent="0.25">
      <c r="A15941">
        <v>15940</v>
      </c>
      <c r="B15941">
        <v>41</v>
      </c>
      <c r="C15941">
        <v>0</v>
      </c>
      <c r="D15941">
        <v>0</v>
      </c>
      <c r="E15941">
        <v>0</v>
      </c>
      <c r="F15941">
        <v>1</v>
      </c>
    </row>
    <row r="15942" spans="1:6" x14ac:dyDescent="0.25">
      <c r="A15942">
        <v>15941</v>
      </c>
      <c r="B15942" t="s">
        <v>0</v>
      </c>
      <c r="C15942">
        <v>23</v>
      </c>
      <c r="D15942">
        <v>3508</v>
      </c>
      <c r="E15942">
        <v>80683989</v>
      </c>
    </row>
    <row r="15943" spans="1:6" x14ac:dyDescent="0.25">
      <c r="A15943">
        <v>15942</v>
      </c>
      <c r="B15943">
        <v>43</v>
      </c>
      <c r="C15943">
        <v>0</v>
      </c>
      <c r="D15943">
        <v>0</v>
      </c>
      <c r="E15943">
        <v>0</v>
      </c>
      <c r="F15943">
        <v>0</v>
      </c>
    </row>
    <row r="15944" spans="1:6" x14ac:dyDescent="0.25">
      <c r="A15944">
        <v>15943</v>
      </c>
      <c r="B15944" t="s">
        <v>0</v>
      </c>
      <c r="C15944">
        <v>24</v>
      </c>
      <c r="D15944">
        <v>3508</v>
      </c>
      <c r="E15944">
        <v>80684126</v>
      </c>
    </row>
    <row r="15945" spans="1:6" x14ac:dyDescent="0.25">
      <c r="A15945">
        <v>15944</v>
      </c>
      <c r="B15945">
        <v>45</v>
      </c>
      <c r="C15945">
        <v>0</v>
      </c>
      <c r="D15945">
        <v>0</v>
      </c>
      <c r="E15945">
        <v>0</v>
      </c>
      <c r="F15945">
        <v>523.32299999999998</v>
      </c>
    </row>
    <row r="15946" spans="1:6" x14ac:dyDescent="0.25">
      <c r="A15946">
        <v>15945</v>
      </c>
      <c r="B15946" t="s">
        <v>0</v>
      </c>
      <c r="C15946">
        <v>25</v>
      </c>
      <c r="D15946">
        <v>3508</v>
      </c>
      <c r="E15946">
        <v>80684263</v>
      </c>
    </row>
    <row r="15947" spans="1:6" x14ac:dyDescent="0.25">
      <c r="A15947">
        <v>15946</v>
      </c>
      <c r="B15947">
        <v>2</v>
      </c>
      <c r="C15947">
        <v>0</v>
      </c>
      <c r="D15947">
        <v>0</v>
      </c>
      <c r="E15947">
        <v>0</v>
      </c>
      <c r="F15947">
        <v>243.17699999999999</v>
      </c>
    </row>
    <row r="15948" spans="1:6" x14ac:dyDescent="0.25">
      <c r="A15948">
        <v>15947</v>
      </c>
      <c r="B15948">
        <v>10</v>
      </c>
      <c r="C15948">
        <v>1</v>
      </c>
      <c r="D15948">
        <v>0</v>
      </c>
      <c r="E15948">
        <v>0</v>
      </c>
      <c r="F15948">
        <v>5293</v>
      </c>
    </row>
    <row r="15949" spans="1:6" x14ac:dyDescent="0.25">
      <c r="A15949">
        <v>15948</v>
      </c>
      <c r="B15949">
        <v>13</v>
      </c>
      <c r="C15949">
        <v>0</v>
      </c>
      <c r="D15949">
        <v>0</v>
      </c>
      <c r="E15949">
        <v>0</v>
      </c>
      <c r="F15949">
        <v>1615</v>
      </c>
    </row>
    <row r="15950" spans="1:6" x14ac:dyDescent="0.25">
      <c r="A15950">
        <v>15949</v>
      </c>
      <c r="B15950">
        <v>41</v>
      </c>
      <c r="C15950">
        <v>0</v>
      </c>
      <c r="D15950">
        <v>0</v>
      </c>
      <c r="E15950">
        <v>0</v>
      </c>
      <c r="F15950">
        <v>1</v>
      </c>
    </row>
    <row r="15951" spans="1:6" x14ac:dyDescent="0.25">
      <c r="A15951">
        <v>15950</v>
      </c>
      <c r="B15951">
        <v>42</v>
      </c>
      <c r="C15951">
        <v>0</v>
      </c>
      <c r="D15951">
        <v>0</v>
      </c>
      <c r="E15951">
        <v>0</v>
      </c>
      <c r="F15951">
        <v>0.2</v>
      </c>
    </row>
    <row r="15952" spans="1:6" x14ac:dyDescent="0.25">
      <c r="A15952">
        <v>15951</v>
      </c>
      <c r="B15952">
        <v>43</v>
      </c>
      <c r="C15952">
        <v>0</v>
      </c>
      <c r="D15952">
        <v>0</v>
      </c>
      <c r="E15952">
        <v>0</v>
      </c>
      <c r="F15952">
        <v>0</v>
      </c>
    </row>
    <row r="15953" spans="1:6" x14ac:dyDescent="0.25">
      <c r="A15953">
        <v>15952</v>
      </c>
      <c r="B15953">
        <v>44</v>
      </c>
      <c r="C15953">
        <v>0</v>
      </c>
      <c r="D15953">
        <v>0</v>
      </c>
      <c r="E15953">
        <v>0</v>
      </c>
      <c r="F15953">
        <v>43.642800000000001</v>
      </c>
    </row>
    <row r="15954" spans="1:6" x14ac:dyDescent="0.25">
      <c r="A15954">
        <v>15953</v>
      </c>
      <c r="B15954">
        <v>45</v>
      </c>
      <c r="C15954">
        <v>0</v>
      </c>
      <c r="D15954">
        <v>0</v>
      </c>
      <c r="E15954">
        <v>0</v>
      </c>
      <c r="F15954">
        <v>523.37099999999998</v>
      </c>
    </row>
    <row r="15955" spans="1:6" x14ac:dyDescent="0.25">
      <c r="A15955">
        <v>15954</v>
      </c>
      <c r="B15955">
        <v>46</v>
      </c>
      <c r="C15955">
        <v>0</v>
      </c>
      <c r="D15955">
        <v>0</v>
      </c>
      <c r="E15955">
        <v>0</v>
      </c>
      <c r="F15955">
        <v>0</v>
      </c>
    </row>
    <row r="15956" spans="1:6" x14ac:dyDescent="0.25">
      <c r="A15956">
        <v>15955</v>
      </c>
      <c r="B15956">
        <v>2</v>
      </c>
      <c r="C15956">
        <v>0</v>
      </c>
      <c r="D15956">
        <v>0</v>
      </c>
      <c r="E15956">
        <v>0</v>
      </c>
      <c r="F15956">
        <v>243.16900000000001</v>
      </c>
    </row>
    <row r="15957" spans="1:6" x14ac:dyDescent="0.25">
      <c r="A15957">
        <v>15956</v>
      </c>
      <c r="B15957">
        <v>10</v>
      </c>
      <c r="C15957">
        <v>1</v>
      </c>
      <c r="D15957">
        <v>0</v>
      </c>
      <c r="E15957">
        <v>0</v>
      </c>
      <c r="F15957">
        <v>5295</v>
      </c>
    </row>
    <row r="15958" spans="1:6" x14ac:dyDescent="0.25">
      <c r="A15958">
        <v>15957</v>
      </c>
      <c r="B15958">
        <v>13</v>
      </c>
      <c r="C15958">
        <v>0</v>
      </c>
      <c r="D15958">
        <v>0</v>
      </c>
      <c r="E15958">
        <v>0</v>
      </c>
      <c r="F15958">
        <v>1615</v>
      </c>
    </row>
    <row r="15959" spans="1:6" x14ac:dyDescent="0.25">
      <c r="A15959">
        <v>15958</v>
      </c>
      <c r="B15959">
        <v>41</v>
      </c>
      <c r="C15959">
        <v>0</v>
      </c>
      <c r="D15959">
        <v>0</v>
      </c>
      <c r="E15959">
        <v>0</v>
      </c>
      <c r="F15959">
        <v>1</v>
      </c>
    </row>
    <row r="15960" spans="1:6" x14ac:dyDescent="0.25">
      <c r="A15960">
        <v>15959</v>
      </c>
      <c r="B15960">
        <v>42</v>
      </c>
      <c r="C15960">
        <v>0</v>
      </c>
      <c r="D15960">
        <v>0</v>
      </c>
      <c r="E15960">
        <v>0</v>
      </c>
      <c r="F15960">
        <v>0.2</v>
      </c>
    </row>
    <row r="15961" spans="1:6" x14ac:dyDescent="0.25">
      <c r="A15961">
        <v>15960</v>
      </c>
      <c r="B15961">
        <v>43</v>
      </c>
      <c r="C15961">
        <v>0</v>
      </c>
      <c r="D15961">
        <v>0</v>
      </c>
      <c r="E15961">
        <v>0</v>
      </c>
      <c r="F15961">
        <v>0</v>
      </c>
    </row>
    <row r="15962" spans="1:6" x14ac:dyDescent="0.25">
      <c r="A15962">
        <v>15961</v>
      </c>
      <c r="B15962">
        <v>44</v>
      </c>
      <c r="C15962">
        <v>0</v>
      </c>
      <c r="D15962">
        <v>0</v>
      </c>
      <c r="E15962">
        <v>0</v>
      </c>
      <c r="F15962">
        <v>43.792000000000002</v>
      </c>
    </row>
    <row r="15963" spans="1:6" x14ac:dyDescent="0.25">
      <c r="A15963">
        <v>15962</v>
      </c>
      <c r="B15963" t="s">
        <v>0</v>
      </c>
      <c r="C15963">
        <v>33</v>
      </c>
      <c r="D15963">
        <v>3508</v>
      </c>
      <c r="E15963">
        <v>80685356</v>
      </c>
    </row>
    <row r="15964" spans="1:6" x14ac:dyDescent="0.25">
      <c r="A15964">
        <v>15963</v>
      </c>
      <c r="B15964">
        <v>45</v>
      </c>
      <c r="C15964">
        <v>0</v>
      </c>
      <c r="D15964">
        <v>0</v>
      </c>
      <c r="E15964">
        <v>0</v>
      </c>
      <c r="F15964">
        <v>523.43100000000004</v>
      </c>
    </row>
    <row r="15965" spans="1:6" x14ac:dyDescent="0.25">
      <c r="A15965">
        <v>15964</v>
      </c>
      <c r="B15965">
        <v>46</v>
      </c>
      <c r="C15965">
        <v>0</v>
      </c>
      <c r="D15965">
        <v>0</v>
      </c>
      <c r="E15965">
        <v>0</v>
      </c>
      <c r="F15965">
        <v>0</v>
      </c>
    </row>
    <row r="15966" spans="1:6" x14ac:dyDescent="0.25">
      <c r="A15966">
        <v>15965</v>
      </c>
      <c r="B15966" t="s">
        <v>0</v>
      </c>
      <c r="C15966">
        <v>34</v>
      </c>
      <c r="D15966">
        <v>3508</v>
      </c>
      <c r="E15966">
        <v>80685493</v>
      </c>
    </row>
    <row r="15967" spans="1:6" x14ac:dyDescent="0.25">
      <c r="A15967">
        <v>15966</v>
      </c>
      <c r="B15967">
        <v>2</v>
      </c>
      <c r="C15967">
        <v>0</v>
      </c>
      <c r="D15967">
        <v>0</v>
      </c>
      <c r="E15967">
        <v>0</v>
      </c>
      <c r="F15967">
        <v>243.17699999999999</v>
      </c>
    </row>
    <row r="15968" spans="1:6" x14ac:dyDescent="0.25">
      <c r="A15968">
        <v>15967</v>
      </c>
      <c r="B15968">
        <v>10</v>
      </c>
      <c r="C15968">
        <v>1</v>
      </c>
      <c r="D15968">
        <v>0</v>
      </c>
      <c r="E15968">
        <v>0</v>
      </c>
      <c r="F15968">
        <v>5296</v>
      </c>
    </row>
    <row r="15969" spans="1:6" x14ac:dyDescent="0.25">
      <c r="A15969">
        <v>15968</v>
      </c>
      <c r="B15969" t="s">
        <v>0</v>
      </c>
      <c r="C15969">
        <v>35</v>
      </c>
      <c r="D15969">
        <v>3508</v>
      </c>
      <c r="E15969">
        <v>80685630</v>
      </c>
    </row>
    <row r="15970" spans="1:6" x14ac:dyDescent="0.25">
      <c r="A15970">
        <v>15969</v>
      </c>
      <c r="B15970">
        <v>13</v>
      </c>
      <c r="C15970">
        <v>0</v>
      </c>
      <c r="D15970">
        <v>0</v>
      </c>
      <c r="E15970">
        <v>0</v>
      </c>
      <c r="F15970">
        <v>1615</v>
      </c>
    </row>
    <row r="15971" spans="1:6" x14ac:dyDescent="0.25">
      <c r="A15971">
        <v>15970</v>
      </c>
      <c r="B15971">
        <v>41</v>
      </c>
      <c r="C15971">
        <v>0</v>
      </c>
      <c r="D15971">
        <v>0</v>
      </c>
      <c r="E15971">
        <v>0</v>
      </c>
      <c r="F15971">
        <v>1</v>
      </c>
    </row>
    <row r="15972" spans="1:6" x14ac:dyDescent="0.25">
      <c r="A15972">
        <v>15971</v>
      </c>
      <c r="B15972" t="s">
        <v>0</v>
      </c>
      <c r="C15972">
        <v>36</v>
      </c>
      <c r="D15972">
        <v>3508</v>
      </c>
      <c r="E15972">
        <v>80685766</v>
      </c>
    </row>
    <row r="15973" spans="1:6" x14ac:dyDescent="0.25">
      <c r="A15973">
        <v>15972</v>
      </c>
      <c r="B15973">
        <v>42</v>
      </c>
      <c r="C15973">
        <v>0</v>
      </c>
      <c r="D15973">
        <v>0</v>
      </c>
      <c r="E15973">
        <v>0</v>
      </c>
      <c r="F15973">
        <v>0.2</v>
      </c>
    </row>
    <row r="15974" spans="1:6" x14ac:dyDescent="0.25">
      <c r="A15974">
        <v>15973</v>
      </c>
      <c r="B15974">
        <v>43</v>
      </c>
      <c r="C15974">
        <v>0</v>
      </c>
      <c r="D15974">
        <v>0</v>
      </c>
      <c r="E15974">
        <v>0</v>
      </c>
      <c r="F15974">
        <v>0</v>
      </c>
    </row>
    <row r="15975" spans="1:6" x14ac:dyDescent="0.25">
      <c r="A15975">
        <v>15974</v>
      </c>
      <c r="B15975" t="s">
        <v>0</v>
      </c>
      <c r="C15975">
        <v>37</v>
      </c>
      <c r="D15975">
        <v>3508</v>
      </c>
      <c r="E15975">
        <v>80685902</v>
      </c>
    </row>
    <row r="15976" spans="1:6" x14ac:dyDescent="0.25">
      <c r="A15976">
        <v>15975</v>
      </c>
      <c r="B15976">
        <v>44</v>
      </c>
      <c r="C15976">
        <v>0</v>
      </c>
      <c r="D15976">
        <v>0</v>
      </c>
      <c r="E15976">
        <v>0</v>
      </c>
      <c r="F15976">
        <v>43.966900000000003</v>
      </c>
    </row>
    <row r="15977" spans="1:6" x14ac:dyDescent="0.25">
      <c r="A15977">
        <v>15976</v>
      </c>
      <c r="B15977">
        <v>45</v>
      </c>
      <c r="C15977">
        <v>0</v>
      </c>
      <c r="D15977">
        <v>0</v>
      </c>
      <c r="E15977">
        <v>0</v>
      </c>
      <c r="F15977">
        <v>523.47900000000004</v>
      </c>
    </row>
    <row r="15978" spans="1:6" x14ac:dyDescent="0.25">
      <c r="A15978">
        <v>15977</v>
      </c>
      <c r="B15978" t="s">
        <v>0</v>
      </c>
      <c r="C15978">
        <v>38</v>
      </c>
      <c r="D15978">
        <v>3508</v>
      </c>
      <c r="E15978">
        <v>80686038</v>
      </c>
    </row>
    <row r="15979" spans="1:6" x14ac:dyDescent="0.25">
      <c r="A15979">
        <v>15978</v>
      </c>
      <c r="B15979">
        <v>46</v>
      </c>
      <c r="C15979">
        <v>0</v>
      </c>
      <c r="D15979">
        <v>0</v>
      </c>
      <c r="E15979">
        <v>0</v>
      </c>
      <c r="F15979">
        <v>0</v>
      </c>
    </row>
    <row r="15980" spans="1:6" x14ac:dyDescent="0.25">
      <c r="A15980">
        <v>15979</v>
      </c>
      <c r="B15980">
        <v>2</v>
      </c>
      <c r="C15980">
        <v>0</v>
      </c>
      <c r="D15980">
        <v>0</v>
      </c>
      <c r="E15980">
        <v>0</v>
      </c>
      <c r="F15980">
        <v>243.19499999999999</v>
      </c>
    </row>
    <row r="15981" spans="1:6" x14ac:dyDescent="0.25">
      <c r="A15981">
        <v>15980</v>
      </c>
      <c r="B15981" t="s">
        <v>0</v>
      </c>
      <c r="C15981">
        <v>39</v>
      </c>
      <c r="D15981">
        <v>3508</v>
      </c>
      <c r="E15981">
        <v>80686174</v>
      </c>
    </row>
    <row r="15982" spans="1:6" x14ac:dyDescent="0.25">
      <c r="A15982">
        <v>15981</v>
      </c>
      <c r="B15982">
        <v>13</v>
      </c>
      <c r="C15982">
        <v>0</v>
      </c>
      <c r="D15982">
        <v>0</v>
      </c>
      <c r="E15982">
        <v>0</v>
      </c>
      <c r="F15982">
        <v>1615</v>
      </c>
    </row>
    <row r="15983" spans="1:6" x14ac:dyDescent="0.25">
      <c r="A15983">
        <v>15982</v>
      </c>
      <c r="B15983" t="s">
        <v>0</v>
      </c>
      <c r="C15983">
        <v>40</v>
      </c>
      <c r="D15983">
        <v>3508</v>
      </c>
      <c r="E15983">
        <v>80686310</v>
      </c>
    </row>
    <row r="15984" spans="1:6" x14ac:dyDescent="0.25">
      <c r="A15984">
        <v>15983</v>
      </c>
      <c r="B15984">
        <v>42</v>
      </c>
      <c r="C15984">
        <v>0</v>
      </c>
      <c r="D15984">
        <v>0</v>
      </c>
      <c r="E15984">
        <v>0</v>
      </c>
      <c r="F15984">
        <v>0.2</v>
      </c>
    </row>
    <row r="15985" spans="1:6" x14ac:dyDescent="0.25">
      <c r="A15985">
        <v>15984</v>
      </c>
      <c r="B15985" t="s">
        <v>0</v>
      </c>
      <c r="C15985">
        <v>41</v>
      </c>
      <c r="D15985">
        <v>3508</v>
      </c>
      <c r="E15985">
        <v>80686446</v>
      </c>
    </row>
    <row r="15986" spans="1:6" x14ac:dyDescent="0.25">
      <c r="A15986">
        <v>15985</v>
      </c>
      <c r="B15986">
        <v>44</v>
      </c>
      <c r="C15986">
        <v>0</v>
      </c>
      <c r="D15986">
        <v>0</v>
      </c>
      <c r="E15986">
        <v>0</v>
      </c>
      <c r="F15986">
        <v>44.026000000000003</v>
      </c>
    </row>
    <row r="15987" spans="1:6" x14ac:dyDescent="0.25">
      <c r="A15987">
        <v>15986</v>
      </c>
      <c r="B15987" t="s">
        <v>0</v>
      </c>
      <c r="C15987">
        <v>42</v>
      </c>
      <c r="D15987">
        <v>3508</v>
      </c>
      <c r="E15987">
        <v>80686582</v>
      </c>
    </row>
    <row r="15988" spans="1:6" x14ac:dyDescent="0.25">
      <c r="A15988">
        <v>15987</v>
      </c>
      <c r="B15988">
        <v>46</v>
      </c>
      <c r="C15988">
        <v>0</v>
      </c>
      <c r="D15988">
        <v>0</v>
      </c>
      <c r="E15988">
        <v>0</v>
      </c>
      <c r="F15988">
        <v>0</v>
      </c>
    </row>
    <row r="15989" spans="1:6" x14ac:dyDescent="0.25">
      <c r="A15989">
        <v>15988</v>
      </c>
      <c r="B15989" t="s">
        <v>0</v>
      </c>
      <c r="C15989">
        <v>43</v>
      </c>
      <c r="D15989">
        <v>3508</v>
      </c>
      <c r="E15989">
        <v>80686719</v>
      </c>
    </row>
    <row r="15990" spans="1:6" x14ac:dyDescent="0.25">
      <c r="A15990">
        <v>15989</v>
      </c>
      <c r="B15990">
        <v>10</v>
      </c>
      <c r="C15990">
        <v>1</v>
      </c>
      <c r="D15990">
        <v>0</v>
      </c>
      <c r="E15990">
        <v>0</v>
      </c>
      <c r="F15990">
        <v>5296</v>
      </c>
    </row>
    <row r="15991" spans="1:6" x14ac:dyDescent="0.25">
      <c r="A15991">
        <v>15990</v>
      </c>
      <c r="B15991" t="s">
        <v>0</v>
      </c>
      <c r="C15991">
        <v>44</v>
      </c>
      <c r="D15991">
        <v>3508</v>
      </c>
      <c r="E15991">
        <v>80686856</v>
      </c>
    </row>
    <row r="15992" spans="1:6" x14ac:dyDescent="0.25">
      <c r="A15992">
        <v>15991</v>
      </c>
      <c r="B15992">
        <v>41</v>
      </c>
      <c r="C15992">
        <v>0</v>
      </c>
      <c r="D15992">
        <v>0</v>
      </c>
      <c r="E15992">
        <v>0</v>
      </c>
      <c r="F15992">
        <v>1</v>
      </c>
    </row>
    <row r="15993" spans="1:6" x14ac:dyDescent="0.25">
      <c r="A15993">
        <v>15992</v>
      </c>
      <c r="B15993" t="s">
        <v>0</v>
      </c>
      <c r="C15993">
        <v>45</v>
      </c>
      <c r="D15993">
        <v>3508</v>
      </c>
      <c r="E15993">
        <v>80686993</v>
      </c>
    </row>
    <row r="15994" spans="1:6" x14ac:dyDescent="0.25">
      <c r="A15994">
        <v>15993</v>
      </c>
      <c r="B15994">
        <v>43</v>
      </c>
      <c r="C15994">
        <v>0</v>
      </c>
      <c r="D15994">
        <v>0</v>
      </c>
      <c r="E15994">
        <v>0</v>
      </c>
      <c r="F15994">
        <v>0</v>
      </c>
    </row>
    <row r="15995" spans="1:6" x14ac:dyDescent="0.25">
      <c r="A15995">
        <v>15994</v>
      </c>
      <c r="B15995" t="s">
        <v>0</v>
      </c>
      <c r="C15995">
        <v>46</v>
      </c>
      <c r="D15995">
        <v>3508</v>
      </c>
      <c r="E15995">
        <v>80687130</v>
      </c>
    </row>
    <row r="15996" spans="1:6" x14ac:dyDescent="0.25">
      <c r="A15996">
        <v>15995</v>
      </c>
      <c r="B15996">
        <v>45</v>
      </c>
      <c r="C15996">
        <v>0</v>
      </c>
      <c r="D15996">
        <v>0</v>
      </c>
      <c r="E15996">
        <v>0</v>
      </c>
      <c r="F15996">
        <v>523.58799999999997</v>
      </c>
    </row>
    <row r="15997" spans="1:6" x14ac:dyDescent="0.25">
      <c r="A15997">
        <v>15996</v>
      </c>
      <c r="B15997">
        <v>46</v>
      </c>
      <c r="C15997">
        <v>0</v>
      </c>
      <c r="D15997">
        <v>0</v>
      </c>
      <c r="E15997">
        <v>0</v>
      </c>
      <c r="F15997">
        <v>0</v>
      </c>
    </row>
    <row r="15998" spans="1:6" x14ac:dyDescent="0.25">
      <c r="A15998">
        <v>15997</v>
      </c>
      <c r="B15998">
        <v>2</v>
      </c>
      <c r="C15998">
        <v>0</v>
      </c>
      <c r="D15998">
        <v>0</v>
      </c>
      <c r="E15998">
        <v>0</v>
      </c>
      <c r="F15998">
        <v>243.32</v>
      </c>
    </row>
    <row r="15999" spans="1:6" x14ac:dyDescent="0.25">
      <c r="A15999">
        <v>15998</v>
      </c>
      <c r="B15999">
        <v>10</v>
      </c>
      <c r="C15999">
        <v>1</v>
      </c>
      <c r="D15999">
        <v>0</v>
      </c>
      <c r="E15999">
        <v>0</v>
      </c>
      <c r="F15999">
        <v>5295</v>
      </c>
    </row>
    <row r="16000" spans="1:6" x14ac:dyDescent="0.25">
      <c r="A16000">
        <v>15999</v>
      </c>
      <c r="B16000">
        <v>13</v>
      </c>
      <c r="C16000">
        <v>0</v>
      </c>
      <c r="D16000">
        <v>0</v>
      </c>
      <c r="E16000">
        <v>0</v>
      </c>
      <c r="F16000">
        <v>1615</v>
      </c>
    </row>
    <row r="16001" spans="1:6" x14ac:dyDescent="0.25">
      <c r="A16001">
        <v>16000</v>
      </c>
      <c r="B16001">
        <v>41</v>
      </c>
      <c r="C16001">
        <v>0</v>
      </c>
      <c r="D16001">
        <v>0</v>
      </c>
      <c r="E16001">
        <v>0</v>
      </c>
      <c r="F16001">
        <v>1</v>
      </c>
    </row>
    <row r="16002" spans="1:6" x14ac:dyDescent="0.25">
      <c r="A16002">
        <v>16001</v>
      </c>
      <c r="B16002">
        <v>42</v>
      </c>
      <c r="C16002">
        <v>0</v>
      </c>
      <c r="D16002">
        <v>0</v>
      </c>
      <c r="E16002">
        <v>0</v>
      </c>
      <c r="F16002">
        <v>0.2</v>
      </c>
    </row>
    <row r="16003" spans="1:6" x14ac:dyDescent="0.25">
      <c r="A16003">
        <v>16002</v>
      </c>
      <c r="B16003">
        <v>43</v>
      </c>
      <c r="C16003">
        <v>0</v>
      </c>
      <c r="D16003">
        <v>0</v>
      </c>
      <c r="E16003">
        <v>0</v>
      </c>
      <c r="F16003">
        <v>0</v>
      </c>
    </row>
    <row r="16004" spans="1:6" x14ac:dyDescent="0.25">
      <c r="A16004">
        <v>16003</v>
      </c>
      <c r="B16004">
        <v>44</v>
      </c>
      <c r="C16004">
        <v>0</v>
      </c>
      <c r="D16004">
        <v>0</v>
      </c>
      <c r="E16004">
        <v>0</v>
      </c>
      <c r="F16004">
        <v>44.218899999999998</v>
      </c>
    </row>
    <row r="16005" spans="1:6" x14ac:dyDescent="0.25">
      <c r="A16005">
        <v>16004</v>
      </c>
      <c r="B16005">
        <v>45</v>
      </c>
      <c r="C16005">
        <v>0</v>
      </c>
      <c r="D16005">
        <v>0</v>
      </c>
      <c r="E16005">
        <v>0</v>
      </c>
      <c r="F16005">
        <v>523.63599999999997</v>
      </c>
    </row>
    <row r="16006" spans="1:6" x14ac:dyDescent="0.25">
      <c r="A16006">
        <v>16005</v>
      </c>
      <c r="B16006">
        <v>46</v>
      </c>
      <c r="C16006">
        <v>0</v>
      </c>
      <c r="D16006">
        <v>0</v>
      </c>
      <c r="E16006">
        <v>0</v>
      </c>
      <c r="F16006">
        <v>0</v>
      </c>
    </row>
    <row r="16007" spans="1:6" x14ac:dyDescent="0.25">
      <c r="A16007">
        <v>16006</v>
      </c>
      <c r="B16007">
        <v>2</v>
      </c>
      <c r="C16007">
        <v>0</v>
      </c>
      <c r="D16007">
        <v>0</v>
      </c>
      <c r="E16007">
        <v>0</v>
      </c>
      <c r="F16007">
        <v>243.36</v>
      </c>
    </row>
    <row r="16008" spans="1:6" x14ac:dyDescent="0.25">
      <c r="A16008">
        <v>16007</v>
      </c>
      <c r="B16008">
        <v>10</v>
      </c>
      <c r="C16008">
        <v>1</v>
      </c>
      <c r="D16008">
        <v>0</v>
      </c>
      <c r="E16008">
        <v>0</v>
      </c>
      <c r="F16008">
        <v>5295</v>
      </c>
    </row>
    <row r="16009" spans="1:6" x14ac:dyDescent="0.25">
      <c r="A16009">
        <v>16008</v>
      </c>
      <c r="B16009">
        <v>13</v>
      </c>
      <c r="C16009">
        <v>0</v>
      </c>
      <c r="D16009">
        <v>0</v>
      </c>
      <c r="E16009">
        <v>0</v>
      </c>
      <c r="F16009">
        <v>1615</v>
      </c>
    </row>
    <row r="16010" spans="1:6" x14ac:dyDescent="0.25">
      <c r="A16010">
        <v>16009</v>
      </c>
      <c r="B16010">
        <v>41</v>
      </c>
      <c r="C16010">
        <v>0</v>
      </c>
      <c r="D16010">
        <v>0</v>
      </c>
      <c r="E16010">
        <v>0</v>
      </c>
      <c r="F16010">
        <v>1</v>
      </c>
    </row>
    <row r="16011" spans="1:6" x14ac:dyDescent="0.25">
      <c r="A16011">
        <v>16010</v>
      </c>
      <c r="B16011">
        <v>42</v>
      </c>
      <c r="C16011">
        <v>0</v>
      </c>
      <c r="D16011">
        <v>0</v>
      </c>
      <c r="E16011">
        <v>0</v>
      </c>
      <c r="F16011">
        <v>0.2</v>
      </c>
    </row>
    <row r="16012" spans="1:6" x14ac:dyDescent="0.25">
      <c r="A16012">
        <v>16011</v>
      </c>
      <c r="B16012" t="s">
        <v>0</v>
      </c>
      <c r="C16012">
        <v>54</v>
      </c>
      <c r="D16012">
        <v>3508</v>
      </c>
      <c r="E16012">
        <v>80688220</v>
      </c>
    </row>
    <row r="16013" spans="1:6" x14ac:dyDescent="0.25">
      <c r="A16013">
        <v>16012</v>
      </c>
      <c r="B16013">
        <v>43</v>
      </c>
      <c r="C16013">
        <v>0</v>
      </c>
      <c r="D16013">
        <v>0</v>
      </c>
      <c r="E16013">
        <v>0</v>
      </c>
      <c r="F16013">
        <v>0</v>
      </c>
    </row>
    <row r="16014" spans="1:6" x14ac:dyDescent="0.25">
      <c r="A16014">
        <v>16013</v>
      </c>
      <c r="B16014">
        <v>44</v>
      </c>
      <c r="C16014">
        <v>0</v>
      </c>
      <c r="D16014">
        <v>0</v>
      </c>
      <c r="E16014">
        <v>0</v>
      </c>
      <c r="F16014">
        <v>44.335099999999997</v>
      </c>
    </row>
    <row r="16015" spans="1:6" x14ac:dyDescent="0.25">
      <c r="A16015">
        <v>16014</v>
      </c>
      <c r="B16015" t="s">
        <v>0</v>
      </c>
      <c r="C16015">
        <v>55</v>
      </c>
      <c r="D16015">
        <v>3508</v>
      </c>
      <c r="E16015">
        <v>80688356</v>
      </c>
    </row>
    <row r="16016" spans="1:6" x14ac:dyDescent="0.25">
      <c r="A16016">
        <v>16015</v>
      </c>
      <c r="B16016">
        <v>45</v>
      </c>
      <c r="C16016">
        <v>0</v>
      </c>
      <c r="D16016">
        <v>0</v>
      </c>
      <c r="E16016">
        <v>0</v>
      </c>
      <c r="F16016">
        <v>523.697</v>
      </c>
    </row>
    <row r="16017" spans="1:6" x14ac:dyDescent="0.25">
      <c r="A16017">
        <v>16016</v>
      </c>
      <c r="B16017">
        <v>46</v>
      </c>
      <c r="C16017">
        <v>0</v>
      </c>
      <c r="D16017">
        <v>0</v>
      </c>
      <c r="E16017">
        <v>0</v>
      </c>
      <c r="F16017">
        <v>0</v>
      </c>
    </row>
    <row r="16018" spans="1:6" x14ac:dyDescent="0.25">
      <c r="A16018">
        <v>16017</v>
      </c>
      <c r="B16018" t="s">
        <v>0</v>
      </c>
      <c r="C16018">
        <v>56</v>
      </c>
      <c r="D16018">
        <v>3508</v>
      </c>
      <c r="E16018">
        <v>80688492</v>
      </c>
    </row>
    <row r="16019" spans="1:6" x14ac:dyDescent="0.25">
      <c r="A16019">
        <v>16018</v>
      </c>
      <c r="B16019">
        <v>2</v>
      </c>
      <c r="C16019">
        <v>0</v>
      </c>
      <c r="D16019">
        <v>0</v>
      </c>
      <c r="E16019">
        <v>0</v>
      </c>
      <c r="F16019">
        <v>243.398</v>
      </c>
    </row>
    <row r="16020" spans="1:6" x14ac:dyDescent="0.25">
      <c r="A16020">
        <v>16019</v>
      </c>
      <c r="B16020">
        <v>10</v>
      </c>
      <c r="C16020">
        <v>1</v>
      </c>
      <c r="D16020">
        <v>0</v>
      </c>
      <c r="E16020">
        <v>0</v>
      </c>
      <c r="F16020">
        <v>5295</v>
      </c>
    </row>
    <row r="16021" spans="1:6" x14ac:dyDescent="0.25">
      <c r="A16021">
        <v>16020</v>
      </c>
      <c r="B16021" t="s">
        <v>0</v>
      </c>
      <c r="C16021">
        <v>57</v>
      </c>
      <c r="D16021">
        <v>3508</v>
      </c>
      <c r="E16021">
        <v>80688628</v>
      </c>
    </row>
    <row r="16022" spans="1:6" x14ac:dyDescent="0.25">
      <c r="A16022">
        <v>16021</v>
      </c>
      <c r="B16022">
        <v>13</v>
      </c>
      <c r="C16022">
        <v>0</v>
      </c>
      <c r="D16022">
        <v>0</v>
      </c>
      <c r="E16022">
        <v>0</v>
      </c>
      <c r="F16022">
        <v>1615</v>
      </c>
    </row>
    <row r="16023" spans="1:6" x14ac:dyDescent="0.25">
      <c r="A16023">
        <v>16022</v>
      </c>
      <c r="B16023">
        <v>41</v>
      </c>
      <c r="C16023">
        <v>0</v>
      </c>
      <c r="D16023">
        <v>0</v>
      </c>
      <c r="E16023">
        <v>0</v>
      </c>
      <c r="F16023">
        <v>1</v>
      </c>
    </row>
    <row r="16024" spans="1:6" x14ac:dyDescent="0.25">
      <c r="A16024">
        <v>16023</v>
      </c>
      <c r="B16024" t="s">
        <v>0</v>
      </c>
      <c r="C16024">
        <v>58</v>
      </c>
      <c r="D16024">
        <v>3508</v>
      </c>
      <c r="E16024">
        <v>80688765</v>
      </c>
    </row>
    <row r="16025" spans="1:6" x14ac:dyDescent="0.25">
      <c r="A16025">
        <v>16024</v>
      </c>
      <c r="B16025">
        <v>42</v>
      </c>
      <c r="C16025">
        <v>0</v>
      </c>
      <c r="D16025">
        <v>0</v>
      </c>
      <c r="E16025">
        <v>0</v>
      </c>
      <c r="F16025">
        <v>0.2</v>
      </c>
    </row>
    <row r="16026" spans="1:6" x14ac:dyDescent="0.25">
      <c r="A16026">
        <v>16025</v>
      </c>
      <c r="B16026">
        <v>43</v>
      </c>
      <c r="C16026">
        <v>0</v>
      </c>
      <c r="D16026">
        <v>0</v>
      </c>
      <c r="E16026">
        <v>0</v>
      </c>
      <c r="F16026">
        <v>0</v>
      </c>
    </row>
    <row r="16027" spans="1:6" x14ac:dyDescent="0.25">
      <c r="A16027">
        <v>16026</v>
      </c>
      <c r="B16027" t="s">
        <v>0</v>
      </c>
      <c r="C16027">
        <v>59</v>
      </c>
      <c r="D16027">
        <v>3508</v>
      </c>
      <c r="E16027">
        <v>80688901</v>
      </c>
    </row>
    <row r="16028" spans="1:6" x14ac:dyDescent="0.25">
      <c r="A16028">
        <v>16027</v>
      </c>
      <c r="B16028">
        <v>44</v>
      </c>
      <c r="C16028">
        <v>0</v>
      </c>
      <c r="D16028">
        <v>0</v>
      </c>
      <c r="E16028">
        <v>0</v>
      </c>
      <c r="F16028">
        <v>44.476300000000002</v>
      </c>
    </row>
    <row r="16029" spans="1:6" x14ac:dyDescent="0.25">
      <c r="A16029">
        <v>16028</v>
      </c>
      <c r="B16029">
        <v>45</v>
      </c>
      <c r="C16029">
        <v>0</v>
      </c>
      <c r="D16029">
        <v>0</v>
      </c>
      <c r="E16029">
        <v>0</v>
      </c>
      <c r="F16029">
        <v>523.745</v>
      </c>
    </row>
    <row r="16030" spans="1:6" x14ac:dyDescent="0.25">
      <c r="A16030">
        <v>16029</v>
      </c>
      <c r="B16030" t="s">
        <v>0</v>
      </c>
      <c r="C16030">
        <v>60</v>
      </c>
      <c r="D16030">
        <v>3508</v>
      </c>
      <c r="E16030">
        <v>80689038</v>
      </c>
    </row>
    <row r="16031" spans="1:6" x14ac:dyDescent="0.25">
      <c r="A16031">
        <v>16030</v>
      </c>
      <c r="B16031">
        <v>46</v>
      </c>
      <c r="C16031">
        <v>0</v>
      </c>
      <c r="D16031">
        <v>0</v>
      </c>
      <c r="E16031">
        <v>0</v>
      </c>
      <c r="F16031">
        <v>0</v>
      </c>
    </row>
    <row r="16032" spans="1:6" x14ac:dyDescent="0.25">
      <c r="A16032">
        <v>16031</v>
      </c>
      <c r="B16032">
        <v>2</v>
      </c>
      <c r="C16032">
        <v>0</v>
      </c>
      <c r="D16032">
        <v>0</v>
      </c>
      <c r="E16032">
        <v>0</v>
      </c>
      <c r="F16032">
        <v>243.42400000000001</v>
      </c>
    </row>
    <row r="16033" spans="1:6" x14ac:dyDescent="0.25">
      <c r="A16033">
        <v>16032</v>
      </c>
      <c r="B16033" t="s">
        <v>0</v>
      </c>
      <c r="C16033">
        <v>61</v>
      </c>
      <c r="D16033">
        <v>3508</v>
      </c>
      <c r="E16033">
        <v>80689175</v>
      </c>
    </row>
    <row r="16034" spans="1:6" x14ac:dyDescent="0.25">
      <c r="A16034">
        <v>16033</v>
      </c>
      <c r="B16034">
        <v>10</v>
      </c>
      <c r="C16034">
        <v>1</v>
      </c>
      <c r="D16034">
        <v>0</v>
      </c>
      <c r="E16034">
        <v>0</v>
      </c>
      <c r="F16034">
        <v>5296</v>
      </c>
    </row>
    <row r="16035" spans="1:6" x14ac:dyDescent="0.25">
      <c r="A16035">
        <v>16034</v>
      </c>
      <c r="B16035">
        <v>13</v>
      </c>
      <c r="C16035">
        <v>0</v>
      </c>
      <c r="D16035">
        <v>0</v>
      </c>
      <c r="E16035">
        <v>0</v>
      </c>
      <c r="F16035">
        <v>1615</v>
      </c>
    </row>
    <row r="16036" spans="1:6" x14ac:dyDescent="0.25">
      <c r="A16036">
        <v>16035</v>
      </c>
      <c r="B16036" t="s">
        <v>0</v>
      </c>
      <c r="C16036">
        <v>62</v>
      </c>
      <c r="D16036">
        <v>3508</v>
      </c>
      <c r="E16036">
        <v>80689312</v>
      </c>
    </row>
    <row r="16037" spans="1:6" x14ac:dyDescent="0.25">
      <c r="A16037">
        <v>16036</v>
      </c>
      <c r="B16037">
        <v>42</v>
      </c>
      <c r="C16037">
        <v>0</v>
      </c>
      <c r="D16037">
        <v>0</v>
      </c>
      <c r="E16037">
        <v>0</v>
      </c>
      <c r="F16037">
        <v>0.2</v>
      </c>
    </row>
    <row r="16038" spans="1:6" x14ac:dyDescent="0.25">
      <c r="A16038">
        <v>16037</v>
      </c>
      <c r="B16038" t="s">
        <v>0</v>
      </c>
      <c r="C16038">
        <v>63</v>
      </c>
      <c r="D16038">
        <v>3508</v>
      </c>
      <c r="E16038">
        <v>80689449</v>
      </c>
    </row>
    <row r="16039" spans="1:6" x14ac:dyDescent="0.25">
      <c r="A16039">
        <v>16038</v>
      </c>
      <c r="B16039">
        <v>44</v>
      </c>
      <c r="C16039">
        <v>0</v>
      </c>
      <c r="D16039">
        <v>0</v>
      </c>
      <c r="E16039">
        <v>0</v>
      </c>
      <c r="F16039">
        <v>44.584899999999998</v>
      </c>
    </row>
    <row r="16040" spans="1:6" x14ac:dyDescent="0.25">
      <c r="A16040">
        <v>16039</v>
      </c>
      <c r="B16040" t="s">
        <v>0</v>
      </c>
      <c r="C16040">
        <v>64</v>
      </c>
      <c r="D16040">
        <v>3508</v>
      </c>
      <c r="E16040">
        <v>80689585</v>
      </c>
    </row>
    <row r="16041" spans="1:6" x14ac:dyDescent="0.25">
      <c r="A16041">
        <v>16040</v>
      </c>
      <c r="B16041">
        <v>46</v>
      </c>
      <c r="C16041">
        <v>0</v>
      </c>
      <c r="D16041">
        <v>0</v>
      </c>
      <c r="E16041">
        <v>0</v>
      </c>
      <c r="F16041">
        <v>0</v>
      </c>
    </row>
    <row r="16042" spans="1:6" x14ac:dyDescent="0.25">
      <c r="A16042">
        <v>16041</v>
      </c>
      <c r="B16042" t="s">
        <v>0</v>
      </c>
      <c r="C16042">
        <v>65</v>
      </c>
      <c r="D16042">
        <v>3508</v>
      </c>
      <c r="E16042">
        <v>80689721</v>
      </c>
    </row>
    <row r="16043" spans="1:6" x14ac:dyDescent="0.25">
      <c r="A16043">
        <v>16042</v>
      </c>
      <c r="B16043">
        <v>10</v>
      </c>
      <c r="C16043">
        <v>1</v>
      </c>
      <c r="D16043">
        <v>0</v>
      </c>
      <c r="E16043">
        <v>0</v>
      </c>
      <c r="F16043">
        <v>5296</v>
      </c>
    </row>
    <row r="16044" spans="1:6" x14ac:dyDescent="0.25">
      <c r="A16044">
        <v>16043</v>
      </c>
      <c r="B16044" t="s">
        <v>0</v>
      </c>
      <c r="C16044">
        <v>66</v>
      </c>
      <c r="D16044">
        <v>3508</v>
      </c>
      <c r="E16044">
        <v>80689857</v>
      </c>
    </row>
    <row r="16045" spans="1:6" x14ac:dyDescent="0.25">
      <c r="A16045">
        <v>16044</v>
      </c>
      <c r="B16045">
        <v>41</v>
      </c>
      <c r="C16045">
        <v>0</v>
      </c>
      <c r="D16045">
        <v>0</v>
      </c>
      <c r="E16045">
        <v>0</v>
      </c>
      <c r="F16045">
        <v>1</v>
      </c>
    </row>
    <row r="16046" spans="1:6" x14ac:dyDescent="0.25">
      <c r="A16046">
        <v>16045</v>
      </c>
      <c r="B16046" t="s">
        <v>0</v>
      </c>
      <c r="C16046">
        <v>67</v>
      </c>
      <c r="D16046">
        <v>3508</v>
      </c>
      <c r="E16046">
        <v>80689993</v>
      </c>
    </row>
    <row r="16047" spans="1:6" x14ac:dyDescent="0.25">
      <c r="A16047">
        <v>16046</v>
      </c>
      <c r="B16047">
        <v>43</v>
      </c>
      <c r="C16047">
        <v>0</v>
      </c>
      <c r="D16047">
        <v>0</v>
      </c>
      <c r="E16047">
        <v>0</v>
      </c>
      <c r="F16047">
        <v>0</v>
      </c>
    </row>
    <row r="16048" spans="1:6" x14ac:dyDescent="0.25">
      <c r="A16048">
        <v>16047</v>
      </c>
      <c r="B16048" t="s">
        <v>0</v>
      </c>
      <c r="C16048">
        <v>68</v>
      </c>
      <c r="D16048">
        <v>3508</v>
      </c>
      <c r="E16048">
        <v>80690129</v>
      </c>
    </row>
    <row r="16049" spans="1:6" x14ac:dyDescent="0.25">
      <c r="A16049">
        <v>16048</v>
      </c>
      <c r="B16049">
        <v>45</v>
      </c>
      <c r="C16049">
        <v>0</v>
      </c>
      <c r="D16049">
        <v>0</v>
      </c>
      <c r="E16049">
        <v>0</v>
      </c>
      <c r="F16049">
        <v>523.85500000000002</v>
      </c>
    </row>
    <row r="16050" spans="1:6" x14ac:dyDescent="0.25">
      <c r="A16050">
        <v>16049</v>
      </c>
      <c r="B16050">
        <v>46</v>
      </c>
      <c r="C16050">
        <v>0</v>
      </c>
      <c r="D16050">
        <v>0</v>
      </c>
      <c r="E16050">
        <v>0</v>
      </c>
      <c r="F16050">
        <v>0</v>
      </c>
    </row>
    <row r="16051" spans="1:6" x14ac:dyDescent="0.25">
      <c r="A16051">
        <v>16050</v>
      </c>
      <c r="B16051">
        <v>2</v>
      </c>
      <c r="C16051">
        <v>0</v>
      </c>
      <c r="D16051">
        <v>0</v>
      </c>
      <c r="E16051">
        <v>0</v>
      </c>
      <c r="F16051">
        <v>243.464</v>
      </c>
    </row>
    <row r="16052" spans="1:6" x14ac:dyDescent="0.25">
      <c r="A16052">
        <v>16051</v>
      </c>
      <c r="B16052">
        <v>10</v>
      </c>
      <c r="C16052">
        <v>1</v>
      </c>
      <c r="D16052">
        <v>0</v>
      </c>
      <c r="E16052">
        <v>0</v>
      </c>
      <c r="F16052">
        <v>5297</v>
      </c>
    </row>
    <row r="16053" spans="1:6" x14ac:dyDescent="0.25">
      <c r="A16053">
        <v>16052</v>
      </c>
      <c r="B16053">
        <v>13</v>
      </c>
      <c r="C16053">
        <v>0</v>
      </c>
      <c r="D16053">
        <v>0</v>
      </c>
      <c r="E16053">
        <v>0</v>
      </c>
      <c r="F16053">
        <v>1615</v>
      </c>
    </row>
    <row r="16054" spans="1:6" x14ac:dyDescent="0.25">
      <c r="A16054">
        <v>16053</v>
      </c>
      <c r="B16054">
        <v>41</v>
      </c>
      <c r="C16054">
        <v>0</v>
      </c>
      <c r="D16054">
        <v>0</v>
      </c>
      <c r="E16054">
        <v>0</v>
      </c>
      <c r="F16054">
        <v>1</v>
      </c>
    </row>
    <row r="16055" spans="1:6" x14ac:dyDescent="0.25">
      <c r="A16055">
        <v>16054</v>
      </c>
      <c r="B16055">
        <v>42</v>
      </c>
      <c r="C16055">
        <v>0</v>
      </c>
      <c r="D16055">
        <v>0</v>
      </c>
      <c r="E16055">
        <v>0</v>
      </c>
      <c r="F16055">
        <v>0.2</v>
      </c>
    </row>
    <row r="16056" spans="1:6" x14ac:dyDescent="0.25">
      <c r="A16056">
        <v>16055</v>
      </c>
      <c r="B16056">
        <v>43</v>
      </c>
      <c r="C16056">
        <v>0</v>
      </c>
      <c r="D16056">
        <v>0</v>
      </c>
      <c r="E16056">
        <v>0</v>
      </c>
      <c r="F16056">
        <v>0</v>
      </c>
    </row>
    <row r="16057" spans="1:6" x14ac:dyDescent="0.25">
      <c r="A16057">
        <v>16056</v>
      </c>
      <c r="B16057">
        <v>44</v>
      </c>
      <c r="C16057">
        <v>0</v>
      </c>
      <c r="D16057">
        <v>0</v>
      </c>
      <c r="E16057">
        <v>0</v>
      </c>
      <c r="F16057">
        <v>44.845100000000002</v>
      </c>
    </row>
    <row r="16058" spans="1:6" x14ac:dyDescent="0.25">
      <c r="A16058">
        <v>16057</v>
      </c>
      <c r="B16058">
        <v>45</v>
      </c>
      <c r="C16058">
        <v>0</v>
      </c>
      <c r="D16058">
        <v>0</v>
      </c>
      <c r="E16058">
        <v>0</v>
      </c>
      <c r="F16058">
        <v>523.904</v>
      </c>
    </row>
    <row r="16059" spans="1:6" x14ac:dyDescent="0.25">
      <c r="A16059">
        <v>16058</v>
      </c>
      <c r="B16059">
        <v>46</v>
      </c>
      <c r="C16059">
        <v>0</v>
      </c>
      <c r="D16059">
        <v>0</v>
      </c>
      <c r="E16059">
        <v>0</v>
      </c>
      <c r="F16059">
        <v>0</v>
      </c>
    </row>
    <row r="16060" spans="1:6" x14ac:dyDescent="0.25">
      <c r="A16060">
        <v>16059</v>
      </c>
      <c r="B16060">
        <v>2</v>
      </c>
      <c r="C16060">
        <v>0</v>
      </c>
      <c r="D16060">
        <v>0</v>
      </c>
      <c r="E16060">
        <v>0</v>
      </c>
      <c r="F16060">
        <v>243.477</v>
      </c>
    </row>
    <row r="16061" spans="1:6" x14ac:dyDescent="0.25">
      <c r="A16061">
        <v>16060</v>
      </c>
      <c r="B16061">
        <v>10</v>
      </c>
      <c r="C16061">
        <v>1</v>
      </c>
      <c r="D16061">
        <v>0</v>
      </c>
      <c r="E16061">
        <v>0</v>
      </c>
      <c r="F16061">
        <v>5298</v>
      </c>
    </row>
    <row r="16062" spans="1:6" x14ac:dyDescent="0.25">
      <c r="A16062">
        <v>16061</v>
      </c>
      <c r="B16062">
        <v>13</v>
      </c>
      <c r="C16062">
        <v>0</v>
      </c>
      <c r="D16062">
        <v>0</v>
      </c>
      <c r="E16062">
        <v>0</v>
      </c>
      <c r="F16062">
        <v>1615</v>
      </c>
    </row>
    <row r="16063" spans="1:6" x14ac:dyDescent="0.25">
      <c r="A16063">
        <v>16062</v>
      </c>
      <c r="B16063">
        <v>41</v>
      </c>
      <c r="C16063">
        <v>0</v>
      </c>
      <c r="D16063">
        <v>0</v>
      </c>
      <c r="E16063">
        <v>0</v>
      </c>
      <c r="F16063">
        <v>1</v>
      </c>
    </row>
    <row r="16064" spans="1:6" x14ac:dyDescent="0.25">
      <c r="A16064">
        <v>16063</v>
      </c>
      <c r="B16064">
        <v>42</v>
      </c>
      <c r="C16064">
        <v>0</v>
      </c>
      <c r="D16064">
        <v>0</v>
      </c>
      <c r="E16064">
        <v>0</v>
      </c>
      <c r="F16064">
        <v>0.2</v>
      </c>
    </row>
    <row r="16065" spans="1:6" x14ac:dyDescent="0.25">
      <c r="A16065">
        <v>16064</v>
      </c>
      <c r="B16065">
        <v>43</v>
      </c>
      <c r="C16065">
        <v>0</v>
      </c>
      <c r="D16065">
        <v>0</v>
      </c>
      <c r="E16065">
        <v>0</v>
      </c>
      <c r="F16065">
        <v>0</v>
      </c>
    </row>
    <row r="16066" spans="1:6" x14ac:dyDescent="0.25">
      <c r="A16066">
        <v>16065</v>
      </c>
      <c r="B16066">
        <v>44</v>
      </c>
      <c r="C16066">
        <v>0</v>
      </c>
      <c r="D16066">
        <v>0</v>
      </c>
      <c r="E16066">
        <v>0</v>
      </c>
      <c r="F16066">
        <v>44.984099999999998</v>
      </c>
    </row>
    <row r="16067" spans="1:6" x14ac:dyDescent="0.25">
      <c r="A16067">
        <v>16066</v>
      </c>
      <c r="B16067" t="s">
        <v>0</v>
      </c>
      <c r="C16067">
        <v>77</v>
      </c>
      <c r="D16067">
        <v>3508</v>
      </c>
      <c r="E16067">
        <v>80691360</v>
      </c>
    </row>
    <row r="16068" spans="1:6" x14ac:dyDescent="0.25">
      <c r="A16068">
        <v>16067</v>
      </c>
      <c r="B16068">
        <v>45</v>
      </c>
      <c r="C16068">
        <v>0</v>
      </c>
      <c r="D16068">
        <v>0</v>
      </c>
      <c r="E16068">
        <v>0</v>
      </c>
      <c r="F16068">
        <v>523.96600000000001</v>
      </c>
    </row>
    <row r="16069" spans="1:6" x14ac:dyDescent="0.25">
      <c r="A16069">
        <v>16068</v>
      </c>
      <c r="B16069">
        <v>46</v>
      </c>
      <c r="C16069">
        <v>0</v>
      </c>
      <c r="D16069">
        <v>0</v>
      </c>
      <c r="E16069">
        <v>0</v>
      </c>
      <c r="F16069">
        <v>0</v>
      </c>
    </row>
    <row r="16070" spans="1:6" x14ac:dyDescent="0.25">
      <c r="A16070">
        <v>16069</v>
      </c>
      <c r="B16070" t="s">
        <v>0</v>
      </c>
      <c r="C16070">
        <v>78</v>
      </c>
      <c r="D16070">
        <v>3508</v>
      </c>
      <c r="E16070">
        <v>80691496</v>
      </c>
    </row>
    <row r="16071" spans="1:6" x14ac:dyDescent="0.25">
      <c r="A16071">
        <v>16070</v>
      </c>
      <c r="B16071">
        <v>2</v>
      </c>
      <c r="C16071">
        <v>0</v>
      </c>
      <c r="D16071">
        <v>0</v>
      </c>
      <c r="E16071">
        <v>0</v>
      </c>
      <c r="F16071">
        <v>243.49</v>
      </c>
    </row>
    <row r="16072" spans="1:6" x14ac:dyDescent="0.25">
      <c r="A16072">
        <v>16071</v>
      </c>
      <c r="B16072">
        <v>10</v>
      </c>
      <c r="C16072">
        <v>1</v>
      </c>
      <c r="D16072">
        <v>0</v>
      </c>
      <c r="E16072">
        <v>0</v>
      </c>
      <c r="F16072">
        <v>5299</v>
      </c>
    </row>
    <row r="16073" spans="1:6" x14ac:dyDescent="0.25">
      <c r="A16073">
        <v>16072</v>
      </c>
      <c r="B16073" t="s">
        <v>0</v>
      </c>
      <c r="C16073">
        <v>79</v>
      </c>
      <c r="D16073">
        <v>3508</v>
      </c>
      <c r="E16073">
        <v>80691632</v>
      </c>
    </row>
    <row r="16074" spans="1:6" x14ac:dyDescent="0.25">
      <c r="A16074">
        <v>16073</v>
      </c>
      <c r="B16074">
        <v>13</v>
      </c>
      <c r="C16074">
        <v>0</v>
      </c>
      <c r="D16074">
        <v>0</v>
      </c>
      <c r="E16074">
        <v>0</v>
      </c>
      <c r="F16074">
        <v>1615</v>
      </c>
    </row>
    <row r="16075" spans="1:6" x14ac:dyDescent="0.25">
      <c r="A16075">
        <v>16074</v>
      </c>
      <c r="B16075">
        <v>41</v>
      </c>
      <c r="C16075">
        <v>0</v>
      </c>
      <c r="D16075">
        <v>0</v>
      </c>
      <c r="E16075">
        <v>0</v>
      </c>
      <c r="F16075">
        <v>1</v>
      </c>
    </row>
    <row r="16076" spans="1:6" x14ac:dyDescent="0.25">
      <c r="A16076">
        <v>16075</v>
      </c>
      <c r="B16076" t="s">
        <v>0</v>
      </c>
      <c r="C16076">
        <v>80</v>
      </c>
      <c r="D16076">
        <v>3508</v>
      </c>
      <c r="E16076">
        <v>80691768</v>
      </c>
    </row>
    <row r="16077" spans="1:6" x14ac:dyDescent="0.25">
      <c r="A16077">
        <v>16076</v>
      </c>
      <c r="B16077">
        <v>42</v>
      </c>
      <c r="C16077">
        <v>0</v>
      </c>
      <c r="D16077">
        <v>0</v>
      </c>
      <c r="E16077">
        <v>0</v>
      </c>
      <c r="F16077">
        <v>0.2</v>
      </c>
    </row>
    <row r="16078" spans="1:6" x14ac:dyDescent="0.25">
      <c r="A16078">
        <v>16077</v>
      </c>
      <c r="B16078">
        <v>43</v>
      </c>
      <c r="C16078">
        <v>0</v>
      </c>
      <c r="D16078">
        <v>0</v>
      </c>
      <c r="E16078">
        <v>0</v>
      </c>
      <c r="F16078">
        <v>0</v>
      </c>
    </row>
    <row r="16079" spans="1:6" x14ac:dyDescent="0.25">
      <c r="A16079">
        <v>16078</v>
      </c>
      <c r="B16079" t="s">
        <v>0</v>
      </c>
      <c r="C16079">
        <v>81</v>
      </c>
      <c r="D16079">
        <v>3508</v>
      </c>
      <c r="E16079">
        <v>80691904</v>
      </c>
    </row>
    <row r="16080" spans="1:6" x14ac:dyDescent="0.25">
      <c r="A16080">
        <v>16079</v>
      </c>
      <c r="B16080">
        <v>44</v>
      </c>
      <c r="C16080">
        <v>0</v>
      </c>
      <c r="D16080">
        <v>0</v>
      </c>
      <c r="E16080">
        <v>0</v>
      </c>
      <c r="F16080">
        <v>45.148200000000003</v>
      </c>
    </row>
    <row r="16081" spans="1:6" x14ac:dyDescent="0.25">
      <c r="A16081">
        <v>16080</v>
      </c>
      <c r="B16081">
        <v>45</v>
      </c>
      <c r="C16081">
        <v>0</v>
      </c>
      <c r="D16081">
        <v>0</v>
      </c>
      <c r="E16081">
        <v>0</v>
      </c>
      <c r="F16081">
        <v>524.01499999999999</v>
      </c>
    </row>
    <row r="16082" spans="1:6" x14ac:dyDescent="0.25">
      <c r="A16082">
        <v>16081</v>
      </c>
      <c r="B16082" t="s">
        <v>0</v>
      </c>
      <c r="C16082">
        <v>82</v>
      </c>
      <c r="D16082">
        <v>3508</v>
      </c>
      <c r="E16082">
        <v>80692040</v>
      </c>
    </row>
    <row r="16083" spans="1:6" x14ac:dyDescent="0.25">
      <c r="A16083">
        <v>16082</v>
      </c>
      <c r="B16083">
        <v>46</v>
      </c>
      <c r="C16083">
        <v>0</v>
      </c>
      <c r="D16083">
        <v>0</v>
      </c>
      <c r="E16083">
        <v>0</v>
      </c>
      <c r="F16083">
        <v>0</v>
      </c>
    </row>
    <row r="16084" spans="1:6" x14ac:dyDescent="0.25">
      <c r="A16084">
        <v>16083</v>
      </c>
      <c r="B16084">
        <v>2</v>
      </c>
      <c r="C16084">
        <v>0</v>
      </c>
      <c r="D16084">
        <v>0</v>
      </c>
      <c r="E16084">
        <v>0</v>
      </c>
      <c r="F16084">
        <v>243.49799999999999</v>
      </c>
    </row>
    <row r="16085" spans="1:6" x14ac:dyDescent="0.25">
      <c r="A16085">
        <v>16084</v>
      </c>
      <c r="B16085" t="s">
        <v>0</v>
      </c>
      <c r="C16085">
        <v>83</v>
      </c>
      <c r="D16085">
        <v>3508</v>
      </c>
      <c r="E16085">
        <v>80692176</v>
      </c>
    </row>
    <row r="16086" spans="1:6" x14ac:dyDescent="0.25">
      <c r="A16086">
        <v>16085</v>
      </c>
      <c r="B16086">
        <v>13</v>
      </c>
      <c r="C16086">
        <v>0</v>
      </c>
      <c r="D16086">
        <v>0</v>
      </c>
      <c r="E16086">
        <v>0</v>
      </c>
      <c r="F16086">
        <v>1615</v>
      </c>
    </row>
    <row r="16087" spans="1:6" x14ac:dyDescent="0.25">
      <c r="A16087">
        <v>16086</v>
      </c>
      <c r="B16087" t="s">
        <v>0</v>
      </c>
      <c r="C16087">
        <v>84</v>
      </c>
      <c r="D16087">
        <v>3508</v>
      </c>
      <c r="E16087">
        <v>80692312</v>
      </c>
    </row>
    <row r="16088" spans="1:6" x14ac:dyDescent="0.25">
      <c r="A16088">
        <v>16087</v>
      </c>
      <c r="B16088">
        <v>42</v>
      </c>
      <c r="C16088">
        <v>0</v>
      </c>
      <c r="D16088">
        <v>0</v>
      </c>
      <c r="E16088">
        <v>0</v>
      </c>
      <c r="F16088">
        <v>0.2</v>
      </c>
    </row>
    <row r="16089" spans="1:6" x14ac:dyDescent="0.25">
      <c r="A16089">
        <v>16088</v>
      </c>
      <c r="B16089" t="s">
        <v>0</v>
      </c>
      <c r="C16089">
        <v>85</v>
      </c>
      <c r="D16089">
        <v>3508</v>
      </c>
      <c r="E16089">
        <v>80692448</v>
      </c>
    </row>
    <row r="16090" spans="1:6" x14ac:dyDescent="0.25">
      <c r="A16090">
        <v>16089</v>
      </c>
      <c r="B16090">
        <v>44</v>
      </c>
      <c r="C16090">
        <v>0</v>
      </c>
      <c r="D16090">
        <v>0</v>
      </c>
      <c r="E16090">
        <v>0</v>
      </c>
      <c r="F16090">
        <v>45.266300000000001</v>
      </c>
    </row>
    <row r="16091" spans="1:6" x14ac:dyDescent="0.25">
      <c r="A16091">
        <v>16090</v>
      </c>
      <c r="B16091" t="s">
        <v>0</v>
      </c>
      <c r="C16091">
        <v>86</v>
      </c>
      <c r="D16091">
        <v>3508</v>
      </c>
      <c r="E16091">
        <v>80692584</v>
      </c>
    </row>
    <row r="16092" spans="1:6" x14ac:dyDescent="0.25">
      <c r="A16092">
        <v>16091</v>
      </c>
      <c r="B16092">
        <v>46</v>
      </c>
      <c r="C16092">
        <v>0</v>
      </c>
      <c r="D16092">
        <v>0</v>
      </c>
      <c r="E16092">
        <v>0</v>
      </c>
      <c r="F16092">
        <v>0</v>
      </c>
    </row>
    <row r="16093" spans="1:6" x14ac:dyDescent="0.25">
      <c r="A16093">
        <v>16092</v>
      </c>
      <c r="B16093" t="s">
        <v>0</v>
      </c>
      <c r="C16093">
        <v>87</v>
      </c>
      <c r="D16093">
        <v>3508</v>
      </c>
      <c r="E16093">
        <v>80692721</v>
      </c>
    </row>
    <row r="16094" spans="1:6" x14ac:dyDescent="0.25">
      <c r="A16094">
        <v>16093</v>
      </c>
      <c r="B16094">
        <v>10</v>
      </c>
      <c r="C16094">
        <v>1</v>
      </c>
      <c r="D16094">
        <v>0</v>
      </c>
      <c r="E16094">
        <v>0</v>
      </c>
      <c r="F16094">
        <v>5301</v>
      </c>
    </row>
    <row r="16095" spans="1:6" x14ac:dyDescent="0.25">
      <c r="A16095">
        <v>16094</v>
      </c>
      <c r="B16095" t="s">
        <v>0</v>
      </c>
      <c r="C16095">
        <v>88</v>
      </c>
      <c r="D16095">
        <v>3508</v>
      </c>
      <c r="E16095">
        <v>80692858</v>
      </c>
    </row>
    <row r="16096" spans="1:6" x14ac:dyDescent="0.25">
      <c r="A16096">
        <v>16095</v>
      </c>
      <c r="B16096">
        <v>41</v>
      </c>
      <c r="C16096">
        <v>0</v>
      </c>
      <c r="D16096">
        <v>0</v>
      </c>
      <c r="E16096">
        <v>0</v>
      </c>
      <c r="F16096">
        <v>1</v>
      </c>
    </row>
    <row r="16097" spans="1:6" x14ac:dyDescent="0.25">
      <c r="A16097">
        <v>16096</v>
      </c>
      <c r="B16097" t="s">
        <v>0</v>
      </c>
      <c r="C16097">
        <v>89</v>
      </c>
      <c r="D16097">
        <v>3508</v>
      </c>
      <c r="E16097">
        <v>80692995</v>
      </c>
    </row>
    <row r="16098" spans="1:6" x14ac:dyDescent="0.25">
      <c r="A16098">
        <v>16097</v>
      </c>
      <c r="B16098">
        <v>43</v>
      </c>
      <c r="C16098">
        <v>0</v>
      </c>
      <c r="D16098">
        <v>0</v>
      </c>
      <c r="E16098">
        <v>0</v>
      </c>
      <c r="F16098">
        <v>0</v>
      </c>
    </row>
    <row r="16099" spans="1:6" x14ac:dyDescent="0.25">
      <c r="A16099">
        <v>16098</v>
      </c>
      <c r="B16099" t="s">
        <v>0</v>
      </c>
      <c r="C16099">
        <v>90</v>
      </c>
      <c r="D16099">
        <v>3508</v>
      </c>
      <c r="E16099">
        <v>80693132</v>
      </c>
    </row>
    <row r="16100" spans="1:6" x14ac:dyDescent="0.25">
      <c r="A16100">
        <v>16099</v>
      </c>
      <c r="B16100">
        <v>45</v>
      </c>
      <c r="C16100">
        <v>0</v>
      </c>
      <c r="D16100">
        <v>0</v>
      </c>
      <c r="E16100">
        <v>0</v>
      </c>
      <c r="F16100">
        <v>524.12699999999995</v>
      </c>
    </row>
    <row r="16101" spans="1:6" x14ac:dyDescent="0.25">
      <c r="A16101">
        <v>16100</v>
      </c>
      <c r="B16101">
        <v>46</v>
      </c>
      <c r="C16101">
        <v>0</v>
      </c>
      <c r="D16101">
        <v>0</v>
      </c>
      <c r="E16101">
        <v>0</v>
      </c>
      <c r="F16101">
        <v>0</v>
      </c>
    </row>
    <row r="16102" spans="1:6" x14ac:dyDescent="0.25">
      <c r="A16102">
        <v>16101</v>
      </c>
      <c r="B16102">
        <v>2</v>
      </c>
      <c r="C16102">
        <v>0</v>
      </c>
      <c r="D16102">
        <v>0</v>
      </c>
      <c r="E16102">
        <v>0</v>
      </c>
      <c r="F16102">
        <v>243.511</v>
      </c>
    </row>
    <row r="16103" spans="1:6" x14ac:dyDescent="0.25">
      <c r="A16103">
        <v>16102</v>
      </c>
      <c r="B16103">
        <v>10</v>
      </c>
      <c r="C16103">
        <v>1</v>
      </c>
      <c r="D16103">
        <v>0</v>
      </c>
      <c r="E16103">
        <v>0</v>
      </c>
      <c r="F16103">
        <v>5302</v>
      </c>
    </row>
    <row r="16104" spans="1:6" x14ac:dyDescent="0.25">
      <c r="A16104">
        <v>16103</v>
      </c>
      <c r="B16104">
        <v>13</v>
      </c>
      <c r="C16104">
        <v>0</v>
      </c>
      <c r="D16104">
        <v>0</v>
      </c>
      <c r="E16104">
        <v>0</v>
      </c>
      <c r="F16104">
        <v>1615</v>
      </c>
    </row>
    <row r="16105" spans="1:6" x14ac:dyDescent="0.25">
      <c r="A16105">
        <v>16104</v>
      </c>
      <c r="B16105">
        <v>41</v>
      </c>
      <c r="C16105">
        <v>0</v>
      </c>
      <c r="D16105">
        <v>0</v>
      </c>
      <c r="E16105">
        <v>0</v>
      </c>
      <c r="F16105">
        <v>1</v>
      </c>
    </row>
    <row r="16106" spans="1:6" x14ac:dyDescent="0.25">
      <c r="A16106">
        <v>16105</v>
      </c>
      <c r="B16106">
        <v>42</v>
      </c>
      <c r="C16106">
        <v>0</v>
      </c>
      <c r="D16106">
        <v>0</v>
      </c>
      <c r="E16106">
        <v>0</v>
      </c>
      <c r="F16106">
        <v>0.2</v>
      </c>
    </row>
    <row r="16107" spans="1:6" x14ac:dyDescent="0.25">
      <c r="A16107">
        <v>16106</v>
      </c>
      <c r="B16107">
        <v>43</v>
      </c>
      <c r="C16107">
        <v>0</v>
      </c>
      <c r="D16107">
        <v>0</v>
      </c>
      <c r="E16107">
        <v>0</v>
      </c>
      <c r="F16107">
        <v>0</v>
      </c>
    </row>
    <row r="16108" spans="1:6" x14ac:dyDescent="0.25">
      <c r="A16108">
        <v>16107</v>
      </c>
      <c r="B16108">
        <v>44</v>
      </c>
      <c r="C16108">
        <v>0</v>
      </c>
      <c r="D16108">
        <v>0</v>
      </c>
      <c r="E16108">
        <v>0</v>
      </c>
      <c r="F16108">
        <v>45.555</v>
      </c>
    </row>
    <row r="16109" spans="1:6" x14ac:dyDescent="0.25">
      <c r="A16109">
        <v>16108</v>
      </c>
      <c r="B16109">
        <v>45</v>
      </c>
      <c r="C16109">
        <v>0</v>
      </c>
      <c r="D16109">
        <v>0</v>
      </c>
      <c r="E16109">
        <v>0</v>
      </c>
      <c r="F16109">
        <v>524.17700000000002</v>
      </c>
    </row>
    <row r="16110" spans="1:6" x14ac:dyDescent="0.25">
      <c r="A16110">
        <v>16109</v>
      </c>
      <c r="B16110">
        <v>46</v>
      </c>
      <c r="C16110">
        <v>0</v>
      </c>
      <c r="D16110">
        <v>0</v>
      </c>
      <c r="E16110">
        <v>0</v>
      </c>
      <c r="F16110">
        <v>0</v>
      </c>
    </row>
    <row r="16111" spans="1:6" x14ac:dyDescent="0.25">
      <c r="A16111">
        <v>16110</v>
      </c>
      <c r="B16111">
        <v>2</v>
      </c>
      <c r="C16111">
        <v>0</v>
      </c>
      <c r="D16111">
        <v>0</v>
      </c>
      <c r="E16111">
        <v>0</v>
      </c>
      <c r="F16111">
        <v>243.51499999999999</v>
      </c>
    </row>
    <row r="16112" spans="1:6" x14ac:dyDescent="0.25">
      <c r="A16112">
        <v>16111</v>
      </c>
      <c r="B16112">
        <v>10</v>
      </c>
      <c r="C16112">
        <v>1</v>
      </c>
      <c r="D16112">
        <v>0</v>
      </c>
      <c r="E16112">
        <v>0</v>
      </c>
      <c r="F16112">
        <v>5303</v>
      </c>
    </row>
    <row r="16113" spans="1:6" x14ac:dyDescent="0.25">
      <c r="A16113">
        <v>16112</v>
      </c>
      <c r="B16113">
        <v>13</v>
      </c>
      <c r="C16113">
        <v>0</v>
      </c>
      <c r="D16113">
        <v>0</v>
      </c>
      <c r="E16113">
        <v>0</v>
      </c>
      <c r="F16113">
        <v>1615</v>
      </c>
    </row>
    <row r="16114" spans="1:6" x14ac:dyDescent="0.25">
      <c r="A16114">
        <v>16113</v>
      </c>
      <c r="B16114">
        <v>41</v>
      </c>
      <c r="C16114">
        <v>0</v>
      </c>
      <c r="D16114">
        <v>0</v>
      </c>
      <c r="E16114">
        <v>0</v>
      </c>
      <c r="F16114">
        <v>1</v>
      </c>
    </row>
    <row r="16115" spans="1:6" x14ac:dyDescent="0.25">
      <c r="A16115">
        <v>16114</v>
      </c>
      <c r="B16115">
        <v>42</v>
      </c>
      <c r="C16115">
        <v>0</v>
      </c>
      <c r="D16115">
        <v>0</v>
      </c>
      <c r="E16115">
        <v>0</v>
      </c>
      <c r="F16115">
        <v>0.2</v>
      </c>
    </row>
    <row r="16116" spans="1:6" x14ac:dyDescent="0.25">
      <c r="A16116">
        <v>16115</v>
      </c>
      <c r="B16116">
        <v>43</v>
      </c>
      <c r="C16116">
        <v>0</v>
      </c>
      <c r="D16116">
        <v>0</v>
      </c>
      <c r="E16116">
        <v>0</v>
      </c>
      <c r="F16116">
        <v>0</v>
      </c>
    </row>
    <row r="16117" spans="1:6" x14ac:dyDescent="0.25">
      <c r="A16117">
        <v>16116</v>
      </c>
      <c r="B16117">
        <v>44</v>
      </c>
      <c r="C16117">
        <v>0</v>
      </c>
      <c r="D16117">
        <v>0</v>
      </c>
      <c r="E16117">
        <v>0</v>
      </c>
      <c r="F16117">
        <v>45.7014</v>
      </c>
    </row>
    <row r="16118" spans="1:6" x14ac:dyDescent="0.25">
      <c r="A16118">
        <v>16117</v>
      </c>
      <c r="B16118" t="s">
        <v>0</v>
      </c>
      <c r="C16118">
        <v>99</v>
      </c>
      <c r="D16118">
        <v>3508</v>
      </c>
      <c r="E16118">
        <v>80694357</v>
      </c>
    </row>
    <row r="16119" spans="1:6" x14ac:dyDescent="0.25">
      <c r="A16119">
        <v>16118</v>
      </c>
      <c r="B16119">
        <v>45</v>
      </c>
      <c r="C16119">
        <v>0</v>
      </c>
      <c r="D16119">
        <v>0</v>
      </c>
      <c r="E16119">
        <v>0</v>
      </c>
      <c r="F16119">
        <v>524.23900000000003</v>
      </c>
    </row>
    <row r="16120" spans="1:6" x14ac:dyDescent="0.25">
      <c r="A16120">
        <v>16119</v>
      </c>
      <c r="B16120">
        <v>46</v>
      </c>
      <c r="C16120">
        <v>0</v>
      </c>
      <c r="D16120">
        <v>0</v>
      </c>
      <c r="E16120">
        <v>0</v>
      </c>
      <c r="F16120">
        <v>0</v>
      </c>
    </row>
    <row r="16121" spans="1:6" x14ac:dyDescent="0.25">
      <c r="A16121">
        <v>16120</v>
      </c>
      <c r="B16121" t="s">
        <v>0</v>
      </c>
      <c r="C16121">
        <v>100</v>
      </c>
      <c r="D16121">
        <v>3508</v>
      </c>
      <c r="E16121">
        <v>80694493</v>
      </c>
    </row>
    <row r="16122" spans="1:6" x14ac:dyDescent="0.25">
      <c r="A16122">
        <v>16121</v>
      </c>
      <c r="B16122">
        <v>2</v>
      </c>
      <c r="C16122">
        <v>0</v>
      </c>
      <c r="D16122">
        <v>0</v>
      </c>
      <c r="E16122">
        <v>0</v>
      </c>
      <c r="F16122">
        <v>243.51900000000001</v>
      </c>
    </row>
    <row r="16123" spans="1:6" x14ac:dyDescent="0.25">
      <c r="A16123">
        <v>16122</v>
      </c>
      <c r="B16123">
        <v>10</v>
      </c>
      <c r="C16123">
        <v>1</v>
      </c>
      <c r="D16123">
        <v>0</v>
      </c>
      <c r="E16123">
        <v>0</v>
      </c>
      <c r="F16123">
        <v>5304</v>
      </c>
    </row>
    <row r="16124" spans="1:6" x14ac:dyDescent="0.25">
      <c r="A16124">
        <v>16123</v>
      </c>
      <c r="B16124" t="s">
        <v>0</v>
      </c>
      <c r="C16124">
        <v>101</v>
      </c>
      <c r="D16124">
        <v>3508</v>
      </c>
      <c r="E16124">
        <v>80694630</v>
      </c>
    </row>
    <row r="16125" spans="1:6" x14ac:dyDescent="0.25">
      <c r="A16125">
        <v>16124</v>
      </c>
      <c r="B16125">
        <v>13</v>
      </c>
      <c r="C16125">
        <v>0</v>
      </c>
      <c r="D16125">
        <v>0</v>
      </c>
      <c r="E16125">
        <v>0</v>
      </c>
      <c r="F16125">
        <v>1615</v>
      </c>
    </row>
    <row r="16126" spans="1:6" x14ac:dyDescent="0.25">
      <c r="A16126">
        <v>16125</v>
      </c>
      <c r="B16126">
        <v>41</v>
      </c>
      <c r="C16126">
        <v>0</v>
      </c>
      <c r="D16126">
        <v>0</v>
      </c>
      <c r="E16126">
        <v>0</v>
      </c>
      <c r="F16126">
        <v>1</v>
      </c>
    </row>
    <row r="16127" spans="1:6" x14ac:dyDescent="0.25">
      <c r="A16127">
        <v>16126</v>
      </c>
      <c r="B16127" t="s">
        <v>0</v>
      </c>
      <c r="C16127">
        <v>102</v>
      </c>
      <c r="D16127">
        <v>3508</v>
      </c>
      <c r="E16127">
        <v>80694767</v>
      </c>
    </row>
    <row r="16128" spans="1:6" x14ac:dyDescent="0.25">
      <c r="A16128">
        <v>16127</v>
      </c>
      <c r="B16128">
        <v>42</v>
      </c>
      <c r="C16128">
        <v>0</v>
      </c>
      <c r="D16128">
        <v>0</v>
      </c>
      <c r="E16128">
        <v>0</v>
      </c>
      <c r="F16128">
        <v>0.2</v>
      </c>
    </row>
    <row r="16129" spans="1:6" x14ac:dyDescent="0.25">
      <c r="A16129">
        <v>16128</v>
      </c>
      <c r="B16129">
        <v>43</v>
      </c>
      <c r="C16129">
        <v>0</v>
      </c>
      <c r="D16129">
        <v>0</v>
      </c>
      <c r="E16129">
        <v>0</v>
      </c>
      <c r="F16129">
        <v>0</v>
      </c>
    </row>
    <row r="16130" spans="1:6" x14ac:dyDescent="0.25">
      <c r="A16130">
        <v>16129</v>
      </c>
      <c r="B16130" t="s">
        <v>0</v>
      </c>
      <c r="C16130">
        <v>103</v>
      </c>
      <c r="D16130">
        <v>3508</v>
      </c>
      <c r="E16130">
        <v>80694904</v>
      </c>
    </row>
    <row r="16131" spans="1:6" x14ac:dyDescent="0.25">
      <c r="A16131">
        <v>16130</v>
      </c>
      <c r="B16131">
        <v>44</v>
      </c>
      <c r="C16131">
        <v>0</v>
      </c>
      <c r="D16131">
        <v>0</v>
      </c>
      <c r="E16131">
        <v>0</v>
      </c>
      <c r="F16131">
        <v>45.872900000000001</v>
      </c>
    </row>
    <row r="16132" spans="1:6" x14ac:dyDescent="0.25">
      <c r="A16132">
        <v>16131</v>
      </c>
      <c r="B16132">
        <v>45</v>
      </c>
      <c r="C16132">
        <v>0</v>
      </c>
      <c r="D16132">
        <v>0</v>
      </c>
      <c r="E16132">
        <v>0</v>
      </c>
      <c r="F16132">
        <v>524.28899999999999</v>
      </c>
    </row>
    <row r="16133" spans="1:6" x14ac:dyDescent="0.25">
      <c r="A16133">
        <v>16132</v>
      </c>
      <c r="B16133" t="s">
        <v>0</v>
      </c>
      <c r="C16133">
        <v>104</v>
      </c>
      <c r="D16133">
        <v>3508</v>
      </c>
      <c r="E16133">
        <v>80695041</v>
      </c>
    </row>
    <row r="16134" spans="1:6" x14ac:dyDescent="0.25">
      <c r="A16134">
        <v>16133</v>
      </c>
      <c r="B16134">
        <v>46</v>
      </c>
      <c r="C16134">
        <v>0</v>
      </c>
      <c r="D16134">
        <v>0</v>
      </c>
      <c r="E16134">
        <v>0</v>
      </c>
      <c r="F16134">
        <v>0</v>
      </c>
    </row>
    <row r="16135" spans="1:6" x14ac:dyDescent="0.25">
      <c r="A16135">
        <v>16134</v>
      </c>
      <c r="B16135">
        <v>2</v>
      </c>
      <c r="C16135">
        <v>0</v>
      </c>
      <c r="D16135">
        <v>0</v>
      </c>
      <c r="E16135">
        <v>0</v>
      </c>
      <c r="F16135">
        <v>243.52199999999999</v>
      </c>
    </row>
    <row r="16136" spans="1:6" x14ac:dyDescent="0.25">
      <c r="A16136">
        <v>16135</v>
      </c>
      <c r="B16136" t="s">
        <v>0</v>
      </c>
      <c r="C16136">
        <v>105</v>
      </c>
      <c r="D16136">
        <v>3508</v>
      </c>
      <c r="E16136">
        <v>80695178</v>
      </c>
    </row>
    <row r="16137" spans="1:6" x14ac:dyDescent="0.25">
      <c r="A16137">
        <v>16136</v>
      </c>
      <c r="B16137">
        <v>13</v>
      </c>
      <c r="C16137">
        <v>0</v>
      </c>
      <c r="D16137">
        <v>0</v>
      </c>
      <c r="E16137">
        <v>0</v>
      </c>
      <c r="F16137">
        <v>1615</v>
      </c>
    </row>
    <row r="16138" spans="1:6" x14ac:dyDescent="0.25">
      <c r="A16138">
        <v>16137</v>
      </c>
      <c r="B16138" t="s">
        <v>0</v>
      </c>
      <c r="C16138">
        <v>106</v>
      </c>
      <c r="D16138">
        <v>3508</v>
      </c>
      <c r="E16138">
        <v>80695315</v>
      </c>
    </row>
    <row r="16139" spans="1:6" x14ac:dyDescent="0.25">
      <c r="A16139">
        <v>16138</v>
      </c>
      <c r="B16139">
        <v>42</v>
      </c>
      <c r="C16139">
        <v>0</v>
      </c>
      <c r="D16139">
        <v>0</v>
      </c>
      <c r="E16139">
        <v>0</v>
      </c>
      <c r="F16139">
        <v>0.2</v>
      </c>
    </row>
    <row r="16140" spans="1:6" x14ac:dyDescent="0.25">
      <c r="A16140">
        <v>16139</v>
      </c>
      <c r="B16140" t="s">
        <v>0</v>
      </c>
      <c r="C16140">
        <v>107</v>
      </c>
      <c r="D16140">
        <v>3508</v>
      </c>
      <c r="E16140">
        <v>80695451</v>
      </c>
    </row>
    <row r="16141" spans="1:6" x14ac:dyDescent="0.25">
      <c r="A16141">
        <v>16140</v>
      </c>
      <c r="B16141">
        <v>44</v>
      </c>
      <c r="C16141">
        <v>0</v>
      </c>
      <c r="D16141">
        <v>0</v>
      </c>
      <c r="E16141">
        <v>0</v>
      </c>
      <c r="F16141">
        <v>45.995699999999999</v>
      </c>
    </row>
    <row r="16142" spans="1:6" x14ac:dyDescent="0.25">
      <c r="A16142">
        <v>16141</v>
      </c>
      <c r="B16142" t="s">
        <v>0</v>
      </c>
      <c r="C16142">
        <v>108</v>
      </c>
      <c r="D16142">
        <v>3508</v>
      </c>
      <c r="E16142">
        <v>80695587</v>
      </c>
    </row>
    <row r="16143" spans="1:6" x14ac:dyDescent="0.25">
      <c r="A16143">
        <v>16142</v>
      </c>
      <c r="B16143">
        <v>46</v>
      </c>
      <c r="C16143">
        <v>0</v>
      </c>
      <c r="D16143">
        <v>0</v>
      </c>
      <c r="E16143">
        <v>0</v>
      </c>
      <c r="F16143">
        <v>0</v>
      </c>
    </row>
    <row r="16144" spans="1:6" x14ac:dyDescent="0.25">
      <c r="A16144">
        <v>16143</v>
      </c>
      <c r="B16144" t="s">
        <v>0</v>
      </c>
      <c r="C16144">
        <v>109</v>
      </c>
      <c r="D16144">
        <v>3508</v>
      </c>
      <c r="E16144">
        <v>80695723</v>
      </c>
    </row>
    <row r="16145" spans="1:6" x14ac:dyDescent="0.25">
      <c r="A16145">
        <v>16144</v>
      </c>
      <c r="B16145">
        <v>10</v>
      </c>
      <c r="C16145">
        <v>1</v>
      </c>
      <c r="D16145">
        <v>0</v>
      </c>
      <c r="E16145">
        <v>0</v>
      </c>
      <c r="F16145">
        <v>5306</v>
      </c>
    </row>
    <row r="16146" spans="1:6" x14ac:dyDescent="0.25">
      <c r="A16146">
        <v>16145</v>
      </c>
      <c r="B16146" t="s">
        <v>0</v>
      </c>
      <c r="C16146">
        <v>110</v>
      </c>
      <c r="D16146">
        <v>3508</v>
      </c>
      <c r="E16146">
        <v>80695859</v>
      </c>
    </row>
    <row r="16147" spans="1:6" x14ac:dyDescent="0.25">
      <c r="A16147">
        <v>16146</v>
      </c>
      <c r="B16147">
        <v>41</v>
      </c>
      <c r="C16147">
        <v>0</v>
      </c>
      <c r="D16147">
        <v>0</v>
      </c>
      <c r="E16147">
        <v>0</v>
      </c>
      <c r="F16147">
        <v>1</v>
      </c>
    </row>
    <row r="16148" spans="1:6" x14ac:dyDescent="0.25">
      <c r="A16148">
        <v>16147</v>
      </c>
      <c r="B16148" t="s">
        <v>0</v>
      </c>
      <c r="C16148">
        <v>111</v>
      </c>
      <c r="D16148">
        <v>3508</v>
      </c>
      <c r="E16148">
        <v>80695995</v>
      </c>
    </row>
    <row r="16149" spans="1:6" x14ac:dyDescent="0.25">
      <c r="A16149">
        <v>16148</v>
      </c>
      <c r="B16149">
        <v>43</v>
      </c>
      <c r="C16149">
        <v>0</v>
      </c>
      <c r="D16149">
        <v>0</v>
      </c>
      <c r="E16149">
        <v>0</v>
      </c>
      <c r="F16149">
        <v>0</v>
      </c>
    </row>
    <row r="16150" spans="1:6" x14ac:dyDescent="0.25">
      <c r="A16150">
        <v>16149</v>
      </c>
      <c r="B16150" t="s">
        <v>0</v>
      </c>
      <c r="C16150">
        <v>112</v>
      </c>
      <c r="D16150">
        <v>3508</v>
      </c>
      <c r="E16150">
        <v>80696131</v>
      </c>
    </row>
    <row r="16151" spans="1:6" x14ac:dyDescent="0.25">
      <c r="A16151">
        <v>16150</v>
      </c>
      <c r="B16151">
        <v>45</v>
      </c>
      <c r="C16151">
        <v>0</v>
      </c>
      <c r="D16151">
        <v>0</v>
      </c>
      <c r="E16151">
        <v>0</v>
      </c>
      <c r="F16151">
        <v>524.40300000000002</v>
      </c>
    </row>
    <row r="16152" spans="1:6" x14ac:dyDescent="0.25">
      <c r="A16152">
        <v>16151</v>
      </c>
      <c r="B16152">
        <v>46</v>
      </c>
      <c r="C16152">
        <v>0</v>
      </c>
      <c r="D16152">
        <v>0</v>
      </c>
      <c r="E16152">
        <v>0</v>
      </c>
      <c r="F16152">
        <v>0</v>
      </c>
    </row>
    <row r="16153" spans="1:6" x14ac:dyDescent="0.25">
      <c r="A16153">
        <v>16152</v>
      </c>
      <c r="B16153">
        <v>2</v>
      </c>
      <c r="C16153">
        <v>0</v>
      </c>
      <c r="D16153">
        <v>0</v>
      </c>
      <c r="E16153">
        <v>0</v>
      </c>
      <c r="F16153">
        <v>243.577</v>
      </c>
    </row>
    <row r="16154" spans="1:6" x14ac:dyDescent="0.25">
      <c r="A16154">
        <v>16153</v>
      </c>
      <c r="B16154">
        <v>10</v>
      </c>
      <c r="C16154">
        <v>1</v>
      </c>
      <c r="D16154">
        <v>0</v>
      </c>
      <c r="E16154">
        <v>0</v>
      </c>
      <c r="F16154">
        <v>5306</v>
      </c>
    </row>
    <row r="16155" spans="1:6" x14ac:dyDescent="0.25">
      <c r="A16155">
        <v>16154</v>
      </c>
      <c r="B16155">
        <v>13</v>
      </c>
      <c r="C16155">
        <v>0</v>
      </c>
      <c r="D16155">
        <v>0</v>
      </c>
      <c r="E16155">
        <v>0</v>
      </c>
      <c r="F16155">
        <v>1615</v>
      </c>
    </row>
    <row r="16156" spans="1:6" x14ac:dyDescent="0.25">
      <c r="A16156">
        <v>16155</v>
      </c>
      <c r="B16156">
        <v>41</v>
      </c>
      <c r="C16156">
        <v>0</v>
      </c>
      <c r="D16156">
        <v>0</v>
      </c>
      <c r="E16156">
        <v>0</v>
      </c>
      <c r="F16156">
        <v>1</v>
      </c>
    </row>
    <row r="16157" spans="1:6" x14ac:dyDescent="0.25">
      <c r="A16157">
        <v>16156</v>
      </c>
      <c r="B16157">
        <v>42</v>
      </c>
      <c r="C16157">
        <v>0</v>
      </c>
      <c r="D16157">
        <v>0</v>
      </c>
      <c r="E16157">
        <v>0</v>
      </c>
      <c r="F16157">
        <v>0.2</v>
      </c>
    </row>
    <row r="16158" spans="1:6" x14ac:dyDescent="0.25">
      <c r="A16158">
        <v>16157</v>
      </c>
      <c r="B16158">
        <v>43</v>
      </c>
      <c r="C16158">
        <v>0</v>
      </c>
      <c r="D16158">
        <v>0</v>
      </c>
      <c r="E16158">
        <v>0</v>
      </c>
      <c r="F16158">
        <v>0</v>
      </c>
    </row>
    <row r="16159" spans="1:6" x14ac:dyDescent="0.25">
      <c r="A16159">
        <v>16158</v>
      </c>
      <c r="B16159">
        <v>44</v>
      </c>
      <c r="C16159">
        <v>0</v>
      </c>
      <c r="D16159">
        <v>0</v>
      </c>
      <c r="E16159">
        <v>0</v>
      </c>
      <c r="F16159">
        <v>46.197299999999998</v>
      </c>
    </row>
    <row r="16160" spans="1:6" x14ac:dyDescent="0.25">
      <c r="A16160">
        <v>16159</v>
      </c>
      <c r="B16160">
        <v>45</v>
      </c>
      <c r="C16160">
        <v>0</v>
      </c>
      <c r="D16160">
        <v>0</v>
      </c>
      <c r="E16160">
        <v>0</v>
      </c>
      <c r="F16160">
        <v>524.45299999999997</v>
      </c>
    </row>
    <row r="16161" spans="1:6" x14ac:dyDescent="0.25">
      <c r="A16161">
        <v>16160</v>
      </c>
      <c r="B16161">
        <v>46</v>
      </c>
      <c r="C16161">
        <v>0</v>
      </c>
      <c r="D16161">
        <v>0</v>
      </c>
      <c r="E16161">
        <v>0</v>
      </c>
      <c r="F16161">
        <v>0</v>
      </c>
    </row>
    <row r="16162" spans="1:6" x14ac:dyDescent="0.25">
      <c r="A16162">
        <v>16161</v>
      </c>
      <c r="B16162">
        <v>2</v>
      </c>
      <c r="C16162">
        <v>0</v>
      </c>
      <c r="D16162">
        <v>0</v>
      </c>
      <c r="E16162">
        <v>0</v>
      </c>
      <c r="F16162">
        <v>243.63399999999999</v>
      </c>
    </row>
    <row r="16163" spans="1:6" x14ac:dyDescent="0.25">
      <c r="A16163">
        <v>16162</v>
      </c>
      <c r="B16163">
        <v>10</v>
      </c>
      <c r="C16163">
        <v>1</v>
      </c>
      <c r="D16163">
        <v>0</v>
      </c>
      <c r="E16163">
        <v>0</v>
      </c>
      <c r="F16163">
        <v>5305</v>
      </c>
    </row>
    <row r="16164" spans="1:6" x14ac:dyDescent="0.25">
      <c r="A16164">
        <v>16163</v>
      </c>
      <c r="B16164">
        <v>13</v>
      </c>
      <c r="C16164">
        <v>0</v>
      </c>
      <c r="D16164">
        <v>0</v>
      </c>
      <c r="E16164">
        <v>0</v>
      </c>
      <c r="F16164">
        <v>1615</v>
      </c>
    </row>
    <row r="16165" spans="1:6" x14ac:dyDescent="0.25">
      <c r="A16165">
        <v>16164</v>
      </c>
      <c r="B16165">
        <v>41</v>
      </c>
      <c r="C16165">
        <v>0</v>
      </c>
      <c r="D16165">
        <v>0</v>
      </c>
      <c r="E16165">
        <v>0</v>
      </c>
      <c r="F16165">
        <v>1</v>
      </c>
    </row>
    <row r="16166" spans="1:6" x14ac:dyDescent="0.25">
      <c r="A16166">
        <v>16165</v>
      </c>
      <c r="B16166">
        <v>42</v>
      </c>
      <c r="C16166">
        <v>0</v>
      </c>
      <c r="D16166">
        <v>0</v>
      </c>
      <c r="E16166">
        <v>0</v>
      </c>
      <c r="F16166">
        <v>0.2</v>
      </c>
    </row>
    <row r="16167" spans="1:6" x14ac:dyDescent="0.25">
      <c r="A16167">
        <v>16166</v>
      </c>
      <c r="B16167">
        <v>43</v>
      </c>
      <c r="C16167">
        <v>0</v>
      </c>
      <c r="D16167">
        <v>0</v>
      </c>
      <c r="E16167">
        <v>0</v>
      </c>
      <c r="F16167">
        <v>0</v>
      </c>
    </row>
    <row r="16168" spans="1:6" x14ac:dyDescent="0.25">
      <c r="A16168">
        <v>16167</v>
      </c>
      <c r="B16168">
        <v>44</v>
      </c>
      <c r="C16168">
        <v>0</v>
      </c>
      <c r="D16168">
        <v>0</v>
      </c>
      <c r="E16168">
        <v>0</v>
      </c>
      <c r="F16168">
        <v>46.298499999999997</v>
      </c>
    </row>
    <row r="16169" spans="1:6" x14ac:dyDescent="0.25">
      <c r="A16169">
        <v>16168</v>
      </c>
      <c r="B16169" t="s">
        <v>0</v>
      </c>
      <c r="C16169">
        <v>121</v>
      </c>
      <c r="D16169">
        <v>3508</v>
      </c>
      <c r="E16169">
        <v>80697358</v>
      </c>
    </row>
    <row r="16170" spans="1:6" x14ac:dyDescent="0.25">
      <c r="A16170">
        <v>16169</v>
      </c>
      <c r="B16170">
        <v>45</v>
      </c>
      <c r="C16170">
        <v>0</v>
      </c>
      <c r="D16170">
        <v>0</v>
      </c>
      <c r="E16170">
        <v>0</v>
      </c>
      <c r="F16170">
        <v>524.51599999999996</v>
      </c>
    </row>
    <row r="16171" spans="1:6" x14ac:dyDescent="0.25">
      <c r="A16171">
        <v>16170</v>
      </c>
      <c r="B16171">
        <v>46</v>
      </c>
      <c r="C16171">
        <v>0</v>
      </c>
      <c r="D16171">
        <v>0</v>
      </c>
      <c r="E16171">
        <v>0</v>
      </c>
      <c r="F16171">
        <v>0</v>
      </c>
    </row>
    <row r="16172" spans="1:6" x14ac:dyDescent="0.25">
      <c r="A16172">
        <v>16171</v>
      </c>
      <c r="B16172" t="s">
        <v>0</v>
      </c>
      <c r="C16172">
        <v>122</v>
      </c>
      <c r="D16172">
        <v>3508</v>
      </c>
      <c r="E16172">
        <v>80697494</v>
      </c>
    </row>
    <row r="16173" spans="1:6" x14ac:dyDescent="0.25">
      <c r="A16173">
        <v>16172</v>
      </c>
      <c r="B16173">
        <v>2</v>
      </c>
      <c r="C16173">
        <v>0</v>
      </c>
      <c r="D16173">
        <v>0</v>
      </c>
      <c r="E16173">
        <v>0</v>
      </c>
      <c r="F16173">
        <v>243.69200000000001</v>
      </c>
    </row>
    <row r="16174" spans="1:6" x14ac:dyDescent="0.25">
      <c r="A16174">
        <v>16173</v>
      </c>
      <c r="B16174">
        <v>10</v>
      </c>
      <c r="C16174">
        <v>1</v>
      </c>
      <c r="D16174">
        <v>0</v>
      </c>
      <c r="E16174">
        <v>0</v>
      </c>
      <c r="F16174">
        <v>5305</v>
      </c>
    </row>
    <row r="16175" spans="1:6" x14ac:dyDescent="0.25">
      <c r="A16175">
        <v>16174</v>
      </c>
      <c r="B16175" t="s">
        <v>0</v>
      </c>
      <c r="C16175">
        <v>123</v>
      </c>
      <c r="D16175">
        <v>3508</v>
      </c>
      <c r="E16175">
        <v>80697630</v>
      </c>
    </row>
    <row r="16176" spans="1:6" x14ac:dyDescent="0.25">
      <c r="A16176">
        <v>16175</v>
      </c>
      <c r="B16176">
        <v>13</v>
      </c>
      <c r="C16176">
        <v>0</v>
      </c>
      <c r="D16176">
        <v>0</v>
      </c>
      <c r="E16176">
        <v>0</v>
      </c>
      <c r="F16176">
        <v>1615</v>
      </c>
    </row>
    <row r="16177" spans="1:6" x14ac:dyDescent="0.25">
      <c r="A16177">
        <v>16176</v>
      </c>
      <c r="B16177">
        <v>41</v>
      </c>
      <c r="C16177">
        <v>0</v>
      </c>
      <c r="D16177">
        <v>0</v>
      </c>
      <c r="E16177">
        <v>0</v>
      </c>
      <c r="F16177">
        <v>1</v>
      </c>
    </row>
    <row r="16178" spans="1:6" x14ac:dyDescent="0.25">
      <c r="A16178">
        <v>16177</v>
      </c>
      <c r="B16178" t="s">
        <v>0</v>
      </c>
      <c r="C16178">
        <v>124</v>
      </c>
      <c r="D16178">
        <v>3508</v>
      </c>
      <c r="E16178">
        <v>80697766</v>
      </c>
    </row>
    <row r="16179" spans="1:6" x14ac:dyDescent="0.25">
      <c r="A16179">
        <v>16178</v>
      </c>
      <c r="B16179">
        <v>42</v>
      </c>
      <c r="C16179">
        <v>0</v>
      </c>
      <c r="D16179">
        <v>0</v>
      </c>
      <c r="E16179">
        <v>0</v>
      </c>
      <c r="F16179">
        <v>0.2</v>
      </c>
    </row>
    <row r="16180" spans="1:6" x14ac:dyDescent="0.25">
      <c r="A16180">
        <v>16179</v>
      </c>
      <c r="B16180">
        <v>43</v>
      </c>
      <c r="C16180">
        <v>0</v>
      </c>
      <c r="D16180">
        <v>0</v>
      </c>
      <c r="E16180">
        <v>0</v>
      </c>
      <c r="F16180">
        <v>0</v>
      </c>
    </row>
    <row r="16181" spans="1:6" x14ac:dyDescent="0.25">
      <c r="A16181">
        <v>16180</v>
      </c>
      <c r="B16181" t="s">
        <v>0</v>
      </c>
      <c r="C16181">
        <v>125</v>
      </c>
      <c r="D16181">
        <v>3508</v>
      </c>
      <c r="E16181">
        <v>80697902</v>
      </c>
    </row>
    <row r="16182" spans="1:6" x14ac:dyDescent="0.25">
      <c r="A16182">
        <v>16181</v>
      </c>
      <c r="B16182">
        <v>44</v>
      </c>
      <c r="C16182">
        <v>0</v>
      </c>
      <c r="D16182">
        <v>0</v>
      </c>
      <c r="E16182">
        <v>0</v>
      </c>
      <c r="F16182">
        <v>46.423200000000001</v>
      </c>
    </row>
    <row r="16183" spans="1:6" x14ac:dyDescent="0.25">
      <c r="A16183">
        <v>16182</v>
      </c>
      <c r="B16183">
        <v>45</v>
      </c>
      <c r="C16183">
        <v>0</v>
      </c>
      <c r="D16183">
        <v>0</v>
      </c>
      <c r="E16183">
        <v>0</v>
      </c>
      <c r="F16183">
        <v>524.56700000000001</v>
      </c>
    </row>
    <row r="16184" spans="1:6" x14ac:dyDescent="0.25">
      <c r="A16184">
        <v>16183</v>
      </c>
      <c r="B16184" t="s">
        <v>0</v>
      </c>
      <c r="C16184">
        <v>126</v>
      </c>
      <c r="D16184">
        <v>3508</v>
      </c>
      <c r="E16184">
        <v>80698038</v>
      </c>
    </row>
    <row r="16185" spans="1:6" x14ac:dyDescent="0.25">
      <c r="A16185">
        <v>16184</v>
      </c>
      <c r="B16185">
        <v>46</v>
      </c>
      <c r="C16185">
        <v>0</v>
      </c>
      <c r="D16185">
        <v>0</v>
      </c>
      <c r="E16185">
        <v>0</v>
      </c>
      <c r="F16185">
        <v>0</v>
      </c>
    </row>
    <row r="16186" spans="1:6" x14ac:dyDescent="0.25">
      <c r="A16186">
        <v>16185</v>
      </c>
      <c r="B16186">
        <v>2</v>
      </c>
      <c r="C16186">
        <v>0</v>
      </c>
      <c r="D16186">
        <v>0</v>
      </c>
      <c r="E16186">
        <v>0</v>
      </c>
      <c r="F16186">
        <v>243.72900000000001</v>
      </c>
    </row>
    <row r="16187" spans="1:6" x14ac:dyDescent="0.25">
      <c r="A16187">
        <v>16186</v>
      </c>
      <c r="B16187" t="s">
        <v>0</v>
      </c>
      <c r="C16187">
        <v>127</v>
      </c>
      <c r="D16187">
        <v>3508</v>
      </c>
      <c r="E16187">
        <v>80698175</v>
      </c>
    </row>
    <row r="16188" spans="1:6" x14ac:dyDescent="0.25">
      <c r="A16188">
        <v>16187</v>
      </c>
      <c r="B16188">
        <v>10</v>
      </c>
      <c r="C16188">
        <v>1</v>
      </c>
      <c r="D16188">
        <v>0</v>
      </c>
      <c r="E16188">
        <v>0</v>
      </c>
      <c r="F16188">
        <v>5305</v>
      </c>
    </row>
    <row r="16189" spans="1:6" x14ac:dyDescent="0.25">
      <c r="A16189">
        <v>16188</v>
      </c>
      <c r="B16189">
        <v>13</v>
      </c>
      <c r="C16189">
        <v>0</v>
      </c>
      <c r="D16189">
        <v>0</v>
      </c>
      <c r="E16189">
        <v>0</v>
      </c>
      <c r="F16189">
        <v>1615</v>
      </c>
    </row>
    <row r="16190" spans="1:6" x14ac:dyDescent="0.25">
      <c r="A16190">
        <v>16189</v>
      </c>
      <c r="B16190" t="s">
        <v>0</v>
      </c>
      <c r="C16190">
        <v>128</v>
      </c>
      <c r="D16190">
        <v>3508</v>
      </c>
      <c r="E16190">
        <v>80698311</v>
      </c>
    </row>
    <row r="16191" spans="1:6" x14ac:dyDescent="0.25">
      <c r="A16191">
        <v>16190</v>
      </c>
      <c r="B16191">
        <v>41</v>
      </c>
      <c r="C16191">
        <v>0</v>
      </c>
      <c r="D16191">
        <v>0</v>
      </c>
      <c r="E16191">
        <v>0</v>
      </c>
      <c r="F16191">
        <v>1</v>
      </c>
    </row>
    <row r="16192" spans="1:6" x14ac:dyDescent="0.25">
      <c r="A16192">
        <v>16191</v>
      </c>
      <c r="B16192">
        <v>42</v>
      </c>
      <c r="C16192">
        <v>0</v>
      </c>
      <c r="D16192">
        <v>0</v>
      </c>
      <c r="E16192">
        <v>0</v>
      </c>
      <c r="F16192">
        <v>0.2</v>
      </c>
    </row>
    <row r="16193" spans="1:6" x14ac:dyDescent="0.25">
      <c r="A16193">
        <v>16192</v>
      </c>
      <c r="B16193" t="s">
        <v>0</v>
      </c>
      <c r="C16193">
        <v>129</v>
      </c>
      <c r="D16193">
        <v>3508</v>
      </c>
      <c r="E16193">
        <v>80698447</v>
      </c>
    </row>
    <row r="16194" spans="1:6" x14ac:dyDescent="0.25">
      <c r="A16194">
        <v>16193</v>
      </c>
      <c r="B16194">
        <v>44</v>
      </c>
      <c r="C16194">
        <v>0</v>
      </c>
      <c r="D16194">
        <v>0</v>
      </c>
      <c r="E16194">
        <v>0</v>
      </c>
      <c r="F16194">
        <v>46.5169</v>
      </c>
    </row>
    <row r="16195" spans="1:6" x14ac:dyDescent="0.25">
      <c r="A16195">
        <v>16194</v>
      </c>
      <c r="B16195" t="s">
        <v>0</v>
      </c>
      <c r="C16195">
        <v>130</v>
      </c>
      <c r="D16195">
        <v>3508</v>
      </c>
      <c r="E16195">
        <v>80698583</v>
      </c>
    </row>
    <row r="16196" spans="1:6" x14ac:dyDescent="0.25">
      <c r="A16196">
        <v>16195</v>
      </c>
      <c r="B16196">
        <v>46</v>
      </c>
      <c r="C16196">
        <v>0</v>
      </c>
      <c r="D16196">
        <v>0</v>
      </c>
      <c r="E16196">
        <v>0</v>
      </c>
      <c r="F16196">
        <v>0</v>
      </c>
    </row>
    <row r="16197" spans="1:6" x14ac:dyDescent="0.25">
      <c r="A16197">
        <v>16196</v>
      </c>
      <c r="B16197" t="s">
        <v>0</v>
      </c>
      <c r="C16197">
        <v>131</v>
      </c>
      <c r="D16197">
        <v>3508</v>
      </c>
      <c r="E16197">
        <v>80698719</v>
      </c>
    </row>
    <row r="16198" spans="1:6" x14ac:dyDescent="0.25">
      <c r="A16198">
        <v>16197</v>
      </c>
      <c r="B16198">
        <v>10</v>
      </c>
      <c r="C16198">
        <v>1</v>
      </c>
      <c r="D16198">
        <v>0</v>
      </c>
      <c r="E16198">
        <v>0</v>
      </c>
      <c r="F16198">
        <v>5305</v>
      </c>
    </row>
    <row r="16199" spans="1:6" x14ac:dyDescent="0.25">
      <c r="A16199">
        <v>16198</v>
      </c>
      <c r="B16199" t="s">
        <v>0</v>
      </c>
      <c r="C16199">
        <v>132</v>
      </c>
      <c r="D16199">
        <v>3508</v>
      </c>
      <c r="E16199">
        <v>80698855</v>
      </c>
    </row>
    <row r="16200" spans="1:6" x14ac:dyDescent="0.25">
      <c r="A16200">
        <v>16199</v>
      </c>
      <c r="B16200">
        <v>41</v>
      </c>
      <c r="C16200">
        <v>0</v>
      </c>
      <c r="D16200">
        <v>0</v>
      </c>
      <c r="E16200">
        <v>0</v>
      </c>
      <c r="F16200">
        <v>1</v>
      </c>
    </row>
    <row r="16201" spans="1:6" x14ac:dyDescent="0.25">
      <c r="A16201">
        <v>16200</v>
      </c>
      <c r="B16201" t="s">
        <v>0</v>
      </c>
      <c r="C16201">
        <v>133</v>
      </c>
      <c r="D16201">
        <v>3508</v>
      </c>
      <c r="E16201">
        <v>80698991</v>
      </c>
    </row>
    <row r="16202" spans="1:6" x14ac:dyDescent="0.25">
      <c r="A16202">
        <v>16201</v>
      </c>
      <c r="B16202">
        <v>43</v>
      </c>
      <c r="C16202">
        <v>0</v>
      </c>
      <c r="D16202">
        <v>0</v>
      </c>
      <c r="E16202">
        <v>0</v>
      </c>
      <c r="F16202">
        <v>0</v>
      </c>
    </row>
    <row r="16203" spans="1:6" x14ac:dyDescent="0.25">
      <c r="A16203">
        <v>16202</v>
      </c>
      <c r="B16203" t="s">
        <v>0</v>
      </c>
      <c r="C16203">
        <v>134</v>
      </c>
      <c r="D16203">
        <v>3508</v>
      </c>
      <c r="E16203">
        <v>80699127</v>
      </c>
    </row>
    <row r="16204" spans="1:6" x14ac:dyDescent="0.25">
      <c r="A16204">
        <v>16203</v>
      </c>
      <c r="B16204">
        <v>45</v>
      </c>
      <c r="C16204">
        <v>0</v>
      </c>
      <c r="D16204">
        <v>0</v>
      </c>
      <c r="E16204">
        <v>0</v>
      </c>
      <c r="F16204">
        <v>524.68200000000002</v>
      </c>
    </row>
    <row r="16205" spans="1:6" x14ac:dyDescent="0.25">
      <c r="A16205">
        <v>16204</v>
      </c>
      <c r="B16205" t="s">
        <v>0</v>
      </c>
      <c r="C16205">
        <v>135</v>
      </c>
      <c r="D16205">
        <v>3508</v>
      </c>
      <c r="E16205">
        <v>80699264</v>
      </c>
    </row>
    <row r="16206" spans="1:6" x14ac:dyDescent="0.25">
      <c r="A16206">
        <v>16205</v>
      </c>
      <c r="B16206">
        <v>2</v>
      </c>
      <c r="C16206">
        <v>0</v>
      </c>
      <c r="D16206">
        <v>0</v>
      </c>
      <c r="E16206">
        <v>0</v>
      </c>
      <c r="F16206">
        <v>243.78399999999999</v>
      </c>
    </row>
    <row r="16207" spans="1:6" x14ac:dyDescent="0.25">
      <c r="A16207">
        <v>16206</v>
      </c>
      <c r="B16207" t="s">
        <v>0</v>
      </c>
      <c r="C16207">
        <v>136</v>
      </c>
      <c r="D16207">
        <v>3508</v>
      </c>
      <c r="E16207">
        <v>80699400</v>
      </c>
    </row>
    <row r="16208" spans="1:6" x14ac:dyDescent="0.25">
      <c r="A16208">
        <v>16207</v>
      </c>
      <c r="B16208">
        <v>13</v>
      </c>
      <c r="C16208">
        <v>0</v>
      </c>
      <c r="D16208">
        <v>0</v>
      </c>
      <c r="E16208">
        <v>0</v>
      </c>
      <c r="F16208">
        <v>1615</v>
      </c>
    </row>
    <row r="16209" spans="1:6" x14ac:dyDescent="0.25">
      <c r="A16209">
        <v>16208</v>
      </c>
      <c r="B16209">
        <v>41</v>
      </c>
      <c r="C16209">
        <v>0</v>
      </c>
      <c r="D16209">
        <v>0</v>
      </c>
      <c r="E16209">
        <v>0</v>
      </c>
      <c r="F16209">
        <v>1</v>
      </c>
    </row>
    <row r="16210" spans="1:6" x14ac:dyDescent="0.25">
      <c r="A16210">
        <v>16209</v>
      </c>
      <c r="B16210">
        <v>42</v>
      </c>
      <c r="C16210">
        <v>0</v>
      </c>
      <c r="D16210">
        <v>0</v>
      </c>
      <c r="E16210">
        <v>0</v>
      </c>
      <c r="F16210">
        <v>0.2</v>
      </c>
    </row>
    <row r="16211" spans="1:6" x14ac:dyDescent="0.25">
      <c r="A16211">
        <v>16210</v>
      </c>
      <c r="B16211">
        <v>43</v>
      </c>
      <c r="C16211">
        <v>0</v>
      </c>
      <c r="D16211">
        <v>0</v>
      </c>
      <c r="E16211">
        <v>0</v>
      </c>
      <c r="F16211">
        <v>0</v>
      </c>
    </row>
    <row r="16212" spans="1:6" x14ac:dyDescent="0.25">
      <c r="A16212">
        <v>16211</v>
      </c>
      <c r="B16212">
        <v>44</v>
      </c>
      <c r="C16212">
        <v>0</v>
      </c>
      <c r="D16212">
        <v>0</v>
      </c>
      <c r="E16212">
        <v>0</v>
      </c>
      <c r="F16212">
        <v>46.765799999999999</v>
      </c>
    </row>
    <row r="16213" spans="1:6" x14ac:dyDescent="0.25">
      <c r="A16213">
        <v>16212</v>
      </c>
      <c r="B16213">
        <v>45</v>
      </c>
      <c r="C16213">
        <v>0</v>
      </c>
      <c r="D16213">
        <v>0</v>
      </c>
      <c r="E16213">
        <v>0</v>
      </c>
      <c r="F16213">
        <v>524.73299999999995</v>
      </c>
    </row>
    <row r="16214" spans="1:6" x14ac:dyDescent="0.25">
      <c r="A16214">
        <v>16213</v>
      </c>
      <c r="B16214">
        <v>46</v>
      </c>
      <c r="C16214">
        <v>0</v>
      </c>
      <c r="D16214">
        <v>0</v>
      </c>
      <c r="E16214">
        <v>0</v>
      </c>
      <c r="F16214">
        <v>0</v>
      </c>
    </row>
    <row r="16215" spans="1:6" x14ac:dyDescent="0.25">
      <c r="A16215">
        <v>16214</v>
      </c>
      <c r="B16215">
        <v>2</v>
      </c>
      <c r="C16215">
        <v>0</v>
      </c>
      <c r="D16215">
        <v>0</v>
      </c>
      <c r="E16215">
        <v>0</v>
      </c>
      <c r="F16215">
        <v>243.8</v>
      </c>
    </row>
    <row r="16216" spans="1:6" x14ac:dyDescent="0.25">
      <c r="A16216">
        <v>16215</v>
      </c>
      <c r="B16216">
        <v>10</v>
      </c>
      <c r="C16216">
        <v>1</v>
      </c>
      <c r="D16216">
        <v>0</v>
      </c>
      <c r="E16216">
        <v>0</v>
      </c>
      <c r="F16216">
        <v>5306</v>
      </c>
    </row>
    <row r="16217" spans="1:6" x14ac:dyDescent="0.25">
      <c r="A16217">
        <v>16216</v>
      </c>
      <c r="B16217">
        <v>13</v>
      </c>
      <c r="C16217">
        <v>0</v>
      </c>
      <c r="D16217">
        <v>0</v>
      </c>
      <c r="E16217">
        <v>0</v>
      </c>
      <c r="F16217">
        <v>1615</v>
      </c>
    </row>
    <row r="16218" spans="1:6" x14ac:dyDescent="0.25">
      <c r="A16218">
        <v>16217</v>
      </c>
      <c r="B16218">
        <v>41</v>
      </c>
      <c r="C16218">
        <v>0</v>
      </c>
      <c r="D16218">
        <v>0</v>
      </c>
      <c r="E16218">
        <v>0</v>
      </c>
      <c r="F16218">
        <v>1</v>
      </c>
    </row>
    <row r="16219" spans="1:6" x14ac:dyDescent="0.25">
      <c r="A16219">
        <v>16218</v>
      </c>
      <c r="B16219">
        <v>42</v>
      </c>
      <c r="C16219">
        <v>0</v>
      </c>
      <c r="D16219">
        <v>0</v>
      </c>
      <c r="E16219">
        <v>0</v>
      </c>
      <c r="F16219">
        <v>0.2</v>
      </c>
    </row>
    <row r="16220" spans="1:6" x14ac:dyDescent="0.25">
      <c r="A16220">
        <v>16219</v>
      </c>
      <c r="B16220">
        <v>43</v>
      </c>
      <c r="C16220">
        <v>0</v>
      </c>
      <c r="D16220">
        <v>0</v>
      </c>
      <c r="E16220">
        <v>0</v>
      </c>
      <c r="F16220">
        <v>0</v>
      </c>
    </row>
    <row r="16221" spans="1:6" x14ac:dyDescent="0.25">
      <c r="A16221">
        <v>16220</v>
      </c>
      <c r="B16221">
        <v>44</v>
      </c>
      <c r="C16221">
        <v>0</v>
      </c>
      <c r="D16221">
        <v>0</v>
      </c>
      <c r="E16221">
        <v>0</v>
      </c>
      <c r="F16221">
        <v>46.8994</v>
      </c>
    </row>
    <row r="16222" spans="1:6" x14ac:dyDescent="0.25">
      <c r="A16222">
        <v>16221</v>
      </c>
      <c r="B16222">
        <v>45</v>
      </c>
      <c r="C16222">
        <v>0</v>
      </c>
      <c r="D16222">
        <v>0</v>
      </c>
      <c r="E16222">
        <v>0</v>
      </c>
      <c r="F16222">
        <v>524.79700000000003</v>
      </c>
    </row>
    <row r="16223" spans="1:6" x14ac:dyDescent="0.25">
      <c r="A16223">
        <v>16222</v>
      </c>
      <c r="B16223">
        <v>46</v>
      </c>
      <c r="C16223">
        <v>0</v>
      </c>
      <c r="D16223">
        <v>0</v>
      </c>
      <c r="E16223">
        <v>0</v>
      </c>
      <c r="F16223">
        <v>0</v>
      </c>
    </row>
    <row r="16224" spans="1:6" x14ac:dyDescent="0.25">
      <c r="A16224">
        <v>16223</v>
      </c>
      <c r="B16224">
        <v>2</v>
      </c>
      <c r="C16224">
        <v>0</v>
      </c>
      <c r="D16224">
        <v>0</v>
      </c>
      <c r="E16224">
        <v>0</v>
      </c>
      <c r="F16224">
        <v>243.82599999999999</v>
      </c>
    </row>
    <row r="16225" spans="1:6" x14ac:dyDescent="0.25">
      <c r="A16225">
        <v>16224</v>
      </c>
      <c r="B16225">
        <v>10</v>
      </c>
      <c r="C16225">
        <v>1</v>
      </c>
      <c r="D16225">
        <v>0</v>
      </c>
      <c r="E16225">
        <v>0</v>
      </c>
      <c r="F16225">
        <v>5307</v>
      </c>
    </row>
    <row r="16226" spans="1:6" x14ac:dyDescent="0.25">
      <c r="A16226">
        <v>16225</v>
      </c>
      <c r="B16226" t="s">
        <v>0</v>
      </c>
      <c r="C16226">
        <v>145</v>
      </c>
      <c r="D16226">
        <v>3508</v>
      </c>
      <c r="E16226">
        <v>80700626</v>
      </c>
    </row>
    <row r="16227" spans="1:6" x14ac:dyDescent="0.25">
      <c r="A16227">
        <v>16226</v>
      </c>
      <c r="B16227">
        <v>13</v>
      </c>
      <c r="C16227">
        <v>0</v>
      </c>
      <c r="D16227">
        <v>0</v>
      </c>
      <c r="E16227">
        <v>0</v>
      </c>
      <c r="F16227">
        <v>1615</v>
      </c>
    </row>
    <row r="16228" spans="1:6" x14ac:dyDescent="0.25">
      <c r="A16228">
        <v>16227</v>
      </c>
      <c r="B16228">
        <v>41</v>
      </c>
      <c r="C16228">
        <v>0</v>
      </c>
      <c r="D16228">
        <v>0</v>
      </c>
      <c r="E16228">
        <v>0</v>
      </c>
      <c r="F16228">
        <v>1</v>
      </c>
    </row>
    <row r="16229" spans="1:6" x14ac:dyDescent="0.25">
      <c r="A16229">
        <v>16228</v>
      </c>
      <c r="B16229" t="s">
        <v>0</v>
      </c>
      <c r="C16229">
        <v>146</v>
      </c>
      <c r="D16229">
        <v>3508</v>
      </c>
      <c r="E16229">
        <v>80700763</v>
      </c>
    </row>
    <row r="16230" spans="1:6" x14ac:dyDescent="0.25">
      <c r="A16230">
        <v>16229</v>
      </c>
      <c r="B16230">
        <v>42</v>
      </c>
      <c r="C16230">
        <v>0</v>
      </c>
      <c r="D16230">
        <v>0</v>
      </c>
      <c r="E16230">
        <v>0</v>
      </c>
      <c r="F16230">
        <v>0.2</v>
      </c>
    </row>
    <row r="16231" spans="1:6" x14ac:dyDescent="0.25">
      <c r="A16231">
        <v>16230</v>
      </c>
      <c r="B16231">
        <v>43</v>
      </c>
      <c r="C16231">
        <v>0</v>
      </c>
      <c r="D16231">
        <v>0</v>
      </c>
      <c r="E16231">
        <v>0</v>
      </c>
      <c r="F16231">
        <v>0</v>
      </c>
    </row>
    <row r="16232" spans="1:6" x14ac:dyDescent="0.25">
      <c r="A16232">
        <v>16231</v>
      </c>
      <c r="B16232" t="s">
        <v>0</v>
      </c>
      <c r="C16232">
        <v>147</v>
      </c>
      <c r="D16232">
        <v>3508</v>
      </c>
      <c r="E16232">
        <v>80700899</v>
      </c>
    </row>
    <row r="16233" spans="1:6" x14ac:dyDescent="0.25">
      <c r="A16233">
        <v>16232</v>
      </c>
      <c r="B16233">
        <v>44</v>
      </c>
      <c r="C16233">
        <v>0</v>
      </c>
      <c r="D16233">
        <v>0</v>
      </c>
      <c r="E16233">
        <v>0</v>
      </c>
      <c r="F16233">
        <v>47.0336</v>
      </c>
    </row>
    <row r="16234" spans="1:6" x14ac:dyDescent="0.25">
      <c r="A16234">
        <v>16233</v>
      </c>
      <c r="B16234">
        <v>45</v>
      </c>
      <c r="C16234">
        <v>0</v>
      </c>
      <c r="D16234">
        <v>0</v>
      </c>
      <c r="E16234">
        <v>0</v>
      </c>
      <c r="F16234">
        <v>524.84799999999996</v>
      </c>
    </row>
    <row r="16235" spans="1:6" x14ac:dyDescent="0.25">
      <c r="A16235">
        <v>16234</v>
      </c>
      <c r="B16235" t="s">
        <v>0</v>
      </c>
      <c r="C16235">
        <v>148</v>
      </c>
      <c r="D16235">
        <v>3508</v>
      </c>
      <c r="E16235">
        <v>80701035</v>
      </c>
    </row>
    <row r="16236" spans="1:6" x14ac:dyDescent="0.25">
      <c r="A16236">
        <v>16235</v>
      </c>
      <c r="B16236">
        <v>46</v>
      </c>
      <c r="C16236">
        <v>0</v>
      </c>
      <c r="D16236">
        <v>0</v>
      </c>
      <c r="E16236">
        <v>0</v>
      </c>
      <c r="F16236">
        <v>0</v>
      </c>
    </row>
    <row r="16237" spans="1:6" x14ac:dyDescent="0.25">
      <c r="A16237">
        <v>16236</v>
      </c>
      <c r="B16237">
        <v>2</v>
      </c>
      <c r="C16237">
        <v>0</v>
      </c>
      <c r="D16237">
        <v>0</v>
      </c>
      <c r="E16237">
        <v>0</v>
      </c>
      <c r="F16237">
        <v>243.83799999999999</v>
      </c>
    </row>
    <row r="16238" spans="1:6" x14ac:dyDescent="0.25">
      <c r="A16238">
        <v>16237</v>
      </c>
      <c r="B16238" t="s">
        <v>0</v>
      </c>
      <c r="C16238">
        <v>149</v>
      </c>
      <c r="D16238">
        <v>3508</v>
      </c>
      <c r="E16238">
        <v>80701171</v>
      </c>
    </row>
    <row r="16239" spans="1:6" x14ac:dyDescent="0.25">
      <c r="A16239">
        <v>16238</v>
      </c>
      <c r="B16239">
        <v>10</v>
      </c>
      <c r="C16239">
        <v>1</v>
      </c>
      <c r="D16239">
        <v>0</v>
      </c>
      <c r="E16239">
        <v>0</v>
      </c>
      <c r="F16239">
        <v>5308</v>
      </c>
    </row>
    <row r="16240" spans="1:6" x14ac:dyDescent="0.25">
      <c r="A16240">
        <v>16239</v>
      </c>
      <c r="B16240">
        <v>13</v>
      </c>
      <c r="C16240">
        <v>0</v>
      </c>
      <c r="D16240">
        <v>0</v>
      </c>
      <c r="E16240">
        <v>0</v>
      </c>
      <c r="F16240">
        <v>1615</v>
      </c>
    </row>
    <row r="16241" spans="1:6" x14ac:dyDescent="0.25">
      <c r="A16241">
        <v>16240</v>
      </c>
      <c r="B16241" t="s">
        <v>0</v>
      </c>
      <c r="C16241">
        <v>150</v>
      </c>
      <c r="D16241">
        <v>3508</v>
      </c>
      <c r="E16241">
        <v>80701307</v>
      </c>
    </row>
    <row r="16242" spans="1:6" x14ac:dyDescent="0.25">
      <c r="A16242">
        <v>16241</v>
      </c>
      <c r="B16242">
        <v>41</v>
      </c>
      <c r="C16242">
        <v>0</v>
      </c>
      <c r="D16242">
        <v>0</v>
      </c>
      <c r="E16242">
        <v>0</v>
      </c>
      <c r="F16242">
        <v>1</v>
      </c>
    </row>
    <row r="16243" spans="1:6" x14ac:dyDescent="0.25">
      <c r="A16243">
        <v>16242</v>
      </c>
      <c r="B16243">
        <v>42</v>
      </c>
      <c r="C16243">
        <v>0</v>
      </c>
      <c r="D16243">
        <v>0</v>
      </c>
      <c r="E16243">
        <v>0</v>
      </c>
      <c r="F16243">
        <v>0.2</v>
      </c>
    </row>
    <row r="16244" spans="1:6" x14ac:dyDescent="0.25">
      <c r="A16244">
        <v>16243</v>
      </c>
      <c r="B16244" t="s">
        <v>0</v>
      </c>
      <c r="C16244">
        <v>151</v>
      </c>
      <c r="D16244">
        <v>3508</v>
      </c>
      <c r="E16244">
        <v>80701443</v>
      </c>
    </row>
    <row r="16245" spans="1:6" x14ac:dyDescent="0.25">
      <c r="A16245">
        <v>16244</v>
      </c>
      <c r="B16245">
        <v>44</v>
      </c>
      <c r="C16245">
        <v>0</v>
      </c>
      <c r="D16245">
        <v>0</v>
      </c>
      <c r="E16245">
        <v>0</v>
      </c>
      <c r="F16245">
        <v>47.173400000000001</v>
      </c>
    </row>
    <row r="16246" spans="1:6" x14ac:dyDescent="0.25">
      <c r="A16246">
        <v>16245</v>
      </c>
      <c r="B16246" t="s">
        <v>0</v>
      </c>
      <c r="C16246">
        <v>152</v>
      </c>
      <c r="D16246">
        <v>3508</v>
      </c>
      <c r="E16246">
        <v>80701579</v>
      </c>
    </row>
    <row r="16247" spans="1:6" x14ac:dyDescent="0.25">
      <c r="A16247">
        <v>16246</v>
      </c>
      <c r="B16247">
        <v>46</v>
      </c>
      <c r="C16247">
        <v>0</v>
      </c>
      <c r="D16247">
        <v>0</v>
      </c>
      <c r="E16247">
        <v>0</v>
      </c>
      <c r="F16247">
        <v>0</v>
      </c>
    </row>
    <row r="16248" spans="1:6" x14ac:dyDescent="0.25">
      <c r="A16248">
        <v>16247</v>
      </c>
      <c r="B16248" t="s">
        <v>0</v>
      </c>
      <c r="C16248">
        <v>153</v>
      </c>
      <c r="D16248">
        <v>3508</v>
      </c>
      <c r="E16248">
        <v>80701716</v>
      </c>
    </row>
    <row r="16249" spans="1:6" x14ac:dyDescent="0.25">
      <c r="A16249">
        <v>16248</v>
      </c>
      <c r="B16249">
        <v>10</v>
      </c>
      <c r="C16249">
        <v>1</v>
      </c>
      <c r="D16249">
        <v>0</v>
      </c>
      <c r="E16249">
        <v>0</v>
      </c>
      <c r="F16249">
        <v>5309</v>
      </c>
    </row>
    <row r="16250" spans="1:6" x14ac:dyDescent="0.25">
      <c r="A16250">
        <v>16249</v>
      </c>
      <c r="B16250" t="s">
        <v>0</v>
      </c>
      <c r="C16250">
        <v>154</v>
      </c>
      <c r="D16250">
        <v>3508</v>
      </c>
      <c r="E16250">
        <v>80701852</v>
      </c>
    </row>
    <row r="16251" spans="1:6" x14ac:dyDescent="0.25">
      <c r="A16251">
        <v>16250</v>
      </c>
      <c r="B16251">
        <v>41</v>
      </c>
      <c r="C16251">
        <v>0</v>
      </c>
      <c r="D16251">
        <v>0</v>
      </c>
      <c r="E16251">
        <v>0</v>
      </c>
      <c r="F16251">
        <v>1</v>
      </c>
    </row>
    <row r="16252" spans="1:6" x14ac:dyDescent="0.25">
      <c r="A16252">
        <v>16251</v>
      </c>
      <c r="B16252" t="s">
        <v>0</v>
      </c>
      <c r="C16252">
        <v>155</v>
      </c>
      <c r="D16252">
        <v>3508</v>
      </c>
      <c r="E16252">
        <v>80701988</v>
      </c>
    </row>
    <row r="16253" spans="1:6" x14ac:dyDescent="0.25">
      <c r="A16253">
        <v>16252</v>
      </c>
      <c r="B16253">
        <v>43</v>
      </c>
      <c r="C16253">
        <v>0</v>
      </c>
      <c r="D16253">
        <v>0</v>
      </c>
      <c r="E16253">
        <v>0</v>
      </c>
      <c r="F16253">
        <v>0</v>
      </c>
    </row>
    <row r="16254" spans="1:6" x14ac:dyDescent="0.25">
      <c r="A16254">
        <v>16253</v>
      </c>
      <c r="B16254" t="s">
        <v>0</v>
      </c>
      <c r="C16254">
        <v>156</v>
      </c>
      <c r="D16254">
        <v>3508</v>
      </c>
      <c r="E16254">
        <v>80702124</v>
      </c>
    </row>
    <row r="16255" spans="1:6" x14ac:dyDescent="0.25">
      <c r="A16255">
        <v>16254</v>
      </c>
      <c r="B16255">
        <v>45</v>
      </c>
      <c r="C16255">
        <v>0</v>
      </c>
      <c r="D16255">
        <v>0</v>
      </c>
      <c r="E16255">
        <v>0</v>
      </c>
      <c r="F16255">
        <v>524.96400000000006</v>
      </c>
    </row>
    <row r="16256" spans="1:6" x14ac:dyDescent="0.25">
      <c r="A16256">
        <v>16255</v>
      </c>
      <c r="B16256" t="s">
        <v>0</v>
      </c>
      <c r="C16256">
        <v>157</v>
      </c>
      <c r="D16256">
        <v>3508</v>
      </c>
      <c r="E16256">
        <v>80702261</v>
      </c>
    </row>
    <row r="16257" spans="1:6" x14ac:dyDescent="0.25">
      <c r="A16257">
        <v>16256</v>
      </c>
      <c r="B16257">
        <v>2</v>
      </c>
      <c r="C16257">
        <v>0</v>
      </c>
      <c r="D16257">
        <v>0</v>
      </c>
      <c r="E16257">
        <v>0</v>
      </c>
      <c r="F16257">
        <v>243.857</v>
      </c>
    </row>
    <row r="16258" spans="1:6" x14ac:dyDescent="0.25">
      <c r="A16258">
        <v>16257</v>
      </c>
      <c r="B16258" t="s">
        <v>0</v>
      </c>
      <c r="C16258">
        <v>158</v>
      </c>
      <c r="D16258">
        <v>3508</v>
      </c>
      <c r="E16258">
        <v>80702397</v>
      </c>
    </row>
    <row r="16259" spans="1:6" x14ac:dyDescent="0.25">
      <c r="A16259">
        <v>16258</v>
      </c>
      <c r="B16259">
        <v>13</v>
      </c>
      <c r="C16259">
        <v>0</v>
      </c>
      <c r="D16259">
        <v>0</v>
      </c>
      <c r="E16259">
        <v>0</v>
      </c>
      <c r="F16259">
        <v>1615</v>
      </c>
    </row>
    <row r="16260" spans="1:6" x14ac:dyDescent="0.25">
      <c r="A16260">
        <v>16259</v>
      </c>
      <c r="B16260" t="s">
        <v>0</v>
      </c>
      <c r="C16260">
        <v>159</v>
      </c>
      <c r="D16260">
        <v>3508</v>
      </c>
      <c r="E16260">
        <v>80702533</v>
      </c>
    </row>
    <row r="16261" spans="1:6" x14ac:dyDescent="0.25">
      <c r="A16261">
        <v>16260</v>
      </c>
      <c r="B16261">
        <v>42</v>
      </c>
      <c r="C16261">
        <v>0</v>
      </c>
      <c r="D16261">
        <v>0</v>
      </c>
      <c r="E16261">
        <v>0</v>
      </c>
      <c r="F16261">
        <v>0.2</v>
      </c>
    </row>
    <row r="16262" spans="1:6" x14ac:dyDescent="0.25">
      <c r="A16262">
        <v>16261</v>
      </c>
      <c r="B16262">
        <v>43</v>
      </c>
      <c r="C16262">
        <v>0</v>
      </c>
      <c r="D16262">
        <v>0</v>
      </c>
      <c r="E16262">
        <v>0</v>
      </c>
      <c r="F16262">
        <v>0</v>
      </c>
    </row>
    <row r="16263" spans="1:6" x14ac:dyDescent="0.25">
      <c r="A16263">
        <v>16262</v>
      </c>
      <c r="B16263">
        <v>44</v>
      </c>
      <c r="C16263">
        <v>0</v>
      </c>
      <c r="D16263">
        <v>0</v>
      </c>
      <c r="E16263">
        <v>0</v>
      </c>
      <c r="F16263">
        <v>47.457099999999997</v>
      </c>
    </row>
    <row r="16264" spans="1:6" x14ac:dyDescent="0.25">
      <c r="A16264">
        <v>16263</v>
      </c>
      <c r="B16264">
        <v>45</v>
      </c>
      <c r="C16264">
        <v>0</v>
      </c>
      <c r="D16264">
        <v>0</v>
      </c>
      <c r="E16264">
        <v>0</v>
      </c>
      <c r="F16264">
        <v>525.01599999999996</v>
      </c>
    </row>
    <row r="16265" spans="1:6" x14ac:dyDescent="0.25">
      <c r="A16265">
        <v>16264</v>
      </c>
      <c r="B16265">
        <v>46</v>
      </c>
      <c r="C16265">
        <v>0</v>
      </c>
      <c r="D16265">
        <v>0</v>
      </c>
      <c r="E16265">
        <v>0</v>
      </c>
      <c r="F16265">
        <v>0</v>
      </c>
    </row>
    <row r="16266" spans="1:6" x14ac:dyDescent="0.25">
      <c r="A16266">
        <v>16265</v>
      </c>
      <c r="B16266">
        <v>2</v>
      </c>
      <c r="C16266">
        <v>0</v>
      </c>
      <c r="D16266">
        <v>0</v>
      </c>
      <c r="E16266">
        <v>0</v>
      </c>
      <c r="F16266">
        <v>243.858</v>
      </c>
    </row>
    <row r="16267" spans="1:6" x14ac:dyDescent="0.25">
      <c r="A16267">
        <v>16266</v>
      </c>
      <c r="B16267">
        <v>10</v>
      </c>
      <c r="C16267">
        <v>1</v>
      </c>
      <c r="D16267">
        <v>0</v>
      </c>
      <c r="E16267">
        <v>0</v>
      </c>
      <c r="F16267">
        <v>5311</v>
      </c>
    </row>
    <row r="16268" spans="1:6" x14ac:dyDescent="0.25">
      <c r="A16268">
        <v>16267</v>
      </c>
      <c r="B16268">
        <v>13</v>
      </c>
      <c r="C16268">
        <v>0</v>
      </c>
      <c r="D16268">
        <v>0</v>
      </c>
      <c r="E16268">
        <v>0</v>
      </c>
      <c r="F16268">
        <v>1615</v>
      </c>
    </row>
    <row r="16269" spans="1:6" x14ac:dyDescent="0.25">
      <c r="A16269">
        <v>16268</v>
      </c>
      <c r="B16269">
        <v>41</v>
      </c>
      <c r="C16269">
        <v>0</v>
      </c>
      <c r="D16269">
        <v>0</v>
      </c>
      <c r="E16269">
        <v>0</v>
      </c>
      <c r="F16269">
        <v>1</v>
      </c>
    </row>
    <row r="16270" spans="1:6" x14ac:dyDescent="0.25">
      <c r="A16270">
        <v>16269</v>
      </c>
      <c r="B16270">
        <v>42</v>
      </c>
      <c r="C16270">
        <v>0</v>
      </c>
      <c r="D16270">
        <v>0</v>
      </c>
      <c r="E16270">
        <v>0</v>
      </c>
      <c r="F16270">
        <v>0.2</v>
      </c>
    </row>
    <row r="16271" spans="1:6" x14ac:dyDescent="0.25">
      <c r="A16271">
        <v>16270</v>
      </c>
      <c r="B16271">
        <v>43</v>
      </c>
      <c r="C16271">
        <v>0</v>
      </c>
      <c r="D16271">
        <v>0</v>
      </c>
      <c r="E16271">
        <v>0</v>
      </c>
      <c r="F16271">
        <v>0</v>
      </c>
    </row>
    <row r="16272" spans="1:6" x14ac:dyDescent="0.25">
      <c r="A16272">
        <v>16271</v>
      </c>
      <c r="B16272">
        <v>44</v>
      </c>
      <c r="C16272">
        <v>0</v>
      </c>
      <c r="D16272">
        <v>0</v>
      </c>
      <c r="E16272">
        <v>0</v>
      </c>
      <c r="F16272">
        <v>47.601599999999998</v>
      </c>
    </row>
    <row r="16273" spans="1:6" x14ac:dyDescent="0.25">
      <c r="A16273">
        <v>16272</v>
      </c>
      <c r="B16273">
        <v>45</v>
      </c>
      <c r="C16273">
        <v>0</v>
      </c>
      <c r="D16273">
        <v>0</v>
      </c>
      <c r="E16273">
        <v>0</v>
      </c>
      <c r="F16273">
        <v>525.08100000000002</v>
      </c>
    </row>
    <row r="16274" spans="1:6" x14ac:dyDescent="0.25">
      <c r="A16274">
        <v>16273</v>
      </c>
      <c r="B16274">
        <v>46</v>
      </c>
      <c r="C16274">
        <v>0</v>
      </c>
      <c r="D16274">
        <v>0</v>
      </c>
      <c r="E16274">
        <v>0</v>
      </c>
      <c r="F16274">
        <v>0</v>
      </c>
    </row>
    <row r="16275" spans="1:6" x14ac:dyDescent="0.25">
      <c r="A16275">
        <v>16274</v>
      </c>
      <c r="B16275">
        <v>2</v>
      </c>
      <c r="C16275">
        <v>0</v>
      </c>
      <c r="D16275">
        <v>0</v>
      </c>
      <c r="E16275">
        <v>0</v>
      </c>
      <c r="F16275">
        <v>243.869</v>
      </c>
    </row>
    <row r="16276" spans="1:6" x14ac:dyDescent="0.25">
      <c r="A16276">
        <v>16275</v>
      </c>
      <c r="B16276">
        <v>10</v>
      </c>
      <c r="C16276">
        <v>1</v>
      </c>
      <c r="D16276">
        <v>0</v>
      </c>
      <c r="E16276">
        <v>0</v>
      </c>
      <c r="F16276">
        <v>5312</v>
      </c>
    </row>
    <row r="16277" spans="1:6" x14ac:dyDescent="0.25">
      <c r="A16277">
        <v>16276</v>
      </c>
      <c r="B16277">
        <v>13</v>
      </c>
      <c r="C16277">
        <v>0</v>
      </c>
      <c r="D16277">
        <v>0</v>
      </c>
      <c r="E16277">
        <v>0</v>
      </c>
      <c r="F16277">
        <v>1615</v>
      </c>
    </row>
    <row r="16278" spans="1:6" x14ac:dyDescent="0.25">
      <c r="A16278">
        <v>16277</v>
      </c>
      <c r="B16278">
        <v>41</v>
      </c>
      <c r="C16278">
        <v>0</v>
      </c>
      <c r="D16278">
        <v>0</v>
      </c>
      <c r="E16278">
        <v>0</v>
      </c>
      <c r="F16278">
        <v>1</v>
      </c>
    </row>
    <row r="16279" spans="1:6" x14ac:dyDescent="0.25">
      <c r="A16279">
        <v>16278</v>
      </c>
      <c r="B16279" t="s">
        <v>0</v>
      </c>
      <c r="C16279">
        <v>168</v>
      </c>
      <c r="D16279">
        <v>3508</v>
      </c>
      <c r="E16279">
        <v>80703760</v>
      </c>
    </row>
    <row r="16280" spans="1:6" x14ac:dyDescent="0.25">
      <c r="A16280">
        <v>16279</v>
      </c>
      <c r="B16280">
        <v>42</v>
      </c>
      <c r="C16280">
        <v>0</v>
      </c>
      <c r="D16280">
        <v>0</v>
      </c>
      <c r="E16280">
        <v>0</v>
      </c>
      <c r="F16280">
        <v>0.2</v>
      </c>
    </row>
    <row r="16281" spans="1:6" x14ac:dyDescent="0.25">
      <c r="A16281">
        <v>16280</v>
      </c>
      <c r="B16281">
        <v>43</v>
      </c>
      <c r="C16281">
        <v>0</v>
      </c>
      <c r="D16281">
        <v>0</v>
      </c>
      <c r="E16281">
        <v>0</v>
      </c>
      <c r="F16281">
        <v>0</v>
      </c>
    </row>
    <row r="16282" spans="1:6" x14ac:dyDescent="0.25">
      <c r="A16282">
        <v>16281</v>
      </c>
      <c r="B16282" t="s">
        <v>0</v>
      </c>
      <c r="C16282">
        <v>169</v>
      </c>
      <c r="D16282">
        <v>3508</v>
      </c>
      <c r="E16282">
        <v>80703896</v>
      </c>
    </row>
    <row r="16283" spans="1:6" x14ac:dyDescent="0.25">
      <c r="A16283">
        <v>16282</v>
      </c>
      <c r="B16283">
        <v>44</v>
      </c>
      <c r="C16283">
        <v>0</v>
      </c>
      <c r="D16283">
        <v>0</v>
      </c>
      <c r="E16283">
        <v>0</v>
      </c>
      <c r="F16283">
        <v>47.746600000000001</v>
      </c>
    </row>
    <row r="16284" spans="1:6" x14ac:dyDescent="0.25">
      <c r="A16284">
        <v>16283</v>
      </c>
      <c r="B16284">
        <v>45</v>
      </c>
      <c r="C16284">
        <v>0</v>
      </c>
      <c r="D16284">
        <v>0</v>
      </c>
      <c r="E16284">
        <v>0</v>
      </c>
      <c r="F16284">
        <v>525.13300000000004</v>
      </c>
    </row>
    <row r="16285" spans="1:6" x14ac:dyDescent="0.25">
      <c r="A16285">
        <v>16284</v>
      </c>
      <c r="B16285" t="s">
        <v>0</v>
      </c>
      <c r="C16285">
        <v>170</v>
      </c>
      <c r="D16285">
        <v>3508</v>
      </c>
      <c r="E16285">
        <v>80704032</v>
      </c>
    </row>
    <row r="16286" spans="1:6" x14ac:dyDescent="0.25">
      <c r="A16286">
        <v>16285</v>
      </c>
      <c r="B16286">
        <v>46</v>
      </c>
      <c r="C16286">
        <v>0</v>
      </c>
      <c r="D16286">
        <v>0</v>
      </c>
      <c r="E16286">
        <v>0</v>
      </c>
      <c r="F16286">
        <v>0</v>
      </c>
    </row>
    <row r="16287" spans="1:6" x14ac:dyDescent="0.25">
      <c r="A16287">
        <v>16286</v>
      </c>
      <c r="B16287">
        <v>2</v>
      </c>
      <c r="C16287">
        <v>0</v>
      </c>
      <c r="D16287">
        <v>0</v>
      </c>
      <c r="E16287">
        <v>0</v>
      </c>
      <c r="F16287">
        <v>243.87299999999999</v>
      </c>
    </row>
    <row r="16288" spans="1:6" x14ac:dyDescent="0.25">
      <c r="A16288">
        <v>16287</v>
      </c>
      <c r="B16288" t="s">
        <v>0</v>
      </c>
      <c r="C16288">
        <v>171</v>
      </c>
      <c r="D16288">
        <v>3508</v>
      </c>
      <c r="E16288">
        <v>80704168</v>
      </c>
    </row>
    <row r="16289" spans="1:6" x14ac:dyDescent="0.25">
      <c r="A16289">
        <v>16288</v>
      </c>
      <c r="B16289">
        <v>10</v>
      </c>
      <c r="C16289">
        <v>1</v>
      </c>
      <c r="D16289">
        <v>0</v>
      </c>
      <c r="E16289">
        <v>0</v>
      </c>
      <c r="F16289">
        <v>5313</v>
      </c>
    </row>
    <row r="16290" spans="1:6" x14ac:dyDescent="0.25">
      <c r="A16290">
        <v>16289</v>
      </c>
      <c r="B16290">
        <v>13</v>
      </c>
      <c r="C16290">
        <v>0</v>
      </c>
      <c r="D16290">
        <v>0</v>
      </c>
      <c r="E16290">
        <v>0</v>
      </c>
      <c r="F16290">
        <v>1615</v>
      </c>
    </row>
    <row r="16291" spans="1:6" x14ac:dyDescent="0.25">
      <c r="A16291">
        <v>16290</v>
      </c>
      <c r="B16291" t="s">
        <v>0</v>
      </c>
      <c r="C16291">
        <v>172</v>
      </c>
      <c r="D16291">
        <v>3508</v>
      </c>
      <c r="E16291">
        <v>80704305</v>
      </c>
    </row>
    <row r="16292" spans="1:6" x14ac:dyDescent="0.25">
      <c r="A16292">
        <v>16291</v>
      </c>
      <c r="B16292">
        <v>41</v>
      </c>
      <c r="C16292">
        <v>0</v>
      </c>
      <c r="D16292">
        <v>0</v>
      </c>
      <c r="E16292">
        <v>0</v>
      </c>
      <c r="F16292">
        <v>1</v>
      </c>
    </row>
    <row r="16293" spans="1:6" x14ac:dyDescent="0.25">
      <c r="A16293">
        <v>16292</v>
      </c>
      <c r="B16293">
        <v>42</v>
      </c>
      <c r="C16293">
        <v>0</v>
      </c>
      <c r="D16293">
        <v>0</v>
      </c>
      <c r="E16293">
        <v>0</v>
      </c>
      <c r="F16293">
        <v>0.2</v>
      </c>
    </row>
    <row r="16294" spans="1:6" x14ac:dyDescent="0.25">
      <c r="A16294">
        <v>16293</v>
      </c>
      <c r="B16294" t="s">
        <v>0</v>
      </c>
      <c r="C16294">
        <v>173</v>
      </c>
      <c r="D16294">
        <v>3508</v>
      </c>
      <c r="E16294">
        <v>80704441</v>
      </c>
    </row>
    <row r="16295" spans="1:6" x14ac:dyDescent="0.25">
      <c r="A16295">
        <v>16294</v>
      </c>
      <c r="B16295">
        <v>43</v>
      </c>
      <c r="C16295">
        <v>0</v>
      </c>
      <c r="D16295">
        <v>0</v>
      </c>
      <c r="E16295">
        <v>0</v>
      </c>
      <c r="F16295">
        <v>0</v>
      </c>
    </row>
    <row r="16296" spans="1:6" x14ac:dyDescent="0.25">
      <c r="A16296">
        <v>16295</v>
      </c>
      <c r="B16296">
        <v>44</v>
      </c>
      <c r="C16296">
        <v>0</v>
      </c>
      <c r="D16296">
        <v>0</v>
      </c>
      <c r="E16296">
        <v>0</v>
      </c>
      <c r="F16296">
        <v>47.901299999999999</v>
      </c>
    </row>
    <row r="16297" spans="1:6" x14ac:dyDescent="0.25">
      <c r="A16297">
        <v>16296</v>
      </c>
      <c r="B16297" t="s">
        <v>0</v>
      </c>
      <c r="C16297">
        <v>174</v>
      </c>
      <c r="D16297">
        <v>3508</v>
      </c>
      <c r="E16297">
        <v>80704577</v>
      </c>
    </row>
    <row r="16298" spans="1:6" x14ac:dyDescent="0.25">
      <c r="A16298">
        <v>16297</v>
      </c>
      <c r="B16298">
        <v>45</v>
      </c>
      <c r="C16298">
        <v>0</v>
      </c>
      <c r="D16298">
        <v>0</v>
      </c>
      <c r="E16298">
        <v>0</v>
      </c>
      <c r="F16298">
        <v>525.19899999999996</v>
      </c>
    </row>
    <row r="16299" spans="1:6" x14ac:dyDescent="0.25">
      <c r="A16299">
        <v>16298</v>
      </c>
      <c r="B16299">
        <v>46</v>
      </c>
      <c r="C16299">
        <v>0</v>
      </c>
      <c r="D16299">
        <v>0</v>
      </c>
      <c r="E16299">
        <v>0</v>
      </c>
      <c r="F16299">
        <v>0</v>
      </c>
    </row>
    <row r="16300" spans="1:6" x14ac:dyDescent="0.25">
      <c r="A16300">
        <v>16299</v>
      </c>
      <c r="B16300" t="s">
        <v>0</v>
      </c>
      <c r="C16300">
        <v>175</v>
      </c>
      <c r="D16300">
        <v>3508</v>
      </c>
      <c r="E16300">
        <v>80704713</v>
      </c>
    </row>
    <row r="16301" spans="1:6" x14ac:dyDescent="0.25">
      <c r="A16301">
        <v>16300</v>
      </c>
      <c r="B16301">
        <v>2</v>
      </c>
      <c r="C16301">
        <v>0</v>
      </c>
      <c r="D16301">
        <v>0</v>
      </c>
      <c r="E16301">
        <v>0</v>
      </c>
      <c r="F16301">
        <v>243.87700000000001</v>
      </c>
    </row>
    <row r="16302" spans="1:6" x14ac:dyDescent="0.25">
      <c r="A16302">
        <v>16301</v>
      </c>
      <c r="B16302">
        <v>10</v>
      </c>
      <c r="C16302">
        <v>1</v>
      </c>
      <c r="D16302">
        <v>0</v>
      </c>
      <c r="E16302">
        <v>0</v>
      </c>
      <c r="F16302">
        <v>5314</v>
      </c>
    </row>
    <row r="16303" spans="1:6" x14ac:dyDescent="0.25">
      <c r="A16303">
        <v>16302</v>
      </c>
      <c r="B16303" t="s">
        <v>0</v>
      </c>
      <c r="C16303">
        <v>176</v>
      </c>
      <c r="D16303">
        <v>3508</v>
      </c>
      <c r="E16303">
        <v>80704849</v>
      </c>
    </row>
    <row r="16304" spans="1:6" x14ac:dyDescent="0.25">
      <c r="A16304">
        <v>16303</v>
      </c>
      <c r="B16304">
        <v>41</v>
      </c>
      <c r="C16304">
        <v>0</v>
      </c>
      <c r="D16304">
        <v>0</v>
      </c>
      <c r="E16304">
        <v>0</v>
      </c>
      <c r="F16304">
        <v>1</v>
      </c>
    </row>
    <row r="16305" spans="1:6" x14ac:dyDescent="0.25">
      <c r="A16305">
        <v>16304</v>
      </c>
      <c r="B16305" t="s">
        <v>0</v>
      </c>
      <c r="C16305">
        <v>177</v>
      </c>
      <c r="D16305">
        <v>3508</v>
      </c>
      <c r="E16305">
        <v>80704985</v>
      </c>
    </row>
    <row r="16306" spans="1:6" x14ac:dyDescent="0.25">
      <c r="A16306">
        <v>16305</v>
      </c>
      <c r="B16306">
        <v>43</v>
      </c>
      <c r="C16306">
        <v>0</v>
      </c>
      <c r="D16306">
        <v>0</v>
      </c>
      <c r="E16306">
        <v>0</v>
      </c>
      <c r="F16306">
        <v>0</v>
      </c>
    </row>
    <row r="16307" spans="1:6" x14ac:dyDescent="0.25">
      <c r="A16307">
        <v>16306</v>
      </c>
      <c r="B16307" t="s">
        <v>0</v>
      </c>
      <c r="C16307">
        <v>178</v>
      </c>
      <c r="D16307">
        <v>3508</v>
      </c>
      <c r="E16307">
        <v>80705121</v>
      </c>
    </row>
    <row r="16308" spans="1:6" x14ac:dyDescent="0.25">
      <c r="A16308">
        <v>16307</v>
      </c>
      <c r="B16308">
        <v>45</v>
      </c>
      <c r="C16308">
        <v>0</v>
      </c>
      <c r="D16308">
        <v>0</v>
      </c>
      <c r="E16308">
        <v>0</v>
      </c>
      <c r="F16308">
        <v>525.25099999999998</v>
      </c>
    </row>
    <row r="16309" spans="1:6" x14ac:dyDescent="0.25">
      <c r="A16309">
        <v>16308</v>
      </c>
      <c r="B16309">
        <v>46</v>
      </c>
      <c r="C16309">
        <v>0</v>
      </c>
      <c r="D16309">
        <v>0</v>
      </c>
      <c r="E16309">
        <v>0</v>
      </c>
      <c r="F16309">
        <v>0</v>
      </c>
    </row>
    <row r="16310" spans="1:6" x14ac:dyDescent="0.25">
      <c r="A16310">
        <v>16309</v>
      </c>
      <c r="B16310">
        <v>2</v>
      </c>
      <c r="C16310">
        <v>0</v>
      </c>
      <c r="D16310">
        <v>0</v>
      </c>
      <c r="E16310">
        <v>0</v>
      </c>
      <c r="F16310">
        <v>243.87899999999999</v>
      </c>
    </row>
    <row r="16311" spans="1:6" x14ac:dyDescent="0.25">
      <c r="A16311">
        <v>16310</v>
      </c>
      <c r="B16311" t="s">
        <v>0</v>
      </c>
      <c r="C16311">
        <v>0</v>
      </c>
      <c r="D16311">
        <v>3509</v>
      </c>
      <c r="E16311">
        <v>80705394</v>
      </c>
    </row>
    <row r="16312" spans="1:6" x14ac:dyDescent="0.25">
      <c r="A16312">
        <v>16311</v>
      </c>
      <c r="B16312">
        <v>13</v>
      </c>
      <c r="C16312">
        <v>0</v>
      </c>
      <c r="D16312">
        <v>0</v>
      </c>
      <c r="E16312">
        <v>0</v>
      </c>
      <c r="F16312">
        <v>1615</v>
      </c>
    </row>
    <row r="16313" spans="1:6" x14ac:dyDescent="0.25">
      <c r="A16313">
        <v>16312</v>
      </c>
      <c r="B16313" t="s">
        <v>0</v>
      </c>
      <c r="C16313">
        <v>1</v>
      </c>
      <c r="D16313">
        <v>3509</v>
      </c>
      <c r="E16313">
        <v>80705531</v>
      </c>
    </row>
    <row r="16314" spans="1:6" x14ac:dyDescent="0.25">
      <c r="A16314">
        <v>16313</v>
      </c>
      <c r="B16314">
        <v>42</v>
      </c>
      <c r="C16314">
        <v>0</v>
      </c>
      <c r="D16314">
        <v>0</v>
      </c>
      <c r="E16314">
        <v>0</v>
      </c>
      <c r="F16314">
        <v>0.2</v>
      </c>
    </row>
    <row r="16315" spans="1:6" x14ac:dyDescent="0.25">
      <c r="A16315">
        <v>16314</v>
      </c>
      <c r="B16315" t="s">
        <v>0</v>
      </c>
      <c r="C16315">
        <v>2</v>
      </c>
      <c r="D16315">
        <v>3509</v>
      </c>
      <c r="E16315">
        <v>80705667</v>
      </c>
    </row>
    <row r="16316" spans="1:6" x14ac:dyDescent="0.25">
      <c r="A16316">
        <v>16315</v>
      </c>
      <c r="B16316">
        <v>44</v>
      </c>
      <c r="C16316">
        <v>0</v>
      </c>
      <c r="D16316">
        <v>0</v>
      </c>
      <c r="E16316">
        <v>0</v>
      </c>
      <c r="F16316">
        <v>48.188699999999997</v>
      </c>
    </row>
    <row r="16317" spans="1:6" x14ac:dyDescent="0.25">
      <c r="A16317">
        <v>16316</v>
      </c>
      <c r="B16317">
        <v>45</v>
      </c>
      <c r="C16317">
        <v>0</v>
      </c>
      <c r="D16317">
        <v>0</v>
      </c>
      <c r="E16317">
        <v>0</v>
      </c>
      <c r="F16317">
        <v>525.27800000000002</v>
      </c>
    </row>
    <row r="16318" spans="1:6" x14ac:dyDescent="0.25">
      <c r="A16318">
        <v>16317</v>
      </c>
      <c r="B16318">
        <v>46</v>
      </c>
      <c r="C16318">
        <v>0</v>
      </c>
      <c r="D16318">
        <v>0</v>
      </c>
      <c r="E16318">
        <v>0</v>
      </c>
      <c r="F16318">
        <v>0</v>
      </c>
    </row>
    <row r="16319" spans="1:6" x14ac:dyDescent="0.25">
      <c r="A16319">
        <v>16318</v>
      </c>
      <c r="B16319">
        <v>2</v>
      </c>
      <c r="C16319">
        <v>0</v>
      </c>
      <c r="D16319">
        <v>0</v>
      </c>
      <c r="E16319">
        <v>0</v>
      </c>
      <c r="F16319">
        <v>243.88</v>
      </c>
    </row>
    <row r="16320" spans="1:6" x14ac:dyDescent="0.25">
      <c r="A16320">
        <v>16319</v>
      </c>
      <c r="B16320">
        <v>10</v>
      </c>
      <c r="C16320">
        <v>1</v>
      </c>
      <c r="D16320">
        <v>0</v>
      </c>
      <c r="E16320">
        <v>0</v>
      </c>
      <c r="F16320">
        <v>5316</v>
      </c>
    </row>
    <row r="16321" spans="1:6" x14ac:dyDescent="0.25">
      <c r="A16321">
        <v>16320</v>
      </c>
      <c r="B16321">
        <v>13</v>
      </c>
      <c r="C16321">
        <v>0</v>
      </c>
      <c r="D16321">
        <v>0</v>
      </c>
      <c r="E16321">
        <v>0</v>
      </c>
      <c r="F16321">
        <v>1615</v>
      </c>
    </row>
    <row r="16322" spans="1:6" x14ac:dyDescent="0.25">
      <c r="A16322">
        <v>16321</v>
      </c>
      <c r="B16322">
        <v>41</v>
      </c>
      <c r="C16322">
        <v>0</v>
      </c>
      <c r="D16322">
        <v>0</v>
      </c>
      <c r="E16322">
        <v>0</v>
      </c>
      <c r="F16322">
        <v>1</v>
      </c>
    </row>
    <row r="16323" spans="1:6" x14ac:dyDescent="0.25">
      <c r="A16323">
        <v>16322</v>
      </c>
      <c r="B16323">
        <v>42</v>
      </c>
      <c r="C16323">
        <v>0</v>
      </c>
      <c r="D16323">
        <v>0</v>
      </c>
      <c r="E16323">
        <v>0</v>
      </c>
      <c r="F16323">
        <v>0.2</v>
      </c>
    </row>
    <row r="16324" spans="1:6" x14ac:dyDescent="0.25">
      <c r="A16324">
        <v>16323</v>
      </c>
      <c r="B16324">
        <v>43</v>
      </c>
      <c r="C16324">
        <v>0</v>
      </c>
      <c r="D16324">
        <v>0</v>
      </c>
      <c r="E16324">
        <v>0</v>
      </c>
      <c r="F16324">
        <v>0</v>
      </c>
    </row>
    <row r="16325" spans="1:6" x14ac:dyDescent="0.25">
      <c r="A16325">
        <v>16324</v>
      </c>
      <c r="B16325">
        <v>44</v>
      </c>
      <c r="C16325">
        <v>0</v>
      </c>
      <c r="D16325">
        <v>0</v>
      </c>
      <c r="E16325">
        <v>0</v>
      </c>
      <c r="F16325">
        <v>48.336799999999997</v>
      </c>
    </row>
    <row r="16326" spans="1:6" x14ac:dyDescent="0.25">
      <c r="A16326">
        <v>16325</v>
      </c>
      <c r="B16326">
        <v>45</v>
      </c>
      <c r="C16326">
        <v>0</v>
      </c>
      <c r="D16326">
        <v>0</v>
      </c>
      <c r="E16326">
        <v>0</v>
      </c>
      <c r="F16326">
        <v>525.34400000000005</v>
      </c>
    </row>
    <row r="16327" spans="1:6" x14ac:dyDescent="0.25">
      <c r="A16327">
        <v>16326</v>
      </c>
      <c r="B16327">
        <v>46</v>
      </c>
      <c r="C16327">
        <v>0</v>
      </c>
      <c r="D16327">
        <v>0</v>
      </c>
      <c r="E16327">
        <v>0</v>
      </c>
      <c r="F16327">
        <v>0</v>
      </c>
    </row>
    <row r="16328" spans="1:6" x14ac:dyDescent="0.25">
      <c r="A16328">
        <v>16327</v>
      </c>
      <c r="B16328">
        <v>2</v>
      </c>
      <c r="C16328">
        <v>0</v>
      </c>
      <c r="D16328">
        <v>0</v>
      </c>
      <c r="E16328">
        <v>0</v>
      </c>
      <c r="F16328">
        <v>243.90899999999999</v>
      </c>
    </row>
    <row r="16329" spans="1:6" x14ac:dyDescent="0.25">
      <c r="A16329">
        <v>16328</v>
      </c>
      <c r="B16329">
        <v>10</v>
      </c>
      <c r="C16329">
        <v>1</v>
      </c>
      <c r="D16329">
        <v>0</v>
      </c>
      <c r="E16329">
        <v>0</v>
      </c>
      <c r="F16329">
        <v>5316</v>
      </c>
    </row>
    <row r="16330" spans="1:6" x14ac:dyDescent="0.25">
      <c r="A16330">
        <v>16329</v>
      </c>
      <c r="B16330">
        <v>13</v>
      </c>
      <c r="C16330">
        <v>0</v>
      </c>
      <c r="D16330">
        <v>0</v>
      </c>
      <c r="E16330">
        <v>0</v>
      </c>
      <c r="F16330">
        <v>1615</v>
      </c>
    </row>
    <row r="16331" spans="1:6" x14ac:dyDescent="0.25">
      <c r="A16331">
        <v>16330</v>
      </c>
      <c r="B16331">
        <v>41</v>
      </c>
      <c r="C16331">
        <v>0</v>
      </c>
      <c r="D16331">
        <v>0</v>
      </c>
      <c r="E16331">
        <v>0</v>
      </c>
      <c r="F16331">
        <v>1</v>
      </c>
    </row>
    <row r="16332" spans="1:6" x14ac:dyDescent="0.25">
      <c r="A16332">
        <v>16331</v>
      </c>
      <c r="B16332">
        <v>42</v>
      </c>
      <c r="C16332">
        <v>0</v>
      </c>
      <c r="D16332">
        <v>0</v>
      </c>
      <c r="E16332">
        <v>0</v>
      </c>
      <c r="F16332">
        <v>0.2</v>
      </c>
    </row>
    <row r="16333" spans="1:6" x14ac:dyDescent="0.25">
      <c r="A16333">
        <v>16332</v>
      </c>
      <c r="B16333">
        <v>43</v>
      </c>
      <c r="C16333">
        <v>0</v>
      </c>
      <c r="D16333">
        <v>0</v>
      </c>
      <c r="E16333">
        <v>0</v>
      </c>
      <c r="F16333">
        <v>0</v>
      </c>
    </row>
    <row r="16334" spans="1:6" x14ac:dyDescent="0.25">
      <c r="A16334">
        <v>16333</v>
      </c>
      <c r="B16334">
        <v>44</v>
      </c>
      <c r="C16334">
        <v>0</v>
      </c>
      <c r="D16334">
        <v>0</v>
      </c>
      <c r="E16334">
        <v>0</v>
      </c>
      <c r="F16334">
        <v>48.414000000000001</v>
      </c>
    </row>
    <row r="16335" spans="1:6" x14ac:dyDescent="0.25">
      <c r="A16335">
        <v>16334</v>
      </c>
      <c r="B16335">
        <v>45</v>
      </c>
      <c r="C16335">
        <v>0</v>
      </c>
      <c r="D16335">
        <v>0</v>
      </c>
      <c r="E16335">
        <v>0</v>
      </c>
      <c r="F16335">
        <v>525.39599999999996</v>
      </c>
    </row>
    <row r="16336" spans="1:6" x14ac:dyDescent="0.25">
      <c r="A16336">
        <v>16335</v>
      </c>
      <c r="B16336" t="s">
        <v>0</v>
      </c>
      <c r="C16336">
        <v>12</v>
      </c>
      <c r="D16336">
        <v>3509</v>
      </c>
      <c r="E16336">
        <v>80707028</v>
      </c>
    </row>
    <row r="16337" spans="1:6" x14ac:dyDescent="0.25">
      <c r="A16337">
        <v>16336</v>
      </c>
      <c r="B16337">
        <v>46</v>
      </c>
      <c r="C16337">
        <v>0</v>
      </c>
      <c r="D16337">
        <v>0</v>
      </c>
      <c r="E16337">
        <v>0</v>
      </c>
      <c r="F16337">
        <v>0</v>
      </c>
    </row>
    <row r="16338" spans="1:6" x14ac:dyDescent="0.25">
      <c r="A16338">
        <v>16337</v>
      </c>
      <c r="B16338">
        <v>2</v>
      </c>
      <c r="C16338">
        <v>0</v>
      </c>
      <c r="D16338">
        <v>0</v>
      </c>
      <c r="E16338">
        <v>0</v>
      </c>
      <c r="F16338">
        <v>243.971</v>
      </c>
    </row>
    <row r="16339" spans="1:6" x14ac:dyDescent="0.25">
      <c r="A16339">
        <v>16338</v>
      </c>
      <c r="B16339" t="s">
        <v>0</v>
      </c>
      <c r="C16339">
        <v>13</v>
      </c>
      <c r="D16339">
        <v>3509</v>
      </c>
      <c r="E16339">
        <v>80707164</v>
      </c>
    </row>
    <row r="16340" spans="1:6" x14ac:dyDescent="0.25">
      <c r="A16340">
        <v>16339</v>
      </c>
      <c r="B16340">
        <v>10</v>
      </c>
      <c r="C16340">
        <v>1</v>
      </c>
      <c r="D16340">
        <v>0</v>
      </c>
      <c r="E16340">
        <v>0</v>
      </c>
      <c r="F16340">
        <v>5316</v>
      </c>
    </row>
    <row r="16341" spans="1:6" x14ac:dyDescent="0.25">
      <c r="A16341">
        <v>16340</v>
      </c>
      <c r="B16341">
        <v>13</v>
      </c>
      <c r="C16341">
        <v>0</v>
      </c>
      <c r="D16341">
        <v>0</v>
      </c>
      <c r="E16341">
        <v>0</v>
      </c>
      <c r="F16341">
        <v>1615</v>
      </c>
    </row>
    <row r="16342" spans="1:6" x14ac:dyDescent="0.25">
      <c r="A16342">
        <v>16341</v>
      </c>
      <c r="B16342" t="s">
        <v>0</v>
      </c>
      <c r="C16342">
        <v>14</v>
      </c>
      <c r="D16342">
        <v>3509</v>
      </c>
      <c r="E16342">
        <v>80707300</v>
      </c>
    </row>
    <row r="16343" spans="1:6" x14ac:dyDescent="0.25">
      <c r="A16343">
        <v>16342</v>
      </c>
      <c r="B16343">
        <v>41</v>
      </c>
      <c r="C16343">
        <v>0</v>
      </c>
      <c r="D16343">
        <v>0</v>
      </c>
      <c r="E16343">
        <v>0</v>
      </c>
      <c r="F16343">
        <v>1</v>
      </c>
    </row>
    <row r="16344" spans="1:6" x14ac:dyDescent="0.25">
      <c r="A16344">
        <v>16343</v>
      </c>
      <c r="B16344">
        <v>42</v>
      </c>
      <c r="C16344">
        <v>0</v>
      </c>
      <c r="D16344">
        <v>0</v>
      </c>
      <c r="E16344">
        <v>0</v>
      </c>
      <c r="F16344">
        <v>0.2</v>
      </c>
    </row>
    <row r="16345" spans="1:6" x14ac:dyDescent="0.25">
      <c r="A16345">
        <v>16344</v>
      </c>
      <c r="B16345" t="s">
        <v>0</v>
      </c>
      <c r="C16345">
        <v>15</v>
      </c>
      <c r="D16345">
        <v>3509</v>
      </c>
      <c r="E16345">
        <v>80707436</v>
      </c>
    </row>
    <row r="16346" spans="1:6" x14ac:dyDescent="0.25">
      <c r="A16346">
        <v>16345</v>
      </c>
      <c r="B16346">
        <v>43</v>
      </c>
      <c r="C16346">
        <v>0</v>
      </c>
      <c r="D16346">
        <v>0</v>
      </c>
      <c r="E16346">
        <v>0</v>
      </c>
      <c r="F16346">
        <v>0</v>
      </c>
    </row>
    <row r="16347" spans="1:6" x14ac:dyDescent="0.25">
      <c r="A16347">
        <v>16346</v>
      </c>
      <c r="B16347">
        <v>44</v>
      </c>
      <c r="C16347">
        <v>0</v>
      </c>
      <c r="D16347">
        <v>0</v>
      </c>
      <c r="E16347">
        <v>0</v>
      </c>
      <c r="F16347">
        <v>48.507100000000001</v>
      </c>
    </row>
    <row r="16348" spans="1:6" x14ac:dyDescent="0.25">
      <c r="A16348">
        <v>16347</v>
      </c>
      <c r="B16348" t="s">
        <v>0</v>
      </c>
      <c r="C16348">
        <v>16</v>
      </c>
      <c r="D16348">
        <v>3509</v>
      </c>
      <c r="E16348">
        <v>80707572</v>
      </c>
    </row>
    <row r="16349" spans="1:6" x14ac:dyDescent="0.25">
      <c r="A16349">
        <v>16348</v>
      </c>
      <c r="B16349">
        <v>45</v>
      </c>
      <c r="C16349">
        <v>0</v>
      </c>
      <c r="D16349">
        <v>0</v>
      </c>
      <c r="E16349">
        <v>0</v>
      </c>
      <c r="F16349">
        <v>525.46299999999997</v>
      </c>
    </row>
    <row r="16350" spans="1:6" x14ac:dyDescent="0.25">
      <c r="A16350">
        <v>16349</v>
      </c>
      <c r="B16350">
        <v>46</v>
      </c>
      <c r="C16350">
        <v>0</v>
      </c>
      <c r="D16350">
        <v>0</v>
      </c>
      <c r="E16350">
        <v>0</v>
      </c>
      <c r="F16350">
        <v>0</v>
      </c>
    </row>
    <row r="16351" spans="1:6" x14ac:dyDescent="0.25">
      <c r="A16351">
        <v>16350</v>
      </c>
      <c r="B16351" t="s">
        <v>0</v>
      </c>
      <c r="C16351">
        <v>17</v>
      </c>
      <c r="D16351">
        <v>3509</v>
      </c>
      <c r="E16351">
        <v>80707708</v>
      </c>
    </row>
    <row r="16352" spans="1:6" x14ac:dyDescent="0.25">
      <c r="A16352">
        <v>16351</v>
      </c>
      <c r="B16352">
        <v>2</v>
      </c>
      <c r="C16352">
        <v>0</v>
      </c>
      <c r="D16352">
        <v>0</v>
      </c>
      <c r="E16352">
        <v>0</v>
      </c>
      <c r="F16352">
        <v>244.03399999999999</v>
      </c>
    </row>
    <row r="16353" spans="1:6" x14ac:dyDescent="0.25">
      <c r="A16353">
        <v>16352</v>
      </c>
      <c r="B16353">
        <v>10</v>
      </c>
      <c r="C16353">
        <v>1</v>
      </c>
      <c r="D16353">
        <v>0</v>
      </c>
      <c r="E16353">
        <v>0</v>
      </c>
      <c r="F16353">
        <v>5315</v>
      </c>
    </row>
    <row r="16354" spans="1:6" x14ac:dyDescent="0.25">
      <c r="A16354">
        <v>16353</v>
      </c>
      <c r="B16354" t="s">
        <v>0</v>
      </c>
      <c r="C16354">
        <v>18</v>
      </c>
      <c r="D16354">
        <v>3509</v>
      </c>
      <c r="E16354">
        <v>80707844</v>
      </c>
    </row>
    <row r="16355" spans="1:6" x14ac:dyDescent="0.25">
      <c r="A16355">
        <v>16354</v>
      </c>
      <c r="B16355">
        <v>13</v>
      </c>
      <c r="C16355">
        <v>0</v>
      </c>
      <c r="D16355">
        <v>0</v>
      </c>
      <c r="E16355">
        <v>0</v>
      </c>
      <c r="F16355">
        <v>1615</v>
      </c>
    </row>
    <row r="16356" spans="1:6" x14ac:dyDescent="0.25">
      <c r="A16356">
        <v>16355</v>
      </c>
      <c r="B16356">
        <v>41</v>
      </c>
      <c r="C16356">
        <v>0</v>
      </c>
      <c r="D16356">
        <v>0</v>
      </c>
      <c r="E16356">
        <v>0</v>
      </c>
      <c r="F16356">
        <v>1</v>
      </c>
    </row>
    <row r="16357" spans="1:6" x14ac:dyDescent="0.25">
      <c r="A16357">
        <v>16356</v>
      </c>
      <c r="B16357" t="s">
        <v>0</v>
      </c>
      <c r="C16357">
        <v>19</v>
      </c>
      <c r="D16357">
        <v>3509</v>
      </c>
      <c r="E16357">
        <v>80707980</v>
      </c>
    </row>
    <row r="16358" spans="1:6" x14ac:dyDescent="0.25">
      <c r="A16358">
        <v>16357</v>
      </c>
      <c r="B16358">
        <v>42</v>
      </c>
      <c r="C16358">
        <v>0</v>
      </c>
      <c r="D16358">
        <v>0</v>
      </c>
      <c r="E16358">
        <v>0</v>
      </c>
      <c r="F16358">
        <v>0.2</v>
      </c>
    </row>
    <row r="16359" spans="1:6" x14ac:dyDescent="0.25">
      <c r="A16359">
        <v>16358</v>
      </c>
      <c r="B16359">
        <v>43</v>
      </c>
      <c r="C16359">
        <v>0</v>
      </c>
      <c r="D16359">
        <v>0</v>
      </c>
      <c r="E16359">
        <v>0</v>
      </c>
      <c r="F16359">
        <v>0</v>
      </c>
    </row>
    <row r="16360" spans="1:6" x14ac:dyDescent="0.25">
      <c r="A16360">
        <v>16359</v>
      </c>
      <c r="B16360" t="s">
        <v>0</v>
      </c>
      <c r="C16360">
        <v>20</v>
      </c>
      <c r="D16360">
        <v>3509</v>
      </c>
      <c r="E16360">
        <v>80708116</v>
      </c>
    </row>
    <row r="16361" spans="1:6" x14ac:dyDescent="0.25">
      <c r="A16361">
        <v>16360</v>
      </c>
      <c r="B16361">
        <v>45</v>
      </c>
      <c r="C16361">
        <v>0</v>
      </c>
      <c r="D16361">
        <v>0</v>
      </c>
      <c r="E16361">
        <v>0</v>
      </c>
      <c r="F16361">
        <v>525.51599999999996</v>
      </c>
    </row>
    <row r="16362" spans="1:6" x14ac:dyDescent="0.25">
      <c r="A16362">
        <v>16361</v>
      </c>
      <c r="B16362" t="s">
        <v>0</v>
      </c>
      <c r="C16362">
        <v>21</v>
      </c>
      <c r="D16362">
        <v>3509</v>
      </c>
      <c r="E16362">
        <v>80708252</v>
      </c>
    </row>
    <row r="16363" spans="1:6" x14ac:dyDescent="0.25">
      <c r="A16363">
        <v>16362</v>
      </c>
      <c r="B16363">
        <v>2</v>
      </c>
      <c r="C16363">
        <v>0</v>
      </c>
      <c r="D16363">
        <v>0</v>
      </c>
      <c r="E16363">
        <v>0</v>
      </c>
      <c r="F16363">
        <v>244.07400000000001</v>
      </c>
    </row>
    <row r="16364" spans="1:6" x14ac:dyDescent="0.25">
      <c r="A16364">
        <v>16363</v>
      </c>
      <c r="B16364" t="s">
        <v>0</v>
      </c>
      <c r="C16364">
        <v>22</v>
      </c>
      <c r="D16364">
        <v>3509</v>
      </c>
      <c r="E16364">
        <v>80708388</v>
      </c>
    </row>
    <row r="16365" spans="1:6" x14ac:dyDescent="0.25">
      <c r="A16365">
        <v>16364</v>
      </c>
      <c r="B16365">
        <v>13</v>
      </c>
      <c r="C16365">
        <v>0</v>
      </c>
      <c r="D16365">
        <v>0</v>
      </c>
      <c r="E16365">
        <v>0</v>
      </c>
      <c r="F16365">
        <v>1615</v>
      </c>
    </row>
    <row r="16366" spans="1:6" x14ac:dyDescent="0.25">
      <c r="A16366">
        <v>16365</v>
      </c>
      <c r="B16366" t="s">
        <v>0</v>
      </c>
      <c r="C16366">
        <v>23</v>
      </c>
      <c r="D16366">
        <v>3509</v>
      </c>
      <c r="E16366">
        <v>80708524</v>
      </c>
    </row>
    <row r="16367" spans="1:6" x14ac:dyDescent="0.25">
      <c r="A16367">
        <v>16366</v>
      </c>
      <c r="B16367">
        <v>42</v>
      </c>
      <c r="C16367">
        <v>0</v>
      </c>
      <c r="D16367">
        <v>0</v>
      </c>
      <c r="E16367">
        <v>0</v>
      </c>
      <c r="F16367">
        <v>0.2</v>
      </c>
    </row>
    <row r="16368" spans="1:6" x14ac:dyDescent="0.25">
      <c r="A16368">
        <v>16367</v>
      </c>
      <c r="B16368" t="s">
        <v>0</v>
      </c>
      <c r="C16368">
        <v>24</v>
      </c>
      <c r="D16368">
        <v>3509</v>
      </c>
      <c r="E16368">
        <v>80708660</v>
      </c>
    </row>
    <row r="16369" spans="1:6" x14ac:dyDescent="0.25">
      <c r="A16369">
        <v>16368</v>
      </c>
      <c r="B16369">
        <v>44</v>
      </c>
      <c r="C16369">
        <v>0</v>
      </c>
      <c r="D16369">
        <v>0</v>
      </c>
      <c r="E16369">
        <v>0</v>
      </c>
      <c r="F16369">
        <v>48.719799999999999</v>
      </c>
    </row>
    <row r="16370" spans="1:6" x14ac:dyDescent="0.25">
      <c r="A16370">
        <v>16369</v>
      </c>
      <c r="B16370" t="s">
        <v>0</v>
      </c>
      <c r="C16370">
        <v>25</v>
      </c>
      <c r="D16370">
        <v>3509</v>
      </c>
      <c r="E16370">
        <v>80708796</v>
      </c>
    </row>
    <row r="16371" spans="1:6" x14ac:dyDescent="0.25">
      <c r="A16371">
        <v>16370</v>
      </c>
      <c r="B16371">
        <v>46</v>
      </c>
      <c r="C16371">
        <v>0</v>
      </c>
      <c r="D16371">
        <v>0</v>
      </c>
      <c r="E16371">
        <v>0</v>
      </c>
      <c r="F16371">
        <v>0</v>
      </c>
    </row>
    <row r="16372" spans="1:6" x14ac:dyDescent="0.25">
      <c r="A16372">
        <v>16371</v>
      </c>
      <c r="B16372" t="s">
        <v>0</v>
      </c>
      <c r="C16372">
        <v>26</v>
      </c>
      <c r="D16372">
        <v>3509</v>
      </c>
      <c r="E16372">
        <v>80708932</v>
      </c>
    </row>
    <row r="16373" spans="1:6" x14ac:dyDescent="0.25">
      <c r="A16373">
        <v>16372</v>
      </c>
      <c r="B16373">
        <v>10</v>
      </c>
      <c r="C16373">
        <v>1</v>
      </c>
      <c r="D16373">
        <v>0</v>
      </c>
      <c r="E16373">
        <v>0</v>
      </c>
      <c r="F16373">
        <v>5316</v>
      </c>
    </row>
    <row r="16374" spans="1:6" x14ac:dyDescent="0.25">
      <c r="A16374">
        <v>16373</v>
      </c>
      <c r="B16374" t="s">
        <v>0</v>
      </c>
      <c r="C16374">
        <v>27</v>
      </c>
      <c r="D16374">
        <v>3509</v>
      </c>
      <c r="E16374">
        <v>80709068</v>
      </c>
    </row>
    <row r="16375" spans="1:6" x14ac:dyDescent="0.25">
      <c r="A16375">
        <v>16374</v>
      </c>
      <c r="B16375">
        <v>41</v>
      </c>
      <c r="C16375">
        <v>0</v>
      </c>
      <c r="D16375">
        <v>0</v>
      </c>
      <c r="E16375">
        <v>0</v>
      </c>
      <c r="F16375">
        <v>1</v>
      </c>
    </row>
    <row r="16376" spans="1:6" x14ac:dyDescent="0.25">
      <c r="A16376">
        <v>16375</v>
      </c>
      <c r="B16376">
        <v>42</v>
      </c>
      <c r="C16376">
        <v>0</v>
      </c>
      <c r="D16376">
        <v>0</v>
      </c>
      <c r="E16376">
        <v>0</v>
      </c>
      <c r="F16376">
        <v>0.2</v>
      </c>
    </row>
    <row r="16377" spans="1:6" x14ac:dyDescent="0.25">
      <c r="A16377">
        <v>16376</v>
      </c>
      <c r="B16377">
        <v>43</v>
      </c>
      <c r="C16377">
        <v>0</v>
      </c>
      <c r="D16377">
        <v>0</v>
      </c>
      <c r="E16377">
        <v>0</v>
      </c>
      <c r="F16377">
        <v>0</v>
      </c>
    </row>
    <row r="16378" spans="1:6" x14ac:dyDescent="0.25">
      <c r="A16378">
        <v>16377</v>
      </c>
      <c r="B16378">
        <v>44</v>
      </c>
      <c r="C16378">
        <v>0</v>
      </c>
      <c r="D16378">
        <v>0</v>
      </c>
      <c r="E16378">
        <v>0</v>
      </c>
      <c r="F16378">
        <v>48.843000000000004</v>
      </c>
    </row>
    <row r="16379" spans="1:6" x14ac:dyDescent="0.25">
      <c r="A16379">
        <v>16378</v>
      </c>
      <c r="B16379">
        <v>45</v>
      </c>
      <c r="C16379">
        <v>0</v>
      </c>
      <c r="D16379">
        <v>0</v>
      </c>
      <c r="E16379">
        <v>0</v>
      </c>
      <c r="F16379">
        <v>525.63499999999999</v>
      </c>
    </row>
    <row r="16380" spans="1:6" x14ac:dyDescent="0.25">
      <c r="A16380">
        <v>16379</v>
      </c>
      <c r="B16380">
        <v>46</v>
      </c>
      <c r="C16380">
        <v>0</v>
      </c>
      <c r="D16380">
        <v>0</v>
      </c>
      <c r="E16380">
        <v>0</v>
      </c>
      <c r="F16380">
        <v>0</v>
      </c>
    </row>
    <row r="16381" spans="1:6" x14ac:dyDescent="0.25">
      <c r="A16381">
        <v>16380</v>
      </c>
      <c r="B16381">
        <v>2</v>
      </c>
      <c r="C16381">
        <v>0</v>
      </c>
      <c r="D16381">
        <v>0</v>
      </c>
      <c r="E16381">
        <v>0</v>
      </c>
      <c r="F16381">
        <v>244.137</v>
      </c>
    </row>
    <row r="16382" spans="1:6" x14ac:dyDescent="0.25">
      <c r="A16382">
        <v>16381</v>
      </c>
      <c r="B16382">
        <v>10</v>
      </c>
      <c r="C16382">
        <v>1</v>
      </c>
      <c r="D16382">
        <v>0</v>
      </c>
      <c r="E16382">
        <v>0</v>
      </c>
      <c r="F16382">
        <v>5316</v>
      </c>
    </row>
    <row r="16383" spans="1:6" x14ac:dyDescent="0.25">
      <c r="A16383">
        <v>16382</v>
      </c>
      <c r="B16383">
        <v>13</v>
      </c>
      <c r="C16383">
        <v>0</v>
      </c>
      <c r="D16383">
        <v>0</v>
      </c>
      <c r="E16383">
        <v>0</v>
      </c>
      <c r="F16383">
        <v>1615</v>
      </c>
    </row>
    <row r="16384" spans="1:6" x14ac:dyDescent="0.25">
      <c r="A16384">
        <v>16383</v>
      </c>
      <c r="B16384">
        <v>41</v>
      </c>
      <c r="C16384">
        <v>0</v>
      </c>
      <c r="D16384">
        <v>0</v>
      </c>
      <c r="E16384">
        <v>0</v>
      </c>
      <c r="F16384">
        <v>1</v>
      </c>
    </row>
    <row r="16385" spans="1:6" x14ac:dyDescent="0.25">
      <c r="A16385">
        <v>16384</v>
      </c>
      <c r="B16385">
        <v>42</v>
      </c>
      <c r="C16385">
        <v>0</v>
      </c>
      <c r="D16385">
        <v>0</v>
      </c>
      <c r="E16385">
        <v>0</v>
      </c>
      <c r="F16385">
        <v>0.2</v>
      </c>
    </row>
    <row r="16386" spans="1:6" x14ac:dyDescent="0.25">
      <c r="A16386">
        <v>16385</v>
      </c>
      <c r="B16386">
        <v>43</v>
      </c>
      <c r="C16386">
        <v>0</v>
      </c>
      <c r="D16386">
        <v>0</v>
      </c>
      <c r="E16386">
        <v>0</v>
      </c>
      <c r="F16386">
        <v>0</v>
      </c>
    </row>
    <row r="16387" spans="1:6" x14ac:dyDescent="0.25">
      <c r="A16387">
        <v>16386</v>
      </c>
      <c r="B16387">
        <v>44</v>
      </c>
      <c r="C16387">
        <v>0</v>
      </c>
      <c r="D16387">
        <v>0</v>
      </c>
      <c r="E16387">
        <v>0</v>
      </c>
      <c r="F16387">
        <v>48.9649</v>
      </c>
    </row>
    <row r="16388" spans="1:6" x14ac:dyDescent="0.25">
      <c r="A16388">
        <v>16387</v>
      </c>
      <c r="B16388">
        <v>45</v>
      </c>
      <c r="C16388">
        <v>0</v>
      </c>
      <c r="D16388">
        <v>0</v>
      </c>
      <c r="E16388">
        <v>0</v>
      </c>
      <c r="F16388">
        <v>525.68899999999996</v>
      </c>
    </row>
    <row r="16389" spans="1:6" x14ac:dyDescent="0.25">
      <c r="A16389">
        <v>16388</v>
      </c>
      <c r="B16389">
        <v>46</v>
      </c>
      <c r="C16389">
        <v>0</v>
      </c>
      <c r="D16389">
        <v>0</v>
      </c>
      <c r="E16389">
        <v>0</v>
      </c>
      <c r="F16389">
        <v>0</v>
      </c>
    </row>
    <row r="16390" spans="1:6" x14ac:dyDescent="0.25">
      <c r="A16390">
        <v>16389</v>
      </c>
      <c r="B16390">
        <v>2</v>
      </c>
      <c r="C16390">
        <v>0</v>
      </c>
      <c r="D16390">
        <v>0</v>
      </c>
      <c r="E16390">
        <v>0</v>
      </c>
      <c r="F16390">
        <v>244.15799999999999</v>
      </c>
    </row>
    <row r="16391" spans="1:6" x14ac:dyDescent="0.25">
      <c r="A16391">
        <v>16390</v>
      </c>
      <c r="B16391">
        <v>10</v>
      </c>
      <c r="C16391">
        <v>1</v>
      </c>
      <c r="D16391">
        <v>0</v>
      </c>
      <c r="E16391">
        <v>0</v>
      </c>
      <c r="F16391">
        <v>5317</v>
      </c>
    </row>
    <row r="16392" spans="1:6" x14ac:dyDescent="0.25">
      <c r="A16392">
        <v>16391</v>
      </c>
      <c r="B16392">
        <v>13</v>
      </c>
      <c r="C16392">
        <v>0</v>
      </c>
      <c r="D16392">
        <v>0</v>
      </c>
      <c r="E16392">
        <v>0</v>
      </c>
      <c r="F16392">
        <v>1615</v>
      </c>
    </row>
    <row r="16393" spans="1:6" x14ac:dyDescent="0.25">
      <c r="A16393">
        <v>16392</v>
      </c>
      <c r="B16393">
        <v>41</v>
      </c>
      <c r="C16393">
        <v>0</v>
      </c>
      <c r="D16393">
        <v>0</v>
      </c>
      <c r="E16393">
        <v>0</v>
      </c>
      <c r="F16393">
        <v>1</v>
      </c>
    </row>
    <row r="16394" spans="1:6" x14ac:dyDescent="0.25">
      <c r="A16394">
        <v>16393</v>
      </c>
      <c r="B16394">
        <v>42</v>
      </c>
      <c r="C16394">
        <v>0</v>
      </c>
      <c r="D16394">
        <v>0</v>
      </c>
      <c r="E16394">
        <v>0</v>
      </c>
      <c r="F16394">
        <v>0.2</v>
      </c>
    </row>
    <row r="16395" spans="1:6" x14ac:dyDescent="0.25">
      <c r="A16395">
        <v>16394</v>
      </c>
      <c r="B16395" t="s">
        <v>0</v>
      </c>
      <c r="C16395">
        <v>37</v>
      </c>
      <c r="D16395">
        <v>3509</v>
      </c>
      <c r="E16395">
        <v>80710428</v>
      </c>
    </row>
    <row r="16396" spans="1:6" x14ac:dyDescent="0.25">
      <c r="A16396">
        <v>16395</v>
      </c>
      <c r="B16396">
        <v>43</v>
      </c>
      <c r="C16396">
        <v>0</v>
      </c>
      <c r="D16396">
        <v>0</v>
      </c>
      <c r="E16396">
        <v>0</v>
      </c>
      <c r="F16396">
        <v>0</v>
      </c>
    </row>
    <row r="16397" spans="1:6" x14ac:dyDescent="0.25">
      <c r="A16397">
        <v>16396</v>
      </c>
      <c r="B16397">
        <v>44</v>
      </c>
      <c r="C16397">
        <v>0</v>
      </c>
      <c r="D16397">
        <v>0</v>
      </c>
      <c r="E16397">
        <v>0</v>
      </c>
      <c r="F16397">
        <v>49.0974</v>
      </c>
    </row>
    <row r="16398" spans="1:6" x14ac:dyDescent="0.25">
      <c r="A16398">
        <v>16397</v>
      </c>
      <c r="B16398" t="s">
        <v>0</v>
      </c>
      <c r="C16398">
        <v>38</v>
      </c>
      <c r="D16398">
        <v>3509</v>
      </c>
      <c r="E16398">
        <v>80710564</v>
      </c>
    </row>
    <row r="16399" spans="1:6" x14ac:dyDescent="0.25">
      <c r="A16399">
        <v>16398</v>
      </c>
      <c r="B16399">
        <v>45</v>
      </c>
      <c r="C16399">
        <v>0</v>
      </c>
      <c r="D16399">
        <v>0</v>
      </c>
      <c r="E16399">
        <v>0</v>
      </c>
      <c r="F16399">
        <v>525.75599999999997</v>
      </c>
    </row>
    <row r="16400" spans="1:6" x14ac:dyDescent="0.25">
      <c r="A16400">
        <v>16399</v>
      </c>
      <c r="B16400">
        <v>46</v>
      </c>
      <c r="C16400">
        <v>0</v>
      </c>
      <c r="D16400">
        <v>0</v>
      </c>
      <c r="E16400">
        <v>0</v>
      </c>
      <c r="F16400">
        <v>0</v>
      </c>
    </row>
    <row r="16401" spans="1:6" x14ac:dyDescent="0.25">
      <c r="A16401">
        <v>16400</v>
      </c>
      <c r="B16401" t="s">
        <v>0</v>
      </c>
      <c r="C16401">
        <v>39</v>
      </c>
      <c r="D16401">
        <v>3509</v>
      </c>
      <c r="E16401">
        <v>80710700</v>
      </c>
    </row>
    <row r="16402" spans="1:6" x14ac:dyDescent="0.25">
      <c r="A16402">
        <v>16401</v>
      </c>
      <c r="B16402">
        <v>2</v>
      </c>
      <c r="C16402">
        <v>0</v>
      </c>
      <c r="D16402">
        <v>0</v>
      </c>
      <c r="E16402">
        <v>0</v>
      </c>
      <c r="F16402">
        <v>244.178</v>
      </c>
    </row>
    <row r="16403" spans="1:6" x14ac:dyDescent="0.25">
      <c r="A16403">
        <v>16402</v>
      </c>
      <c r="B16403">
        <v>10</v>
      </c>
      <c r="C16403">
        <v>1</v>
      </c>
      <c r="D16403">
        <v>0</v>
      </c>
      <c r="E16403">
        <v>0</v>
      </c>
      <c r="F16403">
        <v>5317</v>
      </c>
    </row>
    <row r="16404" spans="1:6" x14ac:dyDescent="0.25">
      <c r="A16404">
        <v>16403</v>
      </c>
      <c r="B16404" t="s">
        <v>0</v>
      </c>
      <c r="C16404">
        <v>40</v>
      </c>
      <c r="D16404">
        <v>3509</v>
      </c>
      <c r="E16404">
        <v>80710836</v>
      </c>
    </row>
    <row r="16405" spans="1:6" x14ac:dyDescent="0.25">
      <c r="A16405">
        <v>16404</v>
      </c>
      <c r="B16405">
        <v>13</v>
      </c>
      <c r="C16405">
        <v>0</v>
      </c>
      <c r="D16405">
        <v>0</v>
      </c>
      <c r="E16405">
        <v>0</v>
      </c>
      <c r="F16405">
        <v>1615</v>
      </c>
    </row>
    <row r="16406" spans="1:6" x14ac:dyDescent="0.25">
      <c r="A16406">
        <v>16405</v>
      </c>
      <c r="B16406">
        <v>41</v>
      </c>
      <c r="C16406">
        <v>0</v>
      </c>
      <c r="D16406">
        <v>0</v>
      </c>
      <c r="E16406">
        <v>0</v>
      </c>
      <c r="F16406">
        <v>1</v>
      </c>
    </row>
    <row r="16407" spans="1:6" x14ac:dyDescent="0.25">
      <c r="A16407">
        <v>16406</v>
      </c>
      <c r="B16407" t="s">
        <v>0</v>
      </c>
      <c r="C16407">
        <v>41</v>
      </c>
      <c r="D16407">
        <v>3509</v>
      </c>
      <c r="E16407">
        <v>80710972</v>
      </c>
    </row>
    <row r="16408" spans="1:6" x14ac:dyDescent="0.25">
      <c r="A16408">
        <v>16407</v>
      </c>
      <c r="B16408">
        <v>42</v>
      </c>
      <c r="C16408">
        <v>0</v>
      </c>
      <c r="D16408">
        <v>0</v>
      </c>
      <c r="E16408">
        <v>0</v>
      </c>
      <c r="F16408">
        <v>0.2</v>
      </c>
    </row>
    <row r="16409" spans="1:6" x14ac:dyDescent="0.25">
      <c r="A16409">
        <v>16408</v>
      </c>
      <c r="B16409">
        <v>43</v>
      </c>
      <c r="C16409">
        <v>0</v>
      </c>
      <c r="D16409">
        <v>0</v>
      </c>
      <c r="E16409">
        <v>0</v>
      </c>
      <c r="F16409">
        <v>0</v>
      </c>
    </row>
    <row r="16410" spans="1:6" x14ac:dyDescent="0.25">
      <c r="A16410">
        <v>16409</v>
      </c>
      <c r="B16410" t="s">
        <v>0</v>
      </c>
      <c r="C16410">
        <v>42</v>
      </c>
      <c r="D16410">
        <v>3509</v>
      </c>
      <c r="E16410">
        <v>80711108</v>
      </c>
    </row>
    <row r="16411" spans="1:6" x14ac:dyDescent="0.25">
      <c r="A16411">
        <v>16410</v>
      </c>
      <c r="B16411">
        <v>44</v>
      </c>
      <c r="C16411">
        <v>0</v>
      </c>
      <c r="D16411">
        <v>0</v>
      </c>
      <c r="E16411">
        <v>0</v>
      </c>
      <c r="F16411">
        <v>49.255099999999999</v>
      </c>
    </row>
    <row r="16412" spans="1:6" x14ac:dyDescent="0.25">
      <c r="A16412">
        <v>16411</v>
      </c>
      <c r="B16412">
        <v>45</v>
      </c>
      <c r="C16412">
        <v>0</v>
      </c>
      <c r="D16412">
        <v>0</v>
      </c>
      <c r="E16412">
        <v>0</v>
      </c>
      <c r="F16412">
        <v>525.80999999999995</v>
      </c>
    </row>
    <row r="16413" spans="1:6" x14ac:dyDescent="0.25">
      <c r="A16413">
        <v>16412</v>
      </c>
      <c r="B16413" t="s">
        <v>0</v>
      </c>
      <c r="C16413">
        <v>43</v>
      </c>
      <c r="D16413">
        <v>3509</v>
      </c>
      <c r="E16413">
        <v>80711244</v>
      </c>
    </row>
    <row r="16414" spans="1:6" x14ac:dyDescent="0.25">
      <c r="A16414">
        <v>16413</v>
      </c>
      <c r="B16414">
        <v>46</v>
      </c>
      <c r="C16414">
        <v>0</v>
      </c>
      <c r="D16414">
        <v>0</v>
      </c>
      <c r="E16414">
        <v>0</v>
      </c>
      <c r="F16414">
        <v>0</v>
      </c>
    </row>
    <row r="16415" spans="1:6" x14ac:dyDescent="0.25">
      <c r="A16415">
        <v>16414</v>
      </c>
      <c r="B16415">
        <v>2</v>
      </c>
      <c r="C16415">
        <v>0</v>
      </c>
      <c r="D16415">
        <v>0</v>
      </c>
      <c r="E16415">
        <v>0</v>
      </c>
      <c r="F16415">
        <v>244.18700000000001</v>
      </c>
    </row>
    <row r="16416" spans="1:6" x14ac:dyDescent="0.25">
      <c r="A16416">
        <v>16415</v>
      </c>
      <c r="B16416" t="s">
        <v>0</v>
      </c>
      <c r="C16416">
        <v>44</v>
      </c>
      <c r="D16416">
        <v>3509</v>
      </c>
      <c r="E16416">
        <v>80711380</v>
      </c>
    </row>
    <row r="16417" spans="1:6" x14ac:dyDescent="0.25">
      <c r="A16417">
        <v>16416</v>
      </c>
      <c r="B16417">
        <v>10</v>
      </c>
      <c r="C16417">
        <v>1</v>
      </c>
      <c r="D16417">
        <v>0</v>
      </c>
      <c r="E16417">
        <v>0</v>
      </c>
      <c r="F16417">
        <v>5318</v>
      </c>
    </row>
    <row r="16418" spans="1:6" x14ac:dyDescent="0.25">
      <c r="A16418">
        <v>16417</v>
      </c>
      <c r="B16418">
        <v>13</v>
      </c>
      <c r="C16418">
        <v>0</v>
      </c>
      <c r="D16418">
        <v>0</v>
      </c>
      <c r="E16418">
        <v>0</v>
      </c>
      <c r="F16418">
        <v>1615</v>
      </c>
    </row>
    <row r="16419" spans="1:6" x14ac:dyDescent="0.25">
      <c r="A16419">
        <v>16418</v>
      </c>
      <c r="B16419" t="s">
        <v>0</v>
      </c>
      <c r="C16419">
        <v>45</v>
      </c>
      <c r="D16419">
        <v>3509</v>
      </c>
      <c r="E16419">
        <v>80711516</v>
      </c>
    </row>
    <row r="16420" spans="1:6" x14ac:dyDescent="0.25">
      <c r="A16420">
        <v>16419</v>
      </c>
      <c r="B16420">
        <v>42</v>
      </c>
      <c r="C16420">
        <v>0</v>
      </c>
      <c r="D16420">
        <v>0</v>
      </c>
      <c r="E16420">
        <v>0</v>
      </c>
      <c r="F16420">
        <v>0.2</v>
      </c>
    </row>
    <row r="16421" spans="1:6" x14ac:dyDescent="0.25">
      <c r="A16421">
        <v>16420</v>
      </c>
      <c r="B16421" t="s">
        <v>0</v>
      </c>
      <c r="C16421">
        <v>46</v>
      </c>
      <c r="D16421">
        <v>3509</v>
      </c>
      <c r="E16421">
        <v>80711652</v>
      </c>
    </row>
    <row r="16422" spans="1:6" x14ac:dyDescent="0.25">
      <c r="A16422">
        <v>16421</v>
      </c>
      <c r="B16422">
        <v>44</v>
      </c>
      <c r="C16422">
        <v>0</v>
      </c>
      <c r="D16422">
        <v>0</v>
      </c>
      <c r="E16422">
        <v>0</v>
      </c>
      <c r="F16422">
        <v>49.368899999999996</v>
      </c>
    </row>
    <row r="16423" spans="1:6" x14ac:dyDescent="0.25">
      <c r="A16423">
        <v>16422</v>
      </c>
      <c r="B16423" t="s">
        <v>0</v>
      </c>
      <c r="C16423">
        <v>47</v>
      </c>
      <c r="D16423">
        <v>3509</v>
      </c>
      <c r="E16423">
        <v>80711788</v>
      </c>
    </row>
    <row r="16424" spans="1:6" x14ac:dyDescent="0.25">
      <c r="A16424">
        <v>16423</v>
      </c>
      <c r="B16424">
        <v>46</v>
      </c>
      <c r="C16424">
        <v>0</v>
      </c>
      <c r="D16424">
        <v>0</v>
      </c>
      <c r="E16424">
        <v>0</v>
      </c>
      <c r="F16424">
        <v>0</v>
      </c>
    </row>
    <row r="16425" spans="1:6" x14ac:dyDescent="0.25">
      <c r="A16425">
        <v>16424</v>
      </c>
      <c r="B16425" t="s">
        <v>0</v>
      </c>
      <c r="C16425">
        <v>48</v>
      </c>
      <c r="D16425">
        <v>3509</v>
      </c>
      <c r="E16425">
        <v>80711924</v>
      </c>
    </row>
    <row r="16426" spans="1:6" x14ac:dyDescent="0.25">
      <c r="A16426">
        <v>16425</v>
      </c>
      <c r="B16426">
        <v>10</v>
      </c>
      <c r="C16426">
        <v>1</v>
      </c>
      <c r="D16426">
        <v>0</v>
      </c>
      <c r="E16426">
        <v>0</v>
      </c>
      <c r="F16426">
        <v>5319</v>
      </c>
    </row>
    <row r="16427" spans="1:6" x14ac:dyDescent="0.25">
      <c r="A16427">
        <v>16426</v>
      </c>
      <c r="B16427" t="s">
        <v>0</v>
      </c>
      <c r="C16427">
        <v>49</v>
      </c>
      <c r="D16427">
        <v>3509</v>
      </c>
      <c r="E16427">
        <v>80712060</v>
      </c>
    </row>
    <row r="16428" spans="1:6" x14ac:dyDescent="0.25">
      <c r="A16428">
        <v>16427</v>
      </c>
      <c r="B16428">
        <v>41</v>
      </c>
      <c r="C16428">
        <v>0</v>
      </c>
      <c r="D16428">
        <v>0</v>
      </c>
      <c r="E16428">
        <v>0</v>
      </c>
      <c r="F16428">
        <v>1</v>
      </c>
    </row>
    <row r="16429" spans="1:6" x14ac:dyDescent="0.25">
      <c r="A16429">
        <v>16428</v>
      </c>
      <c r="B16429" t="s">
        <v>0</v>
      </c>
      <c r="C16429">
        <v>50</v>
      </c>
      <c r="D16429">
        <v>3509</v>
      </c>
      <c r="E16429">
        <v>80712196</v>
      </c>
    </row>
    <row r="16430" spans="1:6" x14ac:dyDescent="0.25">
      <c r="A16430">
        <v>16429</v>
      </c>
      <c r="B16430">
        <v>43</v>
      </c>
      <c r="C16430">
        <v>0</v>
      </c>
      <c r="D16430">
        <v>0</v>
      </c>
      <c r="E16430">
        <v>0</v>
      </c>
      <c r="F16430">
        <v>0</v>
      </c>
    </row>
    <row r="16431" spans="1:6" x14ac:dyDescent="0.25">
      <c r="A16431">
        <v>16430</v>
      </c>
      <c r="B16431" t="s">
        <v>0</v>
      </c>
      <c r="C16431">
        <v>51</v>
      </c>
      <c r="D16431">
        <v>3509</v>
      </c>
      <c r="E16431">
        <v>80712332</v>
      </c>
    </row>
    <row r="16432" spans="1:6" x14ac:dyDescent="0.25">
      <c r="A16432">
        <v>16431</v>
      </c>
      <c r="B16432">
        <v>45</v>
      </c>
      <c r="C16432">
        <v>0</v>
      </c>
      <c r="D16432">
        <v>0</v>
      </c>
      <c r="E16432">
        <v>0</v>
      </c>
      <c r="F16432">
        <v>525.93100000000004</v>
      </c>
    </row>
    <row r="16433" spans="1:6" x14ac:dyDescent="0.25">
      <c r="A16433">
        <v>16432</v>
      </c>
      <c r="B16433" t="s">
        <v>0</v>
      </c>
      <c r="C16433">
        <v>52</v>
      </c>
      <c r="D16433">
        <v>3509</v>
      </c>
      <c r="E16433">
        <v>80712468</v>
      </c>
    </row>
    <row r="16434" spans="1:6" x14ac:dyDescent="0.25">
      <c r="A16434">
        <v>16433</v>
      </c>
      <c r="B16434">
        <v>2</v>
      </c>
      <c r="C16434">
        <v>0</v>
      </c>
      <c r="D16434">
        <v>0</v>
      </c>
      <c r="E16434">
        <v>0</v>
      </c>
      <c r="F16434">
        <v>244.21100000000001</v>
      </c>
    </row>
    <row r="16435" spans="1:6" x14ac:dyDescent="0.25">
      <c r="A16435">
        <v>16434</v>
      </c>
      <c r="B16435">
        <v>10</v>
      </c>
      <c r="C16435">
        <v>1</v>
      </c>
      <c r="D16435">
        <v>0</v>
      </c>
      <c r="E16435">
        <v>0</v>
      </c>
      <c r="F16435">
        <v>5320</v>
      </c>
    </row>
    <row r="16436" spans="1:6" x14ac:dyDescent="0.25">
      <c r="A16436">
        <v>16435</v>
      </c>
      <c r="B16436">
        <v>13</v>
      </c>
      <c r="C16436">
        <v>0</v>
      </c>
      <c r="D16436">
        <v>0</v>
      </c>
      <c r="E16436">
        <v>0</v>
      </c>
      <c r="F16436">
        <v>1615</v>
      </c>
    </row>
    <row r="16437" spans="1:6" x14ac:dyDescent="0.25">
      <c r="A16437">
        <v>16436</v>
      </c>
      <c r="B16437">
        <v>41</v>
      </c>
      <c r="C16437">
        <v>0</v>
      </c>
      <c r="D16437">
        <v>0</v>
      </c>
      <c r="E16437">
        <v>0</v>
      </c>
      <c r="F16437">
        <v>1</v>
      </c>
    </row>
    <row r="16438" spans="1:6" x14ac:dyDescent="0.25">
      <c r="A16438">
        <v>16437</v>
      </c>
      <c r="B16438">
        <v>42</v>
      </c>
      <c r="C16438">
        <v>0</v>
      </c>
      <c r="D16438">
        <v>0</v>
      </c>
      <c r="E16438">
        <v>0</v>
      </c>
      <c r="F16438">
        <v>0.2</v>
      </c>
    </row>
    <row r="16439" spans="1:6" x14ac:dyDescent="0.25">
      <c r="A16439">
        <v>16438</v>
      </c>
      <c r="B16439">
        <v>43</v>
      </c>
      <c r="C16439">
        <v>0</v>
      </c>
      <c r="D16439">
        <v>0</v>
      </c>
      <c r="E16439">
        <v>0</v>
      </c>
      <c r="F16439">
        <v>0</v>
      </c>
    </row>
    <row r="16440" spans="1:6" x14ac:dyDescent="0.25">
      <c r="A16440">
        <v>16439</v>
      </c>
      <c r="B16440">
        <v>44</v>
      </c>
      <c r="C16440">
        <v>0</v>
      </c>
      <c r="D16440">
        <v>0</v>
      </c>
      <c r="E16440">
        <v>0</v>
      </c>
      <c r="F16440">
        <v>49.651299999999999</v>
      </c>
    </row>
    <row r="16441" spans="1:6" x14ac:dyDescent="0.25">
      <c r="A16441">
        <v>16440</v>
      </c>
      <c r="B16441">
        <v>45</v>
      </c>
      <c r="C16441">
        <v>0</v>
      </c>
      <c r="D16441">
        <v>0</v>
      </c>
      <c r="E16441">
        <v>0</v>
      </c>
      <c r="F16441">
        <v>525.98500000000001</v>
      </c>
    </row>
    <row r="16442" spans="1:6" x14ac:dyDescent="0.25">
      <c r="A16442">
        <v>16441</v>
      </c>
      <c r="B16442">
        <v>46</v>
      </c>
      <c r="C16442">
        <v>0</v>
      </c>
      <c r="D16442">
        <v>0</v>
      </c>
      <c r="E16442">
        <v>0</v>
      </c>
      <c r="F16442">
        <v>0</v>
      </c>
    </row>
    <row r="16443" spans="1:6" x14ac:dyDescent="0.25">
      <c r="A16443">
        <v>16442</v>
      </c>
      <c r="B16443">
        <v>2</v>
      </c>
      <c r="C16443">
        <v>0</v>
      </c>
      <c r="D16443">
        <v>0</v>
      </c>
      <c r="E16443">
        <v>0</v>
      </c>
      <c r="F16443">
        <v>244.21799999999999</v>
      </c>
    </row>
    <row r="16444" spans="1:6" x14ac:dyDescent="0.25">
      <c r="A16444">
        <v>16443</v>
      </c>
      <c r="B16444">
        <v>10</v>
      </c>
      <c r="C16444">
        <v>1</v>
      </c>
      <c r="D16444">
        <v>0</v>
      </c>
      <c r="E16444">
        <v>0</v>
      </c>
      <c r="F16444">
        <v>5321</v>
      </c>
    </row>
    <row r="16445" spans="1:6" x14ac:dyDescent="0.25">
      <c r="A16445">
        <v>16444</v>
      </c>
      <c r="B16445">
        <v>13</v>
      </c>
      <c r="C16445">
        <v>0</v>
      </c>
      <c r="D16445">
        <v>0</v>
      </c>
      <c r="E16445">
        <v>0</v>
      </c>
      <c r="F16445">
        <v>1615</v>
      </c>
    </row>
    <row r="16446" spans="1:6" x14ac:dyDescent="0.25">
      <c r="A16446">
        <v>16445</v>
      </c>
      <c r="B16446">
        <v>41</v>
      </c>
      <c r="C16446">
        <v>0</v>
      </c>
      <c r="D16446">
        <v>0</v>
      </c>
      <c r="E16446">
        <v>0</v>
      </c>
      <c r="F16446">
        <v>1</v>
      </c>
    </row>
    <row r="16447" spans="1:6" x14ac:dyDescent="0.25">
      <c r="A16447">
        <v>16446</v>
      </c>
      <c r="B16447">
        <v>42</v>
      </c>
      <c r="C16447">
        <v>0</v>
      </c>
      <c r="D16447">
        <v>0</v>
      </c>
      <c r="E16447">
        <v>0</v>
      </c>
      <c r="F16447">
        <v>0.2</v>
      </c>
    </row>
    <row r="16448" spans="1:6" x14ac:dyDescent="0.25">
      <c r="A16448">
        <v>16447</v>
      </c>
      <c r="B16448">
        <v>43</v>
      </c>
      <c r="C16448">
        <v>0</v>
      </c>
      <c r="D16448">
        <v>0</v>
      </c>
      <c r="E16448">
        <v>0</v>
      </c>
      <c r="F16448">
        <v>0</v>
      </c>
    </row>
    <row r="16449" spans="1:6" x14ac:dyDescent="0.25">
      <c r="A16449">
        <v>16448</v>
      </c>
      <c r="B16449">
        <v>44</v>
      </c>
      <c r="C16449">
        <v>0</v>
      </c>
      <c r="D16449">
        <v>0</v>
      </c>
      <c r="E16449">
        <v>0</v>
      </c>
      <c r="F16449">
        <v>49.7956</v>
      </c>
    </row>
    <row r="16450" spans="1:6" x14ac:dyDescent="0.25">
      <c r="A16450">
        <v>16449</v>
      </c>
      <c r="B16450">
        <v>45</v>
      </c>
      <c r="C16450">
        <v>0</v>
      </c>
      <c r="D16450">
        <v>0</v>
      </c>
      <c r="E16450">
        <v>0</v>
      </c>
      <c r="F16450">
        <v>526.053</v>
      </c>
    </row>
    <row r="16451" spans="1:6" x14ac:dyDescent="0.25">
      <c r="A16451">
        <v>16450</v>
      </c>
      <c r="B16451">
        <v>46</v>
      </c>
      <c r="C16451">
        <v>0</v>
      </c>
      <c r="D16451">
        <v>0</v>
      </c>
      <c r="E16451">
        <v>0</v>
      </c>
      <c r="F16451">
        <v>0</v>
      </c>
    </row>
    <row r="16452" spans="1:6" x14ac:dyDescent="0.25">
      <c r="A16452">
        <v>16451</v>
      </c>
      <c r="B16452">
        <v>2</v>
      </c>
      <c r="C16452">
        <v>0</v>
      </c>
      <c r="D16452">
        <v>0</v>
      </c>
      <c r="E16452">
        <v>0</v>
      </c>
      <c r="F16452">
        <v>244.22499999999999</v>
      </c>
    </row>
    <row r="16453" spans="1:6" x14ac:dyDescent="0.25">
      <c r="A16453">
        <v>16452</v>
      </c>
      <c r="B16453">
        <v>10</v>
      </c>
      <c r="C16453">
        <v>1</v>
      </c>
      <c r="D16453">
        <v>0</v>
      </c>
      <c r="E16453">
        <v>0</v>
      </c>
      <c r="F16453">
        <v>5322</v>
      </c>
    </row>
    <row r="16454" spans="1:6" x14ac:dyDescent="0.25">
      <c r="A16454">
        <v>16453</v>
      </c>
      <c r="B16454" t="s">
        <v>0</v>
      </c>
      <c r="C16454">
        <v>62</v>
      </c>
      <c r="D16454">
        <v>3509</v>
      </c>
      <c r="E16454">
        <v>80713828</v>
      </c>
    </row>
    <row r="16455" spans="1:6" x14ac:dyDescent="0.25">
      <c r="A16455">
        <v>16454</v>
      </c>
      <c r="B16455">
        <v>13</v>
      </c>
      <c r="C16455">
        <v>0</v>
      </c>
      <c r="D16455">
        <v>0</v>
      </c>
      <c r="E16455">
        <v>0</v>
      </c>
      <c r="F16455">
        <v>1615</v>
      </c>
    </row>
    <row r="16456" spans="1:6" x14ac:dyDescent="0.25">
      <c r="A16456">
        <v>16455</v>
      </c>
      <c r="B16456">
        <v>41</v>
      </c>
      <c r="C16456">
        <v>0</v>
      </c>
      <c r="D16456">
        <v>0</v>
      </c>
      <c r="E16456">
        <v>0</v>
      </c>
      <c r="F16456">
        <v>1</v>
      </c>
    </row>
    <row r="16457" spans="1:6" x14ac:dyDescent="0.25">
      <c r="A16457">
        <v>16456</v>
      </c>
      <c r="B16457" t="s">
        <v>0</v>
      </c>
      <c r="C16457">
        <v>63</v>
      </c>
      <c r="D16457">
        <v>3509</v>
      </c>
      <c r="E16457">
        <v>80713964</v>
      </c>
    </row>
    <row r="16458" spans="1:6" x14ac:dyDescent="0.25">
      <c r="A16458">
        <v>16457</v>
      </c>
      <c r="B16458">
        <v>42</v>
      </c>
      <c r="C16458">
        <v>0</v>
      </c>
      <c r="D16458">
        <v>0</v>
      </c>
      <c r="E16458">
        <v>0</v>
      </c>
      <c r="F16458">
        <v>0.2</v>
      </c>
    </row>
    <row r="16459" spans="1:6" x14ac:dyDescent="0.25">
      <c r="A16459">
        <v>16458</v>
      </c>
      <c r="B16459">
        <v>43</v>
      </c>
      <c r="C16459">
        <v>0</v>
      </c>
      <c r="D16459">
        <v>0</v>
      </c>
      <c r="E16459">
        <v>0</v>
      </c>
      <c r="F16459">
        <v>0</v>
      </c>
    </row>
    <row r="16460" spans="1:6" x14ac:dyDescent="0.25">
      <c r="A16460">
        <v>16459</v>
      </c>
      <c r="B16460" t="s">
        <v>0</v>
      </c>
      <c r="C16460">
        <v>64</v>
      </c>
      <c r="D16460">
        <v>3509</v>
      </c>
      <c r="E16460">
        <v>80714100</v>
      </c>
    </row>
    <row r="16461" spans="1:6" x14ac:dyDescent="0.25">
      <c r="A16461">
        <v>16460</v>
      </c>
      <c r="B16461">
        <v>44</v>
      </c>
      <c r="C16461">
        <v>0</v>
      </c>
      <c r="D16461">
        <v>0</v>
      </c>
      <c r="E16461">
        <v>0</v>
      </c>
      <c r="F16461">
        <v>49.965000000000003</v>
      </c>
    </row>
    <row r="16462" spans="1:6" x14ac:dyDescent="0.25">
      <c r="A16462">
        <v>16461</v>
      </c>
      <c r="B16462">
        <v>45</v>
      </c>
      <c r="C16462">
        <v>0</v>
      </c>
      <c r="D16462">
        <v>0</v>
      </c>
      <c r="E16462">
        <v>0</v>
      </c>
      <c r="F16462">
        <v>526.10699999999997</v>
      </c>
    </row>
    <row r="16463" spans="1:6" x14ac:dyDescent="0.25">
      <c r="A16463">
        <v>16462</v>
      </c>
      <c r="B16463" t="s">
        <v>0</v>
      </c>
      <c r="C16463">
        <v>65</v>
      </c>
      <c r="D16463">
        <v>3509</v>
      </c>
      <c r="E16463">
        <v>80714236</v>
      </c>
    </row>
    <row r="16464" spans="1:6" x14ac:dyDescent="0.25">
      <c r="A16464">
        <v>16463</v>
      </c>
      <c r="B16464">
        <v>46</v>
      </c>
      <c r="C16464">
        <v>0</v>
      </c>
      <c r="D16464">
        <v>0</v>
      </c>
      <c r="E16464">
        <v>0</v>
      </c>
      <c r="F16464">
        <v>0</v>
      </c>
    </row>
    <row r="16465" spans="1:6" x14ac:dyDescent="0.25">
      <c r="A16465">
        <v>16464</v>
      </c>
      <c r="B16465">
        <v>2</v>
      </c>
      <c r="C16465">
        <v>0</v>
      </c>
      <c r="D16465">
        <v>0</v>
      </c>
      <c r="E16465">
        <v>0</v>
      </c>
      <c r="F16465">
        <v>244.22900000000001</v>
      </c>
    </row>
    <row r="16466" spans="1:6" x14ac:dyDescent="0.25">
      <c r="A16466">
        <v>16465</v>
      </c>
      <c r="B16466" t="s">
        <v>0</v>
      </c>
      <c r="C16466">
        <v>66</v>
      </c>
      <c r="D16466">
        <v>3509</v>
      </c>
      <c r="E16466">
        <v>80714372</v>
      </c>
    </row>
    <row r="16467" spans="1:6" x14ac:dyDescent="0.25">
      <c r="A16467">
        <v>16466</v>
      </c>
      <c r="B16467">
        <v>10</v>
      </c>
      <c r="C16467">
        <v>1</v>
      </c>
      <c r="D16467">
        <v>0</v>
      </c>
      <c r="E16467">
        <v>0</v>
      </c>
      <c r="F16467">
        <v>5323</v>
      </c>
    </row>
    <row r="16468" spans="1:6" x14ac:dyDescent="0.25">
      <c r="A16468">
        <v>16467</v>
      </c>
      <c r="B16468">
        <v>13</v>
      </c>
      <c r="C16468">
        <v>0</v>
      </c>
      <c r="D16468">
        <v>0</v>
      </c>
      <c r="E16468">
        <v>0</v>
      </c>
      <c r="F16468">
        <v>1615</v>
      </c>
    </row>
    <row r="16469" spans="1:6" x14ac:dyDescent="0.25">
      <c r="A16469">
        <v>16468</v>
      </c>
      <c r="B16469" t="s">
        <v>0</v>
      </c>
      <c r="C16469">
        <v>67</v>
      </c>
      <c r="D16469">
        <v>3509</v>
      </c>
      <c r="E16469">
        <v>80714508</v>
      </c>
    </row>
    <row r="16470" spans="1:6" x14ac:dyDescent="0.25">
      <c r="A16470">
        <v>16469</v>
      </c>
      <c r="B16470">
        <v>41</v>
      </c>
      <c r="C16470">
        <v>0</v>
      </c>
      <c r="D16470">
        <v>0</v>
      </c>
      <c r="E16470">
        <v>0</v>
      </c>
      <c r="F16470">
        <v>1</v>
      </c>
    </row>
    <row r="16471" spans="1:6" x14ac:dyDescent="0.25">
      <c r="A16471">
        <v>16470</v>
      </c>
      <c r="B16471">
        <v>42</v>
      </c>
      <c r="C16471">
        <v>0</v>
      </c>
      <c r="D16471">
        <v>0</v>
      </c>
      <c r="E16471">
        <v>0</v>
      </c>
      <c r="F16471">
        <v>0.2</v>
      </c>
    </row>
    <row r="16472" spans="1:6" x14ac:dyDescent="0.25">
      <c r="A16472">
        <v>16471</v>
      </c>
      <c r="B16472" t="s">
        <v>0</v>
      </c>
      <c r="C16472">
        <v>68</v>
      </c>
      <c r="D16472">
        <v>3509</v>
      </c>
      <c r="E16472">
        <v>80714644</v>
      </c>
    </row>
    <row r="16473" spans="1:6" x14ac:dyDescent="0.25">
      <c r="A16473">
        <v>16472</v>
      </c>
      <c r="B16473">
        <v>43</v>
      </c>
      <c r="C16473">
        <v>0</v>
      </c>
      <c r="D16473">
        <v>0</v>
      </c>
      <c r="E16473">
        <v>0</v>
      </c>
      <c r="F16473">
        <v>0</v>
      </c>
    </row>
    <row r="16474" spans="1:6" x14ac:dyDescent="0.25">
      <c r="A16474">
        <v>16473</v>
      </c>
      <c r="B16474">
        <v>44</v>
      </c>
      <c r="C16474">
        <v>0</v>
      </c>
      <c r="D16474">
        <v>0</v>
      </c>
      <c r="E16474">
        <v>0</v>
      </c>
      <c r="F16474">
        <v>50.086399999999998</v>
      </c>
    </row>
    <row r="16475" spans="1:6" x14ac:dyDescent="0.25">
      <c r="A16475">
        <v>16474</v>
      </c>
      <c r="B16475" t="s">
        <v>0</v>
      </c>
      <c r="C16475">
        <v>69</v>
      </c>
      <c r="D16475">
        <v>3509</v>
      </c>
      <c r="E16475">
        <v>80714780</v>
      </c>
    </row>
    <row r="16476" spans="1:6" x14ac:dyDescent="0.25">
      <c r="A16476">
        <v>16475</v>
      </c>
      <c r="B16476">
        <v>45</v>
      </c>
      <c r="C16476">
        <v>0</v>
      </c>
      <c r="D16476">
        <v>0</v>
      </c>
      <c r="E16476">
        <v>0</v>
      </c>
      <c r="F16476">
        <v>526.17600000000004</v>
      </c>
    </row>
    <row r="16477" spans="1:6" x14ac:dyDescent="0.25">
      <c r="A16477">
        <v>16476</v>
      </c>
      <c r="B16477">
        <v>46</v>
      </c>
      <c r="C16477">
        <v>0</v>
      </c>
      <c r="D16477">
        <v>0</v>
      </c>
      <c r="E16477">
        <v>0</v>
      </c>
      <c r="F16477">
        <v>0</v>
      </c>
    </row>
    <row r="16478" spans="1:6" x14ac:dyDescent="0.25">
      <c r="A16478">
        <v>16477</v>
      </c>
      <c r="B16478" t="s">
        <v>0</v>
      </c>
      <c r="C16478">
        <v>70</v>
      </c>
      <c r="D16478">
        <v>3509</v>
      </c>
      <c r="E16478">
        <v>80714916</v>
      </c>
    </row>
    <row r="16479" spans="1:6" x14ac:dyDescent="0.25">
      <c r="A16479">
        <v>16478</v>
      </c>
      <c r="B16479">
        <v>10</v>
      </c>
      <c r="C16479">
        <v>1</v>
      </c>
      <c r="D16479">
        <v>0</v>
      </c>
      <c r="E16479">
        <v>0</v>
      </c>
      <c r="F16479">
        <v>5324</v>
      </c>
    </row>
    <row r="16480" spans="1:6" x14ac:dyDescent="0.25">
      <c r="A16480">
        <v>16479</v>
      </c>
      <c r="B16480" t="s">
        <v>0</v>
      </c>
      <c r="C16480">
        <v>71</v>
      </c>
      <c r="D16480">
        <v>3509</v>
      </c>
      <c r="E16480">
        <v>80715052</v>
      </c>
    </row>
    <row r="16481" spans="1:6" x14ac:dyDescent="0.25">
      <c r="A16481">
        <v>16480</v>
      </c>
      <c r="B16481">
        <v>41</v>
      </c>
      <c r="C16481">
        <v>0</v>
      </c>
      <c r="D16481">
        <v>0</v>
      </c>
      <c r="E16481">
        <v>0</v>
      </c>
      <c r="F16481">
        <v>1</v>
      </c>
    </row>
    <row r="16482" spans="1:6" x14ac:dyDescent="0.25">
      <c r="A16482">
        <v>16481</v>
      </c>
      <c r="B16482" t="s">
        <v>0</v>
      </c>
      <c r="C16482">
        <v>72</v>
      </c>
      <c r="D16482">
        <v>3509</v>
      </c>
      <c r="E16482">
        <v>80715188</v>
      </c>
    </row>
    <row r="16483" spans="1:6" x14ac:dyDescent="0.25">
      <c r="A16483">
        <v>16482</v>
      </c>
      <c r="B16483">
        <v>43</v>
      </c>
      <c r="C16483">
        <v>0</v>
      </c>
      <c r="D16483">
        <v>0</v>
      </c>
      <c r="E16483">
        <v>0</v>
      </c>
      <c r="F16483">
        <v>0</v>
      </c>
    </row>
    <row r="16484" spans="1:6" x14ac:dyDescent="0.25">
      <c r="A16484">
        <v>16483</v>
      </c>
      <c r="B16484" t="s">
        <v>0</v>
      </c>
      <c r="C16484">
        <v>73</v>
      </c>
      <c r="D16484">
        <v>3509</v>
      </c>
      <c r="E16484">
        <v>80715324</v>
      </c>
    </row>
    <row r="16485" spans="1:6" x14ac:dyDescent="0.25">
      <c r="A16485">
        <v>16484</v>
      </c>
      <c r="B16485">
        <v>45</v>
      </c>
      <c r="C16485">
        <v>0</v>
      </c>
      <c r="D16485">
        <v>0</v>
      </c>
      <c r="E16485">
        <v>0</v>
      </c>
      <c r="F16485">
        <v>526.23099999999999</v>
      </c>
    </row>
    <row r="16486" spans="1:6" x14ac:dyDescent="0.25">
      <c r="A16486">
        <v>16485</v>
      </c>
      <c r="B16486" t="s">
        <v>0</v>
      </c>
      <c r="C16486">
        <v>74</v>
      </c>
      <c r="D16486">
        <v>3509</v>
      </c>
      <c r="E16486">
        <v>80715460</v>
      </c>
    </row>
    <row r="16487" spans="1:6" x14ac:dyDescent="0.25">
      <c r="A16487">
        <v>16486</v>
      </c>
      <c r="B16487">
        <v>2</v>
      </c>
      <c r="C16487">
        <v>0</v>
      </c>
      <c r="D16487">
        <v>0</v>
      </c>
      <c r="E16487">
        <v>0</v>
      </c>
      <c r="F16487">
        <v>244.23500000000001</v>
      </c>
    </row>
    <row r="16488" spans="1:6" x14ac:dyDescent="0.25">
      <c r="A16488">
        <v>16487</v>
      </c>
      <c r="B16488" t="s">
        <v>0</v>
      </c>
      <c r="C16488">
        <v>75</v>
      </c>
      <c r="D16488">
        <v>3509</v>
      </c>
      <c r="E16488">
        <v>80715596</v>
      </c>
    </row>
    <row r="16489" spans="1:6" x14ac:dyDescent="0.25">
      <c r="A16489">
        <v>16488</v>
      </c>
      <c r="B16489">
        <v>13</v>
      </c>
      <c r="C16489">
        <v>0</v>
      </c>
      <c r="D16489">
        <v>0</v>
      </c>
      <c r="E16489">
        <v>0</v>
      </c>
      <c r="F16489">
        <v>1615</v>
      </c>
    </row>
    <row r="16490" spans="1:6" x14ac:dyDescent="0.25">
      <c r="A16490">
        <v>16489</v>
      </c>
      <c r="B16490" t="s">
        <v>0</v>
      </c>
      <c r="C16490">
        <v>76</v>
      </c>
      <c r="D16490">
        <v>3509</v>
      </c>
      <c r="E16490">
        <v>80715732</v>
      </c>
    </row>
    <row r="16491" spans="1:6" x14ac:dyDescent="0.25">
      <c r="A16491">
        <v>16490</v>
      </c>
      <c r="B16491">
        <v>42</v>
      </c>
      <c r="C16491">
        <v>0</v>
      </c>
      <c r="D16491">
        <v>0</v>
      </c>
      <c r="E16491">
        <v>0</v>
      </c>
      <c r="F16491">
        <v>0.2</v>
      </c>
    </row>
    <row r="16492" spans="1:6" x14ac:dyDescent="0.25">
      <c r="A16492">
        <v>16491</v>
      </c>
      <c r="B16492" t="s">
        <v>0</v>
      </c>
      <c r="C16492">
        <v>77</v>
      </c>
      <c r="D16492">
        <v>3509</v>
      </c>
      <c r="E16492">
        <v>80715868</v>
      </c>
    </row>
    <row r="16493" spans="1:6" x14ac:dyDescent="0.25">
      <c r="A16493">
        <v>16492</v>
      </c>
      <c r="B16493">
        <v>43</v>
      </c>
      <c r="C16493">
        <v>0</v>
      </c>
      <c r="D16493">
        <v>0</v>
      </c>
      <c r="E16493">
        <v>0</v>
      </c>
      <c r="F16493">
        <v>0</v>
      </c>
    </row>
    <row r="16494" spans="1:6" x14ac:dyDescent="0.25">
      <c r="A16494">
        <v>16493</v>
      </c>
      <c r="B16494">
        <v>44</v>
      </c>
      <c r="C16494">
        <v>0</v>
      </c>
      <c r="D16494">
        <v>0</v>
      </c>
      <c r="E16494">
        <v>0</v>
      </c>
      <c r="F16494">
        <v>50.380800000000001</v>
      </c>
    </row>
    <row r="16495" spans="1:6" x14ac:dyDescent="0.25">
      <c r="A16495">
        <v>16494</v>
      </c>
      <c r="B16495">
        <v>45</v>
      </c>
      <c r="C16495">
        <v>0</v>
      </c>
      <c r="D16495">
        <v>0</v>
      </c>
      <c r="E16495">
        <v>0</v>
      </c>
      <c r="F16495">
        <v>526.29899999999998</v>
      </c>
    </row>
    <row r="16496" spans="1:6" x14ac:dyDescent="0.25">
      <c r="A16496">
        <v>16495</v>
      </c>
      <c r="B16496">
        <v>46</v>
      </c>
      <c r="C16496">
        <v>0</v>
      </c>
      <c r="D16496">
        <v>0</v>
      </c>
      <c r="E16496">
        <v>0</v>
      </c>
      <c r="F16496">
        <v>0</v>
      </c>
    </row>
    <row r="16497" spans="1:6" x14ac:dyDescent="0.25">
      <c r="A16497">
        <v>16496</v>
      </c>
      <c r="B16497">
        <v>2</v>
      </c>
      <c r="C16497">
        <v>0</v>
      </c>
      <c r="D16497">
        <v>0</v>
      </c>
      <c r="E16497">
        <v>0</v>
      </c>
      <c r="F16497">
        <v>244.238</v>
      </c>
    </row>
    <row r="16498" spans="1:6" x14ac:dyDescent="0.25">
      <c r="A16498">
        <v>16497</v>
      </c>
      <c r="B16498">
        <v>10</v>
      </c>
      <c r="C16498">
        <v>1</v>
      </c>
      <c r="D16498">
        <v>0</v>
      </c>
      <c r="E16498">
        <v>0</v>
      </c>
      <c r="F16498">
        <v>5327</v>
      </c>
    </row>
    <row r="16499" spans="1:6" x14ac:dyDescent="0.25">
      <c r="A16499">
        <v>16498</v>
      </c>
      <c r="B16499">
        <v>13</v>
      </c>
      <c r="C16499">
        <v>0</v>
      </c>
      <c r="D16499">
        <v>0</v>
      </c>
      <c r="E16499">
        <v>0</v>
      </c>
      <c r="F16499">
        <v>1615</v>
      </c>
    </row>
    <row r="16500" spans="1:6" x14ac:dyDescent="0.25">
      <c r="A16500">
        <v>16499</v>
      </c>
      <c r="B16500">
        <v>41</v>
      </c>
      <c r="C16500">
        <v>0</v>
      </c>
      <c r="D16500">
        <v>0</v>
      </c>
      <c r="E16500">
        <v>0</v>
      </c>
      <c r="F16500">
        <v>1</v>
      </c>
    </row>
    <row r="16501" spans="1:6" x14ac:dyDescent="0.25">
      <c r="A16501">
        <v>16500</v>
      </c>
      <c r="B16501">
        <v>42</v>
      </c>
      <c r="C16501">
        <v>0</v>
      </c>
      <c r="D16501">
        <v>0</v>
      </c>
      <c r="E16501">
        <v>0</v>
      </c>
      <c r="F16501">
        <v>0.2</v>
      </c>
    </row>
    <row r="16502" spans="1:6" x14ac:dyDescent="0.25">
      <c r="A16502">
        <v>16501</v>
      </c>
      <c r="B16502">
        <v>43</v>
      </c>
      <c r="C16502">
        <v>0</v>
      </c>
      <c r="D16502">
        <v>0</v>
      </c>
      <c r="E16502">
        <v>0</v>
      </c>
      <c r="F16502">
        <v>0</v>
      </c>
    </row>
    <row r="16503" spans="1:6" x14ac:dyDescent="0.25">
      <c r="A16503">
        <v>16502</v>
      </c>
      <c r="B16503">
        <v>44</v>
      </c>
      <c r="C16503">
        <v>0</v>
      </c>
      <c r="D16503">
        <v>0</v>
      </c>
      <c r="E16503">
        <v>0</v>
      </c>
      <c r="F16503">
        <v>50.553400000000003</v>
      </c>
    </row>
    <row r="16504" spans="1:6" x14ac:dyDescent="0.25">
      <c r="A16504">
        <v>16503</v>
      </c>
      <c r="B16504">
        <v>45</v>
      </c>
      <c r="C16504">
        <v>0</v>
      </c>
      <c r="D16504">
        <v>0</v>
      </c>
      <c r="E16504">
        <v>0</v>
      </c>
      <c r="F16504">
        <v>526.35400000000004</v>
      </c>
    </row>
    <row r="16505" spans="1:6" x14ac:dyDescent="0.25">
      <c r="A16505">
        <v>16504</v>
      </c>
      <c r="B16505">
        <v>46</v>
      </c>
      <c r="C16505">
        <v>0</v>
      </c>
      <c r="D16505">
        <v>0</v>
      </c>
      <c r="E16505">
        <v>0</v>
      </c>
      <c r="F16505">
        <v>0</v>
      </c>
    </row>
    <row r="16506" spans="1:6" x14ac:dyDescent="0.25">
      <c r="A16506">
        <v>16505</v>
      </c>
      <c r="B16506">
        <v>2</v>
      </c>
      <c r="C16506">
        <v>0</v>
      </c>
      <c r="D16506">
        <v>0</v>
      </c>
      <c r="E16506">
        <v>0</v>
      </c>
      <c r="F16506">
        <v>244.239</v>
      </c>
    </row>
    <row r="16507" spans="1:6" x14ac:dyDescent="0.25">
      <c r="A16507">
        <v>16506</v>
      </c>
      <c r="B16507">
        <v>10</v>
      </c>
      <c r="C16507">
        <v>1</v>
      </c>
      <c r="D16507">
        <v>0</v>
      </c>
      <c r="E16507">
        <v>0</v>
      </c>
      <c r="F16507">
        <v>5328</v>
      </c>
    </row>
    <row r="16508" spans="1:6" x14ac:dyDescent="0.25">
      <c r="A16508">
        <v>16507</v>
      </c>
      <c r="B16508">
        <v>13</v>
      </c>
      <c r="C16508">
        <v>0</v>
      </c>
      <c r="D16508">
        <v>0</v>
      </c>
      <c r="E16508">
        <v>0</v>
      </c>
      <c r="F16508">
        <v>1615</v>
      </c>
    </row>
    <row r="16509" spans="1:6" x14ac:dyDescent="0.25">
      <c r="A16509">
        <v>16508</v>
      </c>
      <c r="B16509">
        <v>41</v>
      </c>
      <c r="C16509">
        <v>0</v>
      </c>
      <c r="D16509">
        <v>0</v>
      </c>
      <c r="E16509">
        <v>0</v>
      </c>
      <c r="F16509">
        <v>1</v>
      </c>
    </row>
    <row r="16510" spans="1:6" x14ac:dyDescent="0.25">
      <c r="A16510">
        <v>16509</v>
      </c>
      <c r="B16510">
        <v>42</v>
      </c>
      <c r="C16510">
        <v>0</v>
      </c>
      <c r="D16510">
        <v>0</v>
      </c>
      <c r="E16510">
        <v>0</v>
      </c>
      <c r="F16510">
        <v>0.2</v>
      </c>
    </row>
    <row r="16511" spans="1:6" x14ac:dyDescent="0.25">
      <c r="A16511">
        <v>16510</v>
      </c>
      <c r="B16511" t="s">
        <v>0</v>
      </c>
      <c r="C16511">
        <v>86</v>
      </c>
      <c r="D16511">
        <v>3509</v>
      </c>
      <c r="E16511">
        <v>80717092</v>
      </c>
    </row>
    <row r="16512" spans="1:6" x14ac:dyDescent="0.25">
      <c r="A16512">
        <v>16511</v>
      </c>
      <c r="B16512">
        <v>43</v>
      </c>
      <c r="C16512">
        <v>0</v>
      </c>
      <c r="D16512">
        <v>0</v>
      </c>
      <c r="E16512">
        <v>0</v>
      </c>
      <c r="F16512">
        <v>0</v>
      </c>
    </row>
    <row r="16513" spans="1:6" x14ac:dyDescent="0.25">
      <c r="A16513">
        <v>16512</v>
      </c>
      <c r="B16513">
        <v>44</v>
      </c>
      <c r="C16513">
        <v>0</v>
      </c>
      <c r="D16513">
        <v>0</v>
      </c>
      <c r="E16513">
        <v>0</v>
      </c>
      <c r="F16513">
        <v>50.676900000000003</v>
      </c>
    </row>
    <row r="16514" spans="1:6" x14ac:dyDescent="0.25">
      <c r="A16514">
        <v>16513</v>
      </c>
      <c r="B16514" t="s">
        <v>0</v>
      </c>
      <c r="C16514">
        <v>87</v>
      </c>
      <c r="D16514">
        <v>3509</v>
      </c>
      <c r="E16514">
        <v>80717228</v>
      </c>
    </row>
    <row r="16515" spans="1:6" x14ac:dyDescent="0.25">
      <c r="A16515">
        <v>16514</v>
      </c>
      <c r="B16515">
        <v>45</v>
      </c>
      <c r="C16515">
        <v>0</v>
      </c>
      <c r="D16515">
        <v>0</v>
      </c>
      <c r="E16515">
        <v>0</v>
      </c>
      <c r="F16515">
        <v>526.42399999999998</v>
      </c>
    </row>
    <row r="16516" spans="1:6" x14ac:dyDescent="0.25">
      <c r="A16516">
        <v>16515</v>
      </c>
      <c r="B16516">
        <v>46</v>
      </c>
      <c r="C16516">
        <v>0</v>
      </c>
      <c r="D16516">
        <v>0</v>
      </c>
      <c r="E16516">
        <v>0</v>
      </c>
      <c r="F16516">
        <v>0</v>
      </c>
    </row>
    <row r="16517" spans="1:6" x14ac:dyDescent="0.25">
      <c r="A16517">
        <v>16516</v>
      </c>
      <c r="B16517" t="s">
        <v>0</v>
      </c>
      <c r="C16517">
        <v>88</v>
      </c>
      <c r="D16517">
        <v>3509</v>
      </c>
      <c r="E16517">
        <v>80717364</v>
      </c>
    </row>
    <row r="16518" spans="1:6" x14ac:dyDescent="0.25">
      <c r="A16518">
        <v>16517</v>
      </c>
      <c r="B16518">
        <v>2</v>
      </c>
      <c r="C16518">
        <v>0</v>
      </c>
      <c r="D16518">
        <v>0</v>
      </c>
      <c r="E16518">
        <v>0</v>
      </c>
      <c r="F16518">
        <v>244.268</v>
      </c>
    </row>
    <row r="16519" spans="1:6" x14ac:dyDescent="0.25">
      <c r="A16519">
        <v>16518</v>
      </c>
      <c r="B16519">
        <v>10</v>
      </c>
      <c r="C16519">
        <v>1</v>
      </c>
      <c r="D16519">
        <v>0</v>
      </c>
      <c r="E16519">
        <v>0</v>
      </c>
      <c r="F16519">
        <v>5328</v>
      </c>
    </row>
    <row r="16520" spans="1:6" x14ac:dyDescent="0.25">
      <c r="A16520">
        <v>16519</v>
      </c>
      <c r="B16520" t="s">
        <v>0</v>
      </c>
      <c r="C16520">
        <v>89</v>
      </c>
      <c r="D16520">
        <v>3509</v>
      </c>
      <c r="E16520">
        <v>80717499</v>
      </c>
    </row>
    <row r="16521" spans="1:6" x14ac:dyDescent="0.25">
      <c r="A16521">
        <v>16520</v>
      </c>
      <c r="B16521">
        <v>13</v>
      </c>
      <c r="C16521">
        <v>0</v>
      </c>
      <c r="D16521">
        <v>0</v>
      </c>
      <c r="E16521">
        <v>0</v>
      </c>
      <c r="F16521">
        <v>1615</v>
      </c>
    </row>
    <row r="16522" spans="1:6" x14ac:dyDescent="0.25">
      <c r="A16522">
        <v>16521</v>
      </c>
      <c r="B16522">
        <v>41</v>
      </c>
      <c r="C16522">
        <v>0</v>
      </c>
      <c r="D16522">
        <v>0</v>
      </c>
      <c r="E16522">
        <v>0</v>
      </c>
      <c r="F16522">
        <v>1</v>
      </c>
    </row>
    <row r="16523" spans="1:6" x14ac:dyDescent="0.25">
      <c r="A16523">
        <v>16522</v>
      </c>
      <c r="B16523" t="s">
        <v>0</v>
      </c>
      <c r="C16523">
        <v>90</v>
      </c>
      <c r="D16523">
        <v>3509</v>
      </c>
      <c r="E16523">
        <v>80717635</v>
      </c>
    </row>
    <row r="16524" spans="1:6" x14ac:dyDescent="0.25">
      <c r="A16524">
        <v>16523</v>
      </c>
      <c r="B16524">
        <v>42</v>
      </c>
      <c r="C16524">
        <v>0</v>
      </c>
      <c r="D16524">
        <v>0</v>
      </c>
      <c r="E16524">
        <v>0</v>
      </c>
      <c r="F16524">
        <v>0.2</v>
      </c>
    </row>
    <row r="16525" spans="1:6" x14ac:dyDescent="0.25">
      <c r="A16525">
        <v>16524</v>
      </c>
      <c r="B16525">
        <v>43</v>
      </c>
      <c r="C16525">
        <v>0</v>
      </c>
      <c r="D16525">
        <v>0</v>
      </c>
      <c r="E16525">
        <v>0</v>
      </c>
      <c r="F16525">
        <v>0</v>
      </c>
    </row>
    <row r="16526" spans="1:6" x14ac:dyDescent="0.25">
      <c r="A16526">
        <v>16525</v>
      </c>
      <c r="B16526" t="s">
        <v>0</v>
      </c>
      <c r="C16526">
        <v>91</v>
      </c>
      <c r="D16526">
        <v>3509</v>
      </c>
      <c r="E16526">
        <v>80717771</v>
      </c>
    </row>
    <row r="16527" spans="1:6" x14ac:dyDescent="0.25">
      <c r="A16527">
        <v>16526</v>
      </c>
      <c r="B16527">
        <v>44</v>
      </c>
      <c r="C16527">
        <v>0</v>
      </c>
      <c r="D16527">
        <v>0</v>
      </c>
      <c r="E16527">
        <v>0</v>
      </c>
      <c r="F16527">
        <v>50.776800000000001</v>
      </c>
    </row>
    <row r="16528" spans="1:6" x14ac:dyDescent="0.25">
      <c r="A16528">
        <v>16527</v>
      </c>
      <c r="B16528">
        <v>45</v>
      </c>
      <c r="C16528">
        <v>0</v>
      </c>
      <c r="D16528">
        <v>0</v>
      </c>
      <c r="E16528">
        <v>0</v>
      </c>
      <c r="F16528">
        <v>526.47900000000004</v>
      </c>
    </row>
    <row r="16529" spans="1:6" x14ac:dyDescent="0.25">
      <c r="A16529">
        <v>16528</v>
      </c>
      <c r="B16529" t="s">
        <v>0</v>
      </c>
      <c r="C16529">
        <v>92</v>
      </c>
      <c r="D16529">
        <v>3509</v>
      </c>
      <c r="E16529">
        <v>80717906</v>
      </c>
    </row>
    <row r="16530" spans="1:6" x14ac:dyDescent="0.25">
      <c r="A16530">
        <v>16529</v>
      </c>
      <c r="B16530">
        <v>46</v>
      </c>
      <c r="C16530">
        <v>0</v>
      </c>
      <c r="D16530">
        <v>0</v>
      </c>
      <c r="E16530">
        <v>0</v>
      </c>
      <c r="F16530">
        <v>0</v>
      </c>
    </row>
    <row r="16531" spans="1:6" x14ac:dyDescent="0.25">
      <c r="A16531">
        <v>16530</v>
      </c>
      <c r="B16531">
        <v>2</v>
      </c>
      <c r="C16531">
        <v>0</v>
      </c>
      <c r="D16531">
        <v>0</v>
      </c>
      <c r="E16531">
        <v>0</v>
      </c>
      <c r="F16531">
        <v>244.33</v>
      </c>
    </row>
    <row r="16532" spans="1:6" x14ac:dyDescent="0.25">
      <c r="A16532">
        <v>16531</v>
      </c>
      <c r="B16532" t="s">
        <v>0</v>
      </c>
      <c r="C16532">
        <v>93</v>
      </c>
      <c r="D16532">
        <v>3509</v>
      </c>
      <c r="E16532">
        <v>80718042</v>
      </c>
    </row>
    <row r="16533" spans="1:6" x14ac:dyDescent="0.25">
      <c r="A16533">
        <v>16532</v>
      </c>
      <c r="B16533">
        <v>10</v>
      </c>
      <c r="C16533">
        <v>1</v>
      </c>
      <c r="D16533">
        <v>0</v>
      </c>
      <c r="E16533">
        <v>0</v>
      </c>
      <c r="F16533">
        <v>5328</v>
      </c>
    </row>
    <row r="16534" spans="1:6" x14ac:dyDescent="0.25">
      <c r="A16534">
        <v>16533</v>
      </c>
      <c r="B16534">
        <v>13</v>
      </c>
      <c r="C16534">
        <v>0</v>
      </c>
      <c r="D16534">
        <v>0</v>
      </c>
      <c r="E16534">
        <v>0</v>
      </c>
      <c r="F16534">
        <v>1615</v>
      </c>
    </row>
    <row r="16535" spans="1:6" x14ac:dyDescent="0.25">
      <c r="A16535">
        <v>16534</v>
      </c>
      <c r="B16535" t="s">
        <v>0</v>
      </c>
      <c r="C16535">
        <v>94</v>
      </c>
      <c r="D16535">
        <v>3509</v>
      </c>
      <c r="E16535">
        <v>80718178</v>
      </c>
    </row>
    <row r="16536" spans="1:6" x14ac:dyDescent="0.25">
      <c r="A16536">
        <v>16535</v>
      </c>
      <c r="B16536">
        <v>42</v>
      </c>
      <c r="C16536">
        <v>0</v>
      </c>
      <c r="D16536">
        <v>0</v>
      </c>
      <c r="E16536">
        <v>0</v>
      </c>
      <c r="F16536">
        <v>0.2</v>
      </c>
    </row>
    <row r="16537" spans="1:6" x14ac:dyDescent="0.25">
      <c r="A16537">
        <v>16536</v>
      </c>
      <c r="B16537" t="s">
        <v>0</v>
      </c>
      <c r="C16537">
        <v>95</v>
      </c>
      <c r="D16537">
        <v>3509</v>
      </c>
      <c r="E16537">
        <v>80718313</v>
      </c>
    </row>
    <row r="16538" spans="1:6" x14ac:dyDescent="0.25">
      <c r="A16538">
        <v>16537</v>
      </c>
      <c r="B16538">
        <v>44</v>
      </c>
      <c r="C16538">
        <v>0</v>
      </c>
      <c r="D16538">
        <v>0</v>
      </c>
      <c r="E16538">
        <v>0</v>
      </c>
      <c r="F16538">
        <v>50.872999999999998</v>
      </c>
    </row>
    <row r="16539" spans="1:6" x14ac:dyDescent="0.25">
      <c r="A16539">
        <v>16538</v>
      </c>
      <c r="B16539" t="s">
        <v>0</v>
      </c>
      <c r="C16539">
        <v>96</v>
      </c>
      <c r="D16539">
        <v>3509</v>
      </c>
      <c r="E16539">
        <v>80718449</v>
      </c>
    </row>
    <row r="16540" spans="1:6" x14ac:dyDescent="0.25">
      <c r="A16540">
        <v>16539</v>
      </c>
      <c r="B16540">
        <v>46</v>
      </c>
      <c r="C16540">
        <v>0</v>
      </c>
      <c r="D16540">
        <v>0</v>
      </c>
      <c r="E16540">
        <v>0</v>
      </c>
      <c r="F16540">
        <v>0</v>
      </c>
    </row>
    <row r="16541" spans="1:6" x14ac:dyDescent="0.25">
      <c r="A16541">
        <v>16540</v>
      </c>
      <c r="B16541" t="s">
        <v>0</v>
      </c>
      <c r="C16541">
        <v>97</v>
      </c>
      <c r="D16541">
        <v>3509</v>
      </c>
      <c r="E16541">
        <v>80718585</v>
      </c>
    </row>
    <row r="16542" spans="1:6" x14ac:dyDescent="0.25">
      <c r="A16542">
        <v>16541</v>
      </c>
      <c r="B16542">
        <v>10</v>
      </c>
      <c r="C16542">
        <v>1</v>
      </c>
      <c r="D16542">
        <v>0</v>
      </c>
      <c r="E16542">
        <v>0</v>
      </c>
      <c r="F16542">
        <v>5327</v>
      </c>
    </row>
    <row r="16543" spans="1:6" x14ac:dyDescent="0.25">
      <c r="A16543">
        <v>16542</v>
      </c>
      <c r="B16543" t="s">
        <v>0</v>
      </c>
      <c r="C16543">
        <v>98</v>
      </c>
      <c r="D16543">
        <v>3509</v>
      </c>
      <c r="E16543">
        <v>80718720</v>
      </c>
    </row>
    <row r="16544" spans="1:6" x14ac:dyDescent="0.25">
      <c r="A16544">
        <v>16543</v>
      </c>
      <c r="B16544">
        <v>41</v>
      </c>
      <c r="C16544">
        <v>0</v>
      </c>
      <c r="D16544">
        <v>0</v>
      </c>
      <c r="E16544">
        <v>0</v>
      </c>
      <c r="F16544">
        <v>1</v>
      </c>
    </row>
    <row r="16545" spans="1:6" x14ac:dyDescent="0.25">
      <c r="A16545">
        <v>16544</v>
      </c>
      <c r="B16545" t="s">
        <v>0</v>
      </c>
      <c r="C16545">
        <v>99</v>
      </c>
      <c r="D16545">
        <v>3509</v>
      </c>
      <c r="E16545">
        <v>80718856</v>
      </c>
    </row>
    <row r="16546" spans="1:6" x14ac:dyDescent="0.25">
      <c r="A16546">
        <v>16545</v>
      </c>
      <c r="B16546">
        <v>43</v>
      </c>
      <c r="C16546">
        <v>0</v>
      </c>
      <c r="D16546">
        <v>0</v>
      </c>
      <c r="E16546">
        <v>0</v>
      </c>
      <c r="F16546">
        <v>0</v>
      </c>
    </row>
    <row r="16547" spans="1:6" x14ac:dyDescent="0.25">
      <c r="A16547">
        <v>16546</v>
      </c>
      <c r="B16547" t="s">
        <v>0</v>
      </c>
      <c r="C16547">
        <v>100</v>
      </c>
      <c r="D16547">
        <v>3509</v>
      </c>
      <c r="E16547">
        <v>80718992</v>
      </c>
    </row>
    <row r="16548" spans="1:6" x14ac:dyDescent="0.25">
      <c r="A16548">
        <v>16547</v>
      </c>
      <c r="B16548">
        <v>45</v>
      </c>
      <c r="C16548">
        <v>0</v>
      </c>
      <c r="D16548">
        <v>0</v>
      </c>
      <c r="E16548">
        <v>0</v>
      </c>
      <c r="F16548">
        <v>526.60400000000004</v>
      </c>
    </row>
    <row r="16549" spans="1:6" x14ac:dyDescent="0.25">
      <c r="A16549">
        <v>16548</v>
      </c>
      <c r="B16549" t="s">
        <v>0</v>
      </c>
      <c r="C16549">
        <v>101</v>
      </c>
      <c r="D16549">
        <v>3509</v>
      </c>
      <c r="E16549">
        <v>80719127</v>
      </c>
    </row>
    <row r="16550" spans="1:6" x14ac:dyDescent="0.25">
      <c r="A16550">
        <v>16549</v>
      </c>
      <c r="B16550">
        <v>2</v>
      </c>
      <c r="C16550">
        <v>0</v>
      </c>
      <c r="D16550">
        <v>0</v>
      </c>
      <c r="E16550">
        <v>0</v>
      </c>
      <c r="F16550">
        <v>244.43299999999999</v>
      </c>
    </row>
    <row r="16551" spans="1:6" x14ac:dyDescent="0.25">
      <c r="A16551">
        <v>16550</v>
      </c>
      <c r="B16551">
        <v>10</v>
      </c>
      <c r="C16551">
        <v>1</v>
      </c>
      <c r="D16551">
        <v>0</v>
      </c>
      <c r="E16551">
        <v>0</v>
      </c>
      <c r="F16551">
        <v>5327</v>
      </c>
    </row>
    <row r="16552" spans="1:6" x14ac:dyDescent="0.25">
      <c r="A16552">
        <v>16551</v>
      </c>
      <c r="B16552">
        <v>13</v>
      </c>
      <c r="C16552">
        <v>0</v>
      </c>
      <c r="D16552">
        <v>0</v>
      </c>
      <c r="E16552">
        <v>0</v>
      </c>
      <c r="F16552">
        <v>1615</v>
      </c>
    </row>
    <row r="16553" spans="1:6" x14ac:dyDescent="0.25">
      <c r="A16553">
        <v>16552</v>
      </c>
      <c r="B16553">
        <v>41</v>
      </c>
      <c r="C16553">
        <v>0</v>
      </c>
      <c r="D16553">
        <v>0</v>
      </c>
      <c r="E16553">
        <v>0</v>
      </c>
      <c r="F16553">
        <v>1</v>
      </c>
    </row>
    <row r="16554" spans="1:6" x14ac:dyDescent="0.25">
      <c r="A16554">
        <v>16553</v>
      </c>
      <c r="B16554">
        <v>42</v>
      </c>
      <c r="C16554">
        <v>0</v>
      </c>
      <c r="D16554">
        <v>0</v>
      </c>
      <c r="E16554">
        <v>0</v>
      </c>
      <c r="F16554">
        <v>0.2</v>
      </c>
    </row>
    <row r="16555" spans="1:6" x14ac:dyDescent="0.25">
      <c r="A16555">
        <v>16554</v>
      </c>
      <c r="B16555">
        <v>43</v>
      </c>
      <c r="C16555">
        <v>0</v>
      </c>
      <c r="D16555">
        <v>0</v>
      </c>
      <c r="E16555">
        <v>0</v>
      </c>
      <c r="F16555">
        <v>0</v>
      </c>
    </row>
    <row r="16556" spans="1:6" x14ac:dyDescent="0.25">
      <c r="A16556">
        <v>16555</v>
      </c>
      <c r="B16556">
        <v>44</v>
      </c>
      <c r="C16556">
        <v>0</v>
      </c>
      <c r="D16556">
        <v>0</v>
      </c>
      <c r="E16556">
        <v>0</v>
      </c>
      <c r="F16556">
        <v>51.085299999999997</v>
      </c>
    </row>
    <row r="16557" spans="1:6" x14ac:dyDescent="0.25">
      <c r="A16557">
        <v>16556</v>
      </c>
      <c r="B16557">
        <v>45</v>
      </c>
      <c r="C16557">
        <v>0</v>
      </c>
      <c r="D16557">
        <v>0</v>
      </c>
      <c r="E16557">
        <v>0</v>
      </c>
      <c r="F16557">
        <v>526.65899999999999</v>
      </c>
    </row>
    <row r="16558" spans="1:6" x14ac:dyDescent="0.25">
      <c r="A16558">
        <v>16557</v>
      </c>
      <c r="B16558">
        <v>46</v>
      </c>
      <c r="C16558">
        <v>0</v>
      </c>
      <c r="D16558">
        <v>0</v>
      </c>
      <c r="E16558">
        <v>0</v>
      </c>
      <c r="F16558">
        <v>0</v>
      </c>
    </row>
    <row r="16559" spans="1:6" x14ac:dyDescent="0.25">
      <c r="A16559">
        <v>16558</v>
      </c>
      <c r="B16559">
        <v>2</v>
      </c>
      <c r="C16559">
        <v>0</v>
      </c>
      <c r="D16559">
        <v>0</v>
      </c>
      <c r="E16559">
        <v>0</v>
      </c>
      <c r="F16559">
        <v>244.465</v>
      </c>
    </row>
    <row r="16560" spans="1:6" x14ac:dyDescent="0.25">
      <c r="A16560">
        <v>16559</v>
      </c>
      <c r="B16560">
        <v>10</v>
      </c>
      <c r="C16560">
        <v>1</v>
      </c>
      <c r="D16560">
        <v>0</v>
      </c>
      <c r="E16560">
        <v>0</v>
      </c>
      <c r="F16560">
        <v>5328</v>
      </c>
    </row>
    <row r="16561" spans="1:6" x14ac:dyDescent="0.25">
      <c r="A16561">
        <v>16560</v>
      </c>
      <c r="B16561">
        <v>13</v>
      </c>
      <c r="C16561">
        <v>0</v>
      </c>
      <c r="D16561">
        <v>0</v>
      </c>
      <c r="E16561">
        <v>0</v>
      </c>
      <c r="F16561">
        <v>1615</v>
      </c>
    </row>
    <row r="16562" spans="1:6" x14ac:dyDescent="0.25">
      <c r="A16562">
        <v>16561</v>
      </c>
      <c r="B16562">
        <v>41</v>
      </c>
      <c r="C16562">
        <v>0</v>
      </c>
      <c r="D16562">
        <v>0</v>
      </c>
      <c r="E16562">
        <v>0</v>
      </c>
      <c r="F16562">
        <v>1</v>
      </c>
    </row>
    <row r="16563" spans="1:6" x14ac:dyDescent="0.25">
      <c r="A16563">
        <v>16562</v>
      </c>
      <c r="B16563">
        <v>42</v>
      </c>
      <c r="C16563">
        <v>0</v>
      </c>
      <c r="D16563">
        <v>0</v>
      </c>
      <c r="E16563">
        <v>0</v>
      </c>
      <c r="F16563">
        <v>0.2</v>
      </c>
    </row>
    <row r="16564" spans="1:6" x14ac:dyDescent="0.25">
      <c r="A16564">
        <v>16563</v>
      </c>
      <c r="B16564">
        <v>43</v>
      </c>
      <c r="C16564">
        <v>0</v>
      </c>
      <c r="D16564">
        <v>0</v>
      </c>
      <c r="E16564">
        <v>0</v>
      </c>
      <c r="F16564">
        <v>0</v>
      </c>
    </row>
    <row r="16565" spans="1:6" x14ac:dyDescent="0.25">
      <c r="A16565">
        <v>16564</v>
      </c>
      <c r="B16565">
        <v>44</v>
      </c>
      <c r="C16565">
        <v>0</v>
      </c>
      <c r="D16565">
        <v>0</v>
      </c>
      <c r="E16565">
        <v>0</v>
      </c>
      <c r="F16565">
        <v>51.182400000000001</v>
      </c>
    </row>
    <row r="16566" spans="1:6" x14ac:dyDescent="0.25">
      <c r="A16566">
        <v>16565</v>
      </c>
      <c r="B16566">
        <v>45</v>
      </c>
      <c r="C16566">
        <v>0</v>
      </c>
      <c r="D16566">
        <v>0</v>
      </c>
      <c r="E16566">
        <v>0</v>
      </c>
      <c r="F16566">
        <v>526.72900000000004</v>
      </c>
    </row>
    <row r="16567" spans="1:6" x14ac:dyDescent="0.25">
      <c r="A16567">
        <v>16566</v>
      </c>
      <c r="B16567">
        <v>46</v>
      </c>
      <c r="C16567">
        <v>0</v>
      </c>
      <c r="D16567">
        <v>0</v>
      </c>
      <c r="E16567">
        <v>0</v>
      </c>
      <c r="F16567">
        <v>0</v>
      </c>
    </row>
    <row r="16568" spans="1:6" x14ac:dyDescent="0.25">
      <c r="A16568">
        <v>16567</v>
      </c>
      <c r="B16568">
        <v>2</v>
      </c>
      <c r="C16568">
        <v>0</v>
      </c>
      <c r="D16568">
        <v>0</v>
      </c>
      <c r="E16568">
        <v>0</v>
      </c>
      <c r="F16568">
        <v>244.49700000000001</v>
      </c>
    </row>
    <row r="16569" spans="1:6" x14ac:dyDescent="0.25">
      <c r="A16569">
        <v>16568</v>
      </c>
      <c r="B16569">
        <v>10</v>
      </c>
      <c r="C16569">
        <v>1</v>
      </c>
      <c r="D16569">
        <v>0</v>
      </c>
      <c r="E16569">
        <v>0</v>
      </c>
      <c r="F16569">
        <v>5328</v>
      </c>
    </row>
    <row r="16570" spans="1:6" x14ac:dyDescent="0.25">
      <c r="A16570">
        <v>16569</v>
      </c>
      <c r="B16570">
        <v>13</v>
      </c>
      <c r="C16570">
        <v>0</v>
      </c>
      <c r="D16570">
        <v>0</v>
      </c>
      <c r="E16570">
        <v>0</v>
      </c>
      <c r="F16570">
        <v>1615</v>
      </c>
    </row>
    <row r="16571" spans="1:6" x14ac:dyDescent="0.25">
      <c r="A16571">
        <v>16570</v>
      </c>
      <c r="B16571">
        <v>41</v>
      </c>
      <c r="C16571">
        <v>0</v>
      </c>
      <c r="D16571">
        <v>0</v>
      </c>
      <c r="E16571">
        <v>0</v>
      </c>
      <c r="F16571">
        <v>1</v>
      </c>
    </row>
    <row r="16572" spans="1:6" x14ac:dyDescent="0.25">
      <c r="A16572">
        <v>16571</v>
      </c>
      <c r="B16572" t="s">
        <v>0</v>
      </c>
      <c r="C16572">
        <v>112</v>
      </c>
      <c r="D16572">
        <v>3509</v>
      </c>
      <c r="E16572">
        <v>80720620</v>
      </c>
    </row>
    <row r="16573" spans="1:6" x14ac:dyDescent="0.25">
      <c r="A16573">
        <v>16572</v>
      </c>
      <c r="B16573">
        <v>42</v>
      </c>
      <c r="C16573">
        <v>0</v>
      </c>
      <c r="D16573">
        <v>0</v>
      </c>
      <c r="E16573">
        <v>0</v>
      </c>
      <c r="F16573">
        <v>0.2</v>
      </c>
    </row>
    <row r="16574" spans="1:6" x14ac:dyDescent="0.25">
      <c r="A16574">
        <v>16573</v>
      </c>
      <c r="B16574">
        <v>43</v>
      </c>
      <c r="C16574">
        <v>0</v>
      </c>
      <c r="D16574">
        <v>0</v>
      </c>
      <c r="E16574">
        <v>0</v>
      </c>
      <c r="F16574">
        <v>0</v>
      </c>
    </row>
    <row r="16575" spans="1:6" x14ac:dyDescent="0.25">
      <c r="A16575">
        <v>16574</v>
      </c>
      <c r="B16575" t="s">
        <v>0</v>
      </c>
      <c r="C16575">
        <v>113</v>
      </c>
      <c r="D16575">
        <v>3509</v>
      </c>
      <c r="E16575">
        <v>80720755</v>
      </c>
    </row>
    <row r="16576" spans="1:6" x14ac:dyDescent="0.25">
      <c r="A16576">
        <v>16575</v>
      </c>
      <c r="B16576">
        <v>44</v>
      </c>
      <c r="C16576">
        <v>0</v>
      </c>
      <c r="D16576">
        <v>0</v>
      </c>
      <c r="E16576">
        <v>0</v>
      </c>
      <c r="F16576">
        <v>51.330199999999998</v>
      </c>
    </row>
    <row r="16577" spans="1:6" x14ac:dyDescent="0.25">
      <c r="A16577">
        <v>16576</v>
      </c>
      <c r="B16577">
        <v>45</v>
      </c>
      <c r="C16577">
        <v>0</v>
      </c>
      <c r="D16577">
        <v>0</v>
      </c>
      <c r="E16577">
        <v>0</v>
      </c>
      <c r="F16577">
        <v>526.78499999999997</v>
      </c>
    </row>
    <row r="16578" spans="1:6" x14ac:dyDescent="0.25">
      <c r="A16578">
        <v>16577</v>
      </c>
      <c r="B16578" t="s">
        <v>0</v>
      </c>
      <c r="C16578">
        <v>114</v>
      </c>
      <c r="D16578">
        <v>3509</v>
      </c>
      <c r="E16578">
        <v>80720891</v>
      </c>
    </row>
    <row r="16579" spans="1:6" x14ac:dyDescent="0.25">
      <c r="A16579">
        <v>16578</v>
      </c>
      <c r="B16579">
        <v>46</v>
      </c>
      <c r="C16579">
        <v>0</v>
      </c>
      <c r="D16579">
        <v>0</v>
      </c>
      <c r="E16579">
        <v>0</v>
      </c>
      <c r="F16579">
        <v>0</v>
      </c>
    </row>
    <row r="16580" spans="1:6" x14ac:dyDescent="0.25">
      <c r="A16580">
        <v>16579</v>
      </c>
      <c r="B16580">
        <v>2</v>
      </c>
      <c r="C16580">
        <v>0</v>
      </c>
      <c r="D16580">
        <v>0</v>
      </c>
      <c r="E16580">
        <v>0</v>
      </c>
      <c r="F16580">
        <v>244.517</v>
      </c>
    </row>
    <row r="16581" spans="1:6" x14ac:dyDescent="0.25">
      <c r="A16581">
        <v>16580</v>
      </c>
      <c r="B16581" t="s">
        <v>0</v>
      </c>
      <c r="C16581">
        <v>115</v>
      </c>
      <c r="D16581">
        <v>3509</v>
      </c>
      <c r="E16581">
        <v>80721027</v>
      </c>
    </row>
    <row r="16582" spans="1:6" x14ac:dyDescent="0.25">
      <c r="A16582">
        <v>16581</v>
      </c>
      <c r="B16582">
        <v>10</v>
      </c>
      <c r="C16582">
        <v>1</v>
      </c>
      <c r="D16582">
        <v>0</v>
      </c>
      <c r="E16582">
        <v>0</v>
      </c>
      <c r="F16582">
        <v>5328</v>
      </c>
    </row>
    <row r="16583" spans="1:6" x14ac:dyDescent="0.25">
      <c r="A16583">
        <v>16582</v>
      </c>
      <c r="B16583">
        <v>13</v>
      </c>
      <c r="C16583">
        <v>0</v>
      </c>
      <c r="D16583">
        <v>0</v>
      </c>
      <c r="E16583">
        <v>0</v>
      </c>
      <c r="F16583">
        <v>1615</v>
      </c>
    </row>
    <row r="16584" spans="1:6" x14ac:dyDescent="0.25">
      <c r="A16584">
        <v>16583</v>
      </c>
      <c r="B16584" t="s">
        <v>0</v>
      </c>
      <c r="C16584">
        <v>116</v>
      </c>
      <c r="D16584">
        <v>3509</v>
      </c>
      <c r="E16584">
        <v>80721162</v>
      </c>
    </row>
    <row r="16585" spans="1:6" x14ac:dyDescent="0.25">
      <c r="A16585">
        <v>16584</v>
      </c>
      <c r="B16585">
        <v>41</v>
      </c>
      <c r="C16585">
        <v>0</v>
      </c>
      <c r="D16585">
        <v>0</v>
      </c>
      <c r="E16585">
        <v>0</v>
      </c>
      <c r="F16585">
        <v>1</v>
      </c>
    </row>
    <row r="16586" spans="1:6" x14ac:dyDescent="0.25">
      <c r="A16586">
        <v>16585</v>
      </c>
      <c r="B16586">
        <v>42</v>
      </c>
      <c r="C16586">
        <v>0</v>
      </c>
      <c r="D16586">
        <v>0</v>
      </c>
      <c r="E16586">
        <v>0</v>
      </c>
      <c r="F16586">
        <v>0.2</v>
      </c>
    </row>
    <row r="16587" spans="1:6" x14ac:dyDescent="0.25">
      <c r="A16587">
        <v>16586</v>
      </c>
      <c r="B16587" t="s">
        <v>0</v>
      </c>
      <c r="C16587">
        <v>117</v>
      </c>
      <c r="D16587">
        <v>3509</v>
      </c>
      <c r="E16587">
        <v>80721298</v>
      </c>
    </row>
    <row r="16588" spans="1:6" x14ac:dyDescent="0.25">
      <c r="A16588">
        <v>16587</v>
      </c>
      <c r="B16588">
        <v>43</v>
      </c>
      <c r="C16588">
        <v>0</v>
      </c>
      <c r="D16588">
        <v>0</v>
      </c>
      <c r="E16588">
        <v>0</v>
      </c>
      <c r="F16588">
        <v>0</v>
      </c>
    </row>
    <row r="16589" spans="1:6" x14ac:dyDescent="0.25">
      <c r="A16589">
        <v>16588</v>
      </c>
      <c r="B16589">
        <v>44</v>
      </c>
      <c r="C16589">
        <v>0</v>
      </c>
      <c r="D16589">
        <v>0</v>
      </c>
      <c r="E16589">
        <v>0</v>
      </c>
      <c r="F16589">
        <v>51.437899999999999</v>
      </c>
    </row>
    <row r="16590" spans="1:6" x14ac:dyDescent="0.25">
      <c r="A16590">
        <v>16589</v>
      </c>
      <c r="B16590" t="s">
        <v>0</v>
      </c>
      <c r="C16590">
        <v>118</v>
      </c>
      <c r="D16590">
        <v>3509</v>
      </c>
      <c r="E16590">
        <v>80721434</v>
      </c>
    </row>
    <row r="16591" spans="1:6" x14ac:dyDescent="0.25">
      <c r="A16591">
        <v>16590</v>
      </c>
      <c r="B16591">
        <v>45</v>
      </c>
      <c r="C16591">
        <v>0</v>
      </c>
      <c r="D16591">
        <v>0</v>
      </c>
      <c r="E16591">
        <v>0</v>
      </c>
      <c r="F16591">
        <v>526.85500000000002</v>
      </c>
    </row>
    <row r="16592" spans="1:6" x14ac:dyDescent="0.25">
      <c r="A16592">
        <v>16591</v>
      </c>
      <c r="B16592">
        <v>46</v>
      </c>
      <c r="C16592">
        <v>0</v>
      </c>
      <c r="D16592">
        <v>0</v>
      </c>
      <c r="E16592">
        <v>0</v>
      </c>
      <c r="F16592">
        <v>0</v>
      </c>
    </row>
    <row r="16593" spans="1:6" x14ac:dyDescent="0.25">
      <c r="A16593">
        <v>16592</v>
      </c>
      <c r="B16593" t="s">
        <v>0</v>
      </c>
      <c r="C16593">
        <v>119</v>
      </c>
      <c r="D16593">
        <v>3509</v>
      </c>
      <c r="E16593">
        <v>80721569</v>
      </c>
    </row>
    <row r="16594" spans="1:6" x14ac:dyDescent="0.25">
      <c r="A16594">
        <v>16593</v>
      </c>
      <c r="B16594">
        <v>2</v>
      </c>
      <c r="C16594">
        <v>0</v>
      </c>
      <c r="D16594">
        <v>0</v>
      </c>
      <c r="E16594">
        <v>0</v>
      </c>
      <c r="F16594">
        <v>244.53700000000001</v>
      </c>
    </row>
    <row r="16595" spans="1:6" x14ac:dyDescent="0.25">
      <c r="A16595">
        <v>16594</v>
      </c>
      <c r="B16595">
        <v>10</v>
      </c>
      <c r="C16595">
        <v>1</v>
      </c>
      <c r="D16595">
        <v>0</v>
      </c>
      <c r="E16595">
        <v>0</v>
      </c>
      <c r="F16595">
        <v>5329</v>
      </c>
    </row>
    <row r="16596" spans="1:6" x14ac:dyDescent="0.25">
      <c r="A16596">
        <v>16595</v>
      </c>
      <c r="B16596" t="s">
        <v>0</v>
      </c>
      <c r="C16596">
        <v>120</v>
      </c>
      <c r="D16596">
        <v>3509</v>
      </c>
      <c r="E16596">
        <v>80721705</v>
      </c>
    </row>
    <row r="16597" spans="1:6" x14ac:dyDescent="0.25">
      <c r="A16597">
        <v>16596</v>
      </c>
      <c r="B16597">
        <v>41</v>
      </c>
      <c r="C16597">
        <v>0</v>
      </c>
      <c r="D16597">
        <v>0</v>
      </c>
      <c r="E16597">
        <v>0</v>
      </c>
      <c r="F16597">
        <v>1</v>
      </c>
    </row>
    <row r="16598" spans="1:6" x14ac:dyDescent="0.25">
      <c r="A16598">
        <v>16597</v>
      </c>
      <c r="B16598" t="s">
        <v>0</v>
      </c>
      <c r="C16598">
        <v>121</v>
      </c>
      <c r="D16598">
        <v>3509</v>
      </c>
      <c r="E16598">
        <v>80721841</v>
      </c>
    </row>
    <row r="16599" spans="1:6" x14ac:dyDescent="0.25">
      <c r="A16599">
        <v>16598</v>
      </c>
      <c r="B16599">
        <v>43</v>
      </c>
      <c r="C16599">
        <v>0</v>
      </c>
      <c r="D16599">
        <v>0</v>
      </c>
      <c r="E16599">
        <v>0</v>
      </c>
      <c r="F16599">
        <v>0</v>
      </c>
    </row>
    <row r="16600" spans="1:6" x14ac:dyDescent="0.25">
      <c r="A16600">
        <v>16599</v>
      </c>
      <c r="B16600" t="s">
        <v>0</v>
      </c>
      <c r="C16600">
        <v>122</v>
      </c>
      <c r="D16600">
        <v>3509</v>
      </c>
      <c r="E16600">
        <v>80721976</v>
      </c>
    </row>
    <row r="16601" spans="1:6" x14ac:dyDescent="0.25">
      <c r="A16601">
        <v>16600</v>
      </c>
      <c r="B16601">
        <v>45</v>
      </c>
      <c r="C16601">
        <v>0</v>
      </c>
      <c r="D16601">
        <v>0</v>
      </c>
      <c r="E16601">
        <v>0</v>
      </c>
      <c r="F16601">
        <v>526.91099999999994</v>
      </c>
    </row>
    <row r="16602" spans="1:6" x14ac:dyDescent="0.25">
      <c r="A16602">
        <v>16601</v>
      </c>
      <c r="B16602" t="s">
        <v>0</v>
      </c>
      <c r="C16602">
        <v>123</v>
      </c>
      <c r="D16602">
        <v>3509</v>
      </c>
      <c r="E16602">
        <v>80722112</v>
      </c>
    </row>
    <row r="16603" spans="1:6" x14ac:dyDescent="0.25">
      <c r="A16603">
        <v>16602</v>
      </c>
      <c r="B16603">
        <v>2</v>
      </c>
      <c r="C16603">
        <v>0</v>
      </c>
      <c r="D16603">
        <v>0</v>
      </c>
      <c r="E16603">
        <v>0</v>
      </c>
      <c r="F16603">
        <v>244.54900000000001</v>
      </c>
    </row>
    <row r="16604" spans="1:6" x14ac:dyDescent="0.25">
      <c r="A16604">
        <v>16603</v>
      </c>
      <c r="B16604" t="s">
        <v>0</v>
      </c>
      <c r="C16604">
        <v>124</v>
      </c>
      <c r="D16604">
        <v>3509</v>
      </c>
      <c r="E16604">
        <v>80722248</v>
      </c>
    </row>
    <row r="16605" spans="1:6" x14ac:dyDescent="0.25">
      <c r="A16605">
        <v>16604</v>
      </c>
      <c r="B16605">
        <v>13</v>
      </c>
      <c r="C16605">
        <v>0</v>
      </c>
      <c r="D16605">
        <v>0</v>
      </c>
      <c r="E16605">
        <v>0</v>
      </c>
      <c r="F16605">
        <v>1615</v>
      </c>
    </row>
    <row r="16606" spans="1:6" x14ac:dyDescent="0.25">
      <c r="A16606">
        <v>16605</v>
      </c>
      <c r="B16606" t="s">
        <v>0</v>
      </c>
      <c r="C16606">
        <v>125</v>
      </c>
      <c r="D16606">
        <v>3509</v>
      </c>
      <c r="E16606">
        <v>80722383</v>
      </c>
    </row>
    <row r="16607" spans="1:6" x14ac:dyDescent="0.25">
      <c r="A16607">
        <v>16606</v>
      </c>
      <c r="B16607">
        <v>42</v>
      </c>
      <c r="C16607">
        <v>0</v>
      </c>
      <c r="D16607">
        <v>0</v>
      </c>
      <c r="E16607">
        <v>0</v>
      </c>
      <c r="F16607">
        <v>0.2</v>
      </c>
    </row>
    <row r="16608" spans="1:6" x14ac:dyDescent="0.25">
      <c r="A16608">
        <v>16607</v>
      </c>
      <c r="B16608" t="s">
        <v>0</v>
      </c>
      <c r="C16608">
        <v>126</v>
      </c>
      <c r="D16608">
        <v>3509</v>
      </c>
      <c r="E16608">
        <v>80722519</v>
      </c>
    </row>
    <row r="16609" spans="1:6" x14ac:dyDescent="0.25">
      <c r="A16609">
        <v>16608</v>
      </c>
      <c r="B16609">
        <v>44</v>
      </c>
      <c r="C16609">
        <v>0</v>
      </c>
      <c r="D16609">
        <v>0</v>
      </c>
      <c r="E16609">
        <v>0</v>
      </c>
      <c r="F16609">
        <v>51.734900000000003</v>
      </c>
    </row>
    <row r="16610" spans="1:6" x14ac:dyDescent="0.25">
      <c r="A16610">
        <v>16609</v>
      </c>
      <c r="B16610" t="s">
        <v>0</v>
      </c>
      <c r="C16610">
        <v>127</v>
      </c>
      <c r="D16610">
        <v>3509</v>
      </c>
      <c r="E16610">
        <v>80722655</v>
      </c>
    </row>
    <row r="16611" spans="1:6" x14ac:dyDescent="0.25">
      <c r="A16611">
        <v>16610</v>
      </c>
      <c r="B16611">
        <v>46</v>
      </c>
      <c r="C16611">
        <v>0</v>
      </c>
      <c r="D16611">
        <v>0</v>
      </c>
      <c r="E16611">
        <v>0</v>
      </c>
      <c r="F16611">
        <v>0</v>
      </c>
    </row>
    <row r="16612" spans="1:6" x14ac:dyDescent="0.25">
      <c r="A16612">
        <v>16611</v>
      </c>
      <c r="B16612">
        <v>2</v>
      </c>
      <c r="C16612">
        <v>0</v>
      </c>
      <c r="D16612">
        <v>0</v>
      </c>
      <c r="E16612">
        <v>0</v>
      </c>
      <c r="F16612">
        <v>244.56</v>
      </c>
    </row>
    <row r="16613" spans="1:6" x14ac:dyDescent="0.25">
      <c r="A16613">
        <v>16612</v>
      </c>
      <c r="B16613">
        <v>10</v>
      </c>
      <c r="C16613">
        <v>1</v>
      </c>
      <c r="D16613">
        <v>0</v>
      </c>
      <c r="E16613">
        <v>0</v>
      </c>
      <c r="F16613">
        <v>5331</v>
      </c>
    </row>
    <row r="16614" spans="1:6" x14ac:dyDescent="0.25">
      <c r="A16614">
        <v>16613</v>
      </c>
      <c r="B16614">
        <v>13</v>
      </c>
      <c r="C16614">
        <v>0</v>
      </c>
      <c r="D16614">
        <v>0</v>
      </c>
      <c r="E16614">
        <v>0</v>
      </c>
      <c r="F16614">
        <v>1615</v>
      </c>
    </row>
    <row r="16615" spans="1:6" x14ac:dyDescent="0.25">
      <c r="A16615">
        <v>16614</v>
      </c>
      <c r="B16615">
        <v>41</v>
      </c>
      <c r="C16615">
        <v>0</v>
      </c>
      <c r="D16615">
        <v>0</v>
      </c>
      <c r="E16615">
        <v>0</v>
      </c>
      <c r="F16615">
        <v>1</v>
      </c>
    </row>
    <row r="16616" spans="1:6" x14ac:dyDescent="0.25">
      <c r="A16616">
        <v>16615</v>
      </c>
      <c r="B16616">
        <v>42</v>
      </c>
      <c r="C16616">
        <v>0</v>
      </c>
      <c r="D16616">
        <v>0</v>
      </c>
      <c r="E16616">
        <v>0</v>
      </c>
      <c r="F16616">
        <v>0.2</v>
      </c>
    </row>
    <row r="16617" spans="1:6" x14ac:dyDescent="0.25">
      <c r="A16617">
        <v>16616</v>
      </c>
      <c r="B16617">
        <v>43</v>
      </c>
      <c r="C16617">
        <v>0</v>
      </c>
      <c r="D16617">
        <v>0</v>
      </c>
      <c r="E16617">
        <v>0</v>
      </c>
      <c r="F16617">
        <v>0</v>
      </c>
    </row>
    <row r="16618" spans="1:6" x14ac:dyDescent="0.25">
      <c r="A16618">
        <v>16617</v>
      </c>
      <c r="B16618">
        <v>44</v>
      </c>
      <c r="C16618">
        <v>0</v>
      </c>
      <c r="D16618">
        <v>0</v>
      </c>
      <c r="E16618">
        <v>0</v>
      </c>
      <c r="F16618">
        <v>51.850999999999999</v>
      </c>
    </row>
    <row r="16619" spans="1:6" x14ac:dyDescent="0.25">
      <c r="A16619">
        <v>16618</v>
      </c>
      <c r="B16619">
        <v>45</v>
      </c>
      <c r="C16619">
        <v>0</v>
      </c>
      <c r="D16619">
        <v>0</v>
      </c>
      <c r="E16619">
        <v>0</v>
      </c>
      <c r="F16619">
        <v>527.03800000000001</v>
      </c>
    </row>
    <row r="16620" spans="1:6" x14ac:dyDescent="0.25">
      <c r="A16620">
        <v>16619</v>
      </c>
      <c r="B16620">
        <v>46</v>
      </c>
      <c r="C16620">
        <v>0</v>
      </c>
      <c r="D16620">
        <v>0</v>
      </c>
      <c r="E16620">
        <v>0</v>
      </c>
      <c r="F16620">
        <v>0</v>
      </c>
    </row>
    <row r="16621" spans="1:6" x14ac:dyDescent="0.25">
      <c r="A16621">
        <v>16620</v>
      </c>
      <c r="B16621">
        <v>2</v>
      </c>
      <c r="C16621">
        <v>0</v>
      </c>
      <c r="D16621">
        <v>0</v>
      </c>
      <c r="E16621">
        <v>0</v>
      </c>
      <c r="F16621">
        <v>244.57</v>
      </c>
    </row>
    <row r="16622" spans="1:6" x14ac:dyDescent="0.25">
      <c r="A16622">
        <v>16621</v>
      </c>
      <c r="B16622">
        <v>10</v>
      </c>
      <c r="C16622">
        <v>1</v>
      </c>
      <c r="D16622">
        <v>0</v>
      </c>
      <c r="E16622">
        <v>0</v>
      </c>
      <c r="F16622">
        <v>5332</v>
      </c>
    </row>
    <row r="16623" spans="1:6" x14ac:dyDescent="0.25">
      <c r="A16623">
        <v>16622</v>
      </c>
      <c r="B16623">
        <v>13</v>
      </c>
      <c r="C16623">
        <v>0</v>
      </c>
      <c r="D16623">
        <v>0</v>
      </c>
      <c r="E16623">
        <v>0</v>
      </c>
      <c r="F16623">
        <v>1615</v>
      </c>
    </row>
    <row r="16624" spans="1:6" x14ac:dyDescent="0.25">
      <c r="A16624">
        <v>16623</v>
      </c>
      <c r="B16624">
        <v>41</v>
      </c>
      <c r="C16624">
        <v>0</v>
      </c>
      <c r="D16624">
        <v>0</v>
      </c>
      <c r="E16624">
        <v>0</v>
      </c>
      <c r="F16624">
        <v>1</v>
      </c>
    </row>
    <row r="16625" spans="1:6" x14ac:dyDescent="0.25">
      <c r="A16625">
        <v>16624</v>
      </c>
      <c r="B16625">
        <v>42</v>
      </c>
      <c r="C16625">
        <v>0</v>
      </c>
      <c r="D16625">
        <v>0</v>
      </c>
      <c r="E16625">
        <v>0</v>
      </c>
      <c r="F16625">
        <v>0.2</v>
      </c>
    </row>
    <row r="16626" spans="1:6" x14ac:dyDescent="0.25">
      <c r="A16626">
        <v>16625</v>
      </c>
      <c r="B16626">
        <v>43</v>
      </c>
      <c r="C16626">
        <v>0</v>
      </c>
      <c r="D16626">
        <v>0</v>
      </c>
      <c r="E16626">
        <v>0</v>
      </c>
      <c r="F16626">
        <v>0</v>
      </c>
    </row>
    <row r="16627" spans="1:6" x14ac:dyDescent="0.25">
      <c r="A16627">
        <v>16626</v>
      </c>
      <c r="B16627">
        <v>44</v>
      </c>
      <c r="C16627">
        <v>0</v>
      </c>
      <c r="D16627">
        <v>0</v>
      </c>
      <c r="E16627">
        <v>0</v>
      </c>
      <c r="F16627">
        <v>52.0242</v>
      </c>
    </row>
    <row r="16628" spans="1:6" x14ac:dyDescent="0.25">
      <c r="A16628">
        <v>16627</v>
      </c>
      <c r="B16628">
        <v>45</v>
      </c>
      <c r="C16628">
        <v>0</v>
      </c>
      <c r="D16628">
        <v>0</v>
      </c>
      <c r="E16628">
        <v>0</v>
      </c>
      <c r="F16628">
        <v>527.09500000000003</v>
      </c>
    </row>
    <row r="16629" spans="1:6" x14ac:dyDescent="0.25">
      <c r="A16629">
        <v>16628</v>
      </c>
      <c r="B16629">
        <v>46</v>
      </c>
      <c r="C16629">
        <v>0</v>
      </c>
      <c r="D16629">
        <v>0</v>
      </c>
      <c r="E16629">
        <v>0</v>
      </c>
      <c r="F16629">
        <v>0</v>
      </c>
    </row>
    <row r="16630" spans="1:6" x14ac:dyDescent="0.25">
      <c r="A16630">
        <v>16629</v>
      </c>
      <c r="B16630">
        <v>2</v>
      </c>
      <c r="C16630">
        <v>0</v>
      </c>
      <c r="D16630">
        <v>0</v>
      </c>
      <c r="E16630">
        <v>0</v>
      </c>
      <c r="F16630">
        <v>244.577</v>
      </c>
    </row>
    <row r="16631" spans="1:6" x14ac:dyDescent="0.25">
      <c r="A16631">
        <v>16630</v>
      </c>
      <c r="B16631" t="s">
        <v>0</v>
      </c>
      <c r="C16631">
        <v>137</v>
      </c>
      <c r="D16631">
        <v>3509</v>
      </c>
      <c r="E16631">
        <v>80724012</v>
      </c>
    </row>
    <row r="16632" spans="1:6" x14ac:dyDescent="0.25">
      <c r="A16632">
        <v>16631</v>
      </c>
      <c r="B16632">
        <v>10</v>
      </c>
      <c r="C16632">
        <v>1</v>
      </c>
      <c r="D16632">
        <v>0</v>
      </c>
      <c r="E16632">
        <v>0</v>
      </c>
      <c r="F16632">
        <v>5333</v>
      </c>
    </row>
    <row r="16633" spans="1:6" x14ac:dyDescent="0.25">
      <c r="A16633">
        <v>16632</v>
      </c>
      <c r="B16633">
        <v>13</v>
      </c>
      <c r="C16633">
        <v>0</v>
      </c>
      <c r="D16633">
        <v>0</v>
      </c>
      <c r="E16633">
        <v>0</v>
      </c>
      <c r="F16633">
        <v>1615</v>
      </c>
    </row>
    <row r="16634" spans="1:6" x14ac:dyDescent="0.25">
      <c r="A16634">
        <v>16633</v>
      </c>
      <c r="B16634" t="s">
        <v>0</v>
      </c>
      <c r="C16634">
        <v>138</v>
      </c>
      <c r="D16634">
        <v>3509</v>
      </c>
      <c r="E16634">
        <v>80724148</v>
      </c>
    </row>
    <row r="16635" spans="1:6" x14ac:dyDescent="0.25">
      <c r="A16635">
        <v>16634</v>
      </c>
      <c r="B16635">
        <v>41</v>
      </c>
      <c r="C16635">
        <v>0</v>
      </c>
      <c r="D16635">
        <v>0</v>
      </c>
      <c r="E16635">
        <v>0</v>
      </c>
      <c r="F16635">
        <v>1</v>
      </c>
    </row>
    <row r="16636" spans="1:6" x14ac:dyDescent="0.25">
      <c r="A16636">
        <v>16635</v>
      </c>
      <c r="B16636">
        <v>42</v>
      </c>
      <c r="C16636">
        <v>0</v>
      </c>
      <c r="D16636">
        <v>0</v>
      </c>
      <c r="E16636">
        <v>0</v>
      </c>
      <c r="F16636">
        <v>0.2</v>
      </c>
    </row>
    <row r="16637" spans="1:6" x14ac:dyDescent="0.25">
      <c r="A16637">
        <v>16636</v>
      </c>
      <c r="B16637" t="s">
        <v>0</v>
      </c>
      <c r="C16637">
        <v>139</v>
      </c>
      <c r="D16637">
        <v>3509</v>
      </c>
      <c r="E16637">
        <v>80724284</v>
      </c>
    </row>
    <row r="16638" spans="1:6" x14ac:dyDescent="0.25">
      <c r="A16638">
        <v>16637</v>
      </c>
      <c r="B16638">
        <v>43</v>
      </c>
      <c r="C16638">
        <v>0</v>
      </c>
      <c r="D16638">
        <v>0</v>
      </c>
      <c r="E16638">
        <v>0</v>
      </c>
      <c r="F16638">
        <v>0</v>
      </c>
    </row>
    <row r="16639" spans="1:6" x14ac:dyDescent="0.25">
      <c r="A16639">
        <v>16638</v>
      </c>
      <c r="B16639">
        <v>44</v>
      </c>
      <c r="C16639">
        <v>0</v>
      </c>
      <c r="D16639">
        <v>0</v>
      </c>
      <c r="E16639">
        <v>0</v>
      </c>
      <c r="F16639">
        <v>52.136299999999999</v>
      </c>
    </row>
    <row r="16640" spans="1:6" x14ac:dyDescent="0.25">
      <c r="A16640">
        <v>16639</v>
      </c>
      <c r="B16640" t="s">
        <v>0</v>
      </c>
      <c r="C16640">
        <v>140</v>
      </c>
      <c r="D16640">
        <v>3509</v>
      </c>
      <c r="E16640">
        <v>80724419</v>
      </c>
    </row>
    <row r="16641" spans="1:6" x14ac:dyDescent="0.25">
      <c r="A16641">
        <v>16640</v>
      </c>
      <c r="B16641">
        <v>45</v>
      </c>
      <c r="C16641">
        <v>0</v>
      </c>
      <c r="D16641">
        <v>0</v>
      </c>
      <c r="E16641">
        <v>0</v>
      </c>
      <c r="F16641">
        <v>527.16600000000005</v>
      </c>
    </row>
    <row r="16642" spans="1:6" x14ac:dyDescent="0.25">
      <c r="A16642">
        <v>16641</v>
      </c>
      <c r="B16642">
        <v>46</v>
      </c>
      <c r="C16642">
        <v>0</v>
      </c>
      <c r="D16642">
        <v>0</v>
      </c>
      <c r="E16642">
        <v>0</v>
      </c>
      <c r="F16642">
        <v>0</v>
      </c>
    </row>
    <row r="16643" spans="1:6" x14ac:dyDescent="0.25">
      <c r="A16643">
        <v>16642</v>
      </c>
      <c r="B16643" t="s">
        <v>0</v>
      </c>
      <c r="C16643">
        <v>141</v>
      </c>
      <c r="D16643">
        <v>3509</v>
      </c>
      <c r="E16643">
        <v>80724555</v>
      </c>
    </row>
    <row r="16644" spans="1:6" x14ac:dyDescent="0.25">
      <c r="A16644">
        <v>16643</v>
      </c>
      <c r="B16644">
        <v>2</v>
      </c>
      <c r="C16644">
        <v>0</v>
      </c>
      <c r="D16644">
        <v>0</v>
      </c>
      <c r="E16644">
        <v>0</v>
      </c>
      <c r="F16644">
        <v>244.583</v>
      </c>
    </row>
    <row r="16645" spans="1:6" x14ac:dyDescent="0.25">
      <c r="A16645">
        <v>16644</v>
      </c>
      <c r="B16645">
        <v>10</v>
      </c>
      <c r="C16645">
        <v>1</v>
      </c>
      <c r="D16645">
        <v>0</v>
      </c>
      <c r="E16645">
        <v>0</v>
      </c>
      <c r="F16645">
        <v>5334</v>
      </c>
    </row>
    <row r="16646" spans="1:6" x14ac:dyDescent="0.25">
      <c r="A16646">
        <v>16645</v>
      </c>
      <c r="B16646" t="s">
        <v>0</v>
      </c>
      <c r="C16646">
        <v>142</v>
      </c>
      <c r="D16646">
        <v>3509</v>
      </c>
      <c r="E16646">
        <v>80724691</v>
      </c>
    </row>
    <row r="16647" spans="1:6" x14ac:dyDescent="0.25">
      <c r="A16647">
        <v>16646</v>
      </c>
      <c r="B16647">
        <v>13</v>
      </c>
      <c r="C16647">
        <v>0</v>
      </c>
      <c r="D16647">
        <v>0</v>
      </c>
      <c r="E16647">
        <v>0</v>
      </c>
      <c r="F16647">
        <v>1615</v>
      </c>
    </row>
    <row r="16648" spans="1:6" x14ac:dyDescent="0.25">
      <c r="A16648">
        <v>16647</v>
      </c>
      <c r="B16648">
        <v>41</v>
      </c>
      <c r="C16648">
        <v>0</v>
      </c>
      <c r="D16648">
        <v>0</v>
      </c>
      <c r="E16648">
        <v>0</v>
      </c>
      <c r="F16648">
        <v>1</v>
      </c>
    </row>
    <row r="16649" spans="1:6" x14ac:dyDescent="0.25">
      <c r="A16649">
        <v>16648</v>
      </c>
      <c r="B16649" t="s">
        <v>0</v>
      </c>
      <c r="C16649">
        <v>143</v>
      </c>
      <c r="D16649">
        <v>3509</v>
      </c>
      <c r="E16649">
        <v>80724827</v>
      </c>
    </row>
    <row r="16650" spans="1:6" x14ac:dyDescent="0.25">
      <c r="A16650">
        <v>16649</v>
      </c>
      <c r="B16650">
        <v>42</v>
      </c>
      <c r="C16650">
        <v>0</v>
      </c>
      <c r="D16650">
        <v>0</v>
      </c>
      <c r="E16650">
        <v>0</v>
      </c>
      <c r="F16650">
        <v>0.2</v>
      </c>
    </row>
    <row r="16651" spans="1:6" x14ac:dyDescent="0.25">
      <c r="A16651">
        <v>16650</v>
      </c>
      <c r="B16651">
        <v>43</v>
      </c>
      <c r="C16651">
        <v>0</v>
      </c>
      <c r="D16651">
        <v>0</v>
      </c>
      <c r="E16651">
        <v>0</v>
      </c>
      <c r="F16651">
        <v>0</v>
      </c>
    </row>
    <row r="16652" spans="1:6" x14ac:dyDescent="0.25">
      <c r="A16652">
        <v>16651</v>
      </c>
      <c r="B16652" t="s">
        <v>0</v>
      </c>
      <c r="C16652">
        <v>144</v>
      </c>
      <c r="D16652">
        <v>3509</v>
      </c>
      <c r="E16652">
        <v>80724963</v>
      </c>
    </row>
    <row r="16653" spans="1:6" x14ac:dyDescent="0.25">
      <c r="A16653">
        <v>16652</v>
      </c>
      <c r="B16653">
        <v>44</v>
      </c>
      <c r="C16653">
        <v>0</v>
      </c>
      <c r="D16653">
        <v>0</v>
      </c>
      <c r="E16653">
        <v>0</v>
      </c>
      <c r="F16653">
        <v>52.305700000000002</v>
      </c>
    </row>
    <row r="16654" spans="1:6" x14ac:dyDescent="0.25">
      <c r="A16654">
        <v>16653</v>
      </c>
      <c r="B16654">
        <v>45</v>
      </c>
      <c r="C16654">
        <v>0</v>
      </c>
      <c r="D16654">
        <v>0</v>
      </c>
      <c r="E16654">
        <v>0</v>
      </c>
      <c r="F16654">
        <v>527.22299999999996</v>
      </c>
    </row>
    <row r="16655" spans="1:6" x14ac:dyDescent="0.25">
      <c r="A16655">
        <v>16654</v>
      </c>
      <c r="B16655" t="s">
        <v>0</v>
      </c>
      <c r="C16655">
        <v>145</v>
      </c>
      <c r="D16655">
        <v>3509</v>
      </c>
      <c r="E16655">
        <v>80725099</v>
      </c>
    </row>
    <row r="16656" spans="1:6" x14ac:dyDescent="0.25">
      <c r="A16656">
        <v>16655</v>
      </c>
      <c r="B16656">
        <v>46</v>
      </c>
      <c r="C16656">
        <v>0</v>
      </c>
      <c r="D16656">
        <v>0</v>
      </c>
      <c r="E16656">
        <v>0</v>
      </c>
      <c r="F16656">
        <v>0</v>
      </c>
    </row>
    <row r="16657" spans="1:6" x14ac:dyDescent="0.25">
      <c r="A16657">
        <v>16656</v>
      </c>
      <c r="B16657">
        <v>2</v>
      </c>
      <c r="C16657">
        <v>0</v>
      </c>
      <c r="D16657">
        <v>0</v>
      </c>
      <c r="E16657">
        <v>0</v>
      </c>
      <c r="F16657">
        <v>244.58699999999999</v>
      </c>
    </row>
    <row r="16658" spans="1:6" x14ac:dyDescent="0.25">
      <c r="A16658">
        <v>16657</v>
      </c>
      <c r="B16658" t="s">
        <v>0</v>
      </c>
      <c r="C16658">
        <v>146</v>
      </c>
      <c r="D16658">
        <v>3509</v>
      </c>
      <c r="E16658">
        <v>80725235</v>
      </c>
    </row>
    <row r="16659" spans="1:6" x14ac:dyDescent="0.25">
      <c r="A16659">
        <v>16658</v>
      </c>
      <c r="B16659">
        <v>13</v>
      </c>
      <c r="C16659">
        <v>0</v>
      </c>
      <c r="D16659">
        <v>0</v>
      </c>
      <c r="E16659">
        <v>0</v>
      </c>
      <c r="F16659">
        <v>1615</v>
      </c>
    </row>
    <row r="16660" spans="1:6" x14ac:dyDescent="0.25">
      <c r="A16660">
        <v>16659</v>
      </c>
      <c r="B16660" t="s">
        <v>0</v>
      </c>
      <c r="C16660">
        <v>147</v>
      </c>
      <c r="D16660">
        <v>3509</v>
      </c>
      <c r="E16660">
        <v>80725371</v>
      </c>
    </row>
    <row r="16661" spans="1:6" x14ac:dyDescent="0.25">
      <c r="A16661">
        <v>16660</v>
      </c>
      <c r="B16661">
        <v>42</v>
      </c>
      <c r="C16661">
        <v>0</v>
      </c>
      <c r="D16661">
        <v>0</v>
      </c>
      <c r="E16661">
        <v>0</v>
      </c>
      <c r="F16661">
        <v>0.2</v>
      </c>
    </row>
    <row r="16662" spans="1:6" x14ac:dyDescent="0.25">
      <c r="A16662">
        <v>16661</v>
      </c>
      <c r="B16662" t="s">
        <v>0</v>
      </c>
      <c r="C16662">
        <v>148</v>
      </c>
      <c r="D16662">
        <v>3509</v>
      </c>
      <c r="E16662">
        <v>80725507</v>
      </c>
    </row>
    <row r="16663" spans="1:6" x14ac:dyDescent="0.25">
      <c r="A16663">
        <v>16662</v>
      </c>
      <c r="B16663">
        <v>44</v>
      </c>
      <c r="C16663">
        <v>0</v>
      </c>
      <c r="D16663">
        <v>0</v>
      </c>
      <c r="E16663">
        <v>0</v>
      </c>
      <c r="F16663">
        <v>52.452199999999998</v>
      </c>
    </row>
    <row r="16664" spans="1:6" x14ac:dyDescent="0.25">
      <c r="A16664">
        <v>16663</v>
      </c>
      <c r="B16664" t="s">
        <v>0</v>
      </c>
      <c r="C16664">
        <v>149</v>
      </c>
      <c r="D16664">
        <v>3509</v>
      </c>
      <c r="E16664">
        <v>80725643</v>
      </c>
    </row>
    <row r="16665" spans="1:6" x14ac:dyDescent="0.25">
      <c r="A16665">
        <v>16664</v>
      </c>
      <c r="B16665">
        <v>46</v>
      </c>
      <c r="C16665">
        <v>0</v>
      </c>
      <c r="D16665">
        <v>0</v>
      </c>
      <c r="E16665">
        <v>0</v>
      </c>
      <c r="F16665">
        <v>0</v>
      </c>
    </row>
    <row r="16666" spans="1:6" x14ac:dyDescent="0.25">
      <c r="A16666">
        <v>16665</v>
      </c>
      <c r="B16666" t="s">
        <v>0</v>
      </c>
      <c r="C16666">
        <v>150</v>
      </c>
      <c r="D16666">
        <v>3509</v>
      </c>
      <c r="E16666">
        <v>80725779</v>
      </c>
    </row>
    <row r="16667" spans="1:6" x14ac:dyDescent="0.25">
      <c r="A16667">
        <v>16666</v>
      </c>
      <c r="B16667">
        <v>10</v>
      </c>
      <c r="C16667">
        <v>1</v>
      </c>
      <c r="D16667">
        <v>0</v>
      </c>
      <c r="E16667">
        <v>0</v>
      </c>
      <c r="F16667">
        <v>5336</v>
      </c>
    </row>
    <row r="16668" spans="1:6" x14ac:dyDescent="0.25">
      <c r="A16668">
        <v>16667</v>
      </c>
      <c r="B16668" t="s">
        <v>0</v>
      </c>
      <c r="C16668">
        <v>151</v>
      </c>
      <c r="D16668">
        <v>3509</v>
      </c>
      <c r="E16668">
        <v>80725915</v>
      </c>
    </row>
    <row r="16669" spans="1:6" x14ac:dyDescent="0.25">
      <c r="A16669">
        <v>16668</v>
      </c>
      <c r="B16669">
        <v>41</v>
      </c>
      <c r="C16669">
        <v>0</v>
      </c>
      <c r="D16669">
        <v>0</v>
      </c>
      <c r="E16669">
        <v>0</v>
      </c>
      <c r="F16669">
        <v>1</v>
      </c>
    </row>
    <row r="16670" spans="1:6" x14ac:dyDescent="0.25">
      <c r="A16670">
        <v>16669</v>
      </c>
      <c r="B16670" t="s">
        <v>0</v>
      </c>
      <c r="C16670">
        <v>152</v>
      </c>
      <c r="D16670">
        <v>3509</v>
      </c>
      <c r="E16670">
        <v>80726051</v>
      </c>
    </row>
    <row r="16671" spans="1:6" x14ac:dyDescent="0.25">
      <c r="A16671">
        <v>16670</v>
      </c>
      <c r="B16671">
        <v>43</v>
      </c>
      <c r="C16671">
        <v>0</v>
      </c>
      <c r="D16671">
        <v>0</v>
      </c>
      <c r="E16671">
        <v>0</v>
      </c>
      <c r="F16671">
        <v>0</v>
      </c>
    </row>
    <row r="16672" spans="1:6" x14ac:dyDescent="0.25">
      <c r="A16672">
        <v>16671</v>
      </c>
      <c r="B16672" t="s">
        <v>0</v>
      </c>
      <c r="C16672">
        <v>153</v>
      </c>
      <c r="D16672">
        <v>3509</v>
      </c>
      <c r="E16672">
        <v>80726187</v>
      </c>
    </row>
    <row r="16673" spans="1:6" x14ac:dyDescent="0.25">
      <c r="A16673">
        <v>16672</v>
      </c>
      <c r="B16673">
        <v>45</v>
      </c>
      <c r="C16673">
        <v>0</v>
      </c>
      <c r="D16673">
        <v>0</v>
      </c>
      <c r="E16673">
        <v>0</v>
      </c>
      <c r="F16673">
        <v>527.35199999999998</v>
      </c>
    </row>
    <row r="16674" spans="1:6" x14ac:dyDescent="0.25">
      <c r="A16674">
        <v>16673</v>
      </c>
      <c r="B16674">
        <v>46</v>
      </c>
      <c r="C16674">
        <v>0</v>
      </c>
      <c r="D16674">
        <v>0</v>
      </c>
      <c r="E16674">
        <v>0</v>
      </c>
      <c r="F16674">
        <v>0</v>
      </c>
    </row>
    <row r="16675" spans="1:6" x14ac:dyDescent="0.25">
      <c r="A16675">
        <v>16674</v>
      </c>
      <c r="B16675">
        <v>2</v>
      </c>
      <c r="C16675">
        <v>0</v>
      </c>
      <c r="D16675">
        <v>0</v>
      </c>
      <c r="E16675">
        <v>0</v>
      </c>
      <c r="F16675">
        <v>244.59399999999999</v>
      </c>
    </row>
    <row r="16676" spans="1:6" x14ac:dyDescent="0.25">
      <c r="A16676">
        <v>16675</v>
      </c>
      <c r="B16676">
        <v>10</v>
      </c>
      <c r="C16676">
        <v>1</v>
      </c>
      <c r="D16676">
        <v>0</v>
      </c>
      <c r="E16676">
        <v>0</v>
      </c>
      <c r="F16676">
        <v>5337</v>
      </c>
    </row>
    <row r="16677" spans="1:6" x14ac:dyDescent="0.25">
      <c r="A16677">
        <v>16676</v>
      </c>
      <c r="B16677">
        <v>13</v>
      </c>
      <c r="C16677">
        <v>0</v>
      </c>
      <c r="D16677">
        <v>0</v>
      </c>
      <c r="E16677">
        <v>0</v>
      </c>
      <c r="F16677">
        <v>1615</v>
      </c>
    </row>
    <row r="16678" spans="1:6" x14ac:dyDescent="0.25">
      <c r="A16678">
        <v>16677</v>
      </c>
      <c r="B16678">
        <v>41</v>
      </c>
      <c r="C16678">
        <v>0</v>
      </c>
      <c r="D16678">
        <v>0</v>
      </c>
      <c r="E16678">
        <v>0</v>
      </c>
      <c r="F16678">
        <v>1</v>
      </c>
    </row>
    <row r="16679" spans="1:6" x14ac:dyDescent="0.25">
      <c r="A16679">
        <v>16678</v>
      </c>
      <c r="B16679">
        <v>42</v>
      </c>
      <c r="C16679">
        <v>0</v>
      </c>
      <c r="D16679">
        <v>0</v>
      </c>
      <c r="E16679">
        <v>0</v>
      </c>
      <c r="F16679">
        <v>0.2</v>
      </c>
    </row>
    <row r="16680" spans="1:6" x14ac:dyDescent="0.25">
      <c r="A16680">
        <v>16679</v>
      </c>
      <c r="B16680">
        <v>43</v>
      </c>
      <c r="C16680">
        <v>0</v>
      </c>
      <c r="D16680">
        <v>0</v>
      </c>
      <c r="E16680">
        <v>0</v>
      </c>
      <c r="F16680">
        <v>0</v>
      </c>
    </row>
    <row r="16681" spans="1:6" x14ac:dyDescent="0.25">
      <c r="A16681">
        <v>16680</v>
      </c>
      <c r="B16681">
        <v>44</v>
      </c>
      <c r="C16681">
        <v>0</v>
      </c>
      <c r="D16681">
        <v>0</v>
      </c>
      <c r="E16681">
        <v>0</v>
      </c>
      <c r="F16681">
        <v>52.746600000000001</v>
      </c>
    </row>
    <row r="16682" spans="1:6" x14ac:dyDescent="0.25">
      <c r="A16682">
        <v>16681</v>
      </c>
      <c r="B16682">
        <v>45</v>
      </c>
      <c r="C16682">
        <v>0</v>
      </c>
      <c r="D16682">
        <v>0</v>
      </c>
      <c r="E16682">
        <v>0</v>
      </c>
      <c r="F16682">
        <v>527.40899999999999</v>
      </c>
    </row>
    <row r="16683" spans="1:6" x14ac:dyDescent="0.25">
      <c r="A16683">
        <v>16682</v>
      </c>
      <c r="B16683">
        <v>46</v>
      </c>
      <c r="C16683">
        <v>0</v>
      </c>
      <c r="D16683">
        <v>0</v>
      </c>
      <c r="E16683">
        <v>0</v>
      </c>
      <c r="F16683">
        <v>0</v>
      </c>
    </row>
    <row r="16684" spans="1:6" x14ac:dyDescent="0.25">
      <c r="A16684">
        <v>16683</v>
      </c>
      <c r="B16684">
        <v>2</v>
      </c>
      <c r="C16684">
        <v>0</v>
      </c>
      <c r="D16684">
        <v>0</v>
      </c>
      <c r="E16684">
        <v>0</v>
      </c>
      <c r="F16684">
        <v>244.596</v>
      </c>
    </row>
    <row r="16685" spans="1:6" x14ac:dyDescent="0.25">
      <c r="A16685">
        <v>16684</v>
      </c>
      <c r="B16685">
        <v>10</v>
      </c>
      <c r="C16685">
        <v>1</v>
      </c>
      <c r="D16685">
        <v>0</v>
      </c>
      <c r="E16685">
        <v>0</v>
      </c>
      <c r="F16685">
        <v>5338</v>
      </c>
    </row>
    <row r="16686" spans="1:6" x14ac:dyDescent="0.25">
      <c r="A16686">
        <v>16685</v>
      </c>
      <c r="B16686">
        <v>13</v>
      </c>
      <c r="C16686">
        <v>0</v>
      </c>
      <c r="D16686">
        <v>0</v>
      </c>
      <c r="E16686">
        <v>0</v>
      </c>
      <c r="F16686">
        <v>1616</v>
      </c>
    </row>
    <row r="16687" spans="1:6" x14ac:dyDescent="0.25">
      <c r="A16687">
        <v>16686</v>
      </c>
      <c r="B16687">
        <v>41</v>
      </c>
      <c r="C16687">
        <v>0</v>
      </c>
      <c r="D16687">
        <v>0</v>
      </c>
      <c r="E16687">
        <v>0</v>
      </c>
      <c r="F16687">
        <v>1</v>
      </c>
    </row>
    <row r="16688" spans="1:6" x14ac:dyDescent="0.25">
      <c r="A16688">
        <v>16687</v>
      </c>
      <c r="B16688">
        <v>42</v>
      </c>
      <c r="C16688">
        <v>0</v>
      </c>
      <c r="D16688">
        <v>0</v>
      </c>
      <c r="E16688">
        <v>0</v>
      </c>
      <c r="F16688">
        <v>0.2</v>
      </c>
    </row>
    <row r="16689" spans="1:6" x14ac:dyDescent="0.25">
      <c r="A16689">
        <v>16688</v>
      </c>
      <c r="B16689">
        <v>43</v>
      </c>
      <c r="C16689">
        <v>0</v>
      </c>
      <c r="D16689">
        <v>0</v>
      </c>
      <c r="E16689">
        <v>0</v>
      </c>
      <c r="F16689">
        <v>0</v>
      </c>
    </row>
    <row r="16690" spans="1:6" x14ac:dyDescent="0.25">
      <c r="A16690">
        <v>16689</v>
      </c>
      <c r="B16690">
        <v>44</v>
      </c>
      <c r="C16690">
        <v>0</v>
      </c>
      <c r="D16690">
        <v>0</v>
      </c>
      <c r="E16690">
        <v>0</v>
      </c>
      <c r="F16690">
        <v>52.894300000000001</v>
      </c>
    </row>
    <row r="16691" spans="1:6" x14ac:dyDescent="0.25">
      <c r="A16691">
        <v>16690</v>
      </c>
      <c r="B16691">
        <v>45</v>
      </c>
      <c r="C16691">
        <v>0</v>
      </c>
      <c r="D16691">
        <v>0</v>
      </c>
      <c r="E16691">
        <v>0</v>
      </c>
      <c r="F16691">
        <v>527.48099999999999</v>
      </c>
    </row>
    <row r="16692" spans="1:6" x14ac:dyDescent="0.25">
      <c r="A16692">
        <v>16691</v>
      </c>
      <c r="B16692">
        <v>46</v>
      </c>
      <c r="C16692">
        <v>0</v>
      </c>
      <c r="D16692">
        <v>0</v>
      </c>
      <c r="E16692">
        <v>0</v>
      </c>
      <c r="F16692">
        <v>0</v>
      </c>
    </row>
    <row r="16693" spans="1:6" x14ac:dyDescent="0.25">
      <c r="A16693">
        <v>16692</v>
      </c>
      <c r="B16693">
        <v>2</v>
      </c>
      <c r="C16693">
        <v>0</v>
      </c>
      <c r="D16693">
        <v>0</v>
      </c>
      <c r="E16693">
        <v>0</v>
      </c>
      <c r="F16693">
        <v>244.59899999999999</v>
      </c>
    </row>
    <row r="16694" spans="1:6" x14ac:dyDescent="0.25">
      <c r="A16694">
        <v>16693</v>
      </c>
      <c r="B16694">
        <v>10</v>
      </c>
      <c r="C16694">
        <v>1</v>
      </c>
      <c r="D16694">
        <v>0</v>
      </c>
      <c r="E16694">
        <v>0</v>
      </c>
      <c r="F16694">
        <v>5340</v>
      </c>
    </row>
    <row r="16695" spans="1:6" x14ac:dyDescent="0.25">
      <c r="A16695">
        <v>16694</v>
      </c>
      <c r="B16695" t="s">
        <v>0</v>
      </c>
      <c r="C16695">
        <v>164</v>
      </c>
      <c r="D16695">
        <v>3509</v>
      </c>
      <c r="E16695">
        <v>80727681</v>
      </c>
    </row>
    <row r="16696" spans="1:6" x14ac:dyDescent="0.25">
      <c r="A16696">
        <v>16695</v>
      </c>
      <c r="B16696">
        <v>13</v>
      </c>
      <c r="C16696">
        <v>0</v>
      </c>
      <c r="D16696">
        <v>0</v>
      </c>
      <c r="E16696">
        <v>0</v>
      </c>
      <c r="F16696">
        <v>1616</v>
      </c>
    </row>
    <row r="16697" spans="1:6" x14ac:dyDescent="0.25">
      <c r="A16697">
        <v>16696</v>
      </c>
      <c r="B16697">
        <v>41</v>
      </c>
      <c r="C16697">
        <v>0</v>
      </c>
      <c r="D16697">
        <v>0</v>
      </c>
      <c r="E16697">
        <v>0</v>
      </c>
      <c r="F16697">
        <v>1</v>
      </c>
    </row>
    <row r="16698" spans="1:6" x14ac:dyDescent="0.25">
      <c r="A16698">
        <v>16697</v>
      </c>
      <c r="B16698" t="s">
        <v>0</v>
      </c>
      <c r="C16698">
        <v>165</v>
      </c>
      <c r="D16698">
        <v>3509</v>
      </c>
      <c r="E16698">
        <v>80727817</v>
      </c>
    </row>
    <row r="16699" spans="1:6" x14ac:dyDescent="0.25">
      <c r="A16699">
        <v>16698</v>
      </c>
      <c r="B16699">
        <v>42</v>
      </c>
      <c r="C16699">
        <v>0</v>
      </c>
      <c r="D16699">
        <v>0</v>
      </c>
      <c r="E16699">
        <v>0</v>
      </c>
      <c r="F16699">
        <v>0.2</v>
      </c>
    </row>
    <row r="16700" spans="1:6" x14ac:dyDescent="0.25">
      <c r="A16700">
        <v>16699</v>
      </c>
      <c r="B16700">
        <v>43</v>
      </c>
      <c r="C16700">
        <v>0</v>
      </c>
      <c r="D16700">
        <v>0</v>
      </c>
      <c r="E16700">
        <v>0</v>
      </c>
      <c r="F16700">
        <v>0</v>
      </c>
    </row>
    <row r="16701" spans="1:6" x14ac:dyDescent="0.25">
      <c r="A16701">
        <v>16700</v>
      </c>
      <c r="B16701" t="s">
        <v>0</v>
      </c>
      <c r="C16701">
        <v>166</v>
      </c>
      <c r="D16701">
        <v>3509</v>
      </c>
      <c r="E16701">
        <v>80727953</v>
      </c>
    </row>
    <row r="16702" spans="1:6" x14ac:dyDescent="0.25">
      <c r="A16702">
        <v>16701</v>
      </c>
      <c r="B16702">
        <v>44</v>
      </c>
      <c r="C16702">
        <v>0</v>
      </c>
      <c r="D16702">
        <v>0</v>
      </c>
      <c r="E16702">
        <v>0</v>
      </c>
      <c r="F16702">
        <v>53.041800000000002</v>
      </c>
    </row>
    <row r="16703" spans="1:6" x14ac:dyDescent="0.25">
      <c r="A16703">
        <v>16702</v>
      </c>
      <c r="B16703">
        <v>45</v>
      </c>
      <c r="C16703">
        <v>0</v>
      </c>
      <c r="D16703">
        <v>0</v>
      </c>
      <c r="E16703">
        <v>0</v>
      </c>
      <c r="F16703">
        <v>527.53899999999999</v>
      </c>
    </row>
    <row r="16704" spans="1:6" x14ac:dyDescent="0.25">
      <c r="A16704">
        <v>16703</v>
      </c>
      <c r="B16704" t="s">
        <v>0</v>
      </c>
      <c r="C16704">
        <v>167</v>
      </c>
      <c r="D16704">
        <v>3509</v>
      </c>
      <c r="E16704">
        <v>80728089</v>
      </c>
    </row>
    <row r="16705" spans="1:6" x14ac:dyDescent="0.25">
      <c r="A16705">
        <v>16704</v>
      </c>
      <c r="B16705">
        <v>46</v>
      </c>
      <c r="C16705">
        <v>0</v>
      </c>
      <c r="D16705">
        <v>0</v>
      </c>
      <c r="E16705">
        <v>0</v>
      </c>
      <c r="F16705">
        <v>0</v>
      </c>
    </row>
    <row r="16706" spans="1:6" x14ac:dyDescent="0.25">
      <c r="A16706">
        <v>16705</v>
      </c>
      <c r="B16706">
        <v>2</v>
      </c>
      <c r="C16706">
        <v>0</v>
      </c>
      <c r="D16706">
        <v>0</v>
      </c>
      <c r="E16706">
        <v>0</v>
      </c>
      <c r="F16706">
        <v>244.6</v>
      </c>
    </row>
    <row r="16707" spans="1:6" x14ac:dyDescent="0.25">
      <c r="A16707">
        <v>16706</v>
      </c>
      <c r="B16707" t="s">
        <v>0</v>
      </c>
      <c r="C16707">
        <v>168</v>
      </c>
      <c r="D16707">
        <v>3509</v>
      </c>
      <c r="E16707">
        <v>80728225</v>
      </c>
    </row>
    <row r="16708" spans="1:6" x14ac:dyDescent="0.25">
      <c r="A16708">
        <v>16707</v>
      </c>
      <c r="B16708">
        <v>10</v>
      </c>
      <c r="C16708">
        <v>1</v>
      </c>
      <c r="D16708">
        <v>0</v>
      </c>
      <c r="E16708">
        <v>0</v>
      </c>
      <c r="F16708">
        <v>5341</v>
      </c>
    </row>
    <row r="16709" spans="1:6" x14ac:dyDescent="0.25">
      <c r="A16709">
        <v>16708</v>
      </c>
      <c r="B16709">
        <v>13</v>
      </c>
      <c r="C16709">
        <v>0</v>
      </c>
      <c r="D16709">
        <v>0</v>
      </c>
      <c r="E16709">
        <v>0</v>
      </c>
      <c r="F16709">
        <v>1616</v>
      </c>
    </row>
    <row r="16710" spans="1:6" x14ac:dyDescent="0.25">
      <c r="A16710">
        <v>16709</v>
      </c>
      <c r="B16710" t="s">
        <v>0</v>
      </c>
      <c r="C16710">
        <v>169</v>
      </c>
      <c r="D16710">
        <v>3509</v>
      </c>
      <c r="E16710">
        <v>80728361</v>
      </c>
    </row>
    <row r="16711" spans="1:6" x14ac:dyDescent="0.25">
      <c r="A16711">
        <v>16710</v>
      </c>
      <c r="B16711">
        <v>41</v>
      </c>
      <c r="C16711">
        <v>0</v>
      </c>
      <c r="D16711">
        <v>0</v>
      </c>
      <c r="E16711">
        <v>0</v>
      </c>
      <c r="F16711">
        <v>1</v>
      </c>
    </row>
    <row r="16712" spans="1:6" x14ac:dyDescent="0.25">
      <c r="A16712">
        <v>16711</v>
      </c>
      <c r="B16712">
        <v>42</v>
      </c>
      <c r="C16712">
        <v>0</v>
      </c>
      <c r="D16712">
        <v>0</v>
      </c>
      <c r="E16712">
        <v>0</v>
      </c>
      <c r="F16712">
        <v>0.2</v>
      </c>
    </row>
    <row r="16713" spans="1:6" x14ac:dyDescent="0.25">
      <c r="A16713">
        <v>16712</v>
      </c>
      <c r="B16713" t="s">
        <v>0</v>
      </c>
      <c r="C16713">
        <v>170</v>
      </c>
      <c r="D16713">
        <v>3509</v>
      </c>
      <c r="E16713">
        <v>80728497</v>
      </c>
    </row>
    <row r="16714" spans="1:6" x14ac:dyDescent="0.25">
      <c r="A16714">
        <v>16713</v>
      </c>
      <c r="B16714">
        <v>43</v>
      </c>
      <c r="C16714">
        <v>0</v>
      </c>
      <c r="D16714">
        <v>0</v>
      </c>
      <c r="E16714">
        <v>0</v>
      </c>
      <c r="F16714">
        <v>0</v>
      </c>
    </row>
    <row r="16715" spans="1:6" x14ac:dyDescent="0.25">
      <c r="A16715">
        <v>16714</v>
      </c>
      <c r="B16715">
        <v>44</v>
      </c>
      <c r="C16715">
        <v>0</v>
      </c>
      <c r="D16715">
        <v>0</v>
      </c>
      <c r="E16715">
        <v>0</v>
      </c>
      <c r="F16715">
        <v>53.165799999999997</v>
      </c>
    </row>
    <row r="16716" spans="1:6" x14ac:dyDescent="0.25">
      <c r="A16716">
        <v>16715</v>
      </c>
      <c r="B16716" t="s">
        <v>0</v>
      </c>
      <c r="C16716">
        <v>171</v>
      </c>
      <c r="D16716">
        <v>3509</v>
      </c>
      <c r="E16716">
        <v>80728632</v>
      </c>
    </row>
    <row r="16717" spans="1:6" x14ac:dyDescent="0.25">
      <c r="A16717">
        <v>16716</v>
      </c>
      <c r="B16717">
        <v>45</v>
      </c>
      <c r="C16717">
        <v>0</v>
      </c>
      <c r="D16717">
        <v>0</v>
      </c>
      <c r="E16717">
        <v>0</v>
      </c>
      <c r="F16717">
        <v>527.61099999999999</v>
      </c>
    </row>
    <row r="16718" spans="1:6" x14ac:dyDescent="0.25">
      <c r="A16718">
        <v>16717</v>
      </c>
      <c r="B16718">
        <v>46</v>
      </c>
      <c r="C16718">
        <v>0</v>
      </c>
      <c r="D16718">
        <v>0</v>
      </c>
      <c r="E16718">
        <v>0</v>
      </c>
      <c r="F16718">
        <v>0</v>
      </c>
    </row>
    <row r="16719" spans="1:6" x14ac:dyDescent="0.25">
      <c r="A16719">
        <v>16718</v>
      </c>
      <c r="B16719" t="s">
        <v>0</v>
      </c>
      <c r="C16719">
        <v>172</v>
      </c>
      <c r="D16719">
        <v>3509</v>
      </c>
      <c r="E16719">
        <v>80728768</v>
      </c>
    </row>
    <row r="16720" spans="1:6" x14ac:dyDescent="0.25">
      <c r="A16720">
        <v>16719</v>
      </c>
      <c r="B16720">
        <v>10</v>
      </c>
      <c r="C16720">
        <v>1</v>
      </c>
      <c r="D16720">
        <v>0</v>
      </c>
      <c r="E16720">
        <v>0</v>
      </c>
      <c r="F16720">
        <v>5341</v>
      </c>
    </row>
    <row r="16721" spans="1:6" x14ac:dyDescent="0.25">
      <c r="A16721">
        <v>16720</v>
      </c>
      <c r="B16721" t="s">
        <v>0</v>
      </c>
      <c r="C16721">
        <v>173</v>
      </c>
      <c r="D16721">
        <v>3509</v>
      </c>
      <c r="E16721">
        <v>80728904</v>
      </c>
    </row>
    <row r="16722" spans="1:6" x14ac:dyDescent="0.25">
      <c r="A16722">
        <v>16721</v>
      </c>
      <c r="B16722">
        <v>41</v>
      </c>
      <c r="C16722">
        <v>0</v>
      </c>
      <c r="D16722">
        <v>0</v>
      </c>
      <c r="E16722">
        <v>0</v>
      </c>
      <c r="F16722">
        <v>1</v>
      </c>
    </row>
    <row r="16723" spans="1:6" x14ac:dyDescent="0.25">
      <c r="A16723">
        <v>16722</v>
      </c>
      <c r="B16723" t="s">
        <v>0</v>
      </c>
      <c r="C16723">
        <v>174</v>
      </c>
      <c r="D16723">
        <v>3509</v>
      </c>
      <c r="E16723">
        <v>80729040</v>
      </c>
    </row>
    <row r="16724" spans="1:6" x14ac:dyDescent="0.25">
      <c r="A16724">
        <v>16723</v>
      </c>
      <c r="B16724">
        <v>43</v>
      </c>
      <c r="C16724">
        <v>0</v>
      </c>
      <c r="D16724">
        <v>0</v>
      </c>
      <c r="E16724">
        <v>0</v>
      </c>
      <c r="F16724">
        <v>0</v>
      </c>
    </row>
    <row r="16725" spans="1:6" x14ac:dyDescent="0.25">
      <c r="A16725">
        <v>16724</v>
      </c>
      <c r="B16725" t="s">
        <v>0</v>
      </c>
      <c r="C16725">
        <v>175</v>
      </c>
      <c r="D16725">
        <v>3509</v>
      </c>
      <c r="E16725">
        <v>80729175</v>
      </c>
    </row>
    <row r="16726" spans="1:6" x14ac:dyDescent="0.25">
      <c r="A16726">
        <v>16725</v>
      </c>
      <c r="B16726">
        <v>45</v>
      </c>
      <c r="C16726">
        <v>0</v>
      </c>
      <c r="D16726">
        <v>0</v>
      </c>
      <c r="E16726">
        <v>0</v>
      </c>
      <c r="F16726">
        <v>527.66899999999998</v>
      </c>
    </row>
    <row r="16727" spans="1:6" x14ac:dyDescent="0.25">
      <c r="A16727">
        <v>16726</v>
      </c>
      <c r="B16727" t="s">
        <v>0</v>
      </c>
      <c r="C16727">
        <v>176</v>
      </c>
      <c r="D16727">
        <v>3509</v>
      </c>
      <c r="E16727">
        <v>80729310</v>
      </c>
    </row>
    <row r="16728" spans="1:6" x14ac:dyDescent="0.25">
      <c r="A16728">
        <v>16727</v>
      </c>
      <c r="B16728">
        <v>2</v>
      </c>
      <c r="C16728">
        <v>0</v>
      </c>
      <c r="D16728">
        <v>0</v>
      </c>
      <c r="E16728">
        <v>0</v>
      </c>
      <c r="F16728">
        <v>244.691</v>
      </c>
    </row>
    <row r="16729" spans="1:6" x14ac:dyDescent="0.25">
      <c r="A16729">
        <v>16728</v>
      </c>
      <c r="B16729" t="s">
        <v>0</v>
      </c>
      <c r="C16729">
        <v>177</v>
      </c>
      <c r="D16729">
        <v>3509</v>
      </c>
      <c r="E16729">
        <v>80729445</v>
      </c>
    </row>
    <row r="16730" spans="1:6" x14ac:dyDescent="0.25">
      <c r="A16730">
        <v>16729</v>
      </c>
      <c r="B16730">
        <v>13</v>
      </c>
      <c r="C16730">
        <v>0</v>
      </c>
      <c r="D16730">
        <v>0</v>
      </c>
      <c r="E16730">
        <v>0</v>
      </c>
      <c r="F16730">
        <v>1616</v>
      </c>
    </row>
    <row r="16731" spans="1:6" x14ac:dyDescent="0.25">
      <c r="A16731">
        <v>16730</v>
      </c>
      <c r="B16731" t="s">
        <v>0</v>
      </c>
      <c r="C16731">
        <v>178</v>
      </c>
      <c r="D16731">
        <v>3509</v>
      </c>
      <c r="E16731">
        <v>80729580</v>
      </c>
    </row>
    <row r="16732" spans="1:6" x14ac:dyDescent="0.25">
      <c r="A16732">
        <v>16731</v>
      </c>
      <c r="B16732">
        <v>42</v>
      </c>
      <c r="C16732">
        <v>0</v>
      </c>
      <c r="D16732">
        <v>0</v>
      </c>
      <c r="E16732">
        <v>0</v>
      </c>
      <c r="F16732">
        <v>0.2</v>
      </c>
    </row>
    <row r="16733" spans="1:6" x14ac:dyDescent="0.25">
      <c r="A16733">
        <v>16732</v>
      </c>
      <c r="B16733">
        <v>43</v>
      </c>
      <c r="C16733">
        <v>0</v>
      </c>
      <c r="D16733">
        <v>0</v>
      </c>
      <c r="E16733">
        <v>0</v>
      </c>
      <c r="F16733">
        <v>0</v>
      </c>
    </row>
    <row r="16734" spans="1:6" x14ac:dyDescent="0.25">
      <c r="A16734">
        <v>16733</v>
      </c>
      <c r="B16734">
        <v>44</v>
      </c>
      <c r="C16734">
        <v>0</v>
      </c>
      <c r="D16734">
        <v>0</v>
      </c>
      <c r="E16734">
        <v>0</v>
      </c>
      <c r="F16734">
        <v>53.324599999999997</v>
      </c>
    </row>
    <row r="16735" spans="1:6" x14ac:dyDescent="0.25">
      <c r="A16735">
        <v>16734</v>
      </c>
      <c r="B16735">
        <v>45</v>
      </c>
      <c r="C16735">
        <v>0</v>
      </c>
      <c r="D16735">
        <v>0</v>
      </c>
      <c r="E16735">
        <v>0</v>
      </c>
      <c r="F16735">
        <v>527.71299999999997</v>
      </c>
    </row>
    <row r="16736" spans="1:6" x14ac:dyDescent="0.25">
      <c r="A16736">
        <v>16735</v>
      </c>
      <c r="B16736">
        <v>46</v>
      </c>
      <c r="C16736">
        <v>0</v>
      </c>
      <c r="D16736">
        <v>0</v>
      </c>
      <c r="E16736">
        <v>0</v>
      </c>
      <c r="F16736">
        <v>0</v>
      </c>
    </row>
    <row r="16737" spans="1:6" x14ac:dyDescent="0.25">
      <c r="A16737">
        <v>16736</v>
      </c>
      <c r="B16737">
        <v>2</v>
      </c>
      <c r="C16737">
        <v>0</v>
      </c>
      <c r="D16737">
        <v>0</v>
      </c>
      <c r="E16737">
        <v>0</v>
      </c>
      <c r="F16737">
        <v>244.71700000000001</v>
      </c>
    </row>
    <row r="16738" spans="1:6" x14ac:dyDescent="0.25">
      <c r="A16738">
        <v>16737</v>
      </c>
      <c r="B16738">
        <v>10</v>
      </c>
      <c r="C16738">
        <v>1</v>
      </c>
      <c r="D16738">
        <v>0</v>
      </c>
      <c r="E16738">
        <v>0</v>
      </c>
      <c r="F16738">
        <v>5341</v>
      </c>
    </row>
    <row r="16739" spans="1:6" x14ac:dyDescent="0.25">
      <c r="A16739">
        <v>16738</v>
      </c>
      <c r="B16739">
        <v>13</v>
      </c>
      <c r="C16739">
        <v>0</v>
      </c>
      <c r="D16739">
        <v>0</v>
      </c>
      <c r="E16739">
        <v>0</v>
      </c>
      <c r="F16739">
        <v>1616</v>
      </c>
    </row>
    <row r="16740" spans="1:6" x14ac:dyDescent="0.25">
      <c r="A16740">
        <v>16739</v>
      </c>
      <c r="B16740">
        <v>41</v>
      </c>
      <c r="C16740">
        <v>0</v>
      </c>
      <c r="D16740">
        <v>0</v>
      </c>
      <c r="E16740">
        <v>0</v>
      </c>
      <c r="F16740">
        <v>1</v>
      </c>
    </row>
    <row r="16741" spans="1:6" x14ac:dyDescent="0.25">
      <c r="A16741">
        <v>16740</v>
      </c>
      <c r="B16741">
        <v>42</v>
      </c>
      <c r="C16741">
        <v>0</v>
      </c>
      <c r="D16741">
        <v>0</v>
      </c>
      <c r="E16741">
        <v>0</v>
      </c>
      <c r="F16741">
        <v>0.2</v>
      </c>
    </row>
    <row r="16742" spans="1:6" x14ac:dyDescent="0.25">
      <c r="A16742">
        <v>16741</v>
      </c>
      <c r="B16742">
        <v>43</v>
      </c>
      <c r="C16742">
        <v>0</v>
      </c>
      <c r="D16742">
        <v>0</v>
      </c>
      <c r="E16742">
        <v>0</v>
      </c>
      <c r="F16742">
        <v>0</v>
      </c>
    </row>
    <row r="16743" spans="1:6" x14ac:dyDescent="0.25">
      <c r="A16743">
        <v>16742</v>
      </c>
      <c r="B16743">
        <v>44</v>
      </c>
      <c r="C16743">
        <v>0</v>
      </c>
      <c r="D16743">
        <v>0</v>
      </c>
      <c r="E16743">
        <v>0</v>
      </c>
      <c r="F16743">
        <v>53.464199999999998</v>
      </c>
    </row>
    <row r="16744" spans="1:6" x14ac:dyDescent="0.25">
      <c r="A16744">
        <v>16743</v>
      </c>
      <c r="B16744">
        <v>45</v>
      </c>
      <c r="C16744">
        <v>0</v>
      </c>
      <c r="D16744">
        <v>0</v>
      </c>
      <c r="E16744">
        <v>0</v>
      </c>
      <c r="F16744">
        <v>527.77099999999996</v>
      </c>
    </row>
    <row r="16745" spans="1:6" x14ac:dyDescent="0.25">
      <c r="A16745">
        <v>16744</v>
      </c>
      <c r="B16745">
        <v>46</v>
      </c>
      <c r="C16745">
        <v>0</v>
      </c>
      <c r="D16745">
        <v>0</v>
      </c>
      <c r="E16745">
        <v>0</v>
      </c>
      <c r="F16745">
        <v>0</v>
      </c>
    </row>
    <row r="16746" spans="1:6" x14ac:dyDescent="0.25">
      <c r="A16746">
        <v>16745</v>
      </c>
      <c r="B16746">
        <v>2</v>
      </c>
      <c r="C16746">
        <v>0</v>
      </c>
      <c r="D16746">
        <v>0</v>
      </c>
      <c r="E16746">
        <v>0</v>
      </c>
      <c r="F16746">
        <v>244.773</v>
      </c>
    </row>
    <row r="16747" spans="1:6" x14ac:dyDescent="0.25">
      <c r="A16747">
        <v>16746</v>
      </c>
      <c r="B16747">
        <v>10</v>
      </c>
      <c r="C16747">
        <v>1</v>
      </c>
      <c r="D16747">
        <v>0</v>
      </c>
      <c r="E16747">
        <v>0</v>
      </c>
      <c r="F16747">
        <v>5341</v>
      </c>
    </row>
    <row r="16748" spans="1:6" x14ac:dyDescent="0.25">
      <c r="A16748">
        <v>16747</v>
      </c>
      <c r="B16748">
        <v>13</v>
      </c>
      <c r="C16748">
        <v>0</v>
      </c>
      <c r="D16748">
        <v>0</v>
      </c>
      <c r="E16748">
        <v>0</v>
      </c>
      <c r="F16748">
        <v>1616</v>
      </c>
    </row>
    <row r="16749" spans="1:6" x14ac:dyDescent="0.25">
      <c r="A16749">
        <v>16748</v>
      </c>
      <c r="B16749">
        <v>41</v>
      </c>
      <c r="C16749">
        <v>0</v>
      </c>
      <c r="D16749">
        <v>0</v>
      </c>
      <c r="E16749">
        <v>0</v>
      </c>
      <c r="F16749">
        <v>1</v>
      </c>
    </row>
    <row r="16750" spans="1:6" x14ac:dyDescent="0.25">
      <c r="A16750">
        <v>16749</v>
      </c>
      <c r="B16750">
        <v>42</v>
      </c>
      <c r="C16750">
        <v>0</v>
      </c>
      <c r="D16750">
        <v>0</v>
      </c>
      <c r="E16750">
        <v>0</v>
      </c>
      <c r="F16750">
        <v>0.2</v>
      </c>
    </row>
    <row r="16751" spans="1:6" x14ac:dyDescent="0.25">
      <c r="A16751">
        <v>16750</v>
      </c>
      <c r="B16751">
        <v>43</v>
      </c>
      <c r="C16751">
        <v>0</v>
      </c>
      <c r="D16751">
        <v>0</v>
      </c>
      <c r="E16751">
        <v>0</v>
      </c>
      <c r="F16751">
        <v>0</v>
      </c>
    </row>
    <row r="16752" spans="1:6" x14ac:dyDescent="0.25">
      <c r="A16752">
        <v>16751</v>
      </c>
      <c r="B16752">
        <v>44</v>
      </c>
      <c r="C16752">
        <v>0</v>
      </c>
      <c r="D16752">
        <v>0</v>
      </c>
      <c r="E16752">
        <v>0</v>
      </c>
      <c r="F16752">
        <v>53.591200000000001</v>
      </c>
    </row>
    <row r="16753" spans="1:6" x14ac:dyDescent="0.25">
      <c r="A16753">
        <v>16752</v>
      </c>
      <c r="B16753">
        <v>45</v>
      </c>
      <c r="C16753">
        <v>0</v>
      </c>
      <c r="D16753">
        <v>0</v>
      </c>
      <c r="E16753">
        <v>0</v>
      </c>
      <c r="F16753">
        <v>527.82899999999995</v>
      </c>
    </row>
    <row r="16754" spans="1:6" x14ac:dyDescent="0.25">
      <c r="A16754">
        <v>16753</v>
      </c>
      <c r="B16754">
        <v>46</v>
      </c>
      <c r="C16754">
        <v>0</v>
      </c>
      <c r="D16754">
        <v>0</v>
      </c>
      <c r="E16754">
        <v>0</v>
      </c>
      <c r="F16754">
        <v>0</v>
      </c>
    </row>
    <row r="16755" spans="1:6" x14ac:dyDescent="0.25">
      <c r="A16755">
        <v>16754</v>
      </c>
      <c r="B16755">
        <v>2</v>
      </c>
      <c r="C16755">
        <v>0</v>
      </c>
      <c r="D16755">
        <v>0</v>
      </c>
      <c r="E16755">
        <v>0</v>
      </c>
      <c r="F16755">
        <v>244.809</v>
      </c>
    </row>
    <row r="16756" spans="1:6" x14ac:dyDescent="0.25">
      <c r="A16756">
        <v>16755</v>
      </c>
      <c r="B16756" t="s">
        <v>0</v>
      </c>
      <c r="C16756">
        <v>10</v>
      </c>
      <c r="D16756">
        <v>3510</v>
      </c>
      <c r="E16756">
        <v>80731209</v>
      </c>
    </row>
    <row r="16757" spans="1:6" x14ac:dyDescent="0.25">
      <c r="A16757">
        <v>16756</v>
      </c>
      <c r="B16757">
        <v>10</v>
      </c>
      <c r="C16757">
        <v>1</v>
      </c>
      <c r="D16757">
        <v>0</v>
      </c>
      <c r="E16757">
        <v>0</v>
      </c>
      <c r="F16757">
        <v>5341</v>
      </c>
    </row>
    <row r="16758" spans="1:6" x14ac:dyDescent="0.25">
      <c r="A16758">
        <v>16757</v>
      </c>
      <c r="B16758">
        <v>13</v>
      </c>
      <c r="C16758">
        <v>0</v>
      </c>
      <c r="D16758">
        <v>0</v>
      </c>
      <c r="E16758">
        <v>0</v>
      </c>
      <c r="F16758">
        <v>1616</v>
      </c>
    </row>
    <row r="16759" spans="1:6" x14ac:dyDescent="0.25">
      <c r="A16759">
        <v>16758</v>
      </c>
      <c r="B16759" t="s">
        <v>0</v>
      </c>
      <c r="C16759">
        <v>11</v>
      </c>
      <c r="D16759">
        <v>3510</v>
      </c>
      <c r="E16759">
        <v>80731344</v>
      </c>
    </row>
    <row r="16760" spans="1:6" x14ac:dyDescent="0.25">
      <c r="A16760">
        <v>16759</v>
      </c>
      <c r="B16760">
        <v>41</v>
      </c>
      <c r="C16760">
        <v>0</v>
      </c>
      <c r="D16760">
        <v>0</v>
      </c>
      <c r="E16760">
        <v>0</v>
      </c>
      <c r="F16760">
        <v>1</v>
      </c>
    </row>
    <row r="16761" spans="1:6" x14ac:dyDescent="0.25">
      <c r="A16761">
        <v>16760</v>
      </c>
      <c r="B16761">
        <v>42</v>
      </c>
      <c r="C16761">
        <v>0</v>
      </c>
      <c r="D16761">
        <v>0</v>
      </c>
      <c r="E16761">
        <v>0</v>
      </c>
      <c r="F16761">
        <v>0.2</v>
      </c>
    </row>
    <row r="16762" spans="1:6" x14ac:dyDescent="0.25">
      <c r="A16762">
        <v>16761</v>
      </c>
      <c r="B16762" t="s">
        <v>0</v>
      </c>
      <c r="C16762">
        <v>12</v>
      </c>
      <c r="D16762">
        <v>3510</v>
      </c>
      <c r="E16762">
        <v>80731479</v>
      </c>
    </row>
    <row r="16763" spans="1:6" x14ac:dyDescent="0.25">
      <c r="A16763">
        <v>16762</v>
      </c>
      <c r="B16763">
        <v>43</v>
      </c>
      <c r="C16763">
        <v>0</v>
      </c>
      <c r="D16763">
        <v>0</v>
      </c>
      <c r="E16763">
        <v>0</v>
      </c>
      <c r="F16763">
        <v>0</v>
      </c>
    </row>
    <row r="16764" spans="1:6" x14ac:dyDescent="0.25">
      <c r="A16764">
        <v>16763</v>
      </c>
      <c r="B16764">
        <v>44</v>
      </c>
      <c r="C16764">
        <v>0</v>
      </c>
      <c r="D16764">
        <v>0</v>
      </c>
      <c r="E16764">
        <v>0</v>
      </c>
      <c r="F16764">
        <v>53.6858</v>
      </c>
    </row>
    <row r="16765" spans="1:6" x14ac:dyDescent="0.25">
      <c r="A16765">
        <v>16764</v>
      </c>
      <c r="B16765" t="s">
        <v>0</v>
      </c>
      <c r="C16765">
        <v>13</v>
      </c>
      <c r="D16765">
        <v>3510</v>
      </c>
      <c r="E16765">
        <v>80731614</v>
      </c>
    </row>
    <row r="16766" spans="1:6" x14ac:dyDescent="0.25">
      <c r="A16766">
        <v>16765</v>
      </c>
      <c r="B16766">
        <v>45</v>
      </c>
      <c r="C16766">
        <v>0</v>
      </c>
      <c r="D16766">
        <v>0</v>
      </c>
      <c r="E16766">
        <v>0</v>
      </c>
      <c r="F16766">
        <v>527.90200000000004</v>
      </c>
    </row>
    <row r="16767" spans="1:6" x14ac:dyDescent="0.25">
      <c r="A16767">
        <v>16766</v>
      </c>
      <c r="B16767">
        <v>46</v>
      </c>
      <c r="C16767">
        <v>0</v>
      </c>
      <c r="D16767">
        <v>0</v>
      </c>
      <c r="E16767">
        <v>0</v>
      </c>
      <c r="F16767">
        <v>0</v>
      </c>
    </row>
    <row r="16768" spans="1:6" x14ac:dyDescent="0.25">
      <c r="A16768">
        <v>16767</v>
      </c>
      <c r="B16768" t="s">
        <v>0</v>
      </c>
      <c r="C16768">
        <v>14</v>
      </c>
      <c r="D16768">
        <v>3510</v>
      </c>
      <c r="E16768">
        <v>80731749</v>
      </c>
    </row>
    <row r="16769" spans="1:6" x14ac:dyDescent="0.25">
      <c r="A16769">
        <v>16768</v>
      </c>
      <c r="B16769">
        <v>2</v>
      </c>
      <c r="C16769">
        <v>0</v>
      </c>
      <c r="D16769">
        <v>0</v>
      </c>
      <c r="E16769">
        <v>0</v>
      </c>
      <c r="F16769">
        <v>244.84399999999999</v>
      </c>
    </row>
    <row r="16770" spans="1:6" x14ac:dyDescent="0.25">
      <c r="A16770">
        <v>16769</v>
      </c>
      <c r="B16770">
        <v>10</v>
      </c>
      <c r="C16770">
        <v>1</v>
      </c>
      <c r="D16770">
        <v>0</v>
      </c>
      <c r="E16770">
        <v>0</v>
      </c>
      <c r="F16770">
        <v>5341</v>
      </c>
    </row>
    <row r="16771" spans="1:6" x14ac:dyDescent="0.25">
      <c r="A16771">
        <v>16770</v>
      </c>
      <c r="B16771" t="s">
        <v>0</v>
      </c>
      <c r="C16771">
        <v>15</v>
      </c>
      <c r="D16771">
        <v>3510</v>
      </c>
      <c r="E16771">
        <v>80731885</v>
      </c>
    </row>
    <row r="16772" spans="1:6" x14ac:dyDescent="0.25">
      <c r="A16772">
        <v>16771</v>
      </c>
      <c r="B16772">
        <v>13</v>
      </c>
      <c r="C16772">
        <v>0</v>
      </c>
      <c r="D16772">
        <v>0</v>
      </c>
      <c r="E16772">
        <v>0</v>
      </c>
      <c r="F16772">
        <v>1616</v>
      </c>
    </row>
    <row r="16773" spans="1:6" x14ac:dyDescent="0.25">
      <c r="A16773">
        <v>16772</v>
      </c>
      <c r="B16773">
        <v>41</v>
      </c>
      <c r="C16773">
        <v>0</v>
      </c>
      <c r="D16773">
        <v>0</v>
      </c>
      <c r="E16773">
        <v>0</v>
      </c>
      <c r="F16773">
        <v>1</v>
      </c>
    </row>
    <row r="16774" spans="1:6" x14ac:dyDescent="0.25">
      <c r="A16774">
        <v>16773</v>
      </c>
      <c r="B16774" t="s">
        <v>0</v>
      </c>
      <c r="C16774">
        <v>16</v>
      </c>
      <c r="D16774">
        <v>3510</v>
      </c>
      <c r="E16774">
        <v>80732021</v>
      </c>
    </row>
    <row r="16775" spans="1:6" x14ac:dyDescent="0.25">
      <c r="A16775">
        <v>16774</v>
      </c>
      <c r="B16775">
        <v>42</v>
      </c>
      <c r="C16775">
        <v>0</v>
      </c>
      <c r="D16775">
        <v>0</v>
      </c>
      <c r="E16775">
        <v>0</v>
      </c>
      <c r="F16775">
        <v>0.2</v>
      </c>
    </row>
    <row r="16776" spans="1:6" x14ac:dyDescent="0.25">
      <c r="A16776">
        <v>16775</v>
      </c>
      <c r="B16776">
        <v>43</v>
      </c>
      <c r="C16776">
        <v>0</v>
      </c>
      <c r="D16776">
        <v>0</v>
      </c>
      <c r="E16776">
        <v>0</v>
      </c>
      <c r="F16776">
        <v>0</v>
      </c>
    </row>
    <row r="16777" spans="1:6" x14ac:dyDescent="0.25">
      <c r="A16777">
        <v>16776</v>
      </c>
      <c r="B16777" t="s">
        <v>0</v>
      </c>
      <c r="C16777">
        <v>17</v>
      </c>
      <c r="D16777">
        <v>3510</v>
      </c>
      <c r="E16777">
        <v>80732157</v>
      </c>
    </row>
    <row r="16778" spans="1:6" x14ac:dyDescent="0.25">
      <c r="A16778">
        <v>16777</v>
      </c>
      <c r="B16778">
        <v>44</v>
      </c>
      <c r="C16778">
        <v>0</v>
      </c>
      <c r="D16778">
        <v>0</v>
      </c>
      <c r="E16778">
        <v>0</v>
      </c>
      <c r="F16778">
        <v>53.830500000000001</v>
      </c>
    </row>
    <row r="16779" spans="1:6" x14ac:dyDescent="0.25">
      <c r="A16779">
        <v>16778</v>
      </c>
      <c r="B16779">
        <v>45</v>
      </c>
      <c r="C16779">
        <v>0</v>
      </c>
      <c r="D16779">
        <v>0</v>
      </c>
      <c r="E16779">
        <v>0</v>
      </c>
      <c r="F16779">
        <v>527.96100000000001</v>
      </c>
    </row>
    <row r="16780" spans="1:6" x14ac:dyDescent="0.25">
      <c r="A16780">
        <v>16779</v>
      </c>
      <c r="B16780" t="s">
        <v>0</v>
      </c>
      <c r="C16780">
        <v>18</v>
      </c>
      <c r="D16780">
        <v>3510</v>
      </c>
      <c r="E16780">
        <v>80732293</v>
      </c>
    </row>
    <row r="16781" spans="1:6" x14ac:dyDescent="0.25">
      <c r="A16781">
        <v>16780</v>
      </c>
      <c r="B16781">
        <v>46</v>
      </c>
      <c r="C16781">
        <v>0</v>
      </c>
      <c r="D16781">
        <v>0</v>
      </c>
      <c r="E16781">
        <v>0</v>
      </c>
      <c r="F16781">
        <v>0</v>
      </c>
    </row>
    <row r="16782" spans="1:6" x14ac:dyDescent="0.25">
      <c r="A16782">
        <v>16781</v>
      </c>
      <c r="B16782">
        <v>2</v>
      </c>
      <c r="C16782">
        <v>0</v>
      </c>
      <c r="D16782">
        <v>0</v>
      </c>
      <c r="E16782">
        <v>0</v>
      </c>
      <c r="F16782">
        <v>244.86600000000001</v>
      </c>
    </row>
    <row r="16783" spans="1:6" x14ac:dyDescent="0.25">
      <c r="A16783">
        <v>16782</v>
      </c>
      <c r="B16783" t="s">
        <v>0</v>
      </c>
      <c r="C16783">
        <v>19</v>
      </c>
      <c r="D16783">
        <v>3510</v>
      </c>
      <c r="E16783">
        <v>80732428</v>
      </c>
    </row>
    <row r="16784" spans="1:6" x14ac:dyDescent="0.25">
      <c r="A16784">
        <v>16783</v>
      </c>
      <c r="B16784">
        <v>10</v>
      </c>
      <c r="C16784">
        <v>1</v>
      </c>
      <c r="D16784">
        <v>0</v>
      </c>
      <c r="E16784">
        <v>0</v>
      </c>
      <c r="F16784">
        <v>5342</v>
      </c>
    </row>
    <row r="16785" spans="1:6" x14ac:dyDescent="0.25">
      <c r="A16785">
        <v>16784</v>
      </c>
      <c r="B16785">
        <v>13</v>
      </c>
      <c r="C16785">
        <v>0</v>
      </c>
      <c r="D16785">
        <v>0</v>
      </c>
      <c r="E16785">
        <v>0</v>
      </c>
      <c r="F16785">
        <v>1616</v>
      </c>
    </row>
    <row r="16786" spans="1:6" x14ac:dyDescent="0.25">
      <c r="A16786">
        <v>16785</v>
      </c>
      <c r="B16786" t="s">
        <v>0</v>
      </c>
      <c r="C16786">
        <v>20</v>
      </c>
      <c r="D16786">
        <v>3510</v>
      </c>
      <c r="E16786">
        <v>80732563</v>
      </c>
    </row>
    <row r="16787" spans="1:6" x14ac:dyDescent="0.25">
      <c r="A16787">
        <v>16786</v>
      </c>
      <c r="B16787">
        <v>42</v>
      </c>
      <c r="C16787">
        <v>0</v>
      </c>
      <c r="D16787">
        <v>0</v>
      </c>
      <c r="E16787">
        <v>0</v>
      </c>
      <c r="F16787">
        <v>0.2</v>
      </c>
    </row>
    <row r="16788" spans="1:6" x14ac:dyDescent="0.25">
      <c r="A16788">
        <v>16787</v>
      </c>
      <c r="B16788" t="s">
        <v>0</v>
      </c>
      <c r="C16788">
        <v>21</v>
      </c>
      <c r="D16788">
        <v>3510</v>
      </c>
      <c r="E16788">
        <v>80732698</v>
      </c>
    </row>
    <row r="16789" spans="1:6" x14ac:dyDescent="0.25">
      <c r="A16789">
        <v>16788</v>
      </c>
      <c r="B16789">
        <v>44</v>
      </c>
      <c r="C16789">
        <v>0</v>
      </c>
      <c r="D16789">
        <v>0</v>
      </c>
      <c r="E16789">
        <v>0</v>
      </c>
      <c r="F16789">
        <v>53.936300000000003</v>
      </c>
    </row>
    <row r="16790" spans="1:6" x14ac:dyDescent="0.25">
      <c r="A16790">
        <v>16789</v>
      </c>
      <c r="B16790" t="s">
        <v>0</v>
      </c>
      <c r="C16790">
        <v>22</v>
      </c>
      <c r="D16790">
        <v>3510</v>
      </c>
      <c r="E16790">
        <v>80732834</v>
      </c>
    </row>
    <row r="16791" spans="1:6" x14ac:dyDescent="0.25">
      <c r="A16791">
        <v>16790</v>
      </c>
      <c r="B16791">
        <v>46</v>
      </c>
      <c r="C16791">
        <v>0</v>
      </c>
      <c r="D16791">
        <v>0</v>
      </c>
      <c r="E16791">
        <v>0</v>
      </c>
      <c r="F16791">
        <v>0</v>
      </c>
    </row>
    <row r="16792" spans="1:6" x14ac:dyDescent="0.25">
      <c r="A16792">
        <v>16791</v>
      </c>
      <c r="B16792" t="s">
        <v>0</v>
      </c>
      <c r="C16792">
        <v>23</v>
      </c>
      <c r="D16792">
        <v>3510</v>
      </c>
      <c r="E16792">
        <v>80732970</v>
      </c>
    </row>
    <row r="16793" spans="1:6" x14ac:dyDescent="0.25">
      <c r="A16793">
        <v>16792</v>
      </c>
      <c r="B16793">
        <v>10</v>
      </c>
      <c r="C16793">
        <v>1</v>
      </c>
      <c r="D16793">
        <v>0</v>
      </c>
      <c r="E16793">
        <v>0</v>
      </c>
      <c r="F16793">
        <v>5342</v>
      </c>
    </row>
    <row r="16794" spans="1:6" x14ac:dyDescent="0.25">
      <c r="A16794">
        <v>16793</v>
      </c>
      <c r="B16794" t="s">
        <v>0</v>
      </c>
      <c r="C16794">
        <v>24</v>
      </c>
      <c r="D16794">
        <v>3510</v>
      </c>
      <c r="E16794">
        <v>80733106</v>
      </c>
    </row>
    <row r="16795" spans="1:6" x14ac:dyDescent="0.25">
      <c r="A16795">
        <v>16794</v>
      </c>
      <c r="B16795">
        <v>41</v>
      </c>
      <c r="C16795">
        <v>0</v>
      </c>
      <c r="D16795">
        <v>0</v>
      </c>
      <c r="E16795">
        <v>0</v>
      </c>
      <c r="F16795">
        <v>1</v>
      </c>
    </row>
    <row r="16796" spans="1:6" x14ac:dyDescent="0.25">
      <c r="A16796">
        <v>16795</v>
      </c>
      <c r="B16796" t="s">
        <v>0</v>
      </c>
      <c r="C16796">
        <v>25</v>
      </c>
      <c r="D16796">
        <v>3510</v>
      </c>
      <c r="E16796">
        <v>80733242</v>
      </c>
    </row>
    <row r="16797" spans="1:6" x14ac:dyDescent="0.25">
      <c r="A16797">
        <v>16796</v>
      </c>
      <c r="B16797">
        <v>43</v>
      </c>
      <c r="C16797">
        <v>0</v>
      </c>
      <c r="D16797">
        <v>0</v>
      </c>
      <c r="E16797">
        <v>0</v>
      </c>
      <c r="F16797">
        <v>0</v>
      </c>
    </row>
    <row r="16798" spans="1:6" x14ac:dyDescent="0.25">
      <c r="A16798">
        <v>16797</v>
      </c>
      <c r="B16798" t="s">
        <v>0</v>
      </c>
      <c r="C16798">
        <v>26</v>
      </c>
      <c r="D16798">
        <v>3510</v>
      </c>
      <c r="E16798">
        <v>80733378</v>
      </c>
    </row>
    <row r="16799" spans="1:6" x14ac:dyDescent="0.25">
      <c r="A16799">
        <v>16798</v>
      </c>
      <c r="B16799">
        <v>45</v>
      </c>
      <c r="C16799">
        <v>0</v>
      </c>
      <c r="D16799">
        <v>0</v>
      </c>
      <c r="E16799">
        <v>0</v>
      </c>
      <c r="F16799">
        <v>528.09299999999996</v>
      </c>
    </row>
    <row r="16800" spans="1:6" x14ac:dyDescent="0.25">
      <c r="A16800">
        <v>16799</v>
      </c>
      <c r="B16800" t="s">
        <v>0</v>
      </c>
      <c r="C16800">
        <v>27</v>
      </c>
      <c r="D16800">
        <v>3510</v>
      </c>
      <c r="E16800">
        <v>80733513</v>
      </c>
    </row>
    <row r="16801" spans="1:6" x14ac:dyDescent="0.25">
      <c r="A16801">
        <v>16800</v>
      </c>
      <c r="B16801">
        <v>2</v>
      </c>
      <c r="C16801">
        <v>0</v>
      </c>
      <c r="D16801">
        <v>0</v>
      </c>
      <c r="E16801">
        <v>0</v>
      </c>
      <c r="F16801">
        <v>244.90299999999999</v>
      </c>
    </row>
    <row r="16802" spans="1:6" x14ac:dyDescent="0.25">
      <c r="A16802">
        <v>16801</v>
      </c>
      <c r="B16802" t="s">
        <v>0</v>
      </c>
      <c r="C16802">
        <v>28</v>
      </c>
      <c r="D16802">
        <v>3510</v>
      </c>
      <c r="E16802">
        <v>80733648</v>
      </c>
    </row>
    <row r="16803" spans="1:6" x14ac:dyDescent="0.25">
      <c r="A16803">
        <v>16802</v>
      </c>
      <c r="B16803">
        <v>13</v>
      </c>
      <c r="C16803">
        <v>0</v>
      </c>
      <c r="D16803">
        <v>0</v>
      </c>
      <c r="E16803">
        <v>0</v>
      </c>
      <c r="F16803">
        <v>1616</v>
      </c>
    </row>
    <row r="16804" spans="1:6" x14ac:dyDescent="0.25">
      <c r="A16804">
        <v>16803</v>
      </c>
      <c r="B16804" t="s">
        <v>0</v>
      </c>
      <c r="C16804">
        <v>29</v>
      </c>
      <c r="D16804">
        <v>3510</v>
      </c>
      <c r="E16804">
        <v>80733783</v>
      </c>
    </row>
    <row r="16805" spans="1:6" x14ac:dyDescent="0.25">
      <c r="A16805">
        <v>16804</v>
      </c>
      <c r="B16805">
        <v>42</v>
      </c>
      <c r="C16805">
        <v>0</v>
      </c>
      <c r="D16805">
        <v>0</v>
      </c>
      <c r="E16805">
        <v>0</v>
      </c>
      <c r="F16805">
        <v>0.2</v>
      </c>
    </row>
    <row r="16806" spans="1:6" x14ac:dyDescent="0.25">
      <c r="A16806">
        <v>16805</v>
      </c>
      <c r="B16806">
        <v>43</v>
      </c>
      <c r="C16806">
        <v>0</v>
      </c>
      <c r="D16806">
        <v>0</v>
      </c>
      <c r="E16806">
        <v>0</v>
      </c>
      <c r="F16806">
        <v>0</v>
      </c>
    </row>
    <row r="16807" spans="1:6" x14ac:dyDescent="0.25">
      <c r="A16807">
        <v>16806</v>
      </c>
      <c r="B16807">
        <v>44</v>
      </c>
      <c r="C16807">
        <v>0</v>
      </c>
      <c r="D16807">
        <v>0</v>
      </c>
      <c r="E16807">
        <v>0</v>
      </c>
      <c r="F16807">
        <v>55.0884</v>
      </c>
    </row>
    <row r="16808" spans="1:6" x14ac:dyDescent="0.25">
      <c r="A16808">
        <v>16807</v>
      </c>
      <c r="B16808">
        <v>45</v>
      </c>
      <c r="C16808">
        <v>0</v>
      </c>
      <c r="D16808">
        <v>0</v>
      </c>
      <c r="E16808">
        <v>0</v>
      </c>
      <c r="F16808">
        <v>528.15300000000002</v>
      </c>
    </row>
    <row r="16809" spans="1:6" x14ac:dyDescent="0.25">
      <c r="A16809">
        <v>16808</v>
      </c>
      <c r="B16809">
        <v>46</v>
      </c>
      <c r="C16809">
        <v>0</v>
      </c>
      <c r="D16809">
        <v>0</v>
      </c>
      <c r="E16809">
        <v>0</v>
      </c>
      <c r="F16809">
        <v>0</v>
      </c>
    </row>
    <row r="16810" spans="1:6" x14ac:dyDescent="0.25">
      <c r="A16810">
        <v>16809</v>
      </c>
      <c r="B16810">
        <v>2</v>
      </c>
      <c r="C16810">
        <v>0</v>
      </c>
      <c r="D16810">
        <v>0</v>
      </c>
      <c r="E16810">
        <v>0</v>
      </c>
      <c r="F16810">
        <v>244.91399999999999</v>
      </c>
    </row>
    <row r="16811" spans="1:6" x14ac:dyDescent="0.25">
      <c r="A16811">
        <v>16810</v>
      </c>
      <c r="B16811">
        <v>10</v>
      </c>
      <c r="C16811">
        <v>1</v>
      </c>
      <c r="D16811">
        <v>0</v>
      </c>
      <c r="E16811">
        <v>0</v>
      </c>
      <c r="F16811">
        <v>5349</v>
      </c>
    </row>
    <row r="16812" spans="1:6" x14ac:dyDescent="0.25">
      <c r="A16812">
        <v>16811</v>
      </c>
      <c r="B16812">
        <v>13</v>
      </c>
      <c r="C16812">
        <v>0</v>
      </c>
      <c r="D16812">
        <v>0</v>
      </c>
      <c r="E16812">
        <v>0</v>
      </c>
      <c r="F16812">
        <v>1616</v>
      </c>
    </row>
    <row r="16813" spans="1:6" x14ac:dyDescent="0.25">
      <c r="A16813">
        <v>16812</v>
      </c>
      <c r="B16813">
        <v>41</v>
      </c>
      <c r="C16813">
        <v>0</v>
      </c>
      <c r="D16813">
        <v>0</v>
      </c>
      <c r="E16813">
        <v>0</v>
      </c>
      <c r="F16813">
        <v>1</v>
      </c>
    </row>
    <row r="16814" spans="1:6" x14ac:dyDescent="0.25">
      <c r="A16814">
        <v>16813</v>
      </c>
      <c r="B16814">
        <v>42</v>
      </c>
      <c r="C16814">
        <v>0</v>
      </c>
      <c r="D16814">
        <v>0</v>
      </c>
      <c r="E16814">
        <v>0</v>
      </c>
      <c r="F16814">
        <v>0.2</v>
      </c>
    </row>
    <row r="16815" spans="1:6" x14ac:dyDescent="0.25">
      <c r="A16815">
        <v>16814</v>
      </c>
      <c r="B16815">
        <v>43</v>
      </c>
      <c r="C16815">
        <v>0</v>
      </c>
      <c r="D16815">
        <v>0</v>
      </c>
      <c r="E16815">
        <v>0</v>
      </c>
      <c r="F16815">
        <v>0</v>
      </c>
    </row>
    <row r="16816" spans="1:6" x14ac:dyDescent="0.25">
      <c r="A16816">
        <v>16815</v>
      </c>
      <c r="B16816">
        <v>44</v>
      </c>
      <c r="C16816">
        <v>0</v>
      </c>
      <c r="D16816">
        <v>0</v>
      </c>
      <c r="E16816">
        <v>0</v>
      </c>
      <c r="F16816">
        <v>55.078600000000002</v>
      </c>
    </row>
    <row r="16817" spans="1:6" x14ac:dyDescent="0.25">
      <c r="A16817">
        <v>16816</v>
      </c>
      <c r="B16817">
        <v>45</v>
      </c>
      <c r="C16817">
        <v>0</v>
      </c>
      <c r="D16817">
        <v>0</v>
      </c>
      <c r="E16817">
        <v>0</v>
      </c>
      <c r="F16817">
        <v>528.22799999999995</v>
      </c>
    </row>
    <row r="16818" spans="1:6" x14ac:dyDescent="0.25">
      <c r="A16818">
        <v>16817</v>
      </c>
      <c r="B16818">
        <v>46</v>
      </c>
      <c r="C16818">
        <v>0</v>
      </c>
      <c r="D16818">
        <v>0</v>
      </c>
      <c r="E16818">
        <v>0</v>
      </c>
      <c r="F16818">
        <v>0</v>
      </c>
    </row>
    <row r="16819" spans="1:6" x14ac:dyDescent="0.25">
      <c r="A16819">
        <v>16818</v>
      </c>
      <c r="B16819">
        <v>2</v>
      </c>
      <c r="C16819">
        <v>0</v>
      </c>
      <c r="D16819">
        <v>0</v>
      </c>
      <c r="E16819">
        <v>0</v>
      </c>
      <c r="F16819">
        <v>244.92599999999999</v>
      </c>
    </row>
    <row r="16820" spans="1:6" x14ac:dyDescent="0.25">
      <c r="A16820">
        <v>16819</v>
      </c>
      <c r="B16820">
        <v>10</v>
      </c>
      <c r="C16820">
        <v>1</v>
      </c>
      <c r="D16820">
        <v>0</v>
      </c>
      <c r="E16820">
        <v>0</v>
      </c>
      <c r="F16820">
        <v>5349</v>
      </c>
    </row>
    <row r="16821" spans="1:6" x14ac:dyDescent="0.25">
      <c r="A16821">
        <v>16820</v>
      </c>
      <c r="B16821">
        <v>13</v>
      </c>
      <c r="C16821">
        <v>0</v>
      </c>
      <c r="D16821">
        <v>0</v>
      </c>
      <c r="E16821">
        <v>0</v>
      </c>
      <c r="F16821">
        <v>1616</v>
      </c>
    </row>
    <row r="16822" spans="1:6" x14ac:dyDescent="0.25">
      <c r="A16822">
        <v>16821</v>
      </c>
      <c r="B16822">
        <v>41</v>
      </c>
      <c r="C16822">
        <v>0</v>
      </c>
      <c r="D16822">
        <v>0</v>
      </c>
      <c r="E16822">
        <v>0</v>
      </c>
      <c r="F16822">
        <v>1</v>
      </c>
    </row>
    <row r="16823" spans="1:6" x14ac:dyDescent="0.25">
      <c r="A16823">
        <v>16822</v>
      </c>
      <c r="B16823">
        <v>42</v>
      </c>
      <c r="C16823">
        <v>0</v>
      </c>
      <c r="D16823">
        <v>0</v>
      </c>
      <c r="E16823">
        <v>0</v>
      </c>
      <c r="F16823">
        <v>0.2</v>
      </c>
    </row>
    <row r="16824" spans="1:6" x14ac:dyDescent="0.25">
      <c r="A16824">
        <v>16823</v>
      </c>
      <c r="B16824">
        <v>43</v>
      </c>
      <c r="C16824">
        <v>0</v>
      </c>
      <c r="D16824">
        <v>0</v>
      </c>
      <c r="E16824">
        <v>0</v>
      </c>
      <c r="F16824">
        <v>0</v>
      </c>
    </row>
    <row r="16825" spans="1:6" x14ac:dyDescent="0.25">
      <c r="A16825">
        <v>16824</v>
      </c>
      <c r="B16825">
        <v>44</v>
      </c>
      <c r="C16825">
        <v>0</v>
      </c>
      <c r="D16825">
        <v>0</v>
      </c>
      <c r="E16825">
        <v>0</v>
      </c>
      <c r="F16825">
        <v>55.069000000000003</v>
      </c>
    </row>
    <row r="16826" spans="1:6" x14ac:dyDescent="0.25">
      <c r="A16826">
        <v>16825</v>
      </c>
      <c r="B16826">
        <v>45</v>
      </c>
      <c r="C16826">
        <v>0</v>
      </c>
      <c r="D16826">
        <v>0</v>
      </c>
      <c r="E16826">
        <v>0</v>
      </c>
      <c r="F16826">
        <v>528.28800000000001</v>
      </c>
    </row>
    <row r="16827" spans="1:6" x14ac:dyDescent="0.25">
      <c r="A16827">
        <v>16826</v>
      </c>
      <c r="B16827" t="s">
        <v>0</v>
      </c>
      <c r="C16827">
        <v>40</v>
      </c>
      <c r="D16827">
        <v>3510</v>
      </c>
      <c r="E16827">
        <v>80735276</v>
      </c>
    </row>
    <row r="16828" spans="1:6" x14ac:dyDescent="0.25">
      <c r="A16828">
        <v>16827</v>
      </c>
      <c r="B16828">
        <v>46</v>
      </c>
      <c r="C16828">
        <v>0</v>
      </c>
      <c r="D16828">
        <v>0</v>
      </c>
      <c r="E16828">
        <v>0</v>
      </c>
      <c r="F16828">
        <v>0</v>
      </c>
    </row>
    <row r="16829" spans="1:6" x14ac:dyDescent="0.25">
      <c r="A16829">
        <v>16828</v>
      </c>
      <c r="B16829">
        <v>2</v>
      </c>
      <c r="C16829">
        <v>0</v>
      </c>
      <c r="D16829">
        <v>0</v>
      </c>
      <c r="E16829">
        <v>0</v>
      </c>
      <c r="F16829">
        <v>244.93299999999999</v>
      </c>
    </row>
    <row r="16830" spans="1:6" x14ac:dyDescent="0.25">
      <c r="A16830">
        <v>16829</v>
      </c>
      <c r="B16830" t="s">
        <v>0</v>
      </c>
      <c r="C16830">
        <v>41</v>
      </c>
      <c r="D16830">
        <v>3510</v>
      </c>
      <c r="E16830">
        <v>80735412</v>
      </c>
    </row>
    <row r="16831" spans="1:6" x14ac:dyDescent="0.25">
      <c r="A16831">
        <v>16830</v>
      </c>
      <c r="B16831">
        <v>10</v>
      </c>
      <c r="C16831">
        <v>1</v>
      </c>
      <c r="D16831">
        <v>0</v>
      </c>
      <c r="E16831">
        <v>0</v>
      </c>
      <c r="F16831">
        <v>5349</v>
      </c>
    </row>
    <row r="16832" spans="1:6" x14ac:dyDescent="0.25">
      <c r="A16832">
        <v>16831</v>
      </c>
      <c r="B16832">
        <v>13</v>
      </c>
      <c r="C16832">
        <v>0</v>
      </c>
      <c r="D16832">
        <v>0</v>
      </c>
      <c r="E16832">
        <v>0</v>
      </c>
      <c r="F16832">
        <v>1616</v>
      </c>
    </row>
    <row r="16833" spans="1:6" x14ac:dyDescent="0.25">
      <c r="A16833">
        <v>16832</v>
      </c>
      <c r="B16833" t="s">
        <v>0</v>
      </c>
      <c r="C16833">
        <v>42</v>
      </c>
      <c r="D16833">
        <v>3510</v>
      </c>
      <c r="E16833">
        <v>80735547</v>
      </c>
    </row>
    <row r="16834" spans="1:6" x14ac:dyDescent="0.25">
      <c r="A16834">
        <v>16833</v>
      </c>
      <c r="B16834">
        <v>41</v>
      </c>
      <c r="C16834">
        <v>0</v>
      </c>
      <c r="D16834">
        <v>0</v>
      </c>
      <c r="E16834">
        <v>0</v>
      </c>
      <c r="F16834">
        <v>1</v>
      </c>
    </row>
    <row r="16835" spans="1:6" x14ac:dyDescent="0.25">
      <c r="A16835">
        <v>16834</v>
      </c>
      <c r="B16835">
        <v>42</v>
      </c>
      <c r="C16835">
        <v>0</v>
      </c>
      <c r="D16835">
        <v>0</v>
      </c>
      <c r="E16835">
        <v>0</v>
      </c>
      <c r="F16835">
        <v>0.2</v>
      </c>
    </row>
    <row r="16836" spans="1:6" x14ac:dyDescent="0.25">
      <c r="A16836">
        <v>16835</v>
      </c>
      <c r="B16836" t="s">
        <v>0</v>
      </c>
      <c r="C16836">
        <v>43</v>
      </c>
      <c r="D16836">
        <v>3510</v>
      </c>
      <c r="E16836">
        <v>80735682</v>
      </c>
    </row>
    <row r="16837" spans="1:6" x14ac:dyDescent="0.25">
      <c r="A16837">
        <v>16836</v>
      </c>
      <c r="B16837">
        <v>43</v>
      </c>
      <c r="C16837">
        <v>0</v>
      </c>
      <c r="D16837">
        <v>0</v>
      </c>
      <c r="E16837">
        <v>0</v>
      </c>
      <c r="F16837">
        <v>0</v>
      </c>
    </row>
    <row r="16838" spans="1:6" x14ac:dyDescent="0.25">
      <c r="A16838">
        <v>16837</v>
      </c>
      <c r="B16838">
        <v>44</v>
      </c>
      <c r="C16838">
        <v>0</v>
      </c>
      <c r="D16838">
        <v>0</v>
      </c>
      <c r="E16838">
        <v>0</v>
      </c>
      <c r="F16838">
        <v>55.062600000000003</v>
      </c>
    </row>
    <row r="16839" spans="1:6" x14ac:dyDescent="0.25">
      <c r="A16839">
        <v>16838</v>
      </c>
      <c r="B16839" t="s">
        <v>0</v>
      </c>
      <c r="C16839">
        <v>44</v>
      </c>
      <c r="D16839">
        <v>3510</v>
      </c>
      <c r="E16839">
        <v>80735817</v>
      </c>
    </row>
    <row r="16840" spans="1:6" x14ac:dyDescent="0.25">
      <c r="A16840">
        <v>16839</v>
      </c>
      <c r="B16840">
        <v>45</v>
      </c>
      <c r="C16840">
        <v>0</v>
      </c>
      <c r="D16840">
        <v>0</v>
      </c>
      <c r="E16840">
        <v>0</v>
      </c>
      <c r="F16840">
        <v>528.36300000000006</v>
      </c>
    </row>
    <row r="16841" spans="1:6" x14ac:dyDescent="0.25">
      <c r="A16841">
        <v>16840</v>
      </c>
      <c r="B16841">
        <v>46</v>
      </c>
      <c r="C16841">
        <v>0</v>
      </c>
      <c r="D16841">
        <v>0</v>
      </c>
      <c r="E16841">
        <v>0</v>
      </c>
      <c r="F16841">
        <v>0</v>
      </c>
    </row>
    <row r="16842" spans="1:6" x14ac:dyDescent="0.25">
      <c r="A16842">
        <v>16841</v>
      </c>
      <c r="B16842" t="s">
        <v>0</v>
      </c>
      <c r="C16842">
        <v>45</v>
      </c>
      <c r="D16842">
        <v>3510</v>
      </c>
      <c r="E16842">
        <v>80735953</v>
      </c>
    </row>
    <row r="16843" spans="1:6" x14ac:dyDescent="0.25">
      <c r="A16843">
        <v>16842</v>
      </c>
      <c r="B16843">
        <v>2</v>
      </c>
      <c r="C16843">
        <v>0</v>
      </c>
      <c r="D16843">
        <v>0</v>
      </c>
      <c r="E16843">
        <v>0</v>
      </c>
      <c r="F16843">
        <v>244.93799999999999</v>
      </c>
    </row>
    <row r="16844" spans="1:6" x14ac:dyDescent="0.25">
      <c r="A16844">
        <v>16843</v>
      </c>
      <c r="B16844">
        <v>10</v>
      </c>
      <c r="C16844">
        <v>1</v>
      </c>
      <c r="D16844">
        <v>0</v>
      </c>
      <c r="E16844">
        <v>0</v>
      </c>
      <c r="F16844">
        <v>5349</v>
      </c>
    </row>
    <row r="16845" spans="1:6" x14ac:dyDescent="0.25">
      <c r="A16845">
        <v>16844</v>
      </c>
      <c r="B16845" t="s">
        <v>0</v>
      </c>
      <c r="C16845">
        <v>46</v>
      </c>
      <c r="D16845">
        <v>3510</v>
      </c>
      <c r="E16845">
        <v>80736089</v>
      </c>
    </row>
    <row r="16846" spans="1:6" x14ac:dyDescent="0.25">
      <c r="A16846">
        <v>16845</v>
      </c>
      <c r="B16846">
        <v>13</v>
      </c>
      <c r="C16846">
        <v>0</v>
      </c>
      <c r="D16846">
        <v>0</v>
      </c>
      <c r="E16846">
        <v>0</v>
      </c>
      <c r="F16846">
        <v>1616</v>
      </c>
    </row>
    <row r="16847" spans="1:6" x14ac:dyDescent="0.25">
      <c r="A16847">
        <v>16846</v>
      </c>
      <c r="B16847">
        <v>41</v>
      </c>
      <c r="C16847">
        <v>0</v>
      </c>
      <c r="D16847">
        <v>0</v>
      </c>
      <c r="E16847">
        <v>0</v>
      </c>
      <c r="F16847">
        <v>1</v>
      </c>
    </row>
    <row r="16848" spans="1:6" x14ac:dyDescent="0.25">
      <c r="A16848">
        <v>16847</v>
      </c>
      <c r="B16848" t="s">
        <v>0</v>
      </c>
      <c r="C16848">
        <v>47</v>
      </c>
      <c r="D16848">
        <v>3510</v>
      </c>
      <c r="E16848">
        <v>80736225</v>
      </c>
    </row>
    <row r="16849" spans="1:6" x14ac:dyDescent="0.25">
      <c r="A16849">
        <v>16848</v>
      </c>
      <c r="B16849">
        <v>42</v>
      </c>
      <c r="C16849">
        <v>0</v>
      </c>
      <c r="D16849">
        <v>0</v>
      </c>
      <c r="E16849">
        <v>0</v>
      </c>
      <c r="F16849">
        <v>0.2</v>
      </c>
    </row>
    <row r="16850" spans="1:6" x14ac:dyDescent="0.25">
      <c r="A16850">
        <v>16849</v>
      </c>
      <c r="B16850">
        <v>43</v>
      </c>
      <c r="C16850">
        <v>0</v>
      </c>
      <c r="D16850">
        <v>0</v>
      </c>
      <c r="E16850">
        <v>0</v>
      </c>
      <c r="F16850">
        <v>0</v>
      </c>
    </row>
    <row r="16851" spans="1:6" x14ac:dyDescent="0.25">
      <c r="A16851">
        <v>16850</v>
      </c>
      <c r="B16851" t="s">
        <v>0</v>
      </c>
      <c r="C16851">
        <v>48</v>
      </c>
      <c r="D16851">
        <v>3510</v>
      </c>
      <c r="E16851">
        <v>80736361</v>
      </c>
    </row>
    <row r="16852" spans="1:6" x14ac:dyDescent="0.25">
      <c r="A16852">
        <v>16851</v>
      </c>
      <c r="B16852">
        <v>45</v>
      </c>
      <c r="C16852">
        <v>0</v>
      </c>
      <c r="D16852">
        <v>0</v>
      </c>
      <c r="E16852">
        <v>0</v>
      </c>
      <c r="F16852">
        <v>528.423</v>
      </c>
    </row>
    <row r="16853" spans="1:6" x14ac:dyDescent="0.25">
      <c r="A16853">
        <v>16852</v>
      </c>
      <c r="B16853" t="s">
        <v>0</v>
      </c>
      <c r="C16853">
        <v>49</v>
      </c>
      <c r="D16853">
        <v>3510</v>
      </c>
      <c r="E16853">
        <v>80736497</v>
      </c>
    </row>
    <row r="16854" spans="1:6" x14ac:dyDescent="0.25">
      <c r="A16854">
        <v>16853</v>
      </c>
      <c r="B16854">
        <v>2</v>
      </c>
      <c r="C16854">
        <v>0</v>
      </c>
      <c r="D16854">
        <v>0</v>
      </c>
      <c r="E16854">
        <v>0</v>
      </c>
      <c r="F16854">
        <v>244.94499999999999</v>
      </c>
    </row>
    <row r="16855" spans="1:6" x14ac:dyDescent="0.25">
      <c r="A16855">
        <v>16854</v>
      </c>
      <c r="B16855" t="s">
        <v>0</v>
      </c>
      <c r="C16855">
        <v>50</v>
      </c>
      <c r="D16855">
        <v>3510</v>
      </c>
      <c r="E16855">
        <v>80736632</v>
      </c>
    </row>
    <row r="16856" spans="1:6" x14ac:dyDescent="0.25">
      <c r="A16856">
        <v>16855</v>
      </c>
      <c r="B16856">
        <v>13</v>
      </c>
      <c r="C16856">
        <v>0</v>
      </c>
      <c r="D16856">
        <v>0</v>
      </c>
      <c r="E16856">
        <v>0</v>
      </c>
      <c r="F16856">
        <v>1616</v>
      </c>
    </row>
    <row r="16857" spans="1:6" x14ac:dyDescent="0.25">
      <c r="A16857">
        <v>16856</v>
      </c>
      <c r="B16857" t="s">
        <v>0</v>
      </c>
      <c r="C16857">
        <v>51</v>
      </c>
      <c r="D16857">
        <v>3510</v>
      </c>
      <c r="E16857">
        <v>80736767</v>
      </c>
    </row>
    <row r="16858" spans="1:6" x14ac:dyDescent="0.25">
      <c r="A16858">
        <v>16857</v>
      </c>
      <c r="B16858">
        <v>42</v>
      </c>
      <c r="C16858">
        <v>0</v>
      </c>
      <c r="D16858">
        <v>0</v>
      </c>
      <c r="E16858">
        <v>0</v>
      </c>
      <c r="F16858">
        <v>0.2</v>
      </c>
    </row>
    <row r="16859" spans="1:6" x14ac:dyDescent="0.25">
      <c r="A16859">
        <v>16858</v>
      </c>
      <c r="B16859" t="s">
        <v>0</v>
      </c>
      <c r="C16859">
        <v>52</v>
      </c>
      <c r="D16859">
        <v>3510</v>
      </c>
      <c r="E16859">
        <v>80736902</v>
      </c>
    </row>
    <row r="16860" spans="1:6" x14ac:dyDescent="0.25">
      <c r="A16860">
        <v>16859</v>
      </c>
      <c r="B16860">
        <v>44</v>
      </c>
      <c r="C16860">
        <v>0</v>
      </c>
      <c r="D16860">
        <v>0</v>
      </c>
      <c r="E16860">
        <v>0</v>
      </c>
      <c r="F16860">
        <v>55.052199999999999</v>
      </c>
    </row>
    <row r="16861" spans="1:6" x14ac:dyDescent="0.25">
      <c r="A16861">
        <v>16860</v>
      </c>
      <c r="B16861" t="s">
        <v>0</v>
      </c>
      <c r="C16861">
        <v>53</v>
      </c>
      <c r="D16861">
        <v>3510</v>
      </c>
      <c r="E16861">
        <v>80737038</v>
      </c>
    </row>
    <row r="16862" spans="1:6" x14ac:dyDescent="0.25">
      <c r="A16862">
        <v>16861</v>
      </c>
      <c r="B16862">
        <v>46</v>
      </c>
      <c r="C16862">
        <v>0</v>
      </c>
      <c r="D16862">
        <v>0</v>
      </c>
      <c r="E16862">
        <v>0</v>
      </c>
      <c r="F16862">
        <v>0</v>
      </c>
    </row>
    <row r="16863" spans="1:6" x14ac:dyDescent="0.25">
      <c r="A16863">
        <v>16862</v>
      </c>
      <c r="B16863" t="s">
        <v>0</v>
      </c>
      <c r="C16863">
        <v>54</v>
      </c>
      <c r="D16863">
        <v>3510</v>
      </c>
      <c r="E16863">
        <v>80737174</v>
      </c>
    </row>
    <row r="16864" spans="1:6" x14ac:dyDescent="0.25">
      <c r="A16864">
        <v>16863</v>
      </c>
      <c r="B16864">
        <v>10</v>
      </c>
      <c r="C16864">
        <v>1</v>
      </c>
      <c r="D16864">
        <v>0</v>
      </c>
      <c r="E16864">
        <v>0</v>
      </c>
      <c r="F16864">
        <v>5350</v>
      </c>
    </row>
    <row r="16865" spans="1:6" x14ac:dyDescent="0.25">
      <c r="A16865">
        <v>16864</v>
      </c>
      <c r="B16865" t="s">
        <v>0</v>
      </c>
      <c r="C16865">
        <v>55</v>
      </c>
      <c r="D16865">
        <v>3510</v>
      </c>
      <c r="E16865">
        <v>80737310</v>
      </c>
    </row>
    <row r="16866" spans="1:6" x14ac:dyDescent="0.25">
      <c r="A16866">
        <v>16865</v>
      </c>
      <c r="B16866">
        <v>41</v>
      </c>
      <c r="C16866">
        <v>0</v>
      </c>
      <c r="D16866">
        <v>0</v>
      </c>
      <c r="E16866">
        <v>0</v>
      </c>
      <c r="F16866">
        <v>1</v>
      </c>
    </row>
    <row r="16867" spans="1:6" x14ac:dyDescent="0.25">
      <c r="A16867">
        <v>16866</v>
      </c>
      <c r="B16867" t="s">
        <v>0</v>
      </c>
      <c r="C16867">
        <v>56</v>
      </c>
      <c r="D16867">
        <v>3510</v>
      </c>
      <c r="E16867">
        <v>80737446</v>
      </c>
    </row>
    <row r="16868" spans="1:6" x14ac:dyDescent="0.25">
      <c r="A16868">
        <v>16867</v>
      </c>
      <c r="B16868">
        <v>43</v>
      </c>
      <c r="C16868">
        <v>0</v>
      </c>
      <c r="D16868">
        <v>0</v>
      </c>
      <c r="E16868">
        <v>0</v>
      </c>
      <c r="F16868">
        <v>0</v>
      </c>
    </row>
    <row r="16869" spans="1:6" x14ac:dyDescent="0.25">
      <c r="A16869">
        <v>16868</v>
      </c>
      <c r="B16869" t="s">
        <v>0</v>
      </c>
      <c r="C16869">
        <v>57</v>
      </c>
      <c r="D16869">
        <v>3510</v>
      </c>
      <c r="E16869">
        <v>80737581</v>
      </c>
    </row>
    <row r="16870" spans="1:6" x14ac:dyDescent="0.25">
      <c r="A16870">
        <v>16869</v>
      </c>
      <c r="B16870">
        <v>45</v>
      </c>
      <c r="C16870">
        <v>0</v>
      </c>
      <c r="D16870">
        <v>0</v>
      </c>
      <c r="E16870">
        <v>0</v>
      </c>
      <c r="F16870">
        <v>528.55799999999999</v>
      </c>
    </row>
    <row r="16871" spans="1:6" x14ac:dyDescent="0.25">
      <c r="A16871">
        <v>16870</v>
      </c>
      <c r="B16871" t="s">
        <v>0</v>
      </c>
      <c r="C16871">
        <v>58</v>
      </c>
      <c r="D16871">
        <v>3510</v>
      </c>
      <c r="E16871">
        <v>80737716</v>
      </c>
    </row>
    <row r="16872" spans="1:6" x14ac:dyDescent="0.25">
      <c r="A16872">
        <v>16871</v>
      </c>
      <c r="B16872">
        <v>46</v>
      </c>
      <c r="C16872">
        <v>0</v>
      </c>
      <c r="D16872">
        <v>0</v>
      </c>
      <c r="E16872">
        <v>0</v>
      </c>
      <c r="F16872">
        <v>0</v>
      </c>
    </row>
    <row r="16873" spans="1:6" x14ac:dyDescent="0.25">
      <c r="A16873">
        <v>16872</v>
      </c>
      <c r="B16873">
        <v>2</v>
      </c>
      <c r="C16873">
        <v>0</v>
      </c>
      <c r="D16873">
        <v>0</v>
      </c>
      <c r="E16873">
        <v>0</v>
      </c>
      <c r="F16873">
        <v>244.952</v>
      </c>
    </row>
    <row r="16874" spans="1:6" x14ac:dyDescent="0.25">
      <c r="A16874">
        <v>16873</v>
      </c>
      <c r="B16874">
        <v>10</v>
      </c>
      <c r="C16874">
        <v>1</v>
      </c>
      <c r="D16874">
        <v>0</v>
      </c>
      <c r="E16874">
        <v>0</v>
      </c>
      <c r="F16874">
        <v>5350</v>
      </c>
    </row>
    <row r="16875" spans="1:6" x14ac:dyDescent="0.25">
      <c r="A16875">
        <v>16874</v>
      </c>
      <c r="B16875">
        <v>13</v>
      </c>
      <c r="C16875">
        <v>0</v>
      </c>
      <c r="D16875">
        <v>0</v>
      </c>
      <c r="E16875">
        <v>0</v>
      </c>
      <c r="F16875">
        <v>1616</v>
      </c>
    </row>
    <row r="16876" spans="1:6" x14ac:dyDescent="0.25">
      <c r="A16876">
        <v>16875</v>
      </c>
      <c r="B16876">
        <v>41</v>
      </c>
      <c r="C16876">
        <v>0</v>
      </c>
      <c r="D16876">
        <v>0</v>
      </c>
      <c r="E16876">
        <v>0</v>
      </c>
      <c r="F16876">
        <v>1</v>
      </c>
    </row>
    <row r="16877" spans="1:6" x14ac:dyDescent="0.25">
      <c r="A16877">
        <v>16876</v>
      </c>
      <c r="B16877">
        <v>42</v>
      </c>
      <c r="C16877">
        <v>0</v>
      </c>
      <c r="D16877">
        <v>0</v>
      </c>
      <c r="E16877">
        <v>0</v>
      </c>
      <c r="F16877">
        <v>0.2</v>
      </c>
    </row>
    <row r="16878" spans="1:6" x14ac:dyDescent="0.25">
      <c r="A16878">
        <v>16877</v>
      </c>
      <c r="B16878">
        <v>43</v>
      </c>
      <c r="C16878">
        <v>0</v>
      </c>
      <c r="D16878">
        <v>0</v>
      </c>
      <c r="E16878">
        <v>0</v>
      </c>
      <c r="F16878">
        <v>0</v>
      </c>
    </row>
    <row r="16879" spans="1:6" x14ac:dyDescent="0.25">
      <c r="A16879">
        <v>16878</v>
      </c>
      <c r="B16879">
        <v>44</v>
      </c>
      <c r="C16879">
        <v>0</v>
      </c>
      <c r="D16879">
        <v>0</v>
      </c>
      <c r="E16879">
        <v>0</v>
      </c>
      <c r="F16879">
        <v>55.045900000000003</v>
      </c>
    </row>
    <row r="16880" spans="1:6" x14ac:dyDescent="0.25">
      <c r="A16880">
        <v>16879</v>
      </c>
      <c r="B16880">
        <v>45</v>
      </c>
      <c r="C16880">
        <v>0</v>
      </c>
      <c r="D16880">
        <v>0</v>
      </c>
      <c r="E16880">
        <v>0</v>
      </c>
      <c r="F16880">
        <v>528.63300000000004</v>
      </c>
    </row>
    <row r="16881" spans="1:6" x14ac:dyDescent="0.25">
      <c r="A16881">
        <v>16880</v>
      </c>
      <c r="B16881">
        <v>46</v>
      </c>
      <c r="C16881">
        <v>0</v>
      </c>
      <c r="D16881">
        <v>0</v>
      </c>
      <c r="E16881">
        <v>0</v>
      </c>
      <c r="F16881">
        <v>0</v>
      </c>
    </row>
    <row r="16882" spans="1:6" x14ac:dyDescent="0.25">
      <c r="A16882">
        <v>16881</v>
      </c>
      <c r="B16882">
        <v>2</v>
      </c>
      <c r="C16882">
        <v>0</v>
      </c>
      <c r="D16882">
        <v>0</v>
      </c>
      <c r="E16882">
        <v>0</v>
      </c>
      <c r="F16882">
        <v>244.95500000000001</v>
      </c>
    </row>
    <row r="16883" spans="1:6" x14ac:dyDescent="0.25">
      <c r="A16883">
        <v>16882</v>
      </c>
      <c r="B16883">
        <v>10</v>
      </c>
      <c r="C16883">
        <v>1</v>
      </c>
      <c r="D16883">
        <v>0</v>
      </c>
      <c r="E16883">
        <v>0</v>
      </c>
      <c r="F16883">
        <v>5350</v>
      </c>
    </row>
    <row r="16884" spans="1:6" x14ac:dyDescent="0.25">
      <c r="A16884">
        <v>16883</v>
      </c>
      <c r="B16884">
        <v>13</v>
      </c>
      <c r="C16884">
        <v>0</v>
      </c>
      <c r="D16884">
        <v>0</v>
      </c>
      <c r="E16884">
        <v>0</v>
      </c>
      <c r="F16884">
        <v>1616</v>
      </c>
    </row>
    <row r="16885" spans="1:6" x14ac:dyDescent="0.25">
      <c r="A16885">
        <v>16884</v>
      </c>
      <c r="B16885">
        <v>41</v>
      </c>
      <c r="C16885">
        <v>0</v>
      </c>
      <c r="D16885">
        <v>0</v>
      </c>
      <c r="E16885">
        <v>0</v>
      </c>
      <c r="F16885">
        <v>1</v>
      </c>
    </row>
    <row r="16886" spans="1:6" x14ac:dyDescent="0.25">
      <c r="A16886">
        <v>16885</v>
      </c>
      <c r="B16886">
        <v>42</v>
      </c>
      <c r="C16886">
        <v>0</v>
      </c>
      <c r="D16886">
        <v>0</v>
      </c>
      <c r="E16886">
        <v>0</v>
      </c>
      <c r="F16886">
        <v>0.2</v>
      </c>
    </row>
    <row r="16887" spans="1:6" x14ac:dyDescent="0.25">
      <c r="A16887">
        <v>16886</v>
      </c>
      <c r="B16887">
        <v>43</v>
      </c>
      <c r="C16887">
        <v>0</v>
      </c>
      <c r="D16887">
        <v>0</v>
      </c>
      <c r="E16887">
        <v>0</v>
      </c>
      <c r="F16887">
        <v>0</v>
      </c>
    </row>
    <row r="16888" spans="1:6" x14ac:dyDescent="0.25">
      <c r="A16888">
        <v>16887</v>
      </c>
      <c r="B16888">
        <v>44</v>
      </c>
      <c r="C16888">
        <v>0</v>
      </c>
      <c r="D16888">
        <v>0</v>
      </c>
      <c r="E16888">
        <v>0</v>
      </c>
      <c r="F16888">
        <v>55.008400000000002</v>
      </c>
    </row>
    <row r="16889" spans="1:6" x14ac:dyDescent="0.25">
      <c r="A16889">
        <v>16888</v>
      </c>
      <c r="B16889">
        <v>45</v>
      </c>
      <c r="C16889">
        <v>0</v>
      </c>
      <c r="D16889">
        <v>0</v>
      </c>
      <c r="E16889">
        <v>0</v>
      </c>
      <c r="F16889">
        <v>528.69299999999998</v>
      </c>
    </row>
    <row r="16890" spans="1:6" x14ac:dyDescent="0.25">
      <c r="A16890">
        <v>16889</v>
      </c>
      <c r="B16890">
        <v>46</v>
      </c>
      <c r="C16890">
        <v>0</v>
      </c>
      <c r="D16890">
        <v>0</v>
      </c>
      <c r="E16890">
        <v>0</v>
      </c>
      <c r="F16890">
        <v>0</v>
      </c>
    </row>
    <row r="16891" spans="1:6" x14ac:dyDescent="0.25">
      <c r="A16891">
        <v>16890</v>
      </c>
      <c r="B16891">
        <v>2</v>
      </c>
      <c r="C16891">
        <v>0</v>
      </c>
      <c r="D16891">
        <v>0</v>
      </c>
      <c r="E16891">
        <v>0</v>
      </c>
      <c r="F16891">
        <v>245.00700000000001</v>
      </c>
    </row>
    <row r="16892" spans="1:6" x14ac:dyDescent="0.25">
      <c r="A16892">
        <v>16891</v>
      </c>
      <c r="B16892">
        <v>10</v>
      </c>
      <c r="C16892">
        <v>1</v>
      </c>
      <c r="D16892">
        <v>0</v>
      </c>
      <c r="E16892">
        <v>0</v>
      </c>
      <c r="F16892">
        <v>5349</v>
      </c>
    </row>
    <row r="16893" spans="1:6" x14ac:dyDescent="0.25">
      <c r="A16893">
        <v>16892</v>
      </c>
      <c r="B16893">
        <v>13</v>
      </c>
      <c r="C16893">
        <v>0</v>
      </c>
      <c r="D16893">
        <v>0</v>
      </c>
      <c r="E16893">
        <v>0</v>
      </c>
      <c r="F16893">
        <v>1616</v>
      </c>
    </row>
    <row r="16894" spans="1:6" x14ac:dyDescent="0.25">
      <c r="A16894">
        <v>16893</v>
      </c>
      <c r="B16894" t="s">
        <v>0</v>
      </c>
      <c r="C16894">
        <v>69</v>
      </c>
      <c r="D16894">
        <v>3510</v>
      </c>
      <c r="E16894">
        <v>80739211</v>
      </c>
    </row>
    <row r="16895" spans="1:6" x14ac:dyDescent="0.25">
      <c r="A16895">
        <v>16894</v>
      </c>
      <c r="B16895">
        <v>41</v>
      </c>
      <c r="C16895">
        <v>0</v>
      </c>
      <c r="D16895">
        <v>0</v>
      </c>
      <c r="E16895">
        <v>0</v>
      </c>
      <c r="F16895">
        <v>1</v>
      </c>
    </row>
    <row r="16896" spans="1:6" x14ac:dyDescent="0.25">
      <c r="A16896">
        <v>16895</v>
      </c>
      <c r="B16896">
        <v>42</v>
      </c>
      <c r="C16896">
        <v>0</v>
      </c>
      <c r="D16896">
        <v>0</v>
      </c>
      <c r="E16896">
        <v>0</v>
      </c>
      <c r="F16896">
        <v>0.2</v>
      </c>
    </row>
    <row r="16897" spans="1:6" x14ac:dyDescent="0.25">
      <c r="A16897">
        <v>16896</v>
      </c>
      <c r="B16897" t="s">
        <v>0</v>
      </c>
      <c r="C16897">
        <v>70</v>
      </c>
      <c r="D16897">
        <v>3510</v>
      </c>
      <c r="E16897">
        <v>80739347</v>
      </c>
    </row>
    <row r="16898" spans="1:6" x14ac:dyDescent="0.25">
      <c r="A16898">
        <v>16897</v>
      </c>
      <c r="B16898">
        <v>43</v>
      </c>
      <c r="C16898">
        <v>0</v>
      </c>
      <c r="D16898">
        <v>0</v>
      </c>
      <c r="E16898">
        <v>0</v>
      </c>
      <c r="F16898">
        <v>0</v>
      </c>
    </row>
    <row r="16899" spans="1:6" x14ac:dyDescent="0.25">
      <c r="A16899">
        <v>16898</v>
      </c>
      <c r="B16899">
        <v>44</v>
      </c>
      <c r="C16899">
        <v>0</v>
      </c>
      <c r="D16899">
        <v>0</v>
      </c>
      <c r="E16899">
        <v>0</v>
      </c>
      <c r="F16899">
        <v>54.9465</v>
      </c>
    </row>
    <row r="16900" spans="1:6" x14ac:dyDescent="0.25">
      <c r="A16900">
        <v>16899</v>
      </c>
      <c r="B16900" t="s">
        <v>0</v>
      </c>
      <c r="C16900">
        <v>71</v>
      </c>
      <c r="D16900">
        <v>3510</v>
      </c>
      <c r="E16900">
        <v>80739483</v>
      </c>
    </row>
    <row r="16901" spans="1:6" x14ac:dyDescent="0.25">
      <c r="A16901">
        <v>16900</v>
      </c>
      <c r="B16901">
        <v>45</v>
      </c>
      <c r="C16901">
        <v>0</v>
      </c>
      <c r="D16901">
        <v>0</v>
      </c>
      <c r="E16901">
        <v>0</v>
      </c>
      <c r="F16901">
        <v>528.76700000000005</v>
      </c>
    </row>
    <row r="16902" spans="1:6" x14ac:dyDescent="0.25">
      <c r="A16902">
        <v>16901</v>
      </c>
      <c r="B16902">
        <v>46</v>
      </c>
      <c r="C16902">
        <v>0</v>
      </c>
      <c r="D16902">
        <v>0</v>
      </c>
      <c r="E16902">
        <v>0</v>
      </c>
      <c r="F16902">
        <v>0</v>
      </c>
    </row>
    <row r="16903" spans="1:6" x14ac:dyDescent="0.25">
      <c r="A16903">
        <v>16902</v>
      </c>
      <c r="B16903" t="s">
        <v>0</v>
      </c>
      <c r="C16903">
        <v>72</v>
      </c>
      <c r="D16903">
        <v>3510</v>
      </c>
      <c r="E16903">
        <v>80739618</v>
      </c>
    </row>
    <row r="16904" spans="1:6" x14ac:dyDescent="0.25">
      <c r="A16904">
        <v>16903</v>
      </c>
      <c r="B16904">
        <v>2</v>
      </c>
      <c r="C16904">
        <v>0</v>
      </c>
      <c r="D16904">
        <v>0</v>
      </c>
      <c r="E16904">
        <v>0</v>
      </c>
      <c r="F16904">
        <v>245.07599999999999</v>
      </c>
    </row>
    <row r="16905" spans="1:6" x14ac:dyDescent="0.25">
      <c r="A16905">
        <v>16904</v>
      </c>
      <c r="B16905">
        <v>10</v>
      </c>
      <c r="C16905">
        <v>1</v>
      </c>
      <c r="D16905">
        <v>0</v>
      </c>
      <c r="E16905">
        <v>0</v>
      </c>
      <c r="F16905">
        <v>5348</v>
      </c>
    </row>
    <row r="16906" spans="1:6" x14ac:dyDescent="0.25">
      <c r="A16906">
        <v>16905</v>
      </c>
      <c r="B16906" t="s">
        <v>0</v>
      </c>
      <c r="C16906">
        <v>73</v>
      </c>
      <c r="D16906">
        <v>3510</v>
      </c>
      <c r="E16906">
        <v>80739753</v>
      </c>
    </row>
    <row r="16907" spans="1:6" x14ac:dyDescent="0.25">
      <c r="A16907">
        <v>16906</v>
      </c>
      <c r="B16907">
        <v>13</v>
      </c>
      <c r="C16907">
        <v>0</v>
      </c>
      <c r="D16907">
        <v>0</v>
      </c>
      <c r="E16907">
        <v>0</v>
      </c>
      <c r="F16907">
        <v>1616</v>
      </c>
    </row>
    <row r="16908" spans="1:6" x14ac:dyDescent="0.25">
      <c r="A16908">
        <v>16907</v>
      </c>
      <c r="B16908">
        <v>41</v>
      </c>
      <c r="C16908">
        <v>0</v>
      </c>
      <c r="D16908">
        <v>0</v>
      </c>
      <c r="E16908">
        <v>0</v>
      </c>
      <c r="F16908">
        <v>1</v>
      </c>
    </row>
    <row r="16909" spans="1:6" x14ac:dyDescent="0.25">
      <c r="A16909">
        <v>16908</v>
      </c>
      <c r="B16909" t="s">
        <v>0</v>
      </c>
      <c r="C16909">
        <v>74</v>
      </c>
      <c r="D16909">
        <v>3510</v>
      </c>
      <c r="E16909">
        <v>80739888</v>
      </c>
    </row>
    <row r="16910" spans="1:6" x14ac:dyDescent="0.25">
      <c r="A16910">
        <v>16909</v>
      </c>
      <c r="B16910">
        <v>42</v>
      </c>
      <c r="C16910">
        <v>0</v>
      </c>
      <c r="D16910">
        <v>0</v>
      </c>
      <c r="E16910">
        <v>0</v>
      </c>
      <c r="F16910">
        <v>0.2</v>
      </c>
    </row>
    <row r="16911" spans="1:6" x14ac:dyDescent="0.25">
      <c r="A16911">
        <v>16910</v>
      </c>
      <c r="B16911">
        <v>43</v>
      </c>
      <c r="C16911">
        <v>0</v>
      </c>
      <c r="D16911">
        <v>0</v>
      </c>
      <c r="E16911">
        <v>0</v>
      </c>
      <c r="F16911">
        <v>0</v>
      </c>
    </row>
    <row r="16912" spans="1:6" x14ac:dyDescent="0.25">
      <c r="A16912">
        <v>16911</v>
      </c>
      <c r="B16912" t="s">
        <v>0</v>
      </c>
      <c r="C16912">
        <v>75</v>
      </c>
      <c r="D16912">
        <v>3510</v>
      </c>
      <c r="E16912">
        <v>80740023</v>
      </c>
    </row>
    <row r="16913" spans="1:6" x14ac:dyDescent="0.25">
      <c r="A16913">
        <v>16912</v>
      </c>
      <c r="B16913">
        <v>44</v>
      </c>
      <c r="C16913">
        <v>0</v>
      </c>
      <c r="D16913">
        <v>0</v>
      </c>
      <c r="E16913">
        <v>0</v>
      </c>
      <c r="F16913">
        <v>54.884799999999998</v>
      </c>
    </row>
    <row r="16914" spans="1:6" x14ac:dyDescent="0.25">
      <c r="A16914">
        <v>16913</v>
      </c>
      <c r="B16914">
        <v>45</v>
      </c>
      <c r="C16914">
        <v>0</v>
      </c>
      <c r="D16914">
        <v>0</v>
      </c>
      <c r="E16914">
        <v>0</v>
      </c>
      <c r="F16914">
        <v>528.827</v>
      </c>
    </row>
    <row r="16915" spans="1:6" x14ac:dyDescent="0.25">
      <c r="A16915">
        <v>16914</v>
      </c>
      <c r="B16915" t="s">
        <v>0</v>
      </c>
      <c r="C16915">
        <v>76</v>
      </c>
      <c r="D16915">
        <v>3510</v>
      </c>
      <c r="E16915">
        <v>80740158</v>
      </c>
    </row>
    <row r="16916" spans="1:6" x14ac:dyDescent="0.25">
      <c r="A16916">
        <v>16915</v>
      </c>
      <c r="B16916">
        <v>46</v>
      </c>
      <c r="C16916">
        <v>0</v>
      </c>
      <c r="D16916">
        <v>0</v>
      </c>
      <c r="E16916">
        <v>0</v>
      </c>
      <c r="F16916">
        <v>0</v>
      </c>
    </row>
    <row r="16917" spans="1:6" x14ac:dyDescent="0.25">
      <c r="A16917">
        <v>16916</v>
      </c>
      <c r="B16917">
        <v>2</v>
      </c>
      <c r="C16917">
        <v>0</v>
      </c>
      <c r="D16917">
        <v>0</v>
      </c>
      <c r="E16917">
        <v>0</v>
      </c>
      <c r="F16917">
        <v>245.126</v>
      </c>
    </row>
    <row r="16918" spans="1:6" x14ac:dyDescent="0.25">
      <c r="A16918">
        <v>16917</v>
      </c>
      <c r="B16918" t="s">
        <v>0</v>
      </c>
      <c r="C16918">
        <v>77</v>
      </c>
      <c r="D16918">
        <v>3510</v>
      </c>
      <c r="E16918">
        <v>80740293</v>
      </c>
    </row>
    <row r="16919" spans="1:6" x14ac:dyDescent="0.25">
      <c r="A16919">
        <v>16918</v>
      </c>
      <c r="B16919">
        <v>10</v>
      </c>
      <c r="C16919">
        <v>1</v>
      </c>
      <c r="D16919">
        <v>0</v>
      </c>
      <c r="E16919">
        <v>0</v>
      </c>
      <c r="F16919">
        <v>5347</v>
      </c>
    </row>
    <row r="16920" spans="1:6" x14ac:dyDescent="0.25">
      <c r="A16920">
        <v>16919</v>
      </c>
      <c r="B16920">
        <v>13</v>
      </c>
      <c r="C16920">
        <v>0</v>
      </c>
      <c r="D16920">
        <v>0</v>
      </c>
      <c r="E16920">
        <v>0</v>
      </c>
      <c r="F16920">
        <v>1616</v>
      </c>
    </row>
    <row r="16921" spans="1:6" x14ac:dyDescent="0.25">
      <c r="A16921">
        <v>16920</v>
      </c>
      <c r="B16921" t="s">
        <v>0</v>
      </c>
      <c r="C16921">
        <v>78</v>
      </c>
      <c r="D16921">
        <v>3510</v>
      </c>
      <c r="E16921">
        <v>80740428</v>
      </c>
    </row>
    <row r="16922" spans="1:6" x14ac:dyDescent="0.25">
      <c r="A16922">
        <v>16921</v>
      </c>
      <c r="B16922">
        <v>42</v>
      </c>
      <c r="C16922">
        <v>0</v>
      </c>
      <c r="D16922">
        <v>0</v>
      </c>
      <c r="E16922">
        <v>0</v>
      </c>
      <c r="F16922">
        <v>0.2</v>
      </c>
    </row>
    <row r="16923" spans="1:6" x14ac:dyDescent="0.25">
      <c r="A16923">
        <v>16922</v>
      </c>
      <c r="B16923" t="s">
        <v>0</v>
      </c>
      <c r="C16923">
        <v>79</v>
      </c>
      <c r="D16923">
        <v>3510</v>
      </c>
      <c r="E16923">
        <v>80740563</v>
      </c>
    </row>
    <row r="16924" spans="1:6" x14ac:dyDescent="0.25">
      <c r="A16924">
        <v>16923</v>
      </c>
      <c r="B16924">
        <v>44</v>
      </c>
      <c r="C16924">
        <v>0</v>
      </c>
      <c r="D16924">
        <v>0</v>
      </c>
      <c r="E16924">
        <v>0</v>
      </c>
      <c r="F16924">
        <v>54.845399999999998</v>
      </c>
    </row>
    <row r="16925" spans="1:6" x14ac:dyDescent="0.25">
      <c r="A16925">
        <v>16924</v>
      </c>
      <c r="B16925" t="s">
        <v>0</v>
      </c>
      <c r="C16925">
        <v>80</v>
      </c>
      <c r="D16925">
        <v>3510</v>
      </c>
      <c r="E16925">
        <v>80740698</v>
      </c>
    </row>
    <row r="16926" spans="1:6" x14ac:dyDescent="0.25">
      <c r="A16926">
        <v>16925</v>
      </c>
      <c r="B16926">
        <v>46</v>
      </c>
      <c r="C16926">
        <v>0</v>
      </c>
      <c r="D16926">
        <v>0</v>
      </c>
      <c r="E16926">
        <v>0</v>
      </c>
      <c r="F16926">
        <v>0</v>
      </c>
    </row>
    <row r="16927" spans="1:6" x14ac:dyDescent="0.25">
      <c r="A16927">
        <v>16926</v>
      </c>
      <c r="B16927" t="s">
        <v>0</v>
      </c>
      <c r="C16927">
        <v>81</v>
      </c>
      <c r="D16927">
        <v>3510</v>
      </c>
      <c r="E16927">
        <v>80740833</v>
      </c>
    </row>
    <row r="16928" spans="1:6" x14ac:dyDescent="0.25">
      <c r="A16928">
        <v>16927</v>
      </c>
      <c r="B16928">
        <v>10</v>
      </c>
      <c r="C16928">
        <v>1</v>
      </c>
      <c r="D16928">
        <v>0</v>
      </c>
      <c r="E16928">
        <v>0</v>
      </c>
      <c r="F16928">
        <v>5346</v>
      </c>
    </row>
    <row r="16929" spans="1:6" x14ac:dyDescent="0.25">
      <c r="A16929">
        <v>16928</v>
      </c>
      <c r="B16929" t="s">
        <v>0</v>
      </c>
      <c r="C16929">
        <v>82</v>
      </c>
      <c r="D16929">
        <v>3510</v>
      </c>
      <c r="E16929">
        <v>80740969</v>
      </c>
    </row>
    <row r="16930" spans="1:6" x14ac:dyDescent="0.25">
      <c r="A16930">
        <v>16929</v>
      </c>
      <c r="B16930">
        <v>41</v>
      </c>
      <c r="C16930">
        <v>0</v>
      </c>
      <c r="D16930">
        <v>0</v>
      </c>
      <c r="E16930">
        <v>0</v>
      </c>
      <c r="F16930">
        <v>1</v>
      </c>
    </row>
    <row r="16931" spans="1:6" x14ac:dyDescent="0.25">
      <c r="A16931">
        <v>16930</v>
      </c>
      <c r="B16931" t="s">
        <v>0</v>
      </c>
      <c r="C16931">
        <v>83</v>
      </c>
      <c r="D16931">
        <v>3510</v>
      </c>
      <c r="E16931">
        <v>80741105</v>
      </c>
    </row>
    <row r="16932" spans="1:6" x14ac:dyDescent="0.25">
      <c r="A16932">
        <v>16931</v>
      </c>
      <c r="B16932">
        <v>43</v>
      </c>
      <c r="C16932">
        <v>0</v>
      </c>
      <c r="D16932">
        <v>0</v>
      </c>
      <c r="E16932">
        <v>0</v>
      </c>
      <c r="F16932">
        <v>0</v>
      </c>
    </row>
    <row r="16933" spans="1:6" x14ac:dyDescent="0.25">
      <c r="A16933">
        <v>16932</v>
      </c>
      <c r="B16933" t="s">
        <v>0</v>
      </c>
      <c r="C16933">
        <v>84</v>
      </c>
      <c r="D16933">
        <v>3510</v>
      </c>
      <c r="E16933">
        <v>80741241</v>
      </c>
    </row>
    <row r="16934" spans="1:6" x14ac:dyDescent="0.25">
      <c r="A16934">
        <v>16933</v>
      </c>
      <c r="B16934">
        <v>45</v>
      </c>
      <c r="C16934">
        <v>0</v>
      </c>
      <c r="D16934">
        <v>0</v>
      </c>
      <c r="E16934">
        <v>0</v>
      </c>
      <c r="F16934">
        <v>528.96100000000001</v>
      </c>
    </row>
    <row r="16935" spans="1:6" x14ac:dyDescent="0.25">
      <c r="A16935">
        <v>16934</v>
      </c>
      <c r="B16935" t="s">
        <v>0</v>
      </c>
      <c r="C16935">
        <v>85</v>
      </c>
      <c r="D16935">
        <v>3510</v>
      </c>
      <c r="E16935">
        <v>80741377</v>
      </c>
    </row>
    <row r="16936" spans="1:6" x14ac:dyDescent="0.25">
      <c r="A16936">
        <v>16935</v>
      </c>
      <c r="B16936">
        <v>2</v>
      </c>
      <c r="C16936">
        <v>0</v>
      </c>
      <c r="D16936">
        <v>0</v>
      </c>
      <c r="E16936">
        <v>0</v>
      </c>
      <c r="F16936">
        <v>245.2</v>
      </c>
    </row>
    <row r="16937" spans="1:6" x14ac:dyDescent="0.25">
      <c r="A16937">
        <v>16936</v>
      </c>
      <c r="B16937" t="s">
        <v>0</v>
      </c>
      <c r="C16937">
        <v>86</v>
      </c>
      <c r="D16937">
        <v>3510</v>
      </c>
      <c r="E16937">
        <v>80741513</v>
      </c>
    </row>
    <row r="16938" spans="1:6" x14ac:dyDescent="0.25">
      <c r="A16938">
        <v>16937</v>
      </c>
      <c r="B16938">
        <v>13</v>
      </c>
      <c r="C16938">
        <v>0</v>
      </c>
      <c r="D16938">
        <v>0</v>
      </c>
      <c r="E16938">
        <v>0</v>
      </c>
      <c r="F16938">
        <v>1616</v>
      </c>
    </row>
    <row r="16939" spans="1:6" x14ac:dyDescent="0.25">
      <c r="A16939">
        <v>16938</v>
      </c>
      <c r="B16939" t="s">
        <v>0</v>
      </c>
      <c r="C16939">
        <v>87</v>
      </c>
      <c r="D16939">
        <v>3510</v>
      </c>
      <c r="E16939">
        <v>80741648</v>
      </c>
    </row>
    <row r="16940" spans="1:6" x14ac:dyDescent="0.25">
      <c r="A16940">
        <v>16939</v>
      </c>
      <c r="B16940">
        <v>42</v>
      </c>
      <c r="C16940">
        <v>0</v>
      </c>
      <c r="D16940">
        <v>0</v>
      </c>
      <c r="E16940">
        <v>0</v>
      </c>
      <c r="F16940">
        <v>0.2</v>
      </c>
    </row>
    <row r="16941" spans="1:6" x14ac:dyDescent="0.25">
      <c r="A16941">
        <v>16940</v>
      </c>
      <c r="B16941" t="s">
        <v>0</v>
      </c>
      <c r="C16941">
        <v>88</v>
      </c>
      <c r="D16941">
        <v>3510</v>
      </c>
      <c r="E16941">
        <v>80741783</v>
      </c>
    </row>
    <row r="16942" spans="1:6" x14ac:dyDescent="0.25">
      <c r="A16942">
        <v>16941</v>
      </c>
      <c r="B16942">
        <v>44</v>
      </c>
      <c r="C16942">
        <v>0</v>
      </c>
      <c r="D16942">
        <v>0</v>
      </c>
      <c r="E16942">
        <v>0</v>
      </c>
      <c r="F16942">
        <v>54.780799999999999</v>
      </c>
    </row>
    <row r="16943" spans="1:6" x14ac:dyDescent="0.25">
      <c r="A16943">
        <v>16942</v>
      </c>
      <c r="B16943">
        <v>45</v>
      </c>
      <c r="C16943">
        <v>0</v>
      </c>
      <c r="D16943">
        <v>0</v>
      </c>
      <c r="E16943">
        <v>0</v>
      </c>
      <c r="F16943">
        <v>529.02099999999996</v>
      </c>
    </row>
    <row r="16944" spans="1:6" x14ac:dyDescent="0.25">
      <c r="A16944">
        <v>16943</v>
      </c>
      <c r="B16944">
        <v>46</v>
      </c>
      <c r="C16944">
        <v>0</v>
      </c>
      <c r="D16944">
        <v>0</v>
      </c>
      <c r="E16944">
        <v>0</v>
      </c>
      <c r="F16944">
        <v>0</v>
      </c>
    </row>
    <row r="16945" spans="1:6" x14ac:dyDescent="0.25">
      <c r="A16945">
        <v>16944</v>
      </c>
      <c r="B16945">
        <v>2</v>
      </c>
      <c r="C16945">
        <v>0</v>
      </c>
      <c r="D16945">
        <v>0</v>
      </c>
      <c r="E16945">
        <v>0</v>
      </c>
      <c r="F16945">
        <v>245.22499999999999</v>
      </c>
    </row>
    <row r="16946" spans="1:6" x14ac:dyDescent="0.25">
      <c r="A16946">
        <v>16945</v>
      </c>
      <c r="B16946">
        <v>10</v>
      </c>
      <c r="C16946">
        <v>1</v>
      </c>
      <c r="D16946">
        <v>0</v>
      </c>
      <c r="E16946">
        <v>0</v>
      </c>
      <c r="F16946">
        <v>5345</v>
      </c>
    </row>
    <row r="16947" spans="1:6" x14ac:dyDescent="0.25">
      <c r="A16947">
        <v>16946</v>
      </c>
      <c r="B16947">
        <v>13</v>
      </c>
      <c r="C16947">
        <v>0</v>
      </c>
      <c r="D16947">
        <v>0</v>
      </c>
      <c r="E16947">
        <v>0</v>
      </c>
      <c r="F16947">
        <v>1616</v>
      </c>
    </row>
    <row r="16948" spans="1:6" x14ac:dyDescent="0.25">
      <c r="A16948">
        <v>16947</v>
      </c>
      <c r="B16948">
        <v>41</v>
      </c>
      <c r="C16948">
        <v>0</v>
      </c>
      <c r="D16948">
        <v>0</v>
      </c>
      <c r="E16948">
        <v>0</v>
      </c>
      <c r="F16948">
        <v>1</v>
      </c>
    </row>
    <row r="16949" spans="1:6" x14ac:dyDescent="0.25">
      <c r="A16949">
        <v>16948</v>
      </c>
      <c r="B16949">
        <v>42</v>
      </c>
      <c r="C16949">
        <v>0</v>
      </c>
      <c r="D16949">
        <v>0</v>
      </c>
      <c r="E16949">
        <v>0</v>
      </c>
      <c r="F16949">
        <v>0.2</v>
      </c>
    </row>
    <row r="16950" spans="1:6" x14ac:dyDescent="0.25">
      <c r="A16950">
        <v>16949</v>
      </c>
      <c r="B16950">
        <v>43</v>
      </c>
      <c r="C16950">
        <v>0</v>
      </c>
      <c r="D16950">
        <v>0</v>
      </c>
      <c r="E16950">
        <v>0</v>
      </c>
      <c r="F16950">
        <v>0</v>
      </c>
    </row>
    <row r="16951" spans="1:6" x14ac:dyDescent="0.25">
      <c r="A16951">
        <v>16950</v>
      </c>
      <c r="B16951">
        <v>44</v>
      </c>
      <c r="C16951">
        <v>0</v>
      </c>
      <c r="D16951">
        <v>0</v>
      </c>
      <c r="E16951">
        <v>0</v>
      </c>
      <c r="F16951">
        <v>54.761200000000002</v>
      </c>
    </row>
    <row r="16952" spans="1:6" x14ac:dyDescent="0.25">
      <c r="A16952">
        <v>16951</v>
      </c>
      <c r="B16952">
        <v>45</v>
      </c>
      <c r="C16952">
        <v>0</v>
      </c>
      <c r="D16952">
        <v>0</v>
      </c>
      <c r="E16952">
        <v>0</v>
      </c>
      <c r="F16952">
        <v>529.09500000000003</v>
      </c>
    </row>
    <row r="16953" spans="1:6" x14ac:dyDescent="0.25">
      <c r="A16953">
        <v>16952</v>
      </c>
      <c r="B16953">
        <v>46</v>
      </c>
      <c r="C16953">
        <v>0</v>
      </c>
      <c r="D16953">
        <v>0</v>
      </c>
      <c r="E16953">
        <v>0</v>
      </c>
      <c r="F16953">
        <v>0</v>
      </c>
    </row>
    <row r="16954" spans="1:6" x14ac:dyDescent="0.25">
      <c r="A16954">
        <v>16953</v>
      </c>
      <c r="B16954">
        <v>2</v>
      </c>
      <c r="C16954">
        <v>0</v>
      </c>
      <c r="D16954">
        <v>0</v>
      </c>
      <c r="E16954">
        <v>0</v>
      </c>
      <c r="F16954">
        <v>245.24700000000001</v>
      </c>
    </row>
    <row r="16955" spans="1:6" x14ac:dyDescent="0.25">
      <c r="A16955">
        <v>16954</v>
      </c>
      <c r="B16955">
        <v>10</v>
      </c>
      <c r="C16955">
        <v>1</v>
      </c>
      <c r="D16955">
        <v>0</v>
      </c>
      <c r="E16955">
        <v>0</v>
      </c>
      <c r="F16955">
        <v>5345</v>
      </c>
    </row>
    <row r="16956" spans="1:6" x14ac:dyDescent="0.25">
      <c r="A16956">
        <v>16955</v>
      </c>
      <c r="B16956">
        <v>13</v>
      </c>
      <c r="C16956">
        <v>0</v>
      </c>
      <c r="D16956">
        <v>0</v>
      </c>
      <c r="E16956">
        <v>0</v>
      </c>
      <c r="F16956">
        <v>1616</v>
      </c>
    </row>
    <row r="16957" spans="1:6" x14ac:dyDescent="0.25">
      <c r="A16957">
        <v>16956</v>
      </c>
      <c r="B16957">
        <v>41</v>
      </c>
      <c r="C16957">
        <v>0</v>
      </c>
      <c r="D16957">
        <v>0</v>
      </c>
      <c r="E16957">
        <v>0</v>
      </c>
      <c r="F16957">
        <v>1</v>
      </c>
    </row>
    <row r="16958" spans="1:6" x14ac:dyDescent="0.25">
      <c r="A16958">
        <v>16957</v>
      </c>
      <c r="B16958">
        <v>42</v>
      </c>
      <c r="C16958">
        <v>0</v>
      </c>
      <c r="D16958">
        <v>0</v>
      </c>
      <c r="E16958">
        <v>0</v>
      </c>
      <c r="F16958">
        <v>0.2</v>
      </c>
    </row>
    <row r="16959" spans="1:6" x14ac:dyDescent="0.25">
      <c r="A16959">
        <v>16958</v>
      </c>
      <c r="B16959">
        <v>43</v>
      </c>
      <c r="C16959">
        <v>0</v>
      </c>
      <c r="D16959">
        <v>0</v>
      </c>
      <c r="E16959">
        <v>0</v>
      </c>
      <c r="F16959">
        <v>0</v>
      </c>
    </row>
    <row r="16960" spans="1:6" x14ac:dyDescent="0.25">
      <c r="A16960">
        <v>16959</v>
      </c>
      <c r="B16960">
        <v>44</v>
      </c>
      <c r="C16960">
        <v>0</v>
      </c>
      <c r="D16960">
        <v>0</v>
      </c>
      <c r="E16960">
        <v>0</v>
      </c>
      <c r="F16960">
        <v>54.741500000000002</v>
      </c>
    </row>
    <row r="16961" spans="1:6" x14ac:dyDescent="0.25">
      <c r="A16961">
        <v>16960</v>
      </c>
      <c r="B16961">
        <v>45</v>
      </c>
      <c r="C16961">
        <v>0</v>
      </c>
      <c r="D16961">
        <v>0</v>
      </c>
      <c r="E16961">
        <v>0</v>
      </c>
      <c r="F16961">
        <v>529.15499999999997</v>
      </c>
    </row>
    <row r="16962" spans="1:6" x14ac:dyDescent="0.25">
      <c r="A16962">
        <v>16961</v>
      </c>
      <c r="B16962">
        <v>46</v>
      </c>
      <c r="C16962">
        <v>0</v>
      </c>
      <c r="D16962">
        <v>0</v>
      </c>
      <c r="E16962">
        <v>0</v>
      </c>
      <c r="F16962">
        <v>0</v>
      </c>
    </row>
    <row r="16963" spans="1:6" x14ac:dyDescent="0.25">
      <c r="A16963">
        <v>16962</v>
      </c>
      <c r="B16963">
        <v>2</v>
      </c>
      <c r="C16963">
        <v>0</v>
      </c>
      <c r="D16963">
        <v>0</v>
      </c>
      <c r="E16963">
        <v>0</v>
      </c>
      <c r="F16963">
        <v>245.262</v>
      </c>
    </row>
    <row r="16964" spans="1:6" x14ac:dyDescent="0.25">
      <c r="A16964">
        <v>16963</v>
      </c>
      <c r="B16964">
        <v>10</v>
      </c>
      <c r="C16964">
        <v>1</v>
      </c>
      <c r="D16964">
        <v>0</v>
      </c>
      <c r="E16964">
        <v>0</v>
      </c>
      <c r="F16964">
        <v>5345</v>
      </c>
    </row>
    <row r="16965" spans="1:6" x14ac:dyDescent="0.25">
      <c r="A16965">
        <v>16964</v>
      </c>
      <c r="B16965">
        <v>13</v>
      </c>
      <c r="C16965">
        <v>0</v>
      </c>
      <c r="D16965">
        <v>0</v>
      </c>
      <c r="E16965">
        <v>0</v>
      </c>
      <c r="F16965">
        <v>1616</v>
      </c>
    </row>
    <row r="16966" spans="1:6" x14ac:dyDescent="0.25">
      <c r="A16966">
        <v>16965</v>
      </c>
      <c r="B16966">
        <v>41</v>
      </c>
      <c r="C16966">
        <v>0</v>
      </c>
      <c r="D16966">
        <v>0</v>
      </c>
      <c r="E16966">
        <v>0</v>
      </c>
      <c r="F16966">
        <v>1</v>
      </c>
    </row>
    <row r="16967" spans="1:6" x14ac:dyDescent="0.25">
      <c r="A16967">
        <v>16966</v>
      </c>
      <c r="B16967">
        <v>42</v>
      </c>
      <c r="C16967">
        <v>0</v>
      </c>
      <c r="D16967">
        <v>0</v>
      </c>
      <c r="E16967">
        <v>0</v>
      </c>
      <c r="F16967">
        <v>0.2</v>
      </c>
    </row>
    <row r="16968" spans="1:6" x14ac:dyDescent="0.25">
      <c r="A16968">
        <v>16967</v>
      </c>
      <c r="B16968" t="s">
        <v>0</v>
      </c>
      <c r="C16968">
        <v>101</v>
      </c>
      <c r="D16968">
        <v>3510</v>
      </c>
      <c r="E16968">
        <v>80743545</v>
      </c>
    </row>
    <row r="16969" spans="1:6" x14ac:dyDescent="0.25">
      <c r="A16969">
        <v>16968</v>
      </c>
      <c r="B16969">
        <v>43</v>
      </c>
      <c r="C16969">
        <v>0</v>
      </c>
      <c r="D16969">
        <v>0</v>
      </c>
      <c r="E16969">
        <v>0</v>
      </c>
      <c r="F16969">
        <v>0</v>
      </c>
    </row>
    <row r="16970" spans="1:6" x14ac:dyDescent="0.25">
      <c r="A16970">
        <v>16969</v>
      </c>
      <c r="B16970">
        <v>44</v>
      </c>
      <c r="C16970">
        <v>0</v>
      </c>
      <c r="D16970">
        <v>0</v>
      </c>
      <c r="E16970">
        <v>0</v>
      </c>
      <c r="F16970">
        <v>54.729300000000002</v>
      </c>
    </row>
    <row r="16971" spans="1:6" x14ac:dyDescent="0.25">
      <c r="A16971">
        <v>16970</v>
      </c>
      <c r="B16971" t="s">
        <v>0</v>
      </c>
      <c r="C16971">
        <v>102</v>
      </c>
      <c r="D16971">
        <v>3510</v>
      </c>
      <c r="E16971">
        <v>80743680</v>
      </c>
    </row>
    <row r="16972" spans="1:6" x14ac:dyDescent="0.25">
      <c r="A16972">
        <v>16971</v>
      </c>
      <c r="B16972">
        <v>45</v>
      </c>
      <c r="C16972">
        <v>0</v>
      </c>
      <c r="D16972">
        <v>0</v>
      </c>
      <c r="E16972">
        <v>0</v>
      </c>
      <c r="F16972">
        <v>529.22900000000004</v>
      </c>
    </row>
    <row r="16973" spans="1:6" x14ac:dyDescent="0.25">
      <c r="A16973">
        <v>16972</v>
      </c>
      <c r="B16973">
        <v>46</v>
      </c>
      <c r="C16973">
        <v>0</v>
      </c>
      <c r="D16973">
        <v>0</v>
      </c>
      <c r="E16973">
        <v>0</v>
      </c>
      <c r="F16973">
        <v>0</v>
      </c>
    </row>
    <row r="16974" spans="1:6" x14ac:dyDescent="0.25">
      <c r="A16974">
        <v>16973</v>
      </c>
      <c r="B16974" t="s">
        <v>0</v>
      </c>
      <c r="C16974">
        <v>103</v>
      </c>
      <c r="D16974">
        <v>3510</v>
      </c>
      <c r="E16974">
        <v>80743815</v>
      </c>
    </row>
    <row r="16975" spans="1:6" x14ac:dyDescent="0.25">
      <c r="A16975">
        <v>16974</v>
      </c>
      <c r="B16975">
        <v>2</v>
      </c>
      <c r="C16975">
        <v>0</v>
      </c>
      <c r="D16975">
        <v>0</v>
      </c>
      <c r="E16975">
        <v>0</v>
      </c>
      <c r="F16975">
        <v>245.27600000000001</v>
      </c>
    </row>
    <row r="16976" spans="1:6" x14ac:dyDescent="0.25">
      <c r="A16976">
        <v>16975</v>
      </c>
      <c r="B16976">
        <v>10</v>
      </c>
      <c r="C16976">
        <v>1</v>
      </c>
      <c r="D16976">
        <v>0</v>
      </c>
      <c r="E16976">
        <v>0</v>
      </c>
      <c r="F16976">
        <v>5345</v>
      </c>
    </row>
    <row r="16977" spans="1:6" x14ac:dyDescent="0.25">
      <c r="A16977">
        <v>16976</v>
      </c>
      <c r="B16977" t="s">
        <v>0</v>
      </c>
      <c r="C16977">
        <v>104</v>
      </c>
      <c r="D16977">
        <v>3510</v>
      </c>
      <c r="E16977">
        <v>80743950</v>
      </c>
    </row>
    <row r="16978" spans="1:6" x14ac:dyDescent="0.25">
      <c r="A16978">
        <v>16977</v>
      </c>
      <c r="B16978">
        <v>13</v>
      </c>
      <c r="C16978">
        <v>0</v>
      </c>
      <c r="D16978">
        <v>0</v>
      </c>
      <c r="E16978">
        <v>0</v>
      </c>
      <c r="F16978">
        <v>1616</v>
      </c>
    </row>
    <row r="16979" spans="1:6" x14ac:dyDescent="0.25">
      <c r="A16979">
        <v>16978</v>
      </c>
      <c r="B16979">
        <v>41</v>
      </c>
      <c r="C16979">
        <v>0</v>
      </c>
      <c r="D16979">
        <v>0</v>
      </c>
      <c r="E16979">
        <v>0</v>
      </c>
      <c r="F16979">
        <v>1</v>
      </c>
    </row>
    <row r="16980" spans="1:6" x14ac:dyDescent="0.25">
      <c r="A16980">
        <v>16979</v>
      </c>
      <c r="B16980" t="s">
        <v>0</v>
      </c>
      <c r="C16980">
        <v>105</v>
      </c>
      <c r="D16980">
        <v>3510</v>
      </c>
      <c r="E16980">
        <v>80744085</v>
      </c>
    </row>
    <row r="16981" spans="1:6" x14ac:dyDescent="0.25">
      <c r="A16981">
        <v>16980</v>
      </c>
      <c r="B16981">
        <v>42</v>
      </c>
      <c r="C16981">
        <v>0</v>
      </c>
      <c r="D16981">
        <v>0</v>
      </c>
      <c r="E16981">
        <v>0</v>
      </c>
      <c r="F16981">
        <v>0.2</v>
      </c>
    </row>
    <row r="16982" spans="1:6" x14ac:dyDescent="0.25">
      <c r="A16982">
        <v>16981</v>
      </c>
      <c r="B16982">
        <v>43</v>
      </c>
      <c r="C16982">
        <v>0</v>
      </c>
      <c r="D16982">
        <v>0</v>
      </c>
      <c r="E16982">
        <v>0</v>
      </c>
      <c r="F16982">
        <v>0</v>
      </c>
    </row>
    <row r="16983" spans="1:6" x14ac:dyDescent="0.25">
      <c r="A16983">
        <v>16982</v>
      </c>
      <c r="B16983" t="s">
        <v>0</v>
      </c>
      <c r="C16983">
        <v>106</v>
      </c>
      <c r="D16983">
        <v>3510</v>
      </c>
      <c r="E16983">
        <v>80744220</v>
      </c>
    </row>
    <row r="16984" spans="1:6" x14ac:dyDescent="0.25">
      <c r="A16984">
        <v>16983</v>
      </c>
      <c r="B16984">
        <v>44</v>
      </c>
      <c r="C16984">
        <v>0</v>
      </c>
      <c r="D16984">
        <v>0</v>
      </c>
      <c r="E16984">
        <v>0</v>
      </c>
      <c r="F16984">
        <v>54.716799999999999</v>
      </c>
    </row>
    <row r="16985" spans="1:6" x14ac:dyDescent="0.25">
      <c r="A16985">
        <v>16984</v>
      </c>
      <c r="B16985">
        <v>45</v>
      </c>
      <c r="C16985">
        <v>0</v>
      </c>
      <c r="D16985">
        <v>0</v>
      </c>
      <c r="E16985">
        <v>0</v>
      </c>
      <c r="F16985">
        <v>529.28899999999999</v>
      </c>
    </row>
    <row r="16986" spans="1:6" x14ac:dyDescent="0.25">
      <c r="A16986">
        <v>16985</v>
      </c>
      <c r="B16986" t="s">
        <v>0</v>
      </c>
      <c r="C16986">
        <v>107</v>
      </c>
      <c r="D16986">
        <v>3510</v>
      </c>
      <c r="E16986">
        <v>80744355</v>
      </c>
    </row>
    <row r="16987" spans="1:6" x14ac:dyDescent="0.25">
      <c r="A16987">
        <v>16986</v>
      </c>
      <c r="B16987">
        <v>46</v>
      </c>
      <c r="C16987">
        <v>0</v>
      </c>
      <c r="D16987">
        <v>0</v>
      </c>
      <c r="E16987">
        <v>0</v>
      </c>
      <c r="F16987">
        <v>0</v>
      </c>
    </row>
    <row r="16988" spans="1:6" x14ac:dyDescent="0.25">
      <c r="A16988">
        <v>16987</v>
      </c>
      <c r="B16988">
        <v>2</v>
      </c>
      <c r="C16988">
        <v>0</v>
      </c>
      <c r="D16988">
        <v>0</v>
      </c>
      <c r="E16988">
        <v>0</v>
      </c>
      <c r="F16988">
        <v>245.285</v>
      </c>
    </row>
    <row r="16989" spans="1:6" x14ac:dyDescent="0.25">
      <c r="A16989">
        <v>16988</v>
      </c>
      <c r="B16989" t="s">
        <v>0</v>
      </c>
      <c r="C16989">
        <v>108</v>
      </c>
      <c r="D16989">
        <v>3510</v>
      </c>
      <c r="E16989">
        <v>80744490</v>
      </c>
    </row>
    <row r="16990" spans="1:6" x14ac:dyDescent="0.25">
      <c r="A16990">
        <v>16989</v>
      </c>
      <c r="B16990">
        <v>10</v>
      </c>
      <c r="C16990">
        <v>1</v>
      </c>
      <c r="D16990">
        <v>0</v>
      </c>
      <c r="E16990">
        <v>0</v>
      </c>
      <c r="F16990">
        <v>5345</v>
      </c>
    </row>
    <row r="16991" spans="1:6" x14ac:dyDescent="0.25">
      <c r="A16991">
        <v>16990</v>
      </c>
      <c r="B16991">
        <v>13</v>
      </c>
      <c r="C16991">
        <v>0</v>
      </c>
      <c r="D16991">
        <v>0</v>
      </c>
      <c r="E16991">
        <v>0</v>
      </c>
      <c r="F16991">
        <v>1616</v>
      </c>
    </row>
    <row r="16992" spans="1:6" x14ac:dyDescent="0.25">
      <c r="A16992">
        <v>16991</v>
      </c>
      <c r="B16992" t="s">
        <v>0</v>
      </c>
      <c r="C16992">
        <v>109</v>
      </c>
      <c r="D16992">
        <v>3510</v>
      </c>
      <c r="E16992">
        <v>80744625</v>
      </c>
    </row>
    <row r="16993" spans="1:6" x14ac:dyDescent="0.25">
      <c r="A16993">
        <v>16992</v>
      </c>
      <c r="B16993">
        <v>41</v>
      </c>
      <c r="C16993">
        <v>0</v>
      </c>
      <c r="D16993">
        <v>0</v>
      </c>
      <c r="E16993">
        <v>0</v>
      </c>
      <c r="F16993">
        <v>1</v>
      </c>
    </row>
    <row r="16994" spans="1:6" x14ac:dyDescent="0.25">
      <c r="A16994">
        <v>16993</v>
      </c>
      <c r="B16994">
        <v>42</v>
      </c>
      <c r="C16994">
        <v>0</v>
      </c>
      <c r="D16994">
        <v>0</v>
      </c>
      <c r="E16994">
        <v>0</v>
      </c>
      <c r="F16994">
        <v>0.2</v>
      </c>
    </row>
    <row r="16995" spans="1:6" x14ac:dyDescent="0.25">
      <c r="A16995">
        <v>16994</v>
      </c>
      <c r="B16995" t="s">
        <v>0</v>
      </c>
      <c r="C16995">
        <v>110</v>
      </c>
      <c r="D16995">
        <v>3510</v>
      </c>
      <c r="E16995">
        <v>80744761</v>
      </c>
    </row>
    <row r="16996" spans="1:6" x14ac:dyDescent="0.25">
      <c r="A16996">
        <v>16995</v>
      </c>
      <c r="B16996">
        <v>44</v>
      </c>
      <c r="C16996">
        <v>0</v>
      </c>
      <c r="D16996">
        <v>0</v>
      </c>
      <c r="E16996">
        <v>0</v>
      </c>
      <c r="F16996">
        <v>54.709099999999999</v>
      </c>
    </row>
    <row r="16997" spans="1:6" x14ac:dyDescent="0.25">
      <c r="A16997">
        <v>16996</v>
      </c>
      <c r="B16997" t="s">
        <v>0</v>
      </c>
      <c r="C16997">
        <v>111</v>
      </c>
      <c r="D16997">
        <v>3510</v>
      </c>
      <c r="E16997">
        <v>80744897</v>
      </c>
    </row>
    <row r="16998" spans="1:6" x14ac:dyDescent="0.25">
      <c r="A16998">
        <v>16997</v>
      </c>
      <c r="B16998">
        <v>46</v>
      </c>
      <c r="C16998">
        <v>0</v>
      </c>
      <c r="D16998">
        <v>0</v>
      </c>
      <c r="E16998">
        <v>0</v>
      </c>
      <c r="F16998">
        <v>0</v>
      </c>
    </row>
    <row r="16999" spans="1:6" x14ac:dyDescent="0.25">
      <c r="A16999">
        <v>16998</v>
      </c>
      <c r="B16999" t="s">
        <v>0</v>
      </c>
      <c r="C16999">
        <v>112</v>
      </c>
      <c r="D16999">
        <v>3510</v>
      </c>
      <c r="E16999">
        <v>80745033</v>
      </c>
    </row>
    <row r="17000" spans="1:6" x14ac:dyDescent="0.25">
      <c r="A17000">
        <v>16999</v>
      </c>
      <c r="B17000">
        <v>10</v>
      </c>
      <c r="C17000">
        <v>1</v>
      </c>
      <c r="D17000">
        <v>0</v>
      </c>
      <c r="E17000">
        <v>0</v>
      </c>
      <c r="F17000">
        <v>5345</v>
      </c>
    </row>
    <row r="17001" spans="1:6" x14ac:dyDescent="0.25">
      <c r="A17001">
        <v>17000</v>
      </c>
      <c r="B17001" t="s">
        <v>0</v>
      </c>
      <c r="C17001">
        <v>113</v>
      </c>
      <c r="D17001">
        <v>3510</v>
      </c>
      <c r="E17001">
        <v>80745169</v>
      </c>
    </row>
    <row r="17002" spans="1:6" x14ac:dyDescent="0.25">
      <c r="A17002">
        <v>17001</v>
      </c>
      <c r="B17002">
        <v>41</v>
      </c>
      <c r="C17002">
        <v>0</v>
      </c>
      <c r="D17002">
        <v>0</v>
      </c>
      <c r="E17002">
        <v>0</v>
      </c>
      <c r="F17002">
        <v>1</v>
      </c>
    </row>
    <row r="17003" spans="1:6" x14ac:dyDescent="0.25">
      <c r="A17003">
        <v>17002</v>
      </c>
      <c r="B17003" t="s">
        <v>0</v>
      </c>
      <c r="C17003">
        <v>114</v>
      </c>
      <c r="D17003">
        <v>3510</v>
      </c>
      <c r="E17003">
        <v>80745305</v>
      </c>
    </row>
    <row r="17004" spans="1:6" x14ac:dyDescent="0.25">
      <c r="A17004">
        <v>17003</v>
      </c>
      <c r="B17004">
        <v>43</v>
      </c>
      <c r="C17004">
        <v>0</v>
      </c>
      <c r="D17004">
        <v>0</v>
      </c>
      <c r="E17004">
        <v>0</v>
      </c>
      <c r="F17004">
        <v>0</v>
      </c>
    </row>
    <row r="17005" spans="1:6" x14ac:dyDescent="0.25">
      <c r="A17005">
        <v>17004</v>
      </c>
      <c r="B17005" t="s">
        <v>0</v>
      </c>
      <c r="C17005">
        <v>115</v>
      </c>
      <c r="D17005">
        <v>3510</v>
      </c>
      <c r="E17005">
        <v>80745441</v>
      </c>
    </row>
    <row r="17006" spans="1:6" x14ac:dyDescent="0.25">
      <c r="A17006">
        <v>17005</v>
      </c>
      <c r="B17006">
        <v>45</v>
      </c>
      <c r="C17006">
        <v>0</v>
      </c>
      <c r="D17006">
        <v>0</v>
      </c>
      <c r="E17006">
        <v>0</v>
      </c>
      <c r="F17006">
        <v>529.42200000000003</v>
      </c>
    </row>
    <row r="17007" spans="1:6" x14ac:dyDescent="0.25">
      <c r="A17007">
        <v>17006</v>
      </c>
      <c r="B17007" t="s">
        <v>0</v>
      </c>
      <c r="C17007">
        <v>116</v>
      </c>
      <c r="D17007">
        <v>3510</v>
      </c>
      <c r="E17007">
        <v>80745576</v>
      </c>
    </row>
    <row r="17008" spans="1:6" x14ac:dyDescent="0.25">
      <c r="A17008">
        <v>17007</v>
      </c>
      <c r="B17008">
        <v>2</v>
      </c>
      <c r="C17008">
        <v>0</v>
      </c>
      <c r="D17008">
        <v>0</v>
      </c>
      <c r="E17008">
        <v>0</v>
      </c>
      <c r="F17008">
        <v>245.3</v>
      </c>
    </row>
    <row r="17009" spans="1:6" x14ac:dyDescent="0.25">
      <c r="A17009">
        <v>17008</v>
      </c>
      <c r="B17009" t="s">
        <v>0</v>
      </c>
      <c r="C17009">
        <v>117</v>
      </c>
      <c r="D17009">
        <v>3510</v>
      </c>
      <c r="E17009">
        <v>80745711</v>
      </c>
    </row>
    <row r="17010" spans="1:6" x14ac:dyDescent="0.25">
      <c r="A17010">
        <v>17009</v>
      </c>
      <c r="B17010">
        <v>13</v>
      </c>
      <c r="C17010">
        <v>0</v>
      </c>
      <c r="D17010">
        <v>0</v>
      </c>
      <c r="E17010">
        <v>0</v>
      </c>
      <c r="F17010">
        <v>1616</v>
      </c>
    </row>
    <row r="17011" spans="1:6" x14ac:dyDescent="0.25">
      <c r="A17011">
        <v>17010</v>
      </c>
      <c r="B17011" t="s">
        <v>0</v>
      </c>
      <c r="C17011">
        <v>118</v>
      </c>
      <c r="D17011">
        <v>3510</v>
      </c>
      <c r="E17011">
        <v>80745846</v>
      </c>
    </row>
    <row r="17012" spans="1:6" x14ac:dyDescent="0.25">
      <c r="A17012">
        <v>17011</v>
      </c>
      <c r="B17012">
        <v>42</v>
      </c>
      <c r="C17012">
        <v>0</v>
      </c>
      <c r="D17012">
        <v>0</v>
      </c>
      <c r="E17012">
        <v>0</v>
      </c>
      <c r="F17012">
        <v>0.2</v>
      </c>
    </row>
    <row r="17013" spans="1:6" x14ac:dyDescent="0.25">
      <c r="A17013">
        <v>17012</v>
      </c>
      <c r="B17013" t="s">
        <v>0</v>
      </c>
      <c r="C17013">
        <v>119</v>
      </c>
      <c r="D17013">
        <v>3510</v>
      </c>
      <c r="E17013">
        <v>80745981</v>
      </c>
    </row>
    <row r="17014" spans="1:6" x14ac:dyDescent="0.25">
      <c r="A17014">
        <v>17013</v>
      </c>
      <c r="B17014">
        <v>43</v>
      </c>
      <c r="C17014">
        <v>0</v>
      </c>
      <c r="D17014">
        <v>0</v>
      </c>
      <c r="E17014">
        <v>0</v>
      </c>
      <c r="F17014">
        <v>0</v>
      </c>
    </row>
    <row r="17015" spans="1:6" x14ac:dyDescent="0.25">
      <c r="A17015">
        <v>17014</v>
      </c>
      <c r="B17015">
        <v>44</v>
      </c>
      <c r="C17015">
        <v>0</v>
      </c>
      <c r="D17015">
        <v>0</v>
      </c>
      <c r="E17015">
        <v>0</v>
      </c>
      <c r="F17015">
        <v>54.696199999999997</v>
      </c>
    </row>
    <row r="17016" spans="1:6" x14ac:dyDescent="0.25">
      <c r="A17016">
        <v>17015</v>
      </c>
      <c r="B17016">
        <v>45</v>
      </c>
      <c r="C17016">
        <v>0</v>
      </c>
      <c r="D17016">
        <v>0</v>
      </c>
      <c r="E17016">
        <v>0</v>
      </c>
      <c r="F17016">
        <v>529.49699999999996</v>
      </c>
    </row>
    <row r="17017" spans="1:6" x14ac:dyDescent="0.25">
      <c r="A17017">
        <v>17016</v>
      </c>
      <c r="B17017">
        <v>46</v>
      </c>
      <c r="C17017">
        <v>0</v>
      </c>
      <c r="D17017">
        <v>0</v>
      </c>
      <c r="E17017">
        <v>0</v>
      </c>
      <c r="F17017">
        <v>0</v>
      </c>
    </row>
    <row r="17018" spans="1:6" x14ac:dyDescent="0.25">
      <c r="A17018">
        <v>17017</v>
      </c>
      <c r="B17018">
        <v>2</v>
      </c>
      <c r="C17018">
        <v>0</v>
      </c>
      <c r="D17018">
        <v>0</v>
      </c>
      <c r="E17018">
        <v>0</v>
      </c>
      <c r="F17018">
        <v>245.30600000000001</v>
      </c>
    </row>
    <row r="17019" spans="1:6" x14ac:dyDescent="0.25">
      <c r="A17019">
        <v>17018</v>
      </c>
      <c r="B17019">
        <v>10</v>
      </c>
      <c r="C17019">
        <v>1</v>
      </c>
      <c r="D17019">
        <v>0</v>
      </c>
      <c r="E17019">
        <v>0</v>
      </c>
      <c r="F17019">
        <v>5345</v>
      </c>
    </row>
    <row r="17020" spans="1:6" x14ac:dyDescent="0.25">
      <c r="A17020">
        <v>17019</v>
      </c>
      <c r="B17020">
        <v>13</v>
      </c>
      <c r="C17020">
        <v>0</v>
      </c>
      <c r="D17020">
        <v>0</v>
      </c>
      <c r="E17020">
        <v>0</v>
      </c>
      <c r="F17020">
        <v>1616</v>
      </c>
    </row>
    <row r="17021" spans="1:6" x14ac:dyDescent="0.25">
      <c r="A17021">
        <v>17020</v>
      </c>
      <c r="B17021">
        <v>41</v>
      </c>
      <c r="C17021">
        <v>0</v>
      </c>
      <c r="D17021">
        <v>0</v>
      </c>
      <c r="E17021">
        <v>0</v>
      </c>
      <c r="F17021">
        <v>1</v>
      </c>
    </row>
    <row r="17022" spans="1:6" x14ac:dyDescent="0.25">
      <c r="A17022">
        <v>17021</v>
      </c>
      <c r="B17022">
        <v>42</v>
      </c>
      <c r="C17022">
        <v>0</v>
      </c>
      <c r="D17022">
        <v>0</v>
      </c>
      <c r="E17022">
        <v>0</v>
      </c>
      <c r="F17022">
        <v>0.2</v>
      </c>
    </row>
    <row r="17023" spans="1:6" x14ac:dyDescent="0.25">
      <c r="A17023">
        <v>17022</v>
      </c>
      <c r="B17023">
        <v>43</v>
      </c>
      <c r="C17023">
        <v>0</v>
      </c>
      <c r="D17023">
        <v>0</v>
      </c>
      <c r="E17023">
        <v>0</v>
      </c>
      <c r="F17023">
        <v>0</v>
      </c>
    </row>
    <row r="17024" spans="1:6" x14ac:dyDescent="0.25">
      <c r="A17024">
        <v>17023</v>
      </c>
      <c r="B17024">
        <v>44</v>
      </c>
      <c r="C17024">
        <v>0</v>
      </c>
      <c r="D17024">
        <v>0</v>
      </c>
      <c r="E17024">
        <v>0</v>
      </c>
      <c r="F17024">
        <v>54.691299999999998</v>
      </c>
    </row>
    <row r="17025" spans="1:6" x14ac:dyDescent="0.25">
      <c r="A17025">
        <v>17024</v>
      </c>
      <c r="B17025">
        <v>45</v>
      </c>
      <c r="C17025">
        <v>0</v>
      </c>
      <c r="D17025">
        <v>0</v>
      </c>
      <c r="E17025">
        <v>0</v>
      </c>
      <c r="F17025">
        <v>529.55600000000004</v>
      </c>
    </row>
    <row r="17026" spans="1:6" x14ac:dyDescent="0.25">
      <c r="A17026">
        <v>17025</v>
      </c>
      <c r="B17026">
        <v>46</v>
      </c>
      <c r="C17026">
        <v>0</v>
      </c>
      <c r="D17026">
        <v>0</v>
      </c>
      <c r="E17026">
        <v>0</v>
      </c>
      <c r="F17026">
        <v>0</v>
      </c>
    </row>
    <row r="17027" spans="1:6" x14ac:dyDescent="0.25">
      <c r="A17027">
        <v>17026</v>
      </c>
      <c r="B17027">
        <v>2</v>
      </c>
      <c r="C17027">
        <v>0</v>
      </c>
      <c r="D17027">
        <v>0</v>
      </c>
      <c r="E17027">
        <v>0</v>
      </c>
      <c r="F17027">
        <v>245.309</v>
      </c>
    </row>
    <row r="17028" spans="1:6" x14ac:dyDescent="0.25">
      <c r="A17028">
        <v>17027</v>
      </c>
      <c r="B17028">
        <v>10</v>
      </c>
      <c r="C17028">
        <v>1</v>
      </c>
      <c r="D17028">
        <v>0</v>
      </c>
      <c r="E17028">
        <v>0</v>
      </c>
      <c r="F17028">
        <v>5346</v>
      </c>
    </row>
    <row r="17029" spans="1:6" x14ac:dyDescent="0.25">
      <c r="A17029">
        <v>17028</v>
      </c>
      <c r="B17029">
        <v>13</v>
      </c>
      <c r="C17029">
        <v>0</v>
      </c>
      <c r="D17029">
        <v>0</v>
      </c>
      <c r="E17029">
        <v>0</v>
      </c>
      <c r="F17029">
        <v>1616</v>
      </c>
    </row>
    <row r="17030" spans="1:6" x14ac:dyDescent="0.25">
      <c r="A17030">
        <v>17029</v>
      </c>
      <c r="B17030">
        <v>41</v>
      </c>
      <c r="C17030">
        <v>0</v>
      </c>
      <c r="D17030">
        <v>0</v>
      </c>
      <c r="E17030">
        <v>0</v>
      </c>
      <c r="F17030">
        <v>1</v>
      </c>
    </row>
    <row r="17031" spans="1:6" x14ac:dyDescent="0.25">
      <c r="A17031">
        <v>17030</v>
      </c>
      <c r="B17031">
        <v>42</v>
      </c>
      <c r="C17031">
        <v>0</v>
      </c>
      <c r="D17031">
        <v>0</v>
      </c>
      <c r="E17031">
        <v>0</v>
      </c>
      <c r="F17031">
        <v>0.2</v>
      </c>
    </row>
    <row r="17032" spans="1:6" x14ac:dyDescent="0.25">
      <c r="A17032">
        <v>17031</v>
      </c>
      <c r="B17032">
        <v>43</v>
      </c>
      <c r="C17032">
        <v>0</v>
      </c>
      <c r="D17032">
        <v>0</v>
      </c>
      <c r="E17032">
        <v>0</v>
      </c>
      <c r="F17032">
        <v>0</v>
      </c>
    </row>
    <row r="17033" spans="1:6" x14ac:dyDescent="0.25">
      <c r="A17033">
        <v>17032</v>
      </c>
      <c r="B17033">
        <v>44</v>
      </c>
      <c r="C17033">
        <v>0</v>
      </c>
      <c r="D17033">
        <v>0</v>
      </c>
      <c r="E17033">
        <v>0</v>
      </c>
      <c r="F17033">
        <v>54.688299999999998</v>
      </c>
    </row>
    <row r="17034" spans="1:6" x14ac:dyDescent="0.25">
      <c r="A17034">
        <v>17033</v>
      </c>
      <c r="B17034">
        <v>45</v>
      </c>
      <c r="C17034">
        <v>0</v>
      </c>
      <c r="D17034">
        <v>0</v>
      </c>
      <c r="E17034">
        <v>0</v>
      </c>
      <c r="F17034">
        <v>529.63</v>
      </c>
    </row>
    <row r="17035" spans="1:6" x14ac:dyDescent="0.25">
      <c r="A17035">
        <v>17034</v>
      </c>
      <c r="B17035">
        <v>46</v>
      </c>
      <c r="C17035">
        <v>0</v>
      </c>
      <c r="D17035">
        <v>0</v>
      </c>
      <c r="E17035">
        <v>0</v>
      </c>
      <c r="F17035">
        <v>0</v>
      </c>
    </row>
    <row r="17036" spans="1:6" x14ac:dyDescent="0.25">
      <c r="A17036">
        <v>17035</v>
      </c>
      <c r="B17036">
        <v>2</v>
      </c>
      <c r="C17036">
        <v>0</v>
      </c>
      <c r="D17036">
        <v>0</v>
      </c>
      <c r="E17036">
        <v>0</v>
      </c>
      <c r="F17036">
        <v>245.31299999999999</v>
      </c>
    </row>
    <row r="17037" spans="1:6" x14ac:dyDescent="0.25">
      <c r="A17037">
        <v>17036</v>
      </c>
      <c r="B17037">
        <v>10</v>
      </c>
      <c r="C17037">
        <v>1</v>
      </c>
      <c r="D17037">
        <v>0</v>
      </c>
      <c r="E17037">
        <v>0</v>
      </c>
      <c r="F17037">
        <v>5346</v>
      </c>
    </row>
    <row r="17038" spans="1:6" x14ac:dyDescent="0.25">
      <c r="A17038">
        <v>17037</v>
      </c>
      <c r="B17038" t="s">
        <v>0</v>
      </c>
      <c r="C17038">
        <v>131</v>
      </c>
      <c r="D17038">
        <v>3510</v>
      </c>
      <c r="E17038">
        <v>80747608</v>
      </c>
    </row>
    <row r="17039" spans="1:6" x14ac:dyDescent="0.25">
      <c r="A17039">
        <v>17038</v>
      </c>
      <c r="B17039">
        <v>13</v>
      </c>
      <c r="C17039">
        <v>0</v>
      </c>
      <c r="D17039">
        <v>0</v>
      </c>
      <c r="E17039">
        <v>0</v>
      </c>
      <c r="F17039">
        <v>1616</v>
      </c>
    </row>
    <row r="17040" spans="1:6" x14ac:dyDescent="0.25">
      <c r="A17040">
        <v>17039</v>
      </c>
      <c r="B17040">
        <v>41</v>
      </c>
      <c r="C17040">
        <v>0</v>
      </c>
      <c r="D17040">
        <v>0</v>
      </c>
      <c r="E17040">
        <v>0</v>
      </c>
      <c r="F17040">
        <v>1</v>
      </c>
    </row>
    <row r="17041" spans="1:6" x14ac:dyDescent="0.25">
      <c r="A17041">
        <v>17040</v>
      </c>
      <c r="B17041" t="s">
        <v>0</v>
      </c>
      <c r="C17041">
        <v>132</v>
      </c>
      <c r="D17041">
        <v>3510</v>
      </c>
      <c r="E17041">
        <v>80747743</v>
      </c>
    </row>
    <row r="17042" spans="1:6" x14ac:dyDescent="0.25">
      <c r="A17042">
        <v>17041</v>
      </c>
      <c r="B17042">
        <v>42</v>
      </c>
      <c r="C17042">
        <v>0</v>
      </c>
      <c r="D17042">
        <v>0</v>
      </c>
      <c r="E17042">
        <v>0</v>
      </c>
      <c r="F17042">
        <v>0.2</v>
      </c>
    </row>
    <row r="17043" spans="1:6" x14ac:dyDescent="0.25">
      <c r="A17043">
        <v>17042</v>
      </c>
      <c r="B17043">
        <v>43</v>
      </c>
      <c r="C17043">
        <v>0</v>
      </c>
      <c r="D17043">
        <v>0</v>
      </c>
      <c r="E17043">
        <v>0</v>
      </c>
      <c r="F17043">
        <v>0</v>
      </c>
    </row>
    <row r="17044" spans="1:6" x14ac:dyDescent="0.25">
      <c r="A17044">
        <v>17043</v>
      </c>
      <c r="B17044" t="s">
        <v>0</v>
      </c>
      <c r="C17044">
        <v>133</v>
      </c>
      <c r="D17044">
        <v>3510</v>
      </c>
      <c r="E17044">
        <v>80747878</v>
      </c>
    </row>
    <row r="17045" spans="1:6" x14ac:dyDescent="0.25">
      <c r="A17045">
        <v>17044</v>
      </c>
      <c r="B17045">
        <v>44</v>
      </c>
      <c r="C17045">
        <v>0</v>
      </c>
      <c r="D17045">
        <v>0</v>
      </c>
      <c r="E17045">
        <v>0</v>
      </c>
      <c r="F17045">
        <v>54.685400000000001</v>
      </c>
    </row>
    <row r="17046" spans="1:6" x14ac:dyDescent="0.25">
      <c r="A17046">
        <v>17045</v>
      </c>
      <c r="B17046">
        <v>45</v>
      </c>
      <c r="C17046">
        <v>0</v>
      </c>
      <c r="D17046">
        <v>0</v>
      </c>
      <c r="E17046">
        <v>0</v>
      </c>
      <c r="F17046">
        <v>529.68899999999996</v>
      </c>
    </row>
    <row r="17047" spans="1:6" x14ac:dyDescent="0.25">
      <c r="A17047">
        <v>17046</v>
      </c>
      <c r="B17047" t="s">
        <v>0</v>
      </c>
      <c r="C17047">
        <v>134</v>
      </c>
      <c r="D17047">
        <v>3510</v>
      </c>
      <c r="E17047">
        <v>80748013</v>
      </c>
    </row>
    <row r="17048" spans="1:6" x14ac:dyDescent="0.25">
      <c r="A17048">
        <v>17047</v>
      </c>
      <c r="B17048">
        <v>46</v>
      </c>
      <c r="C17048">
        <v>0</v>
      </c>
      <c r="D17048">
        <v>0</v>
      </c>
      <c r="E17048">
        <v>0</v>
      </c>
      <c r="F17048">
        <v>0</v>
      </c>
    </row>
    <row r="17049" spans="1:6" x14ac:dyDescent="0.25">
      <c r="A17049">
        <v>17048</v>
      </c>
      <c r="B17049">
        <v>2</v>
      </c>
      <c r="C17049">
        <v>0</v>
      </c>
      <c r="D17049">
        <v>0</v>
      </c>
      <c r="E17049">
        <v>0</v>
      </c>
      <c r="F17049">
        <v>245.315</v>
      </c>
    </row>
    <row r="17050" spans="1:6" x14ac:dyDescent="0.25">
      <c r="A17050">
        <v>17049</v>
      </c>
      <c r="B17050" t="s">
        <v>0</v>
      </c>
      <c r="C17050">
        <v>135</v>
      </c>
      <c r="D17050">
        <v>3510</v>
      </c>
      <c r="E17050">
        <v>80748148</v>
      </c>
    </row>
    <row r="17051" spans="1:6" x14ac:dyDescent="0.25">
      <c r="A17051">
        <v>17050</v>
      </c>
      <c r="B17051">
        <v>10</v>
      </c>
      <c r="C17051">
        <v>1</v>
      </c>
      <c r="D17051">
        <v>0</v>
      </c>
      <c r="E17051">
        <v>0</v>
      </c>
      <c r="F17051">
        <v>5346</v>
      </c>
    </row>
    <row r="17052" spans="1:6" x14ac:dyDescent="0.25">
      <c r="A17052">
        <v>17051</v>
      </c>
      <c r="B17052">
        <v>13</v>
      </c>
      <c r="C17052">
        <v>0</v>
      </c>
      <c r="D17052">
        <v>0</v>
      </c>
      <c r="E17052">
        <v>0</v>
      </c>
      <c r="F17052">
        <v>1616</v>
      </c>
    </row>
    <row r="17053" spans="1:6" x14ac:dyDescent="0.25">
      <c r="A17053">
        <v>17052</v>
      </c>
      <c r="B17053" t="s">
        <v>0</v>
      </c>
      <c r="C17053">
        <v>136</v>
      </c>
      <c r="D17053">
        <v>3510</v>
      </c>
      <c r="E17053">
        <v>80748283</v>
      </c>
    </row>
    <row r="17054" spans="1:6" x14ac:dyDescent="0.25">
      <c r="A17054">
        <v>17053</v>
      </c>
      <c r="B17054">
        <v>41</v>
      </c>
      <c r="C17054">
        <v>0</v>
      </c>
      <c r="D17054">
        <v>0</v>
      </c>
      <c r="E17054">
        <v>0</v>
      </c>
      <c r="F17054">
        <v>1</v>
      </c>
    </row>
    <row r="17055" spans="1:6" x14ac:dyDescent="0.25">
      <c r="A17055">
        <v>17054</v>
      </c>
      <c r="B17055">
        <v>42</v>
      </c>
      <c r="C17055">
        <v>0</v>
      </c>
      <c r="D17055">
        <v>0</v>
      </c>
      <c r="E17055">
        <v>0</v>
      </c>
      <c r="F17055">
        <v>0.2</v>
      </c>
    </row>
    <row r="17056" spans="1:6" x14ac:dyDescent="0.25">
      <c r="A17056">
        <v>17055</v>
      </c>
      <c r="B17056" t="s">
        <v>0</v>
      </c>
      <c r="C17056">
        <v>137</v>
      </c>
      <c r="D17056">
        <v>3510</v>
      </c>
      <c r="E17056">
        <v>80748418</v>
      </c>
    </row>
    <row r="17057" spans="1:6" x14ac:dyDescent="0.25">
      <c r="A17057">
        <v>17056</v>
      </c>
      <c r="B17057">
        <v>43</v>
      </c>
      <c r="C17057">
        <v>0</v>
      </c>
      <c r="D17057">
        <v>0</v>
      </c>
      <c r="E17057">
        <v>0</v>
      </c>
      <c r="F17057">
        <v>0</v>
      </c>
    </row>
    <row r="17058" spans="1:6" x14ac:dyDescent="0.25">
      <c r="A17058">
        <v>17057</v>
      </c>
      <c r="B17058">
        <v>44</v>
      </c>
      <c r="C17058">
        <v>0</v>
      </c>
      <c r="D17058">
        <v>0</v>
      </c>
      <c r="E17058">
        <v>0</v>
      </c>
      <c r="F17058">
        <v>54.683300000000003</v>
      </c>
    </row>
    <row r="17059" spans="1:6" x14ac:dyDescent="0.25">
      <c r="A17059">
        <v>17058</v>
      </c>
      <c r="B17059" t="s">
        <v>0</v>
      </c>
      <c r="C17059">
        <v>138</v>
      </c>
      <c r="D17059">
        <v>3510</v>
      </c>
      <c r="E17059">
        <v>80748553</v>
      </c>
    </row>
    <row r="17060" spans="1:6" x14ac:dyDescent="0.25">
      <c r="A17060">
        <v>17059</v>
      </c>
      <c r="B17060">
        <v>45</v>
      </c>
      <c r="C17060">
        <v>0</v>
      </c>
      <c r="D17060">
        <v>0</v>
      </c>
      <c r="E17060">
        <v>0</v>
      </c>
      <c r="F17060">
        <v>529.76400000000001</v>
      </c>
    </row>
    <row r="17061" spans="1:6" x14ac:dyDescent="0.25">
      <c r="A17061">
        <v>17060</v>
      </c>
      <c r="B17061">
        <v>46</v>
      </c>
      <c r="C17061">
        <v>0</v>
      </c>
      <c r="D17061">
        <v>0</v>
      </c>
      <c r="E17061">
        <v>0</v>
      </c>
      <c r="F17061">
        <v>0</v>
      </c>
    </row>
    <row r="17062" spans="1:6" x14ac:dyDescent="0.25">
      <c r="A17062">
        <v>17061</v>
      </c>
      <c r="B17062" t="s">
        <v>0</v>
      </c>
      <c r="C17062">
        <v>139</v>
      </c>
      <c r="D17062">
        <v>3510</v>
      </c>
      <c r="E17062">
        <v>80748689</v>
      </c>
    </row>
    <row r="17063" spans="1:6" x14ac:dyDescent="0.25">
      <c r="A17063">
        <v>17062</v>
      </c>
      <c r="B17063">
        <v>2</v>
      </c>
      <c r="C17063">
        <v>0</v>
      </c>
      <c r="D17063">
        <v>0</v>
      </c>
      <c r="E17063">
        <v>0</v>
      </c>
      <c r="F17063">
        <v>245.31800000000001</v>
      </c>
    </row>
    <row r="17064" spans="1:6" x14ac:dyDescent="0.25">
      <c r="A17064">
        <v>17063</v>
      </c>
      <c r="B17064">
        <v>10</v>
      </c>
      <c r="C17064">
        <v>1</v>
      </c>
      <c r="D17064">
        <v>0</v>
      </c>
      <c r="E17064">
        <v>0</v>
      </c>
      <c r="F17064">
        <v>5347</v>
      </c>
    </row>
    <row r="17065" spans="1:6" x14ac:dyDescent="0.25">
      <c r="A17065">
        <v>17064</v>
      </c>
      <c r="B17065" t="s">
        <v>0</v>
      </c>
      <c r="C17065">
        <v>140</v>
      </c>
      <c r="D17065">
        <v>3510</v>
      </c>
      <c r="E17065">
        <v>80748825</v>
      </c>
    </row>
    <row r="17066" spans="1:6" x14ac:dyDescent="0.25">
      <c r="A17066">
        <v>17065</v>
      </c>
      <c r="B17066">
        <v>13</v>
      </c>
      <c r="C17066">
        <v>0</v>
      </c>
      <c r="D17066">
        <v>0</v>
      </c>
      <c r="E17066">
        <v>0</v>
      </c>
      <c r="F17066">
        <v>1616</v>
      </c>
    </row>
    <row r="17067" spans="1:6" x14ac:dyDescent="0.25">
      <c r="A17067">
        <v>17066</v>
      </c>
      <c r="B17067">
        <v>41</v>
      </c>
      <c r="C17067">
        <v>0</v>
      </c>
      <c r="D17067">
        <v>0</v>
      </c>
      <c r="E17067">
        <v>0</v>
      </c>
      <c r="F17067">
        <v>1</v>
      </c>
    </row>
    <row r="17068" spans="1:6" x14ac:dyDescent="0.25">
      <c r="A17068">
        <v>17067</v>
      </c>
      <c r="B17068" t="s">
        <v>0</v>
      </c>
      <c r="C17068">
        <v>141</v>
      </c>
      <c r="D17068">
        <v>3510</v>
      </c>
      <c r="E17068">
        <v>80748961</v>
      </c>
    </row>
    <row r="17069" spans="1:6" x14ac:dyDescent="0.25">
      <c r="A17069">
        <v>17068</v>
      </c>
      <c r="B17069">
        <v>43</v>
      </c>
      <c r="C17069">
        <v>0</v>
      </c>
      <c r="D17069">
        <v>0</v>
      </c>
      <c r="E17069">
        <v>0</v>
      </c>
      <c r="F17069">
        <v>0</v>
      </c>
    </row>
    <row r="17070" spans="1:6" x14ac:dyDescent="0.25">
      <c r="A17070">
        <v>17069</v>
      </c>
      <c r="B17070" t="s">
        <v>0</v>
      </c>
      <c r="C17070">
        <v>142</v>
      </c>
      <c r="D17070">
        <v>3510</v>
      </c>
      <c r="E17070">
        <v>80749096</v>
      </c>
    </row>
    <row r="17071" spans="1:6" x14ac:dyDescent="0.25">
      <c r="A17071">
        <v>17070</v>
      </c>
      <c r="B17071">
        <v>45</v>
      </c>
      <c r="C17071">
        <v>0</v>
      </c>
      <c r="D17071">
        <v>0</v>
      </c>
      <c r="E17071">
        <v>0</v>
      </c>
      <c r="F17071">
        <v>529.82299999999998</v>
      </c>
    </row>
    <row r="17072" spans="1:6" x14ac:dyDescent="0.25">
      <c r="A17072">
        <v>17071</v>
      </c>
      <c r="B17072" t="s">
        <v>0</v>
      </c>
      <c r="C17072">
        <v>143</v>
      </c>
      <c r="D17072">
        <v>3510</v>
      </c>
      <c r="E17072">
        <v>80749231</v>
      </c>
    </row>
    <row r="17073" spans="1:6" x14ac:dyDescent="0.25">
      <c r="A17073">
        <v>17072</v>
      </c>
      <c r="B17073">
        <v>2</v>
      </c>
      <c r="C17073">
        <v>0</v>
      </c>
      <c r="D17073">
        <v>0</v>
      </c>
      <c r="E17073">
        <v>0</v>
      </c>
      <c r="F17073">
        <v>245.36199999999999</v>
      </c>
    </row>
    <row r="17074" spans="1:6" x14ac:dyDescent="0.25">
      <c r="A17074">
        <v>17073</v>
      </c>
      <c r="B17074" t="s">
        <v>0</v>
      </c>
      <c r="C17074">
        <v>144</v>
      </c>
      <c r="D17074">
        <v>3510</v>
      </c>
      <c r="E17074">
        <v>80749366</v>
      </c>
    </row>
    <row r="17075" spans="1:6" x14ac:dyDescent="0.25">
      <c r="A17075">
        <v>17074</v>
      </c>
      <c r="B17075">
        <v>13</v>
      </c>
      <c r="C17075">
        <v>0</v>
      </c>
      <c r="D17075">
        <v>0</v>
      </c>
      <c r="E17075">
        <v>0</v>
      </c>
      <c r="F17075">
        <v>1616</v>
      </c>
    </row>
    <row r="17076" spans="1:6" x14ac:dyDescent="0.25">
      <c r="A17076">
        <v>17075</v>
      </c>
      <c r="B17076" t="s">
        <v>0</v>
      </c>
      <c r="C17076">
        <v>145</v>
      </c>
      <c r="D17076">
        <v>3510</v>
      </c>
      <c r="E17076">
        <v>80749502</v>
      </c>
    </row>
    <row r="17077" spans="1:6" x14ac:dyDescent="0.25">
      <c r="A17077">
        <v>17076</v>
      </c>
      <c r="B17077">
        <v>42</v>
      </c>
      <c r="C17077">
        <v>0</v>
      </c>
      <c r="D17077">
        <v>0</v>
      </c>
      <c r="E17077">
        <v>0</v>
      </c>
      <c r="F17077">
        <v>0.2</v>
      </c>
    </row>
    <row r="17078" spans="1:6" x14ac:dyDescent="0.25">
      <c r="A17078">
        <v>17077</v>
      </c>
      <c r="B17078" t="s">
        <v>0</v>
      </c>
      <c r="C17078">
        <v>146</v>
      </c>
      <c r="D17078">
        <v>3510</v>
      </c>
      <c r="E17078">
        <v>80749637</v>
      </c>
    </row>
    <row r="17079" spans="1:6" x14ac:dyDescent="0.25">
      <c r="A17079">
        <v>17078</v>
      </c>
      <c r="B17079">
        <v>44</v>
      </c>
      <c r="C17079">
        <v>0</v>
      </c>
      <c r="D17079">
        <v>0</v>
      </c>
      <c r="E17079">
        <v>0</v>
      </c>
      <c r="F17079">
        <v>54.591299999999997</v>
      </c>
    </row>
    <row r="17080" spans="1:6" x14ac:dyDescent="0.25">
      <c r="A17080">
        <v>17079</v>
      </c>
      <c r="B17080" t="s">
        <v>0</v>
      </c>
      <c r="C17080">
        <v>147</v>
      </c>
      <c r="D17080">
        <v>3510</v>
      </c>
      <c r="E17080">
        <v>80749772</v>
      </c>
    </row>
    <row r="17081" spans="1:6" x14ac:dyDescent="0.25">
      <c r="A17081">
        <v>17080</v>
      </c>
      <c r="B17081">
        <v>46</v>
      </c>
      <c r="C17081">
        <v>0</v>
      </c>
      <c r="D17081">
        <v>0</v>
      </c>
      <c r="E17081">
        <v>0</v>
      </c>
      <c r="F17081">
        <v>0</v>
      </c>
    </row>
    <row r="17082" spans="1:6" x14ac:dyDescent="0.25">
      <c r="A17082">
        <v>17081</v>
      </c>
      <c r="B17082" t="s">
        <v>0</v>
      </c>
      <c r="C17082">
        <v>148</v>
      </c>
      <c r="D17082">
        <v>3510</v>
      </c>
      <c r="E17082">
        <v>80749907</v>
      </c>
    </row>
    <row r="17083" spans="1:6" x14ac:dyDescent="0.25">
      <c r="A17083">
        <v>17082</v>
      </c>
      <c r="B17083">
        <v>10</v>
      </c>
      <c r="C17083">
        <v>1</v>
      </c>
      <c r="D17083">
        <v>0</v>
      </c>
      <c r="E17083">
        <v>0</v>
      </c>
      <c r="F17083">
        <v>5344</v>
      </c>
    </row>
    <row r="17084" spans="1:6" x14ac:dyDescent="0.25">
      <c r="A17084">
        <v>17083</v>
      </c>
      <c r="B17084" t="s">
        <v>0</v>
      </c>
      <c r="C17084">
        <v>149</v>
      </c>
      <c r="D17084">
        <v>3510</v>
      </c>
      <c r="E17084">
        <v>80750042</v>
      </c>
    </row>
    <row r="17085" spans="1:6" x14ac:dyDescent="0.25">
      <c r="A17085">
        <v>17084</v>
      </c>
      <c r="B17085">
        <v>41</v>
      </c>
      <c r="C17085">
        <v>0</v>
      </c>
      <c r="D17085">
        <v>0</v>
      </c>
      <c r="E17085">
        <v>0</v>
      </c>
      <c r="F17085">
        <v>1</v>
      </c>
    </row>
    <row r="17086" spans="1:6" x14ac:dyDescent="0.25">
      <c r="A17086">
        <v>17085</v>
      </c>
      <c r="B17086" t="s">
        <v>0</v>
      </c>
      <c r="C17086">
        <v>150</v>
      </c>
      <c r="D17086">
        <v>3510</v>
      </c>
      <c r="E17086">
        <v>80750177</v>
      </c>
    </row>
    <row r="17087" spans="1:6" x14ac:dyDescent="0.25">
      <c r="A17087">
        <v>17086</v>
      </c>
      <c r="B17087">
        <v>43</v>
      </c>
      <c r="C17087">
        <v>0</v>
      </c>
      <c r="D17087">
        <v>0</v>
      </c>
      <c r="E17087">
        <v>0</v>
      </c>
      <c r="F17087">
        <v>0</v>
      </c>
    </row>
    <row r="17088" spans="1:6" x14ac:dyDescent="0.25">
      <c r="A17088">
        <v>17087</v>
      </c>
      <c r="B17088" t="s">
        <v>0</v>
      </c>
      <c r="C17088">
        <v>151</v>
      </c>
      <c r="D17088">
        <v>3510</v>
      </c>
      <c r="E17088">
        <v>80750312</v>
      </c>
    </row>
    <row r="17089" spans="1:6" x14ac:dyDescent="0.25">
      <c r="A17089">
        <v>17088</v>
      </c>
      <c r="B17089">
        <v>45</v>
      </c>
      <c r="C17089">
        <v>0</v>
      </c>
      <c r="D17089">
        <v>0</v>
      </c>
      <c r="E17089">
        <v>0</v>
      </c>
      <c r="F17089">
        <v>529.95600000000002</v>
      </c>
    </row>
    <row r="17090" spans="1:6" x14ac:dyDescent="0.25">
      <c r="A17090">
        <v>17089</v>
      </c>
      <c r="B17090">
        <v>46</v>
      </c>
      <c r="C17090">
        <v>0</v>
      </c>
      <c r="D17090">
        <v>0</v>
      </c>
      <c r="E17090">
        <v>0</v>
      </c>
      <c r="F17090">
        <v>0</v>
      </c>
    </row>
    <row r="17091" spans="1:6" x14ac:dyDescent="0.25">
      <c r="A17091">
        <v>17090</v>
      </c>
      <c r="B17091">
        <v>2</v>
      </c>
      <c r="C17091">
        <v>0</v>
      </c>
      <c r="D17091">
        <v>0</v>
      </c>
      <c r="E17091">
        <v>0</v>
      </c>
      <c r="F17091">
        <v>245.482</v>
      </c>
    </row>
    <row r="17092" spans="1:6" x14ac:dyDescent="0.25">
      <c r="A17092">
        <v>17091</v>
      </c>
      <c r="B17092">
        <v>10</v>
      </c>
      <c r="C17092">
        <v>1</v>
      </c>
      <c r="D17092">
        <v>0</v>
      </c>
      <c r="E17092">
        <v>0</v>
      </c>
      <c r="F17092">
        <v>5343</v>
      </c>
    </row>
    <row r="17093" spans="1:6" x14ac:dyDescent="0.25">
      <c r="A17093">
        <v>17092</v>
      </c>
      <c r="B17093">
        <v>13</v>
      </c>
      <c r="C17093">
        <v>0</v>
      </c>
      <c r="D17093">
        <v>0</v>
      </c>
      <c r="E17093">
        <v>0</v>
      </c>
      <c r="F17093">
        <v>1616</v>
      </c>
    </row>
    <row r="17094" spans="1:6" x14ac:dyDescent="0.25">
      <c r="A17094">
        <v>17093</v>
      </c>
      <c r="B17094">
        <v>41</v>
      </c>
      <c r="C17094">
        <v>0</v>
      </c>
      <c r="D17094">
        <v>0</v>
      </c>
      <c r="E17094">
        <v>0</v>
      </c>
      <c r="F17094">
        <v>1</v>
      </c>
    </row>
    <row r="17095" spans="1:6" x14ac:dyDescent="0.25">
      <c r="A17095">
        <v>17094</v>
      </c>
      <c r="B17095">
        <v>42</v>
      </c>
      <c r="C17095">
        <v>0</v>
      </c>
      <c r="D17095">
        <v>0</v>
      </c>
      <c r="E17095">
        <v>0</v>
      </c>
      <c r="F17095">
        <v>0.2</v>
      </c>
    </row>
    <row r="17096" spans="1:6" x14ac:dyDescent="0.25">
      <c r="A17096">
        <v>17095</v>
      </c>
      <c r="B17096">
        <v>43</v>
      </c>
      <c r="C17096">
        <v>0</v>
      </c>
      <c r="D17096">
        <v>0</v>
      </c>
      <c r="E17096">
        <v>0</v>
      </c>
      <c r="F17096">
        <v>0</v>
      </c>
    </row>
    <row r="17097" spans="1:6" x14ac:dyDescent="0.25">
      <c r="A17097">
        <v>17096</v>
      </c>
      <c r="B17097">
        <v>44</v>
      </c>
      <c r="C17097">
        <v>0</v>
      </c>
      <c r="D17097">
        <v>0</v>
      </c>
      <c r="E17097">
        <v>0</v>
      </c>
      <c r="F17097">
        <v>54.488500000000002</v>
      </c>
    </row>
    <row r="17098" spans="1:6" x14ac:dyDescent="0.25">
      <c r="A17098">
        <v>17097</v>
      </c>
      <c r="B17098">
        <v>45</v>
      </c>
      <c r="C17098">
        <v>0</v>
      </c>
      <c r="D17098">
        <v>0</v>
      </c>
      <c r="E17098">
        <v>0</v>
      </c>
      <c r="F17098">
        <v>530.01599999999996</v>
      </c>
    </row>
    <row r="17099" spans="1:6" x14ac:dyDescent="0.25">
      <c r="A17099">
        <v>17098</v>
      </c>
      <c r="B17099">
        <v>46</v>
      </c>
      <c r="C17099">
        <v>0</v>
      </c>
      <c r="D17099">
        <v>0</v>
      </c>
      <c r="E17099">
        <v>0</v>
      </c>
      <c r="F17099">
        <v>0</v>
      </c>
    </row>
    <row r="17100" spans="1:6" x14ac:dyDescent="0.25">
      <c r="A17100">
        <v>17099</v>
      </c>
      <c r="B17100">
        <v>2</v>
      </c>
      <c r="C17100">
        <v>0</v>
      </c>
      <c r="D17100">
        <v>0</v>
      </c>
      <c r="E17100">
        <v>0</v>
      </c>
      <c r="F17100">
        <v>245.52</v>
      </c>
    </row>
    <row r="17101" spans="1:6" x14ac:dyDescent="0.25">
      <c r="A17101">
        <v>17100</v>
      </c>
      <c r="B17101">
        <v>10</v>
      </c>
      <c r="C17101">
        <v>1</v>
      </c>
      <c r="D17101">
        <v>0</v>
      </c>
      <c r="E17101">
        <v>0</v>
      </c>
      <c r="F17101">
        <v>5342</v>
      </c>
    </row>
    <row r="17102" spans="1:6" x14ac:dyDescent="0.25">
      <c r="A17102">
        <v>17101</v>
      </c>
      <c r="B17102">
        <v>13</v>
      </c>
      <c r="C17102">
        <v>0</v>
      </c>
      <c r="D17102">
        <v>0</v>
      </c>
      <c r="E17102">
        <v>0</v>
      </c>
      <c r="F17102">
        <v>1616</v>
      </c>
    </row>
    <row r="17103" spans="1:6" x14ac:dyDescent="0.25">
      <c r="A17103">
        <v>17102</v>
      </c>
      <c r="B17103">
        <v>41</v>
      </c>
      <c r="C17103">
        <v>0</v>
      </c>
      <c r="D17103">
        <v>0</v>
      </c>
      <c r="E17103">
        <v>0</v>
      </c>
      <c r="F17103">
        <v>1</v>
      </c>
    </row>
    <row r="17104" spans="1:6" x14ac:dyDescent="0.25">
      <c r="A17104">
        <v>17103</v>
      </c>
      <c r="B17104">
        <v>42</v>
      </c>
      <c r="C17104">
        <v>0</v>
      </c>
      <c r="D17104">
        <v>0</v>
      </c>
      <c r="E17104">
        <v>0</v>
      </c>
      <c r="F17104">
        <v>0.2</v>
      </c>
    </row>
    <row r="17105" spans="1:6" x14ac:dyDescent="0.25">
      <c r="A17105">
        <v>17104</v>
      </c>
      <c r="B17105">
        <v>43</v>
      </c>
      <c r="C17105">
        <v>0</v>
      </c>
      <c r="D17105">
        <v>0</v>
      </c>
      <c r="E17105">
        <v>0</v>
      </c>
      <c r="F17105">
        <v>0</v>
      </c>
    </row>
    <row r="17106" spans="1:6" x14ac:dyDescent="0.25">
      <c r="A17106">
        <v>17105</v>
      </c>
      <c r="B17106">
        <v>44</v>
      </c>
      <c r="C17106">
        <v>0</v>
      </c>
      <c r="D17106">
        <v>0</v>
      </c>
      <c r="E17106">
        <v>0</v>
      </c>
      <c r="F17106">
        <v>54.455599999999997</v>
      </c>
    </row>
    <row r="17107" spans="1:6" x14ac:dyDescent="0.25">
      <c r="A17107">
        <v>17106</v>
      </c>
      <c r="B17107">
        <v>45</v>
      </c>
      <c r="C17107">
        <v>0</v>
      </c>
      <c r="D17107">
        <v>0</v>
      </c>
      <c r="E17107">
        <v>0</v>
      </c>
      <c r="F17107">
        <v>530.08900000000006</v>
      </c>
    </row>
    <row r="17108" spans="1:6" x14ac:dyDescent="0.25">
      <c r="A17108">
        <v>17107</v>
      </c>
      <c r="B17108">
        <v>46</v>
      </c>
      <c r="C17108">
        <v>0</v>
      </c>
      <c r="D17108">
        <v>0</v>
      </c>
      <c r="E17108">
        <v>0</v>
      </c>
      <c r="F17108">
        <v>0</v>
      </c>
    </row>
    <row r="17109" spans="1:6" x14ac:dyDescent="0.25">
      <c r="A17109">
        <v>17108</v>
      </c>
      <c r="B17109">
        <v>2</v>
      </c>
      <c r="C17109">
        <v>0</v>
      </c>
      <c r="D17109">
        <v>0</v>
      </c>
      <c r="E17109">
        <v>0</v>
      </c>
      <c r="F17109">
        <v>245.55799999999999</v>
      </c>
    </row>
    <row r="17110" spans="1:6" x14ac:dyDescent="0.25">
      <c r="A17110">
        <v>17109</v>
      </c>
      <c r="B17110">
        <v>10</v>
      </c>
      <c r="C17110">
        <v>1</v>
      </c>
      <c r="D17110">
        <v>0</v>
      </c>
      <c r="E17110">
        <v>0</v>
      </c>
      <c r="F17110">
        <v>5342</v>
      </c>
    </row>
    <row r="17111" spans="1:6" x14ac:dyDescent="0.25">
      <c r="A17111">
        <v>17110</v>
      </c>
      <c r="B17111">
        <v>13</v>
      </c>
      <c r="C17111">
        <v>0</v>
      </c>
      <c r="D17111">
        <v>0</v>
      </c>
      <c r="E17111">
        <v>0</v>
      </c>
      <c r="F17111">
        <v>1616</v>
      </c>
    </row>
    <row r="17112" spans="1:6" x14ac:dyDescent="0.25">
      <c r="A17112">
        <v>17111</v>
      </c>
      <c r="B17112">
        <v>41</v>
      </c>
      <c r="C17112">
        <v>0</v>
      </c>
      <c r="D17112">
        <v>0</v>
      </c>
      <c r="E17112">
        <v>0</v>
      </c>
      <c r="F17112">
        <v>1</v>
      </c>
    </row>
    <row r="17113" spans="1:6" x14ac:dyDescent="0.25">
      <c r="A17113">
        <v>17112</v>
      </c>
      <c r="B17113">
        <v>42</v>
      </c>
      <c r="C17113">
        <v>0</v>
      </c>
      <c r="D17113">
        <v>0</v>
      </c>
      <c r="E17113">
        <v>0</v>
      </c>
      <c r="F17113">
        <v>0.2</v>
      </c>
    </row>
    <row r="17114" spans="1:6" x14ac:dyDescent="0.25">
      <c r="A17114">
        <v>17113</v>
      </c>
      <c r="B17114">
        <v>43</v>
      </c>
      <c r="C17114">
        <v>0</v>
      </c>
      <c r="D17114">
        <v>0</v>
      </c>
      <c r="E17114">
        <v>0</v>
      </c>
      <c r="F17114">
        <v>0</v>
      </c>
    </row>
    <row r="17115" spans="1:6" x14ac:dyDescent="0.25">
      <c r="A17115">
        <v>17114</v>
      </c>
      <c r="B17115">
        <v>44</v>
      </c>
      <c r="C17115">
        <v>0</v>
      </c>
      <c r="D17115">
        <v>0</v>
      </c>
      <c r="E17115">
        <v>0</v>
      </c>
      <c r="F17115">
        <v>54.423299999999998</v>
      </c>
    </row>
    <row r="17116" spans="1:6" x14ac:dyDescent="0.25">
      <c r="A17116">
        <v>17115</v>
      </c>
      <c r="B17116">
        <v>45</v>
      </c>
      <c r="C17116">
        <v>0</v>
      </c>
      <c r="D17116">
        <v>0</v>
      </c>
      <c r="E17116">
        <v>0</v>
      </c>
      <c r="F17116">
        <v>530.14800000000002</v>
      </c>
    </row>
    <row r="17117" spans="1:6" x14ac:dyDescent="0.25">
      <c r="A17117">
        <v>17116</v>
      </c>
      <c r="B17117" t="s">
        <v>0</v>
      </c>
      <c r="C17117">
        <v>165</v>
      </c>
      <c r="D17117">
        <v>3510</v>
      </c>
      <c r="E17117">
        <v>80752205</v>
      </c>
    </row>
    <row r="17118" spans="1:6" x14ac:dyDescent="0.25">
      <c r="A17118">
        <v>17117</v>
      </c>
      <c r="B17118">
        <v>46</v>
      </c>
      <c r="C17118">
        <v>0</v>
      </c>
      <c r="D17118">
        <v>0</v>
      </c>
      <c r="E17118">
        <v>0</v>
      </c>
      <c r="F17118">
        <v>0</v>
      </c>
    </row>
    <row r="17119" spans="1:6" x14ac:dyDescent="0.25">
      <c r="A17119">
        <v>17118</v>
      </c>
      <c r="B17119">
        <v>2</v>
      </c>
      <c r="C17119">
        <v>0</v>
      </c>
      <c r="D17119">
        <v>0</v>
      </c>
      <c r="E17119">
        <v>0</v>
      </c>
      <c r="F17119">
        <v>245.58199999999999</v>
      </c>
    </row>
    <row r="17120" spans="1:6" x14ac:dyDescent="0.25">
      <c r="A17120">
        <v>17119</v>
      </c>
      <c r="B17120" t="s">
        <v>0</v>
      </c>
      <c r="C17120">
        <v>166</v>
      </c>
      <c r="D17120">
        <v>3510</v>
      </c>
      <c r="E17120">
        <v>80752340</v>
      </c>
    </row>
    <row r="17121" spans="1:6" x14ac:dyDescent="0.25">
      <c r="A17121">
        <v>17120</v>
      </c>
      <c r="B17121">
        <v>10</v>
      </c>
      <c r="C17121">
        <v>1</v>
      </c>
      <c r="D17121">
        <v>0</v>
      </c>
      <c r="E17121">
        <v>0</v>
      </c>
      <c r="F17121">
        <v>5342</v>
      </c>
    </row>
    <row r="17122" spans="1:6" x14ac:dyDescent="0.25">
      <c r="A17122">
        <v>17121</v>
      </c>
      <c r="B17122">
        <v>13</v>
      </c>
      <c r="C17122">
        <v>0</v>
      </c>
      <c r="D17122">
        <v>0</v>
      </c>
      <c r="E17122">
        <v>0</v>
      </c>
      <c r="F17122">
        <v>1616</v>
      </c>
    </row>
    <row r="17123" spans="1:6" x14ac:dyDescent="0.25">
      <c r="A17123">
        <v>17122</v>
      </c>
      <c r="B17123" t="s">
        <v>0</v>
      </c>
      <c r="C17123">
        <v>167</v>
      </c>
      <c r="D17123">
        <v>3510</v>
      </c>
      <c r="E17123">
        <v>80752476</v>
      </c>
    </row>
    <row r="17124" spans="1:6" x14ac:dyDescent="0.25">
      <c r="A17124">
        <v>17123</v>
      </c>
      <c r="B17124">
        <v>41</v>
      </c>
      <c r="C17124">
        <v>0</v>
      </c>
      <c r="D17124">
        <v>0</v>
      </c>
      <c r="E17124">
        <v>0</v>
      </c>
      <c r="F17124">
        <v>1</v>
      </c>
    </row>
    <row r="17125" spans="1:6" x14ac:dyDescent="0.25">
      <c r="A17125">
        <v>17124</v>
      </c>
      <c r="B17125">
        <v>42</v>
      </c>
      <c r="C17125">
        <v>0</v>
      </c>
      <c r="D17125">
        <v>0</v>
      </c>
      <c r="E17125">
        <v>0</v>
      </c>
      <c r="F17125">
        <v>0.2</v>
      </c>
    </row>
    <row r="17126" spans="1:6" x14ac:dyDescent="0.25">
      <c r="A17126">
        <v>17125</v>
      </c>
      <c r="B17126" t="s">
        <v>0</v>
      </c>
      <c r="C17126">
        <v>168</v>
      </c>
      <c r="D17126">
        <v>3510</v>
      </c>
      <c r="E17126">
        <v>80752611</v>
      </c>
    </row>
    <row r="17127" spans="1:6" x14ac:dyDescent="0.25">
      <c r="A17127">
        <v>17126</v>
      </c>
      <c r="B17127">
        <v>43</v>
      </c>
      <c r="C17127">
        <v>0</v>
      </c>
      <c r="D17127">
        <v>0</v>
      </c>
      <c r="E17127">
        <v>0</v>
      </c>
      <c r="F17127">
        <v>0</v>
      </c>
    </row>
    <row r="17128" spans="1:6" x14ac:dyDescent="0.25">
      <c r="A17128">
        <v>17127</v>
      </c>
      <c r="B17128">
        <v>44</v>
      </c>
      <c r="C17128">
        <v>0</v>
      </c>
      <c r="D17128">
        <v>0</v>
      </c>
      <c r="E17128">
        <v>0</v>
      </c>
      <c r="F17128">
        <v>54.402700000000003</v>
      </c>
    </row>
    <row r="17129" spans="1:6" x14ac:dyDescent="0.25">
      <c r="A17129">
        <v>17128</v>
      </c>
      <c r="B17129" t="s">
        <v>0</v>
      </c>
      <c r="C17129">
        <v>169</v>
      </c>
      <c r="D17129">
        <v>3510</v>
      </c>
      <c r="E17129">
        <v>80752746</v>
      </c>
    </row>
    <row r="17130" spans="1:6" x14ac:dyDescent="0.25">
      <c r="A17130">
        <v>17129</v>
      </c>
      <c r="B17130">
        <v>45</v>
      </c>
      <c r="C17130">
        <v>0</v>
      </c>
      <c r="D17130">
        <v>0</v>
      </c>
      <c r="E17130">
        <v>0</v>
      </c>
      <c r="F17130">
        <v>530.22199999999998</v>
      </c>
    </row>
    <row r="17131" spans="1:6" x14ac:dyDescent="0.25">
      <c r="A17131">
        <v>17130</v>
      </c>
      <c r="B17131">
        <v>46</v>
      </c>
      <c r="C17131">
        <v>0</v>
      </c>
      <c r="D17131">
        <v>0</v>
      </c>
      <c r="E17131">
        <v>0</v>
      </c>
      <c r="F17131">
        <v>0</v>
      </c>
    </row>
    <row r="17132" spans="1:6" x14ac:dyDescent="0.25">
      <c r="A17132">
        <v>17131</v>
      </c>
      <c r="B17132" t="s">
        <v>0</v>
      </c>
      <c r="C17132">
        <v>170</v>
      </c>
      <c r="D17132">
        <v>3510</v>
      </c>
      <c r="E17132">
        <v>80752881</v>
      </c>
    </row>
    <row r="17133" spans="1:6" x14ac:dyDescent="0.25">
      <c r="A17133">
        <v>17132</v>
      </c>
      <c r="B17133">
        <v>2</v>
      </c>
      <c r="C17133">
        <v>0</v>
      </c>
      <c r="D17133">
        <v>0</v>
      </c>
      <c r="E17133">
        <v>0</v>
      </c>
      <c r="F17133">
        <v>245.60599999999999</v>
      </c>
    </row>
    <row r="17134" spans="1:6" x14ac:dyDescent="0.25">
      <c r="A17134">
        <v>17133</v>
      </c>
      <c r="B17134">
        <v>10</v>
      </c>
      <c r="C17134">
        <v>1</v>
      </c>
      <c r="D17134">
        <v>0</v>
      </c>
      <c r="E17134">
        <v>0</v>
      </c>
      <c r="F17134">
        <v>5341</v>
      </c>
    </row>
    <row r="17135" spans="1:6" x14ac:dyDescent="0.25">
      <c r="A17135">
        <v>17134</v>
      </c>
      <c r="B17135" t="s">
        <v>0</v>
      </c>
      <c r="C17135">
        <v>171</v>
      </c>
      <c r="D17135">
        <v>3510</v>
      </c>
      <c r="E17135">
        <v>80753017</v>
      </c>
    </row>
    <row r="17136" spans="1:6" x14ac:dyDescent="0.25">
      <c r="A17136">
        <v>17135</v>
      </c>
      <c r="B17136">
        <v>13</v>
      </c>
      <c r="C17136">
        <v>0</v>
      </c>
      <c r="D17136">
        <v>0</v>
      </c>
      <c r="E17136">
        <v>0</v>
      </c>
      <c r="F17136">
        <v>1616</v>
      </c>
    </row>
    <row r="17137" spans="1:6" x14ac:dyDescent="0.25">
      <c r="A17137">
        <v>17136</v>
      </c>
      <c r="B17137">
        <v>41</v>
      </c>
      <c r="C17137">
        <v>0</v>
      </c>
      <c r="D17137">
        <v>0</v>
      </c>
      <c r="E17137">
        <v>0</v>
      </c>
      <c r="F17137">
        <v>1</v>
      </c>
    </row>
    <row r="17138" spans="1:6" x14ac:dyDescent="0.25">
      <c r="A17138">
        <v>17137</v>
      </c>
      <c r="B17138" t="s">
        <v>0</v>
      </c>
      <c r="C17138">
        <v>172</v>
      </c>
      <c r="D17138">
        <v>3510</v>
      </c>
      <c r="E17138">
        <v>80753152</v>
      </c>
    </row>
    <row r="17139" spans="1:6" x14ac:dyDescent="0.25">
      <c r="A17139">
        <v>17138</v>
      </c>
      <c r="B17139">
        <v>42</v>
      </c>
      <c r="C17139">
        <v>0</v>
      </c>
      <c r="D17139">
        <v>0</v>
      </c>
      <c r="E17139">
        <v>0</v>
      </c>
      <c r="F17139">
        <v>0.2</v>
      </c>
    </row>
    <row r="17140" spans="1:6" x14ac:dyDescent="0.25">
      <c r="A17140">
        <v>17139</v>
      </c>
      <c r="B17140">
        <v>43</v>
      </c>
      <c r="C17140">
        <v>0</v>
      </c>
      <c r="D17140">
        <v>0</v>
      </c>
      <c r="E17140">
        <v>0</v>
      </c>
      <c r="F17140">
        <v>0</v>
      </c>
    </row>
    <row r="17141" spans="1:6" x14ac:dyDescent="0.25">
      <c r="A17141">
        <v>17140</v>
      </c>
      <c r="B17141" t="s">
        <v>0</v>
      </c>
      <c r="C17141">
        <v>173</v>
      </c>
      <c r="D17141">
        <v>3510</v>
      </c>
      <c r="E17141">
        <v>80753287</v>
      </c>
    </row>
    <row r="17142" spans="1:6" x14ac:dyDescent="0.25">
      <c r="A17142">
        <v>17141</v>
      </c>
      <c r="B17142">
        <v>44</v>
      </c>
      <c r="C17142">
        <v>0</v>
      </c>
      <c r="D17142">
        <v>0</v>
      </c>
      <c r="E17142">
        <v>0</v>
      </c>
      <c r="F17142">
        <v>54.382599999999996</v>
      </c>
    </row>
    <row r="17143" spans="1:6" x14ac:dyDescent="0.25">
      <c r="A17143">
        <v>17142</v>
      </c>
      <c r="B17143">
        <v>45</v>
      </c>
      <c r="C17143">
        <v>0</v>
      </c>
      <c r="D17143">
        <v>0</v>
      </c>
      <c r="E17143">
        <v>0</v>
      </c>
      <c r="F17143">
        <v>530.28099999999995</v>
      </c>
    </row>
    <row r="17144" spans="1:6" x14ac:dyDescent="0.25">
      <c r="A17144">
        <v>17143</v>
      </c>
      <c r="B17144" t="s">
        <v>0</v>
      </c>
      <c r="C17144">
        <v>174</v>
      </c>
      <c r="D17144">
        <v>3510</v>
      </c>
      <c r="E17144">
        <v>80753422</v>
      </c>
    </row>
    <row r="17145" spans="1:6" x14ac:dyDescent="0.25">
      <c r="A17145">
        <v>17144</v>
      </c>
      <c r="B17145">
        <v>46</v>
      </c>
      <c r="C17145">
        <v>0</v>
      </c>
      <c r="D17145">
        <v>0</v>
      </c>
      <c r="E17145">
        <v>0</v>
      </c>
      <c r="F17145">
        <v>0</v>
      </c>
    </row>
    <row r="17146" spans="1:6" x14ac:dyDescent="0.25">
      <c r="A17146">
        <v>17145</v>
      </c>
      <c r="B17146">
        <v>2</v>
      </c>
      <c r="C17146">
        <v>0</v>
      </c>
      <c r="D17146">
        <v>0</v>
      </c>
      <c r="E17146">
        <v>0</v>
      </c>
      <c r="F17146">
        <v>245.62100000000001</v>
      </c>
    </row>
    <row r="17147" spans="1:6" x14ac:dyDescent="0.25">
      <c r="A17147">
        <v>17146</v>
      </c>
      <c r="B17147" t="s">
        <v>0</v>
      </c>
      <c r="C17147">
        <v>175</v>
      </c>
      <c r="D17147">
        <v>3510</v>
      </c>
      <c r="E17147">
        <v>80753557</v>
      </c>
    </row>
    <row r="17148" spans="1:6" x14ac:dyDescent="0.25">
      <c r="A17148">
        <v>17147</v>
      </c>
      <c r="B17148">
        <v>13</v>
      </c>
      <c r="C17148">
        <v>0</v>
      </c>
      <c r="D17148">
        <v>0</v>
      </c>
      <c r="E17148">
        <v>0</v>
      </c>
      <c r="F17148">
        <v>1616</v>
      </c>
    </row>
    <row r="17149" spans="1:6" x14ac:dyDescent="0.25">
      <c r="A17149">
        <v>17148</v>
      </c>
      <c r="B17149" t="s">
        <v>0</v>
      </c>
      <c r="C17149">
        <v>176</v>
      </c>
      <c r="D17149">
        <v>3510</v>
      </c>
      <c r="E17149">
        <v>80753692</v>
      </c>
    </row>
    <row r="17150" spans="1:6" x14ac:dyDescent="0.25">
      <c r="A17150">
        <v>17149</v>
      </c>
      <c r="B17150">
        <v>42</v>
      </c>
      <c r="C17150">
        <v>0</v>
      </c>
      <c r="D17150">
        <v>0</v>
      </c>
      <c r="E17150">
        <v>0</v>
      </c>
      <c r="F17150">
        <v>0.2</v>
      </c>
    </row>
    <row r="17151" spans="1:6" x14ac:dyDescent="0.25">
      <c r="A17151">
        <v>17150</v>
      </c>
      <c r="B17151" t="s">
        <v>0</v>
      </c>
      <c r="C17151">
        <v>177</v>
      </c>
      <c r="D17151">
        <v>3510</v>
      </c>
      <c r="E17151">
        <v>80753827</v>
      </c>
    </row>
    <row r="17152" spans="1:6" x14ac:dyDescent="0.25">
      <c r="A17152">
        <v>17151</v>
      </c>
      <c r="B17152">
        <v>44</v>
      </c>
      <c r="C17152">
        <v>0</v>
      </c>
      <c r="D17152">
        <v>0</v>
      </c>
      <c r="E17152">
        <v>0</v>
      </c>
      <c r="F17152">
        <v>54.369599999999998</v>
      </c>
    </row>
    <row r="17153" spans="1:6" x14ac:dyDescent="0.25">
      <c r="A17153">
        <v>17152</v>
      </c>
      <c r="B17153" t="s">
        <v>0</v>
      </c>
      <c r="C17153">
        <v>178</v>
      </c>
      <c r="D17153">
        <v>3510</v>
      </c>
      <c r="E17153">
        <v>80753963</v>
      </c>
    </row>
    <row r="17154" spans="1:6" x14ac:dyDescent="0.25">
      <c r="A17154">
        <v>17153</v>
      </c>
      <c r="B17154">
        <v>46</v>
      </c>
      <c r="C17154">
        <v>0</v>
      </c>
      <c r="D17154">
        <v>0</v>
      </c>
      <c r="E17154">
        <v>0</v>
      </c>
      <c r="F17154">
        <v>0</v>
      </c>
    </row>
    <row r="17155" spans="1:6" x14ac:dyDescent="0.25">
      <c r="A17155">
        <v>17154</v>
      </c>
      <c r="B17155">
        <v>2</v>
      </c>
      <c r="C17155">
        <v>0</v>
      </c>
      <c r="D17155">
        <v>0</v>
      </c>
      <c r="E17155">
        <v>0</v>
      </c>
      <c r="F17155">
        <v>245.63300000000001</v>
      </c>
    </row>
    <row r="17156" spans="1:6" x14ac:dyDescent="0.25">
      <c r="A17156">
        <v>17155</v>
      </c>
      <c r="B17156">
        <v>10</v>
      </c>
      <c r="C17156">
        <v>1</v>
      </c>
      <c r="D17156">
        <v>0</v>
      </c>
      <c r="E17156">
        <v>0</v>
      </c>
      <c r="F17156">
        <v>5341</v>
      </c>
    </row>
    <row r="17157" spans="1:6" x14ac:dyDescent="0.25">
      <c r="A17157">
        <v>17156</v>
      </c>
      <c r="B17157" t="s">
        <v>0</v>
      </c>
      <c r="C17157">
        <v>0</v>
      </c>
      <c r="D17157">
        <v>3511</v>
      </c>
      <c r="E17157">
        <v>80754234</v>
      </c>
    </row>
    <row r="17158" spans="1:6" x14ac:dyDescent="0.25">
      <c r="A17158">
        <v>17157</v>
      </c>
      <c r="B17158">
        <v>41</v>
      </c>
      <c r="C17158">
        <v>0</v>
      </c>
      <c r="D17158">
        <v>0</v>
      </c>
      <c r="E17158">
        <v>0</v>
      </c>
      <c r="F17158">
        <v>1</v>
      </c>
    </row>
    <row r="17159" spans="1:6" x14ac:dyDescent="0.25">
      <c r="A17159">
        <v>17158</v>
      </c>
      <c r="B17159" t="s">
        <v>0</v>
      </c>
      <c r="C17159">
        <v>1</v>
      </c>
      <c r="D17159">
        <v>3511</v>
      </c>
      <c r="E17159">
        <v>80754370</v>
      </c>
    </row>
    <row r="17160" spans="1:6" x14ac:dyDescent="0.25">
      <c r="A17160">
        <v>17159</v>
      </c>
      <c r="B17160">
        <v>43</v>
      </c>
      <c r="C17160">
        <v>0</v>
      </c>
      <c r="D17160">
        <v>0</v>
      </c>
      <c r="E17160">
        <v>0</v>
      </c>
      <c r="F17160">
        <v>0</v>
      </c>
    </row>
    <row r="17161" spans="1:6" x14ac:dyDescent="0.25">
      <c r="A17161">
        <v>17160</v>
      </c>
      <c r="B17161" t="s">
        <v>0</v>
      </c>
      <c r="C17161">
        <v>2</v>
      </c>
      <c r="D17161">
        <v>3511</v>
      </c>
      <c r="E17161">
        <v>80754506</v>
      </c>
    </row>
    <row r="17162" spans="1:6" x14ac:dyDescent="0.25">
      <c r="A17162">
        <v>17161</v>
      </c>
      <c r="B17162">
        <v>45</v>
      </c>
      <c r="C17162">
        <v>0</v>
      </c>
      <c r="D17162">
        <v>0</v>
      </c>
      <c r="E17162">
        <v>0</v>
      </c>
      <c r="F17162">
        <v>530.38400000000001</v>
      </c>
    </row>
    <row r="17163" spans="1:6" x14ac:dyDescent="0.25">
      <c r="A17163">
        <v>17162</v>
      </c>
      <c r="B17163" t="s">
        <v>0</v>
      </c>
      <c r="C17163">
        <v>3</v>
      </c>
      <c r="D17163">
        <v>3511</v>
      </c>
      <c r="E17163">
        <v>80754641</v>
      </c>
    </row>
    <row r="17164" spans="1:6" x14ac:dyDescent="0.25">
      <c r="A17164">
        <v>17163</v>
      </c>
      <c r="B17164">
        <v>2</v>
      </c>
      <c r="C17164">
        <v>0</v>
      </c>
      <c r="D17164">
        <v>0</v>
      </c>
      <c r="E17164">
        <v>0</v>
      </c>
      <c r="F17164">
        <v>245.64099999999999</v>
      </c>
    </row>
    <row r="17165" spans="1:6" x14ac:dyDescent="0.25">
      <c r="A17165">
        <v>17164</v>
      </c>
      <c r="B17165" t="s">
        <v>0</v>
      </c>
      <c r="C17165">
        <v>4</v>
      </c>
      <c r="D17165">
        <v>3511</v>
      </c>
      <c r="E17165">
        <v>80754776</v>
      </c>
    </row>
    <row r="17166" spans="1:6" x14ac:dyDescent="0.25">
      <c r="A17166">
        <v>17165</v>
      </c>
      <c r="B17166">
        <v>10</v>
      </c>
      <c r="C17166">
        <v>1</v>
      </c>
      <c r="D17166">
        <v>0</v>
      </c>
      <c r="E17166">
        <v>0</v>
      </c>
      <c r="F17166">
        <v>5341</v>
      </c>
    </row>
    <row r="17167" spans="1:6" x14ac:dyDescent="0.25">
      <c r="A17167">
        <v>17166</v>
      </c>
      <c r="B17167">
        <v>13</v>
      </c>
      <c r="C17167">
        <v>0</v>
      </c>
      <c r="D17167">
        <v>0</v>
      </c>
      <c r="E17167">
        <v>0</v>
      </c>
      <c r="F17167">
        <v>1616</v>
      </c>
    </row>
    <row r="17168" spans="1:6" x14ac:dyDescent="0.25">
      <c r="A17168">
        <v>17167</v>
      </c>
      <c r="B17168">
        <v>41</v>
      </c>
      <c r="C17168">
        <v>0</v>
      </c>
      <c r="D17168">
        <v>0</v>
      </c>
      <c r="E17168">
        <v>0</v>
      </c>
      <c r="F17168">
        <v>1</v>
      </c>
    </row>
    <row r="17169" spans="1:6" x14ac:dyDescent="0.25">
      <c r="A17169">
        <v>17168</v>
      </c>
      <c r="B17169">
        <v>42</v>
      </c>
      <c r="C17169">
        <v>0</v>
      </c>
      <c r="D17169">
        <v>0</v>
      </c>
      <c r="E17169">
        <v>0</v>
      </c>
      <c r="F17169">
        <v>0.2</v>
      </c>
    </row>
    <row r="17170" spans="1:6" x14ac:dyDescent="0.25">
      <c r="A17170">
        <v>17169</v>
      </c>
      <c r="B17170">
        <v>43</v>
      </c>
      <c r="C17170">
        <v>0</v>
      </c>
      <c r="D17170">
        <v>0</v>
      </c>
      <c r="E17170">
        <v>0</v>
      </c>
      <c r="F17170">
        <v>0</v>
      </c>
    </row>
    <row r="17171" spans="1:6" x14ac:dyDescent="0.25">
      <c r="A17171">
        <v>17170</v>
      </c>
      <c r="B17171">
        <v>44</v>
      </c>
      <c r="C17171">
        <v>0</v>
      </c>
      <c r="D17171">
        <v>0</v>
      </c>
      <c r="E17171">
        <v>0</v>
      </c>
      <c r="F17171">
        <v>54.3551</v>
      </c>
    </row>
    <row r="17172" spans="1:6" x14ac:dyDescent="0.25">
      <c r="A17172">
        <v>17171</v>
      </c>
      <c r="B17172">
        <v>45</v>
      </c>
      <c r="C17172">
        <v>0</v>
      </c>
      <c r="D17172">
        <v>0</v>
      </c>
      <c r="E17172">
        <v>0</v>
      </c>
      <c r="F17172">
        <v>530.45799999999997</v>
      </c>
    </row>
    <row r="17173" spans="1:6" x14ac:dyDescent="0.25">
      <c r="A17173">
        <v>17172</v>
      </c>
      <c r="B17173">
        <v>46</v>
      </c>
      <c r="C17173">
        <v>0</v>
      </c>
      <c r="D17173">
        <v>0</v>
      </c>
      <c r="E17173">
        <v>0</v>
      </c>
      <c r="F17173">
        <v>0</v>
      </c>
    </row>
    <row r="17174" spans="1:6" x14ac:dyDescent="0.25">
      <c r="A17174">
        <v>17173</v>
      </c>
      <c r="B17174">
        <v>2</v>
      </c>
      <c r="C17174">
        <v>0</v>
      </c>
      <c r="D17174">
        <v>0</v>
      </c>
      <c r="E17174">
        <v>0</v>
      </c>
      <c r="F17174">
        <v>245.65100000000001</v>
      </c>
    </row>
    <row r="17175" spans="1:6" x14ac:dyDescent="0.25">
      <c r="A17175">
        <v>17174</v>
      </c>
      <c r="B17175">
        <v>10</v>
      </c>
      <c r="C17175">
        <v>1</v>
      </c>
      <c r="D17175">
        <v>0</v>
      </c>
      <c r="E17175">
        <v>0</v>
      </c>
      <c r="F17175">
        <v>5341</v>
      </c>
    </row>
    <row r="17176" spans="1:6" x14ac:dyDescent="0.25">
      <c r="A17176">
        <v>17175</v>
      </c>
      <c r="B17176">
        <v>13</v>
      </c>
      <c r="C17176">
        <v>0</v>
      </c>
      <c r="D17176">
        <v>0</v>
      </c>
      <c r="E17176">
        <v>0</v>
      </c>
      <c r="F17176">
        <v>1616</v>
      </c>
    </row>
    <row r="17177" spans="1:6" x14ac:dyDescent="0.25">
      <c r="A17177">
        <v>17176</v>
      </c>
      <c r="B17177">
        <v>41</v>
      </c>
      <c r="C17177">
        <v>0</v>
      </c>
      <c r="D17177">
        <v>0</v>
      </c>
      <c r="E17177">
        <v>0</v>
      </c>
      <c r="F17177">
        <v>1</v>
      </c>
    </row>
    <row r="17178" spans="1:6" x14ac:dyDescent="0.25">
      <c r="A17178">
        <v>17177</v>
      </c>
      <c r="B17178">
        <v>42</v>
      </c>
      <c r="C17178">
        <v>0</v>
      </c>
      <c r="D17178">
        <v>0</v>
      </c>
      <c r="E17178">
        <v>0</v>
      </c>
      <c r="F17178">
        <v>0.2</v>
      </c>
    </row>
    <row r="17179" spans="1:6" x14ac:dyDescent="0.25">
      <c r="A17179">
        <v>17178</v>
      </c>
      <c r="B17179">
        <v>43</v>
      </c>
      <c r="C17179">
        <v>0</v>
      </c>
      <c r="D17179">
        <v>0</v>
      </c>
      <c r="E17179">
        <v>0</v>
      </c>
      <c r="F17179">
        <v>0</v>
      </c>
    </row>
    <row r="17180" spans="1:6" x14ac:dyDescent="0.25">
      <c r="A17180">
        <v>17179</v>
      </c>
      <c r="B17180">
        <v>44</v>
      </c>
      <c r="C17180">
        <v>0</v>
      </c>
      <c r="D17180">
        <v>0</v>
      </c>
      <c r="E17180">
        <v>0</v>
      </c>
      <c r="F17180">
        <v>54.345500000000001</v>
      </c>
    </row>
    <row r="17181" spans="1:6" x14ac:dyDescent="0.25">
      <c r="A17181">
        <v>17180</v>
      </c>
      <c r="B17181">
        <v>45</v>
      </c>
      <c r="C17181">
        <v>0</v>
      </c>
      <c r="D17181">
        <v>0</v>
      </c>
      <c r="E17181">
        <v>0</v>
      </c>
      <c r="F17181">
        <v>530.51700000000005</v>
      </c>
    </row>
    <row r="17182" spans="1:6" x14ac:dyDescent="0.25">
      <c r="A17182">
        <v>17181</v>
      </c>
      <c r="B17182">
        <v>46</v>
      </c>
      <c r="C17182">
        <v>0</v>
      </c>
      <c r="D17182">
        <v>0</v>
      </c>
      <c r="E17182">
        <v>0</v>
      </c>
      <c r="F17182">
        <v>0</v>
      </c>
    </row>
    <row r="17183" spans="1:6" x14ac:dyDescent="0.25">
      <c r="A17183">
        <v>17182</v>
      </c>
      <c r="B17183">
        <v>2</v>
      </c>
      <c r="C17183">
        <v>0</v>
      </c>
      <c r="D17183">
        <v>0</v>
      </c>
      <c r="E17183">
        <v>0</v>
      </c>
      <c r="F17183">
        <v>245.65799999999999</v>
      </c>
    </row>
    <row r="17184" spans="1:6" x14ac:dyDescent="0.25">
      <c r="A17184">
        <v>17183</v>
      </c>
      <c r="B17184">
        <v>10</v>
      </c>
      <c r="C17184">
        <v>1</v>
      </c>
      <c r="D17184">
        <v>0</v>
      </c>
      <c r="E17184">
        <v>0</v>
      </c>
      <c r="F17184">
        <v>5342</v>
      </c>
    </row>
    <row r="17185" spans="1:6" x14ac:dyDescent="0.25">
      <c r="A17185">
        <v>17184</v>
      </c>
      <c r="B17185">
        <v>13</v>
      </c>
      <c r="C17185">
        <v>0</v>
      </c>
      <c r="D17185">
        <v>0</v>
      </c>
      <c r="E17185">
        <v>0</v>
      </c>
      <c r="F17185">
        <v>1616</v>
      </c>
    </row>
    <row r="17186" spans="1:6" x14ac:dyDescent="0.25">
      <c r="A17186">
        <v>17185</v>
      </c>
      <c r="B17186">
        <v>41</v>
      </c>
      <c r="C17186">
        <v>0</v>
      </c>
      <c r="D17186">
        <v>0</v>
      </c>
      <c r="E17186">
        <v>0</v>
      </c>
      <c r="F17186">
        <v>1</v>
      </c>
    </row>
    <row r="17187" spans="1:6" x14ac:dyDescent="0.25">
      <c r="A17187">
        <v>17186</v>
      </c>
      <c r="B17187">
        <v>42</v>
      </c>
      <c r="C17187">
        <v>0</v>
      </c>
      <c r="D17187">
        <v>0</v>
      </c>
      <c r="E17187">
        <v>0</v>
      </c>
      <c r="F17187">
        <v>0.2</v>
      </c>
    </row>
    <row r="17188" spans="1:6" x14ac:dyDescent="0.25">
      <c r="A17188">
        <v>17187</v>
      </c>
      <c r="B17188">
        <v>43</v>
      </c>
      <c r="C17188">
        <v>0</v>
      </c>
      <c r="D17188">
        <v>0</v>
      </c>
      <c r="E17188">
        <v>0</v>
      </c>
      <c r="F17188">
        <v>0</v>
      </c>
    </row>
    <row r="17189" spans="1:6" x14ac:dyDescent="0.25">
      <c r="A17189">
        <v>17188</v>
      </c>
      <c r="B17189">
        <v>44</v>
      </c>
      <c r="C17189">
        <v>0</v>
      </c>
      <c r="D17189">
        <v>0</v>
      </c>
      <c r="E17189">
        <v>0</v>
      </c>
      <c r="F17189">
        <v>54.337800000000001</v>
      </c>
    </row>
    <row r="17190" spans="1:6" x14ac:dyDescent="0.25">
      <c r="A17190">
        <v>17189</v>
      </c>
      <c r="B17190">
        <v>45</v>
      </c>
      <c r="C17190">
        <v>0</v>
      </c>
      <c r="D17190">
        <v>0</v>
      </c>
      <c r="E17190">
        <v>0</v>
      </c>
      <c r="F17190">
        <v>530.59100000000001</v>
      </c>
    </row>
    <row r="17191" spans="1:6" x14ac:dyDescent="0.25">
      <c r="A17191">
        <v>17190</v>
      </c>
      <c r="B17191">
        <v>46</v>
      </c>
      <c r="C17191">
        <v>0</v>
      </c>
      <c r="D17191">
        <v>0</v>
      </c>
      <c r="E17191">
        <v>0</v>
      </c>
      <c r="F17191">
        <v>0</v>
      </c>
    </row>
    <row r="17192" spans="1:6" x14ac:dyDescent="0.25">
      <c r="A17192">
        <v>17191</v>
      </c>
      <c r="B17192" t="s">
        <v>0</v>
      </c>
      <c r="C17192">
        <v>17</v>
      </c>
      <c r="D17192">
        <v>3511</v>
      </c>
      <c r="E17192">
        <v>80756533</v>
      </c>
    </row>
    <row r="17193" spans="1:6" x14ac:dyDescent="0.25">
      <c r="A17193">
        <v>17192</v>
      </c>
      <c r="B17193">
        <v>2</v>
      </c>
      <c r="C17193">
        <v>0</v>
      </c>
      <c r="D17193">
        <v>0</v>
      </c>
      <c r="E17193">
        <v>0</v>
      </c>
      <c r="F17193">
        <v>245.66499999999999</v>
      </c>
    </row>
    <row r="17194" spans="1:6" x14ac:dyDescent="0.25">
      <c r="A17194">
        <v>17193</v>
      </c>
      <c r="B17194">
        <v>10</v>
      </c>
      <c r="C17194">
        <v>1</v>
      </c>
      <c r="D17194">
        <v>0</v>
      </c>
      <c r="E17194">
        <v>0</v>
      </c>
      <c r="F17194">
        <v>5342</v>
      </c>
    </row>
    <row r="17195" spans="1:6" x14ac:dyDescent="0.25">
      <c r="A17195">
        <v>17194</v>
      </c>
      <c r="B17195" t="s">
        <v>0</v>
      </c>
      <c r="C17195">
        <v>18</v>
      </c>
      <c r="D17195">
        <v>3511</v>
      </c>
      <c r="E17195">
        <v>80756668</v>
      </c>
    </row>
    <row r="17196" spans="1:6" x14ac:dyDescent="0.25">
      <c r="A17196">
        <v>17195</v>
      </c>
      <c r="B17196">
        <v>13</v>
      </c>
      <c r="C17196">
        <v>0</v>
      </c>
      <c r="D17196">
        <v>0</v>
      </c>
      <c r="E17196">
        <v>0</v>
      </c>
      <c r="F17196">
        <v>1616</v>
      </c>
    </row>
    <row r="17197" spans="1:6" x14ac:dyDescent="0.25">
      <c r="A17197">
        <v>17196</v>
      </c>
      <c r="B17197">
        <v>41</v>
      </c>
      <c r="C17197">
        <v>0</v>
      </c>
      <c r="D17197">
        <v>0</v>
      </c>
      <c r="E17197">
        <v>0</v>
      </c>
      <c r="F17197">
        <v>1</v>
      </c>
    </row>
    <row r="17198" spans="1:6" x14ac:dyDescent="0.25">
      <c r="A17198">
        <v>17197</v>
      </c>
      <c r="B17198" t="s">
        <v>0</v>
      </c>
      <c r="C17198">
        <v>19</v>
      </c>
      <c r="D17198">
        <v>3511</v>
      </c>
      <c r="E17198">
        <v>80756803</v>
      </c>
    </row>
    <row r="17199" spans="1:6" x14ac:dyDescent="0.25">
      <c r="A17199">
        <v>17198</v>
      </c>
      <c r="B17199">
        <v>42</v>
      </c>
      <c r="C17199">
        <v>0</v>
      </c>
      <c r="D17199">
        <v>0</v>
      </c>
      <c r="E17199">
        <v>0</v>
      </c>
      <c r="F17199">
        <v>0.2</v>
      </c>
    </row>
    <row r="17200" spans="1:6" x14ac:dyDescent="0.25">
      <c r="A17200">
        <v>17199</v>
      </c>
      <c r="B17200">
        <v>43</v>
      </c>
      <c r="C17200">
        <v>0</v>
      </c>
      <c r="D17200">
        <v>0</v>
      </c>
      <c r="E17200">
        <v>0</v>
      </c>
      <c r="F17200">
        <v>0</v>
      </c>
    </row>
    <row r="17201" spans="1:6" x14ac:dyDescent="0.25">
      <c r="A17201">
        <v>17200</v>
      </c>
      <c r="B17201" t="s">
        <v>0</v>
      </c>
      <c r="C17201">
        <v>20</v>
      </c>
      <c r="D17201">
        <v>3511</v>
      </c>
      <c r="E17201">
        <v>80756938</v>
      </c>
    </row>
    <row r="17202" spans="1:6" x14ac:dyDescent="0.25">
      <c r="A17202">
        <v>17201</v>
      </c>
      <c r="B17202">
        <v>44</v>
      </c>
      <c r="C17202">
        <v>0</v>
      </c>
      <c r="D17202">
        <v>0</v>
      </c>
      <c r="E17202">
        <v>0</v>
      </c>
      <c r="F17202">
        <v>54.332299999999996</v>
      </c>
    </row>
    <row r="17203" spans="1:6" x14ac:dyDescent="0.25">
      <c r="A17203">
        <v>17202</v>
      </c>
      <c r="B17203">
        <v>45</v>
      </c>
      <c r="C17203">
        <v>0</v>
      </c>
      <c r="D17203">
        <v>0</v>
      </c>
      <c r="E17203">
        <v>0</v>
      </c>
      <c r="F17203">
        <v>530.65</v>
      </c>
    </row>
    <row r="17204" spans="1:6" x14ac:dyDescent="0.25">
      <c r="A17204">
        <v>17203</v>
      </c>
      <c r="B17204" t="s">
        <v>0</v>
      </c>
      <c r="C17204">
        <v>21</v>
      </c>
      <c r="D17204">
        <v>3511</v>
      </c>
      <c r="E17204">
        <v>80757073</v>
      </c>
    </row>
    <row r="17205" spans="1:6" x14ac:dyDescent="0.25">
      <c r="A17205">
        <v>17204</v>
      </c>
      <c r="B17205">
        <v>46</v>
      </c>
      <c r="C17205">
        <v>0</v>
      </c>
      <c r="D17205">
        <v>0</v>
      </c>
      <c r="E17205">
        <v>0</v>
      </c>
      <c r="F17205">
        <v>0</v>
      </c>
    </row>
    <row r="17206" spans="1:6" x14ac:dyDescent="0.25">
      <c r="A17206">
        <v>17205</v>
      </c>
      <c r="B17206">
        <v>2</v>
      </c>
      <c r="C17206">
        <v>0</v>
      </c>
      <c r="D17206">
        <v>0</v>
      </c>
      <c r="E17206">
        <v>0</v>
      </c>
      <c r="F17206">
        <v>245.66900000000001</v>
      </c>
    </row>
    <row r="17207" spans="1:6" x14ac:dyDescent="0.25">
      <c r="A17207">
        <v>17206</v>
      </c>
      <c r="B17207" t="s">
        <v>0</v>
      </c>
      <c r="C17207">
        <v>22</v>
      </c>
      <c r="D17207">
        <v>3511</v>
      </c>
      <c r="E17207">
        <v>80757208</v>
      </c>
    </row>
    <row r="17208" spans="1:6" x14ac:dyDescent="0.25">
      <c r="A17208">
        <v>17207</v>
      </c>
      <c r="B17208">
        <v>10</v>
      </c>
      <c r="C17208">
        <v>1</v>
      </c>
      <c r="D17208">
        <v>0</v>
      </c>
      <c r="E17208">
        <v>0</v>
      </c>
      <c r="F17208">
        <v>5342</v>
      </c>
    </row>
    <row r="17209" spans="1:6" x14ac:dyDescent="0.25">
      <c r="A17209">
        <v>17208</v>
      </c>
      <c r="B17209">
        <v>13</v>
      </c>
      <c r="C17209">
        <v>0</v>
      </c>
      <c r="D17209">
        <v>0</v>
      </c>
      <c r="E17209">
        <v>0</v>
      </c>
      <c r="F17209">
        <v>1616</v>
      </c>
    </row>
    <row r="17210" spans="1:6" x14ac:dyDescent="0.25">
      <c r="A17210">
        <v>17209</v>
      </c>
      <c r="B17210" t="s">
        <v>0</v>
      </c>
      <c r="C17210">
        <v>23</v>
      </c>
      <c r="D17210">
        <v>3511</v>
      </c>
      <c r="E17210">
        <v>80757343</v>
      </c>
    </row>
    <row r="17211" spans="1:6" x14ac:dyDescent="0.25">
      <c r="A17211">
        <v>17210</v>
      </c>
      <c r="B17211">
        <v>41</v>
      </c>
      <c r="C17211">
        <v>0</v>
      </c>
      <c r="D17211">
        <v>0</v>
      </c>
      <c r="E17211">
        <v>0</v>
      </c>
      <c r="F17211">
        <v>1</v>
      </c>
    </row>
    <row r="17212" spans="1:6" x14ac:dyDescent="0.25">
      <c r="A17212">
        <v>17211</v>
      </c>
      <c r="B17212">
        <v>42</v>
      </c>
      <c r="C17212">
        <v>0</v>
      </c>
      <c r="D17212">
        <v>0</v>
      </c>
      <c r="E17212">
        <v>0</v>
      </c>
      <c r="F17212">
        <v>0.2</v>
      </c>
    </row>
    <row r="17213" spans="1:6" x14ac:dyDescent="0.25">
      <c r="A17213">
        <v>17212</v>
      </c>
      <c r="B17213" t="s">
        <v>0</v>
      </c>
      <c r="C17213">
        <v>24</v>
      </c>
      <c r="D17213">
        <v>3511</v>
      </c>
      <c r="E17213">
        <v>80757479</v>
      </c>
    </row>
    <row r="17214" spans="1:6" x14ac:dyDescent="0.25">
      <c r="A17214">
        <v>17213</v>
      </c>
      <c r="B17214">
        <v>43</v>
      </c>
      <c r="C17214">
        <v>0</v>
      </c>
      <c r="D17214">
        <v>0</v>
      </c>
      <c r="E17214">
        <v>0</v>
      </c>
      <c r="F17214">
        <v>0</v>
      </c>
    </row>
    <row r="17215" spans="1:6" x14ac:dyDescent="0.25">
      <c r="A17215">
        <v>17214</v>
      </c>
      <c r="B17215">
        <v>44</v>
      </c>
      <c r="C17215">
        <v>0</v>
      </c>
      <c r="D17215">
        <v>0</v>
      </c>
      <c r="E17215">
        <v>0</v>
      </c>
      <c r="F17215">
        <v>54.328699999999998</v>
      </c>
    </row>
    <row r="17216" spans="1:6" x14ac:dyDescent="0.25">
      <c r="A17216">
        <v>17215</v>
      </c>
      <c r="B17216" t="s">
        <v>0</v>
      </c>
      <c r="C17216">
        <v>25</v>
      </c>
      <c r="D17216">
        <v>3511</v>
      </c>
      <c r="E17216">
        <v>80757614</v>
      </c>
    </row>
    <row r="17217" spans="1:6" x14ac:dyDescent="0.25">
      <c r="A17217">
        <v>17216</v>
      </c>
      <c r="B17217">
        <v>45</v>
      </c>
      <c r="C17217">
        <v>0</v>
      </c>
      <c r="D17217">
        <v>0</v>
      </c>
      <c r="E17217">
        <v>0</v>
      </c>
      <c r="F17217">
        <v>530.72400000000005</v>
      </c>
    </row>
    <row r="17218" spans="1:6" x14ac:dyDescent="0.25">
      <c r="A17218">
        <v>17217</v>
      </c>
      <c r="B17218">
        <v>46</v>
      </c>
      <c r="C17218">
        <v>0</v>
      </c>
      <c r="D17218">
        <v>0</v>
      </c>
      <c r="E17218">
        <v>0</v>
      </c>
      <c r="F17218">
        <v>0</v>
      </c>
    </row>
    <row r="17219" spans="1:6" x14ac:dyDescent="0.25">
      <c r="A17219">
        <v>17218</v>
      </c>
      <c r="B17219" t="s">
        <v>0</v>
      </c>
      <c r="C17219">
        <v>26</v>
      </c>
      <c r="D17219">
        <v>3511</v>
      </c>
      <c r="E17219">
        <v>80757749</v>
      </c>
    </row>
    <row r="17220" spans="1:6" x14ac:dyDescent="0.25">
      <c r="A17220">
        <v>17219</v>
      </c>
      <c r="B17220">
        <v>2</v>
      </c>
      <c r="C17220">
        <v>0</v>
      </c>
      <c r="D17220">
        <v>0</v>
      </c>
      <c r="E17220">
        <v>0</v>
      </c>
      <c r="F17220">
        <v>245.673</v>
      </c>
    </row>
    <row r="17221" spans="1:6" x14ac:dyDescent="0.25">
      <c r="A17221">
        <v>17220</v>
      </c>
      <c r="B17221">
        <v>10</v>
      </c>
      <c r="C17221">
        <v>1</v>
      </c>
      <c r="D17221">
        <v>0</v>
      </c>
      <c r="E17221">
        <v>0</v>
      </c>
      <c r="F17221">
        <v>5342</v>
      </c>
    </row>
    <row r="17222" spans="1:6" x14ac:dyDescent="0.25">
      <c r="A17222">
        <v>17221</v>
      </c>
      <c r="B17222" t="s">
        <v>0</v>
      </c>
      <c r="C17222">
        <v>27</v>
      </c>
      <c r="D17222">
        <v>3511</v>
      </c>
      <c r="E17222">
        <v>80757884</v>
      </c>
    </row>
    <row r="17223" spans="1:6" x14ac:dyDescent="0.25">
      <c r="A17223">
        <v>17222</v>
      </c>
      <c r="B17223">
        <v>41</v>
      </c>
      <c r="C17223">
        <v>0</v>
      </c>
      <c r="D17223">
        <v>0</v>
      </c>
      <c r="E17223">
        <v>0</v>
      </c>
      <c r="F17223">
        <v>1</v>
      </c>
    </row>
    <row r="17224" spans="1:6" x14ac:dyDescent="0.25">
      <c r="A17224">
        <v>17223</v>
      </c>
      <c r="B17224" t="s">
        <v>0</v>
      </c>
      <c r="C17224">
        <v>28</v>
      </c>
      <c r="D17224">
        <v>3511</v>
      </c>
      <c r="E17224">
        <v>80758020</v>
      </c>
    </row>
    <row r="17225" spans="1:6" x14ac:dyDescent="0.25">
      <c r="A17225">
        <v>17224</v>
      </c>
      <c r="B17225">
        <v>43</v>
      </c>
      <c r="C17225">
        <v>0</v>
      </c>
      <c r="D17225">
        <v>0</v>
      </c>
      <c r="E17225">
        <v>0</v>
      </c>
      <c r="F17225">
        <v>0</v>
      </c>
    </row>
    <row r="17226" spans="1:6" x14ac:dyDescent="0.25">
      <c r="A17226">
        <v>17225</v>
      </c>
      <c r="B17226" t="s">
        <v>0</v>
      </c>
      <c r="C17226">
        <v>29</v>
      </c>
      <c r="D17226">
        <v>3511</v>
      </c>
      <c r="E17226">
        <v>80758155</v>
      </c>
    </row>
    <row r="17227" spans="1:6" x14ac:dyDescent="0.25">
      <c r="A17227">
        <v>17226</v>
      </c>
      <c r="B17227">
        <v>45</v>
      </c>
      <c r="C17227">
        <v>0</v>
      </c>
      <c r="D17227">
        <v>0</v>
      </c>
      <c r="E17227">
        <v>0</v>
      </c>
      <c r="F17227">
        <v>530.78300000000002</v>
      </c>
    </row>
    <row r="17228" spans="1:6" x14ac:dyDescent="0.25">
      <c r="A17228">
        <v>17227</v>
      </c>
      <c r="B17228" t="s">
        <v>0</v>
      </c>
      <c r="C17228">
        <v>30</v>
      </c>
      <c r="D17228">
        <v>3511</v>
      </c>
      <c r="E17228">
        <v>80758290</v>
      </c>
    </row>
    <row r="17229" spans="1:6" x14ac:dyDescent="0.25">
      <c r="A17229">
        <v>17228</v>
      </c>
      <c r="B17229">
        <v>2</v>
      </c>
      <c r="C17229">
        <v>0</v>
      </c>
      <c r="D17229">
        <v>0</v>
      </c>
      <c r="E17229">
        <v>0</v>
      </c>
      <c r="F17229">
        <v>245.67500000000001</v>
      </c>
    </row>
    <row r="17230" spans="1:6" x14ac:dyDescent="0.25">
      <c r="A17230">
        <v>17229</v>
      </c>
      <c r="B17230" t="s">
        <v>0</v>
      </c>
      <c r="C17230">
        <v>31</v>
      </c>
      <c r="D17230">
        <v>3511</v>
      </c>
      <c r="E17230">
        <v>80758425</v>
      </c>
    </row>
    <row r="17231" spans="1:6" x14ac:dyDescent="0.25">
      <c r="A17231">
        <v>17230</v>
      </c>
      <c r="B17231">
        <v>13</v>
      </c>
      <c r="C17231">
        <v>0</v>
      </c>
      <c r="D17231">
        <v>0</v>
      </c>
      <c r="E17231">
        <v>0</v>
      </c>
      <c r="F17231">
        <v>1616</v>
      </c>
    </row>
    <row r="17232" spans="1:6" x14ac:dyDescent="0.25">
      <c r="A17232">
        <v>17231</v>
      </c>
      <c r="B17232" t="s">
        <v>0</v>
      </c>
      <c r="C17232">
        <v>32</v>
      </c>
      <c r="D17232">
        <v>3511</v>
      </c>
      <c r="E17232">
        <v>80758560</v>
      </c>
    </row>
    <row r="17233" spans="1:6" x14ac:dyDescent="0.25">
      <c r="A17233">
        <v>17232</v>
      </c>
      <c r="B17233">
        <v>42</v>
      </c>
      <c r="C17233">
        <v>0</v>
      </c>
      <c r="D17233">
        <v>0</v>
      </c>
      <c r="E17233">
        <v>0</v>
      </c>
      <c r="F17233">
        <v>0.2</v>
      </c>
    </row>
    <row r="17234" spans="1:6" x14ac:dyDescent="0.25">
      <c r="A17234">
        <v>17233</v>
      </c>
      <c r="B17234" t="s">
        <v>0</v>
      </c>
      <c r="C17234">
        <v>33</v>
      </c>
      <c r="D17234">
        <v>3511</v>
      </c>
      <c r="E17234">
        <v>80758695</v>
      </c>
    </row>
    <row r="17235" spans="1:6" x14ac:dyDescent="0.25">
      <c r="A17235">
        <v>17234</v>
      </c>
      <c r="B17235">
        <v>44</v>
      </c>
      <c r="C17235">
        <v>0</v>
      </c>
      <c r="D17235">
        <v>0</v>
      </c>
      <c r="E17235">
        <v>0</v>
      </c>
      <c r="F17235">
        <v>54.322800000000001</v>
      </c>
    </row>
    <row r="17236" spans="1:6" x14ac:dyDescent="0.25">
      <c r="A17236">
        <v>17235</v>
      </c>
      <c r="B17236" t="s">
        <v>0</v>
      </c>
      <c r="C17236">
        <v>34</v>
      </c>
      <c r="D17236">
        <v>3511</v>
      </c>
      <c r="E17236">
        <v>80758830</v>
      </c>
    </row>
    <row r="17237" spans="1:6" x14ac:dyDescent="0.25">
      <c r="A17237">
        <v>17236</v>
      </c>
      <c r="B17237">
        <v>46</v>
      </c>
      <c r="C17237">
        <v>0</v>
      </c>
      <c r="D17237">
        <v>0</v>
      </c>
      <c r="E17237">
        <v>0</v>
      </c>
      <c r="F17237">
        <v>0</v>
      </c>
    </row>
    <row r="17238" spans="1:6" x14ac:dyDescent="0.25">
      <c r="A17238">
        <v>17237</v>
      </c>
      <c r="B17238" t="s">
        <v>0</v>
      </c>
      <c r="C17238">
        <v>35</v>
      </c>
      <c r="D17238">
        <v>3511</v>
      </c>
      <c r="E17238">
        <v>80758965</v>
      </c>
    </row>
    <row r="17239" spans="1:6" x14ac:dyDescent="0.25">
      <c r="A17239">
        <v>17238</v>
      </c>
      <c r="B17239">
        <v>10</v>
      </c>
      <c r="C17239">
        <v>1</v>
      </c>
      <c r="D17239">
        <v>0</v>
      </c>
      <c r="E17239">
        <v>0</v>
      </c>
      <c r="F17239">
        <v>5343</v>
      </c>
    </row>
    <row r="17240" spans="1:6" x14ac:dyDescent="0.25">
      <c r="A17240">
        <v>17239</v>
      </c>
      <c r="B17240" t="s">
        <v>0</v>
      </c>
      <c r="C17240">
        <v>36</v>
      </c>
      <c r="D17240">
        <v>3511</v>
      </c>
      <c r="E17240">
        <v>80759100</v>
      </c>
    </row>
    <row r="17241" spans="1:6" x14ac:dyDescent="0.25">
      <c r="A17241">
        <v>17240</v>
      </c>
      <c r="B17241">
        <v>41</v>
      </c>
      <c r="C17241">
        <v>0</v>
      </c>
      <c r="D17241">
        <v>0</v>
      </c>
      <c r="E17241">
        <v>0</v>
      </c>
      <c r="F17241">
        <v>1</v>
      </c>
    </row>
    <row r="17242" spans="1:6" x14ac:dyDescent="0.25">
      <c r="A17242">
        <v>17241</v>
      </c>
      <c r="B17242" t="s">
        <v>0</v>
      </c>
      <c r="C17242">
        <v>37</v>
      </c>
      <c r="D17242">
        <v>3511</v>
      </c>
      <c r="E17242">
        <v>80759235</v>
      </c>
    </row>
    <row r="17243" spans="1:6" x14ac:dyDescent="0.25">
      <c r="A17243">
        <v>17242</v>
      </c>
      <c r="B17243">
        <v>42</v>
      </c>
      <c r="C17243">
        <v>0</v>
      </c>
      <c r="D17243">
        <v>0</v>
      </c>
      <c r="E17243">
        <v>0</v>
      </c>
      <c r="F17243">
        <v>0.2</v>
      </c>
    </row>
    <row r="17244" spans="1:6" x14ac:dyDescent="0.25">
      <c r="A17244">
        <v>17243</v>
      </c>
      <c r="B17244">
        <v>43</v>
      </c>
      <c r="C17244">
        <v>0</v>
      </c>
      <c r="D17244">
        <v>0</v>
      </c>
      <c r="E17244">
        <v>0</v>
      </c>
      <c r="F17244">
        <v>0</v>
      </c>
    </row>
    <row r="17245" spans="1:6" x14ac:dyDescent="0.25">
      <c r="A17245">
        <v>17244</v>
      </c>
      <c r="B17245">
        <v>44</v>
      </c>
      <c r="C17245">
        <v>0</v>
      </c>
      <c r="D17245">
        <v>0</v>
      </c>
      <c r="E17245">
        <v>0</v>
      </c>
      <c r="F17245">
        <v>54.287999999999997</v>
      </c>
    </row>
    <row r="17246" spans="1:6" x14ac:dyDescent="0.25">
      <c r="A17246">
        <v>17245</v>
      </c>
      <c r="B17246">
        <v>45</v>
      </c>
      <c r="C17246">
        <v>0</v>
      </c>
      <c r="D17246">
        <v>0</v>
      </c>
      <c r="E17246">
        <v>0</v>
      </c>
      <c r="F17246">
        <v>530.91499999999996</v>
      </c>
    </row>
    <row r="17247" spans="1:6" x14ac:dyDescent="0.25">
      <c r="A17247">
        <v>17246</v>
      </c>
      <c r="B17247">
        <v>46</v>
      </c>
      <c r="C17247">
        <v>0</v>
      </c>
      <c r="D17247">
        <v>0</v>
      </c>
      <c r="E17247">
        <v>0</v>
      </c>
      <c r="F17247">
        <v>0</v>
      </c>
    </row>
    <row r="17248" spans="1:6" x14ac:dyDescent="0.25">
      <c r="A17248">
        <v>17247</v>
      </c>
      <c r="B17248">
        <v>2</v>
      </c>
      <c r="C17248">
        <v>0</v>
      </c>
      <c r="D17248">
        <v>0</v>
      </c>
      <c r="E17248">
        <v>0</v>
      </c>
      <c r="F17248">
        <v>245.732</v>
      </c>
    </row>
    <row r="17249" spans="1:6" x14ac:dyDescent="0.25">
      <c r="A17249">
        <v>17248</v>
      </c>
      <c r="B17249">
        <v>10</v>
      </c>
      <c r="C17249">
        <v>1</v>
      </c>
      <c r="D17249">
        <v>0</v>
      </c>
      <c r="E17249">
        <v>0</v>
      </c>
      <c r="F17249">
        <v>5341</v>
      </c>
    </row>
    <row r="17250" spans="1:6" x14ac:dyDescent="0.25">
      <c r="A17250">
        <v>17249</v>
      </c>
      <c r="B17250">
        <v>13</v>
      </c>
      <c r="C17250">
        <v>0</v>
      </c>
      <c r="D17250">
        <v>0</v>
      </c>
      <c r="E17250">
        <v>0</v>
      </c>
      <c r="F17250">
        <v>1616</v>
      </c>
    </row>
    <row r="17251" spans="1:6" x14ac:dyDescent="0.25">
      <c r="A17251">
        <v>17250</v>
      </c>
      <c r="B17251">
        <v>41</v>
      </c>
      <c r="C17251">
        <v>0</v>
      </c>
      <c r="D17251">
        <v>0</v>
      </c>
      <c r="E17251">
        <v>0</v>
      </c>
      <c r="F17251">
        <v>1</v>
      </c>
    </row>
    <row r="17252" spans="1:6" x14ac:dyDescent="0.25">
      <c r="A17252">
        <v>17251</v>
      </c>
      <c r="B17252">
        <v>42</v>
      </c>
      <c r="C17252">
        <v>0</v>
      </c>
      <c r="D17252">
        <v>0</v>
      </c>
      <c r="E17252">
        <v>0</v>
      </c>
      <c r="F17252">
        <v>0.2</v>
      </c>
    </row>
    <row r="17253" spans="1:6" x14ac:dyDescent="0.25">
      <c r="A17253">
        <v>17252</v>
      </c>
      <c r="B17253">
        <v>43</v>
      </c>
      <c r="C17253">
        <v>0</v>
      </c>
      <c r="D17253">
        <v>0</v>
      </c>
      <c r="E17253">
        <v>0</v>
      </c>
      <c r="F17253">
        <v>0</v>
      </c>
    </row>
    <row r="17254" spans="1:6" x14ac:dyDescent="0.25">
      <c r="A17254">
        <v>17253</v>
      </c>
      <c r="B17254">
        <v>44</v>
      </c>
      <c r="C17254">
        <v>0</v>
      </c>
      <c r="D17254">
        <v>0</v>
      </c>
      <c r="E17254">
        <v>0</v>
      </c>
      <c r="F17254">
        <v>54.222999999999999</v>
      </c>
    </row>
    <row r="17255" spans="1:6" x14ac:dyDescent="0.25">
      <c r="A17255">
        <v>17254</v>
      </c>
      <c r="B17255">
        <v>45</v>
      </c>
      <c r="C17255">
        <v>0</v>
      </c>
      <c r="D17255">
        <v>0</v>
      </c>
      <c r="E17255">
        <v>0</v>
      </c>
      <c r="F17255">
        <v>530.98900000000003</v>
      </c>
    </row>
    <row r="17256" spans="1:6" x14ac:dyDescent="0.25">
      <c r="A17256">
        <v>17255</v>
      </c>
      <c r="B17256">
        <v>46</v>
      </c>
      <c r="C17256">
        <v>0</v>
      </c>
      <c r="D17256">
        <v>0</v>
      </c>
      <c r="E17256">
        <v>0</v>
      </c>
      <c r="F17256">
        <v>0</v>
      </c>
    </row>
    <row r="17257" spans="1:6" x14ac:dyDescent="0.25">
      <c r="A17257">
        <v>17256</v>
      </c>
      <c r="B17257">
        <v>2</v>
      </c>
      <c r="C17257">
        <v>0</v>
      </c>
      <c r="D17257">
        <v>0</v>
      </c>
      <c r="E17257">
        <v>0</v>
      </c>
      <c r="F17257">
        <v>245.803</v>
      </c>
    </row>
    <row r="17258" spans="1:6" x14ac:dyDescent="0.25">
      <c r="A17258">
        <v>17257</v>
      </c>
      <c r="B17258">
        <v>10</v>
      </c>
      <c r="C17258">
        <v>1</v>
      </c>
      <c r="D17258">
        <v>0</v>
      </c>
      <c r="E17258">
        <v>0</v>
      </c>
      <c r="F17258">
        <v>5340</v>
      </c>
    </row>
    <row r="17259" spans="1:6" x14ac:dyDescent="0.25">
      <c r="A17259">
        <v>17258</v>
      </c>
      <c r="B17259">
        <v>13</v>
      </c>
      <c r="C17259">
        <v>0</v>
      </c>
      <c r="D17259">
        <v>0</v>
      </c>
      <c r="E17259">
        <v>0</v>
      </c>
      <c r="F17259">
        <v>1616</v>
      </c>
    </row>
    <row r="17260" spans="1:6" x14ac:dyDescent="0.25">
      <c r="A17260">
        <v>17259</v>
      </c>
      <c r="B17260">
        <v>41</v>
      </c>
      <c r="C17260">
        <v>0</v>
      </c>
      <c r="D17260">
        <v>0</v>
      </c>
      <c r="E17260">
        <v>0</v>
      </c>
      <c r="F17260">
        <v>1</v>
      </c>
    </row>
    <row r="17261" spans="1:6" x14ac:dyDescent="0.25">
      <c r="A17261">
        <v>17260</v>
      </c>
      <c r="B17261">
        <v>42</v>
      </c>
      <c r="C17261">
        <v>0</v>
      </c>
      <c r="D17261">
        <v>0</v>
      </c>
      <c r="E17261">
        <v>0</v>
      </c>
      <c r="F17261">
        <v>0.2</v>
      </c>
    </row>
    <row r="17262" spans="1:6" x14ac:dyDescent="0.25">
      <c r="A17262">
        <v>17261</v>
      </c>
      <c r="B17262">
        <v>43</v>
      </c>
      <c r="C17262">
        <v>0</v>
      </c>
      <c r="D17262">
        <v>0</v>
      </c>
      <c r="E17262">
        <v>0</v>
      </c>
      <c r="F17262">
        <v>0</v>
      </c>
    </row>
    <row r="17263" spans="1:6" x14ac:dyDescent="0.25">
      <c r="A17263">
        <v>17262</v>
      </c>
      <c r="B17263">
        <v>44</v>
      </c>
      <c r="C17263">
        <v>0</v>
      </c>
      <c r="D17263">
        <v>0</v>
      </c>
      <c r="E17263">
        <v>0</v>
      </c>
      <c r="F17263">
        <v>54.161299999999997</v>
      </c>
    </row>
    <row r="17264" spans="1:6" x14ac:dyDescent="0.25">
      <c r="A17264">
        <v>17263</v>
      </c>
      <c r="B17264">
        <v>45</v>
      </c>
      <c r="C17264">
        <v>0</v>
      </c>
      <c r="D17264">
        <v>0</v>
      </c>
      <c r="E17264">
        <v>0</v>
      </c>
      <c r="F17264">
        <v>531.04700000000003</v>
      </c>
    </row>
    <row r="17265" spans="1:6" x14ac:dyDescent="0.25">
      <c r="A17265">
        <v>17264</v>
      </c>
      <c r="B17265">
        <v>46</v>
      </c>
      <c r="C17265">
        <v>0</v>
      </c>
      <c r="D17265">
        <v>0</v>
      </c>
      <c r="E17265">
        <v>0</v>
      </c>
      <c r="F17265">
        <v>0</v>
      </c>
    </row>
    <row r="17266" spans="1:6" x14ac:dyDescent="0.25">
      <c r="A17266">
        <v>17265</v>
      </c>
      <c r="B17266">
        <v>2</v>
      </c>
      <c r="C17266">
        <v>0</v>
      </c>
      <c r="D17266">
        <v>0</v>
      </c>
      <c r="E17266">
        <v>0</v>
      </c>
      <c r="F17266">
        <v>245.84899999999999</v>
      </c>
    </row>
    <row r="17267" spans="1:6" x14ac:dyDescent="0.25">
      <c r="A17267">
        <v>17266</v>
      </c>
      <c r="B17267">
        <v>10</v>
      </c>
      <c r="C17267">
        <v>1</v>
      </c>
      <c r="D17267">
        <v>0</v>
      </c>
      <c r="E17267">
        <v>0</v>
      </c>
      <c r="F17267">
        <v>5339</v>
      </c>
    </row>
    <row r="17268" spans="1:6" x14ac:dyDescent="0.25">
      <c r="A17268">
        <v>17267</v>
      </c>
      <c r="B17268">
        <v>13</v>
      </c>
      <c r="C17268">
        <v>0</v>
      </c>
      <c r="D17268">
        <v>0</v>
      </c>
      <c r="E17268">
        <v>0</v>
      </c>
      <c r="F17268">
        <v>1616</v>
      </c>
    </row>
    <row r="17269" spans="1:6" x14ac:dyDescent="0.25">
      <c r="A17269">
        <v>17268</v>
      </c>
      <c r="B17269">
        <v>41</v>
      </c>
      <c r="C17269">
        <v>0</v>
      </c>
      <c r="D17269">
        <v>0</v>
      </c>
      <c r="E17269">
        <v>0</v>
      </c>
      <c r="F17269">
        <v>1</v>
      </c>
    </row>
    <row r="17270" spans="1:6" x14ac:dyDescent="0.25">
      <c r="A17270">
        <v>17269</v>
      </c>
      <c r="B17270">
        <v>42</v>
      </c>
      <c r="C17270">
        <v>0</v>
      </c>
      <c r="D17270">
        <v>0</v>
      </c>
      <c r="E17270">
        <v>0</v>
      </c>
      <c r="F17270">
        <v>0.2</v>
      </c>
    </row>
    <row r="17271" spans="1:6" x14ac:dyDescent="0.25">
      <c r="A17271">
        <v>17270</v>
      </c>
      <c r="B17271">
        <v>43</v>
      </c>
      <c r="C17271">
        <v>0</v>
      </c>
      <c r="D17271">
        <v>0</v>
      </c>
      <c r="E17271">
        <v>0</v>
      </c>
      <c r="F17271">
        <v>0</v>
      </c>
    </row>
    <row r="17272" spans="1:6" x14ac:dyDescent="0.25">
      <c r="A17272">
        <v>17271</v>
      </c>
      <c r="B17272">
        <v>44</v>
      </c>
      <c r="C17272">
        <v>0</v>
      </c>
      <c r="D17272">
        <v>0</v>
      </c>
      <c r="E17272">
        <v>0</v>
      </c>
      <c r="F17272">
        <v>54.122199999999999</v>
      </c>
    </row>
    <row r="17273" spans="1:6" x14ac:dyDescent="0.25">
      <c r="A17273">
        <v>17272</v>
      </c>
      <c r="B17273" t="s">
        <v>0</v>
      </c>
      <c r="C17273">
        <v>52</v>
      </c>
      <c r="D17273">
        <v>3511</v>
      </c>
      <c r="E17273">
        <v>80761260</v>
      </c>
    </row>
    <row r="17274" spans="1:6" x14ac:dyDescent="0.25">
      <c r="A17274">
        <v>17273</v>
      </c>
      <c r="B17274">
        <v>45</v>
      </c>
      <c r="C17274">
        <v>0</v>
      </c>
      <c r="D17274">
        <v>0</v>
      </c>
      <c r="E17274">
        <v>0</v>
      </c>
      <c r="F17274">
        <v>531.12099999999998</v>
      </c>
    </row>
    <row r="17275" spans="1:6" x14ac:dyDescent="0.25">
      <c r="A17275">
        <v>17274</v>
      </c>
      <c r="B17275">
        <v>46</v>
      </c>
      <c r="C17275">
        <v>0</v>
      </c>
      <c r="D17275">
        <v>0</v>
      </c>
      <c r="E17275">
        <v>0</v>
      </c>
      <c r="F17275">
        <v>0</v>
      </c>
    </row>
    <row r="17276" spans="1:6" x14ac:dyDescent="0.25">
      <c r="A17276">
        <v>17275</v>
      </c>
      <c r="B17276" t="s">
        <v>0</v>
      </c>
      <c r="C17276">
        <v>53</v>
      </c>
      <c r="D17276">
        <v>3511</v>
      </c>
      <c r="E17276">
        <v>80761394</v>
      </c>
    </row>
    <row r="17277" spans="1:6" x14ac:dyDescent="0.25">
      <c r="A17277">
        <v>17276</v>
      </c>
      <c r="B17277">
        <v>2</v>
      </c>
      <c r="C17277">
        <v>0</v>
      </c>
      <c r="D17277">
        <v>0</v>
      </c>
      <c r="E17277">
        <v>0</v>
      </c>
      <c r="F17277">
        <v>245.89500000000001</v>
      </c>
    </row>
    <row r="17278" spans="1:6" x14ac:dyDescent="0.25">
      <c r="A17278">
        <v>17277</v>
      </c>
      <c r="B17278">
        <v>10</v>
      </c>
      <c r="C17278">
        <v>1</v>
      </c>
      <c r="D17278">
        <v>0</v>
      </c>
      <c r="E17278">
        <v>0</v>
      </c>
      <c r="F17278">
        <v>5339</v>
      </c>
    </row>
    <row r="17279" spans="1:6" x14ac:dyDescent="0.25">
      <c r="A17279">
        <v>17278</v>
      </c>
      <c r="B17279" t="s">
        <v>0</v>
      </c>
      <c r="C17279">
        <v>54</v>
      </c>
      <c r="D17279">
        <v>3511</v>
      </c>
      <c r="E17279">
        <v>80761529</v>
      </c>
    </row>
    <row r="17280" spans="1:6" x14ac:dyDescent="0.25">
      <c r="A17280">
        <v>17279</v>
      </c>
      <c r="B17280">
        <v>13</v>
      </c>
      <c r="C17280">
        <v>0</v>
      </c>
      <c r="D17280">
        <v>0</v>
      </c>
      <c r="E17280">
        <v>0</v>
      </c>
      <c r="F17280">
        <v>1616</v>
      </c>
    </row>
    <row r="17281" spans="1:6" x14ac:dyDescent="0.25">
      <c r="A17281">
        <v>17280</v>
      </c>
      <c r="B17281">
        <v>41</v>
      </c>
      <c r="C17281">
        <v>0</v>
      </c>
      <c r="D17281">
        <v>0</v>
      </c>
      <c r="E17281">
        <v>0</v>
      </c>
      <c r="F17281">
        <v>1</v>
      </c>
    </row>
    <row r="17282" spans="1:6" x14ac:dyDescent="0.25">
      <c r="A17282">
        <v>17281</v>
      </c>
      <c r="B17282" t="s">
        <v>0</v>
      </c>
      <c r="C17282">
        <v>55</v>
      </c>
      <c r="D17282">
        <v>3511</v>
      </c>
      <c r="E17282">
        <v>80761664</v>
      </c>
    </row>
    <row r="17283" spans="1:6" x14ac:dyDescent="0.25">
      <c r="A17283">
        <v>17282</v>
      </c>
      <c r="B17283">
        <v>42</v>
      </c>
      <c r="C17283">
        <v>0</v>
      </c>
      <c r="D17283">
        <v>0</v>
      </c>
      <c r="E17283">
        <v>0</v>
      </c>
      <c r="F17283">
        <v>0.2</v>
      </c>
    </row>
    <row r="17284" spans="1:6" x14ac:dyDescent="0.25">
      <c r="A17284">
        <v>17283</v>
      </c>
      <c r="B17284">
        <v>43</v>
      </c>
      <c r="C17284">
        <v>0</v>
      </c>
      <c r="D17284">
        <v>0</v>
      </c>
      <c r="E17284">
        <v>0</v>
      </c>
      <c r="F17284">
        <v>0</v>
      </c>
    </row>
    <row r="17285" spans="1:6" x14ac:dyDescent="0.25">
      <c r="A17285">
        <v>17284</v>
      </c>
      <c r="B17285" t="s">
        <v>0</v>
      </c>
      <c r="C17285">
        <v>56</v>
      </c>
      <c r="D17285">
        <v>3511</v>
      </c>
      <c r="E17285">
        <v>80761799</v>
      </c>
    </row>
    <row r="17286" spans="1:6" x14ac:dyDescent="0.25">
      <c r="A17286">
        <v>17285</v>
      </c>
      <c r="B17286">
        <v>44</v>
      </c>
      <c r="C17286">
        <v>0</v>
      </c>
      <c r="D17286">
        <v>0</v>
      </c>
      <c r="E17286">
        <v>0</v>
      </c>
      <c r="F17286">
        <v>54.083399999999997</v>
      </c>
    </row>
    <row r="17287" spans="1:6" x14ac:dyDescent="0.25">
      <c r="A17287">
        <v>17286</v>
      </c>
      <c r="B17287">
        <v>45</v>
      </c>
      <c r="C17287">
        <v>0</v>
      </c>
      <c r="D17287">
        <v>0</v>
      </c>
      <c r="E17287">
        <v>0</v>
      </c>
      <c r="F17287">
        <v>531.17899999999997</v>
      </c>
    </row>
    <row r="17288" spans="1:6" x14ac:dyDescent="0.25">
      <c r="A17288">
        <v>17287</v>
      </c>
      <c r="B17288" t="s">
        <v>0</v>
      </c>
      <c r="C17288">
        <v>57</v>
      </c>
      <c r="D17288">
        <v>3511</v>
      </c>
      <c r="E17288">
        <v>80761934</v>
      </c>
    </row>
    <row r="17289" spans="1:6" x14ac:dyDescent="0.25">
      <c r="A17289">
        <v>17288</v>
      </c>
      <c r="B17289">
        <v>46</v>
      </c>
      <c r="C17289">
        <v>0</v>
      </c>
      <c r="D17289">
        <v>0</v>
      </c>
      <c r="E17289">
        <v>0</v>
      </c>
      <c r="F17289">
        <v>0</v>
      </c>
    </row>
    <row r="17290" spans="1:6" x14ac:dyDescent="0.25">
      <c r="A17290">
        <v>17289</v>
      </c>
      <c r="B17290">
        <v>2</v>
      </c>
      <c r="C17290">
        <v>0</v>
      </c>
      <c r="D17290">
        <v>0</v>
      </c>
      <c r="E17290">
        <v>0</v>
      </c>
      <c r="F17290">
        <v>245.923</v>
      </c>
    </row>
    <row r="17291" spans="1:6" x14ac:dyDescent="0.25">
      <c r="A17291">
        <v>17290</v>
      </c>
      <c r="B17291" t="s">
        <v>0</v>
      </c>
      <c r="C17291">
        <v>58</v>
      </c>
      <c r="D17291">
        <v>3511</v>
      </c>
      <c r="E17291">
        <v>80762069</v>
      </c>
    </row>
    <row r="17292" spans="1:6" x14ac:dyDescent="0.25">
      <c r="A17292">
        <v>17291</v>
      </c>
      <c r="B17292">
        <v>10</v>
      </c>
      <c r="C17292">
        <v>1</v>
      </c>
      <c r="D17292">
        <v>0</v>
      </c>
      <c r="E17292">
        <v>0</v>
      </c>
      <c r="F17292">
        <v>5338</v>
      </c>
    </row>
    <row r="17293" spans="1:6" x14ac:dyDescent="0.25">
      <c r="A17293">
        <v>17292</v>
      </c>
      <c r="B17293">
        <v>13</v>
      </c>
      <c r="C17293">
        <v>0</v>
      </c>
      <c r="D17293">
        <v>0</v>
      </c>
      <c r="E17293">
        <v>0</v>
      </c>
      <c r="F17293">
        <v>1616</v>
      </c>
    </row>
    <row r="17294" spans="1:6" x14ac:dyDescent="0.25">
      <c r="A17294">
        <v>17293</v>
      </c>
      <c r="B17294" t="s">
        <v>0</v>
      </c>
      <c r="C17294">
        <v>59</v>
      </c>
      <c r="D17294">
        <v>3511</v>
      </c>
      <c r="E17294">
        <v>80762204</v>
      </c>
    </row>
    <row r="17295" spans="1:6" x14ac:dyDescent="0.25">
      <c r="A17295">
        <v>17294</v>
      </c>
      <c r="B17295">
        <v>41</v>
      </c>
      <c r="C17295">
        <v>0</v>
      </c>
      <c r="D17295">
        <v>0</v>
      </c>
      <c r="E17295">
        <v>0</v>
      </c>
      <c r="F17295">
        <v>1</v>
      </c>
    </row>
    <row r="17296" spans="1:6" x14ac:dyDescent="0.25">
      <c r="A17296">
        <v>17295</v>
      </c>
      <c r="B17296">
        <v>42</v>
      </c>
      <c r="C17296">
        <v>0</v>
      </c>
      <c r="D17296">
        <v>0</v>
      </c>
      <c r="E17296">
        <v>0</v>
      </c>
      <c r="F17296">
        <v>0.2</v>
      </c>
    </row>
    <row r="17297" spans="1:6" x14ac:dyDescent="0.25">
      <c r="A17297">
        <v>17296</v>
      </c>
      <c r="B17297" t="s">
        <v>0</v>
      </c>
      <c r="C17297">
        <v>60</v>
      </c>
      <c r="D17297">
        <v>3511</v>
      </c>
      <c r="E17297">
        <v>80762339</v>
      </c>
    </row>
    <row r="17298" spans="1:6" x14ac:dyDescent="0.25">
      <c r="A17298">
        <v>17297</v>
      </c>
      <c r="B17298">
        <v>43</v>
      </c>
      <c r="C17298">
        <v>0</v>
      </c>
      <c r="D17298">
        <v>0</v>
      </c>
      <c r="E17298">
        <v>0</v>
      </c>
      <c r="F17298">
        <v>0</v>
      </c>
    </row>
    <row r="17299" spans="1:6" x14ac:dyDescent="0.25">
      <c r="A17299">
        <v>17298</v>
      </c>
      <c r="B17299">
        <v>44</v>
      </c>
      <c r="C17299">
        <v>0</v>
      </c>
      <c r="D17299">
        <v>0</v>
      </c>
      <c r="E17299">
        <v>0</v>
      </c>
      <c r="F17299">
        <v>54.058799999999998</v>
      </c>
    </row>
    <row r="17300" spans="1:6" x14ac:dyDescent="0.25">
      <c r="A17300">
        <v>17299</v>
      </c>
      <c r="B17300" t="s">
        <v>0</v>
      </c>
      <c r="C17300">
        <v>61</v>
      </c>
      <c r="D17300">
        <v>3511</v>
      </c>
      <c r="E17300">
        <v>80762474</v>
      </c>
    </row>
    <row r="17301" spans="1:6" x14ac:dyDescent="0.25">
      <c r="A17301">
        <v>17300</v>
      </c>
      <c r="B17301">
        <v>45</v>
      </c>
      <c r="C17301">
        <v>0</v>
      </c>
      <c r="D17301">
        <v>0</v>
      </c>
      <c r="E17301">
        <v>0</v>
      </c>
      <c r="F17301">
        <v>531.25300000000004</v>
      </c>
    </row>
    <row r="17302" spans="1:6" x14ac:dyDescent="0.25">
      <c r="A17302">
        <v>17301</v>
      </c>
      <c r="B17302">
        <v>46</v>
      </c>
      <c r="C17302">
        <v>0</v>
      </c>
      <c r="D17302">
        <v>0</v>
      </c>
      <c r="E17302">
        <v>0</v>
      </c>
      <c r="F17302">
        <v>0</v>
      </c>
    </row>
    <row r="17303" spans="1:6" x14ac:dyDescent="0.25">
      <c r="A17303">
        <v>17302</v>
      </c>
      <c r="B17303" t="s">
        <v>0</v>
      </c>
      <c r="C17303">
        <v>62</v>
      </c>
      <c r="D17303">
        <v>3511</v>
      </c>
      <c r="E17303">
        <v>80762609</v>
      </c>
    </row>
    <row r="17304" spans="1:6" x14ac:dyDescent="0.25">
      <c r="A17304">
        <v>17303</v>
      </c>
      <c r="B17304">
        <v>10</v>
      </c>
      <c r="C17304">
        <v>1</v>
      </c>
      <c r="D17304">
        <v>0</v>
      </c>
      <c r="E17304">
        <v>0</v>
      </c>
      <c r="F17304">
        <v>5338</v>
      </c>
    </row>
    <row r="17305" spans="1:6" x14ac:dyDescent="0.25">
      <c r="A17305">
        <v>17304</v>
      </c>
      <c r="B17305" t="s">
        <v>0</v>
      </c>
      <c r="C17305">
        <v>63</v>
      </c>
      <c r="D17305">
        <v>3511</v>
      </c>
      <c r="E17305">
        <v>80762744</v>
      </c>
    </row>
    <row r="17306" spans="1:6" x14ac:dyDescent="0.25">
      <c r="A17306">
        <v>17305</v>
      </c>
      <c r="B17306">
        <v>41</v>
      </c>
      <c r="C17306">
        <v>0</v>
      </c>
      <c r="D17306">
        <v>0</v>
      </c>
      <c r="E17306">
        <v>0</v>
      </c>
      <c r="F17306">
        <v>1</v>
      </c>
    </row>
    <row r="17307" spans="1:6" x14ac:dyDescent="0.25">
      <c r="A17307">
        <v>17306</v>
      </c>
      <c r="B17307" t="s">
        <v>0</v>
      </c>
      <c r="C17307">
        <v>64</v>
      </c>
      <c r="D17307">
        <v>3511</v>
      </c>
      <c r="E17307">
        <v>80762878</v>
      </c>
    </row>
    <row r="17308" spans="1:6" x14ac:dyDescent="0.25">
      <c r="A17308">
        <v>17307</v>
      </c>
      <c r="B17308">
        <v>43</v>
      </c>
      <c r="C17308">
        <v>0</v>
      </c>
      <c r="D17308">
        <v>0</v>
      </c>
      <c r="E17308">
        <v>0</v>
      </c>
      <c r="F17308">
        <v>0</v>
      </c>
    </row>
    <row r="17309" spans="1:6" x14ac:dyDescent="0.25">
      <c r="A17309">
        <v>17308</v>
      </c>
      <c r="B17309" t="s">
        <v>0</v>
      </c>
      <c r="C17309">
        <v>65</v>
      </c>
      <c r="D17309">
        <v>3511</v>
      </c>
      <c r="E17309">
        <v>80763013</v>
      </c>
    </row>
    <row r="17310" spans="1:6" x14ac:dyDescent="0.25">
      <c r="A17310">
        <v>17309</v>
      </c>
      <c r="B17310">
        <v>45</v>
      </c>
      <c r="C17310">
        <v>0</v>
      </c>
      <c r="D17310">
        <v>0</v>
      </c>
      <c r="E17310">
        <v>0</v>
      </c>
      <c r="F17310">
        <v>531.31100000000004</v>
      </c>
    </row>
    <row r="17311" spans="1:6" x14ac:dyDescent="0.25">
      <c r="A17311">
        <v>17310</v>
      </c>
      <c r="B17311" t="s">
        <v>0</v>
      </c>
      <c r="C17311">
        <v>66</v>
      </c>
      <c r="D17311">
        <v>3511</v>
      </c>
      <c r="E17311">
        <v>80763148</v>
      </c>
    </row>
    <row r="17312" spans="1:6" x14ac:dyDescent="0.25">
      <c r="A17312">
        <v>17311</v>
      </c>
      <c r="B17312">
        <v>2</v>
      </c>
      <c r="C17312">
        <v>0</v>
      </c>
      <c r="D17312">
        <v>0</v>
      </c>
      <c r="E17312">
        <v>0</v>
      </c>
      <c r="F17312">
        <v>245.97</v>
      </c>
    </row>
    <row r="17313" spans="1:6" x14ac:dyDescent="0.25">
      <c r="A17313">
        <v>17312</v>
      </c>
      <c r="B17313" t="s">
        <v>0</v>
      </c>
      <c r="C17313">
        <v>67</v>
      </c>
      <c r="D17313">
        <v>3511</v>
      </c>
      <c r="E17313">
        <v>80763283</v>
      </c>
    </row>
    <row r="17314" spans="1:6" x14ac:dyDescent="0.25">
      <c r="A17314">
        <v>17313</v>
      </c>
      <c r="B17314">
        <v>13</v>
      </c>
      <c r="C17314">
        <v>0</v>
      </c>
      <c r="D17314">
        <v>0</v>
      </c>
      <c r="E17314">
        <v>0</v>
      </c>
      <c r="F17314">
        <v>1616</v>
      </c>
    </row>
    <row r="17315" spans="1:6" x14ac:dyDescent="0.25">
      <c r="A17315">
        <v>17314</v>
      </c>
      <c r="B17315" t="s">
        <v>0</v>
      </c>
      <c r="C17315">
        <v>68</v>
      </c>
      <c r="D17315">
        <v>3511</v>
      </c>
      <c r="E17315">
        <v>80763418</v>
      </c>
    </row>
    <row r="17316" spans="1:6" x14ac:dyDescent="0.25">
      <c r="A17316">
        <v>17315</v>
      </c>
      <c r="B17316">
        <v>42</v>
      </c>
      <c r="C17316">
        <v>0</v>
      </c>
      <c r="D17316">
        <v>0</v>
      </c>
      <c r="E17316">
        <v>0</v>
      </c>
      <c r="F17316">
        <v>0.2</v>
      </c>
    </row>
    <row r="17317" spans="1:6" x14ac:dyDescent="0.25">
      <c r="A17317">
        <v>17316</v>
      </c>
      <c r="B17317" t="s">
        <v>0</v>
      </c>
      <c r="C17317">
        <v>69</v>
      </c>
      <c r="D17317">
        <v>3511</v>
      </c>
      <c r="E17317">
        <v>80763553</v>
      </c>
    </row>
    <row r="17318" spans="1:6" x14ac:dyDescent="0.25">
      <c r="A17318">
        <v>17317</v>
      </c>
      <c r="B17318">
        <v>44</v>
      </c>
      <c r="C17318">
        <v>0</v>
      </c>
      <c r="D17318">
        <v>0</v>
      </c>
      <c r="E17318">
        <v>0</v>
      </c>
      <c r="F17318">
        <v>54.018300000000004</v>
      </c>
    </row>
    <row r="17319" spans="1:6" x14ac:dyDescent="0.25">
      <c r="A17319">
        <v>17318</v>
      </c>
      <c r="B17319" t="s">
        <v>0</v>
      </c>
      <c r="C17319">
        <v>70</v>
      </c>
      <c r="D17319">
        <v>3511</v>
      </c>
      <c r="E17319">
        <v>80763688</v>
      </c>
    </row>
    <row r="17320" spans="1:6" x14ac:dyDescent="0.25">
      <c r="A17320">
        <v>17319</v>
      </c>
      <c r="B17320">
        <v>46</v>
      </c>
      <c r="C17320">
        <v>0</v>
      </c>
      <c r="D17320">
        <v>0</v>
      </c>
      <c r="E17320">
        <v>0</v>
      </c>
      <c r="F17320">
        <v>0</v>
      </c>
    </row>
    <row r="17321" spans="1:6" x14ac:dyDescent="0.25">
      <c r="A17321">
        <v>17320</v>
      </c>
      <c r="B17321" t="s">
        <v>0</v>
      </c>
      <c r="C17321">
        <v>71</v>
      </c>
      <c r="D17321">
        <v>3511</v>
      </c>
      <c r="E17321">
        <v>80763823</v>
      </c>
    </row>
    <row r="17322" spans="1:6" x14ac:dyDescent="0.25">
      <c r="A17322">
        <v>17321</v>
      </c>
      <c r="B17322">
        <v>10</v>
      </c>
      <c r="C17322">
        <v>1</v>
      </c>
      <c r="D17322">
        <v>0</v>
      </c>
      <c r="E17322">
        <v>0</v>
      </c>
      <c r="F17322">
        <v>5337</v>
      </c>
    </row>
    <row r="17323" spans="1:6" x14ac:dyDescent="0.25">
      <c r="A17323">
        <v>17322</v>
      </c>
      <c r="B17323" t="s">
        <v>0</v>
      </c>
      <c r="C17323">
        <v>72</v>
      </c>
      <c r="D17323">
        <v>3511</v>
      </c>
      <c r="E17323">
        <v>80763958</v>
      </c>
    </row>
    <row r="17324" spans="1:6" x14ac:dyDescent="0.25">
      <c r="A17324">
        <v>17323</v>
      </c>
      <c r="B17324">
        <v>41</v>
      </c>
      <c r="C17324">
        <v>0</v>
      </c>
      <c r="D17324">
        <v>0</v>
      </c>
      <c r="E17324">
        <v>0</v>
      </c>
      <c r="F17324">
        <v>1</v>
      </c>
    </row>
    <row r="17325" spans="1:6" x14ac:dyDescent="0.25">
      <c r="A17325">
        <v>17324</v>
      </c>
      <c r="B17325" t="s">
        <v>0</v>
      </c>
      <c r="C17325">
        <v>73</v>
      </c>
      <c r="D17325">
        <v>3511</v>
      </c>
      <c r="E17325">
        <v>80764093</v>
      </c>
    </row>
    <row r="17326" spans="1:6" x14ac:dyDescent="0.25">
      <c r="A17326">
        <v>17325</v>
      </c>
      <c r="B17326">
        <v>42</v>
      </c>
      <c r="C17326">
        <v>0</v>
      </c>
      <c r="D17326">
        <v>0</v>
      </c>
      <c r="E17326">
        <v>0</v>
      </c>
      <c r="F17326">
        <v>0.2</v>
      </c>
    </row>
    <row r="17327" spans="1:6" x14ac:dyDescent="0.25">
      <c r="A17327">
        <v>17326</v>
      </c>
      <c r="B17327">
        <v>43</v>
      </c>
      <c r="C17327">
        <v>0</v>
      </c>
      <c r="D17327">
        <v>0</v>
      </c>
      <c r="E17327">
        <v>0</v>
      </c>
      <c r="F17327">
        <v>0</v>
      </c>
    </row>
    <row r="17328" spans="1:6" x14ac:dyDescent="0.25">
      <c r="A17328">
        <v>17327</v>
      </c>
      <c r="B17328">
        <v>44</v>
      </c>
      <c r="C17328">
        <v>0</v>
      </c>
      <c r="D17328">
        <v>0</v>
      </c>
      <c r="E17328">
        <v>0</v>
      </c>
      <c r="F17328">
        <v>54.003</v>
      </c>
    </row>
    <row r="17329" spans="1:6" x14ac:dyDescent="0.25">
      <c r="A17329">
        <v>17328</v>
      </c>
      <c r="B17329">
        <v>45</v>
      </c>
      <c r="C17329">
        <v>0</v>
      </c>
      <c r="D17329">
        <v>0</v>
      </c>
      <c r="E17329">
        <v>0</v>
      </c>
      <c r="F17329">
        <v>531.44299999999998</v>
      </c>
    </row>
    <row r="17330" spans="1:6" x14ac:dyDescent="0.25">
      <c r="A17330">
        <v>17329</v>
      </c>
      <c r="B17330">
        <v>46</v>
      </c>
      <c r="C17330">
        <v>0</v>
      </c>
      <c r="D17330">
        <v>0</v>
      </c>
      <c r="E17330">
        <v>0</v>
      </c>
      <c r="F17330">
        <v>0</v>
      </c>
    </row>
    <row r="17331" spans="1:6" x14ac:dyDescent="0.25">
      <c r="A17331">
        <v>17330</v>
      </c>
      <c r="B17331">
        <v>2</v>
      </c>
      <c r="C17331">
        <v>0</v>
      </c>
      <c r="D17331">
        <v>0</v>
      </c>
      <c r="E17331">
        <v>0</v>
      </c>
      <c r="F17331">
        <v>246</v>
      </c>
    </row>
    <row r="17332" spans="1:6" x14ac:dyDescent="0.25">
      <c r="A17332">
        <v>17331</v>
      </c>
      <c r="B17332">
        <v>10</v>
      </c>
      <c r="C17332">
        <v>1</v>
      </c>
      <c r="D17332">
        <v>0</v>
      </c>
      <c r="E17332">
        <v>0</v>
      </c>
      <c r="F17332">
        <v>5337</v>
      </c>
    </row>
    <row r="17333" spans="1:6" x14ac:dyDescent="0.25">
      <c r="A17333">
        <v>17332</v>
      </c>
      <c r="B17333">
        <v>13</v>
      </c>
      <c r="C17333">
        <v>0</v>
      </c>
      <c r="D17333">
        <v>0</v>
      </c>
      <c r="E17333">
        <v>0</v>
      </c>
      <c r="F17333">
        <v>1616</v>
      </c>
    </row>
    <row r="17334" spans="1:6" x14ac:dyDescent="0.25">
      <c r="A17334">
        <v>17333</v>
      </c>
      <c r="B17334">
        <v>41</v>
      </c>
      <c r="C17334">
        <v>0</v>
      </c>
      <c r="D17334">
        <v>0</v>
      </c>
      <c r="E17334">
        <v>0</v>
      </c>
      <c r="F17334">
        <v>1</v>
      </c>
    </row>
    <row r="17335" spans="1:6" x14ac:dyDescent="0.25">
      <c r="A17335">
        <v>17334</v>
      </c>
      <c r="B17335">
        <v>42</v>
      </c>
      <c r="C17335">
        <v>0</v>
      </c>
      <c r="D17335">
        <v>0</v>
      </c>
      <c r="E17335">
        <v>0</v>
      </c>
      <c r="F17335">
        <v>0.2</v>
      </c>
    </row>
    <row r="17336" spans="1:6" x14ac:dyDescent="0.25">
      <c r="A17336">
        <v>17335</v>
      </c>
      <c r="B17336">
        <v>43</v>
      </c>
      <c r="C17336">
        <v>0</v>
      </c>
      <c r="D17336">
        <v>0</v>
      </c>
      <c r="E17336">
        <v>0</v>
      </c>
      <c r="F17336">
        <v>0</v>
      </c>
    </row>
    <row r="17337" spans="1:6" x14ac:dyDescent="0.25">
      <c r="A17337">
        <v>17336</v>
      </c>
      <c r="B17337">
        <v>44</v>
      </c>
      <c r="C17337">
        <v>0</v>
      </c>
      <c r="D17337">
        <v>0</v>
      </c>
      <c r="E17337">
        <v>0</v>
      </c>
      <c r="F17337">
        <v>53.993200000000002</v>
      </c>
    </row>
    <row r="17338" spans="1:6" x14ac:dyDescent="0.25">
      <c r="A17338">
        <v>17337</v>
      </c>
      <c r="B17338">
        <v>45</v>
      </c>
      <c r="C17338">
        <v>0</v>
      </c>
      <c r="D17338">
        <v>0</v>
      </c>
      <c r="E17338">
        <v>0</v>
      </c>
      <c r="F17338">
        <v>531.51599999999996</v>
      </c>
    </row>
    <row r="17339" spans="1:6" x14ac:dyDescent="0.25">
      <c r="A17339">
        <v>17338</v>
      </c>
      <c r="B17339">
        <v>46</v>
      </c>
      <c r="C17339">
        <v>0</v>
      </c>
      <c r="D17339">
        <v>0</v>
      </c>
      <c r="E17339">
        <v>0</v>
      </c>
      <c r="F17339">
        <v>0</v>
      </c>
    </row>
    <row r="17340" spans="1:6" x14ac:dyDescent="0.25">
      <c r="A17340">
        <v>17339</v>
      </c>
      <c r="B17340">
        <v>2</v>
      </c>
      <c r="C17340">
        <v>0</v>
      </c>
      <c r="D17340">
        <v>0</v>
      </c>
      <c r="E17340">
        <v>0</v>
      </c>
      <c r="F17340">
        <v>246.011</v>
      </c>
    </row>
    <row r="17341" spans="1:6" x14ac:dyDescent="0.25">
      <c r="A17341">
        <v>17340</v>
      </c>
      <c r="B17341">
        <v>10</v>
      </c>
      <c r="C17341">
        <v>1</v>
      </c>
      <c r="D17341">
        <v>0</v>
      </c>
      <c r="E17341">
        <v>0</v>
      </c>
      <c r="F17341">
        <v>5338</v>
      </c>
    </row>
    <row r="17342" spans="1:6" x14ac:dyDescent="0.25">
      <c r="A17342">
        <v>17341</v>
      </c>
      <c r="B17342">
        <v>13</v>
      </c>
      <c r="C17342">
        <v>0</v>
      </c>
      <c r="D17342">
        <v>0</v>
      </c>
      <c r="E17342">
        <v>0</v>
      </c>
      <c r="F17342">
        <v>1616</v>
      </c>
    </row>
    <row r="17343" spans="1:6" x14ac:dyDescent="0.25">
      <c r="A17343">
        <v>17342</v>
      </c>
      <c r="B17343">
        <v>41</v>
      </c>
      <c r="C17343">
        <v>0</v>
      </c>
      <c r="D17343">
        <v>0</v>
      </c>
      <c r="E17343">
        <v>0</v>
      </c>
      <c r="F17343">
        <v>1</v>
      </c>
    </row>
    <row r="17344" spans="1:6" x14ac:dyDescent="0.25">
      <c r="A17344">
        <v>17343</v>
      </c>
      <c r="B17344">
        <v>42</v>
      </c>
      <c r="C17344">
        <v>0</v>
      </c>
      <c r="D17344">
        <v>0</v>
      </c>
      <c r="E17344">
        <v>0</v>
      </c>
      <c r="F17344">
        <v>0.2</v>
      </c>
    </row>
    <row r="17345" spans="1:6" x14ac:dyDescent="0.25">
      <c r="A17345">
        <v>17344</v>
      </c>
      <c r="B17345">
        <v>43</v>
      </c>
      <c r="C17345">
        <v>0</v>
      </c>
      <c r="D17345">
        <v>0</v>
      </c>
      <c r="E17345">
        <v>0</v>
      </c>
      <c r="F17345">
        <v>0</v>
      </c>
    </row>
    <row r="17346" spans="1:6" x14ac:dyDescent="0.25">
      <c r="A17346">
        <v>17345</v>
      </c>
      <c r="B17346">
        <v>44</v>
      </c>
      <c r="C17346">
        <v>0</v>
      </c>
      <c r="D17346">
        <v>0</v>
      </c>
      <c r="E17346">
        <v>0</v>
      </c>
      <c r="F17346">
        <v>53.983400000000003</v>
      </c>
    </row>
    <row r="17347" spans="1:6" x14ac:dyDescent="0.25">
      <c r="A17347">
        <v>17346</v>
      </c>
      <c r="B17347">
        <v>45</v>
      </c>
      <c r="C17347">
        <v>0</v>
      </c>
      <c r="D17347">
        <v>0</v>
      </c>
      <c r="E17347">
        <v>0</v>
      </c>
      <c r="F17347">
        <v>531.57500000000005</v>
      </c>
    </row>
    <row r="17348" spans="1:6" x14ac:dyDescent="0.25">
      <c r="A17348">
        <v>17347</v>
      </c>
      <c r="B17348">
        <v>46</v>
      </c>
      <c r="C17348">
        <v>0</v>
      </c>
      <c r="D17348">
        <v>0</v>
      </c>
      <c r="E17348">
        <v>0</v>
      </c>
      <c r="F17348">
        <v>0</v>
      </c>
    </row>
    <row r="17349" spans="1:6" x14ac:dyDescent="0.25">
      <c r="A17349">
        <v>17348</v>
      </c>
      <c r="B17349">
        <v>2</v>
      </c>
      <c r="C17349">
        <v>0</v>
      </c>
      <c r="D17349">
        <v>0</v>
      </c>
      <c r="E17349">
        <v>0</v>
      </c>
      <c r="F17349">
        <v>246.018</v>
      </c>
    </row>
    <row r="17350" spans="1:6" x14ac:dyDescent="0.25">
      <c r="A17350">
        <v>17349</v>
      </c>
      <c r="B17350">
        <v>10</v>
      </c>
      <c r="C17350">
        <v>1</v>
      </c>
      <c r="D17350">
        <v>0</v>
      </c>
      <c r="E17350">
        <v>0</v>
      </c>
      <c r="F17350">
        <v>5338</v>
      </c>
    </row>
    <row r="17351" spans="1:6" x14ac:dyDescent="0.25">
      <c r="A17351">
        <v>17350</v>
      </c>
      <c r="B17351">
        <v>13</v>
      </c>
      <c r="C17351">
        <v>0</v>
      </c>
      <c r="D17351">
        <v>0</v>
      </c>
      <c r="E17351">
        <v>0</v>
      </c>
      <c r="F17351">
        <v>1616</v>
      </c>
    </row>
    <row r="17352" spans="1:6" x14ac:dyDescent="0.25">
      <c r="A17352">
        <v>17351</v>
      </c>
      <c r="B17352">
        <v>41</v>
      </c>
      <c r="C17352">
        <v>0</v>
      </c>
      <c r="D17352">
        <v>0</v>
      </c>
      <c r="E17352">
        <v>0</v>
      </c>
      <c r="F17352">
        <v>1</v>
      </c>
    </row>
    <row r="17353" spans="1:6" x14ac:dyDescent="0.25">
      <c r="A17353">
        <v>17352</v>
      </c>
      <c r="B17353">
        <v>42</v>
      </c>
      <c r="C17353">
        <v>0</v>
      </c>
      <c r="D17353">
        <v>0</v>
      </c>
      <c r="E17353">
        <v>0</v>
      </c>
      <c r="F17353">
        <v>0.2</v>
      </c>
    </row>
    <row r="17354" spans="1:6" x14ac:dyDescent="0.25">
      <c r="A17354">
        <v>17353</v>
      </c>
      <c r="B17354">
        <v>43</v>
      </c>
      <c r="C17354">
        <v>0</v>
      </c>
      <c r="D17354">
        <v>0</v>
      </c>
      <c r="E17354">
        <v>0</v>
      </c>
      <c r="F17354">
        <v>0</v>
      </c>
    </row>
    <row r="17355" spans="1:6" x14ac:dyDescent="0.25">
      <c r="A17355">
        <v>17354</v>
      </c>
      <c r="B17355">
        <v>44</v>
      </c>
      <c r="C17355">
        <v>0</v>
      </c>
      <c r="D17355">
        <v>0</v>
      </c>
      <c r="E17355">
        <v>0</v>
      </c>
      <c r="F17355">
        <v>53.9773</v>
      </c>
    </row>
    <row r="17356" spans="1:6" x14ac:dyDescent="0.25">
      <c r="A17356">
        <v>17355</v>
      </c>
      <c r="B17356" t="s">
        <v>0</v>
      </c>
      <c r="C17356">
        <v>88</v>
      </c>
      <c r="D17356">
        <v>3511</v>
      </c>
      <c r="E17356">
        <v>80766118</v>
      </c>
    </row>
    <row r="17357" spans="1:6" x14ac:dyDescent="0.25">
      <c r="A17357">
        <v>17356</v>
      </c>
      <c r="B17357">
        <v>45</v>
      </c>
      <c r="C17357">
        <v>0</v>
      </c>
      <c r="D17357">
        <v>0</v>
      </c>
      <c r="E17357">
        <v>0</v>
      </c>
      <c r="F17357">
        <v>531.64800000000002</v>
      </c>
    </row>
    <row r="17358" spans="1:6" x14ac:dyDescent="0.25">
      <c r="A17358">
        <v>17357</v>
      </c>
      <c r="B17358">
        <v>46</v>
      </c>
      <c r="C17358">
        <v>0</v>
      </c>
      <c r="D17358">
        <v>0</v>
      </c>
      <c r="E17358">
        <v>0</v>
      </c>
      <c r="F17358">
        <v>0</v>
      </c>
    </row>
    <row r="17359" spans="1:6" x14ac:dyDescent="0.25">
      <c r="A17359">
        <v>17358</v>
      </c>
      <c r="B17359" t="s">
        <v>0</v>
      </c>
      <c r="C17359">
        <v>89</v>
      </c>
      <c r="D17359">
        <v>3511</v>
      </c>
      <c r="E17359">
        <v>80766253</v>
      </c>
    </row>
    <row r="17360" spans="1:6" x14ac:dyDescent="0.25">
      <c r="A17360">
        <v>17359</v>
      </c>
      <c r="B17360">
        <v>2</v>
      </c>
      <c r="C17360">
        <v>0</v>
      </c>
      <c r="D17360">
        <v>0</v>
      </c>
      <c r="E17360">
        <v>0</v>
      </c>
      <c r="F17360">
        <v>246.02500000000001</v>
      </c>
    </row>
    <row r="17361" spans="1:6" x14ac:dyDescent="0.25">
      <c r="A17361">
        <v>17360</v>
      </c>
      <c r="B17361">
        <v>10</v>
      </c>
      <c r="C17361">
        <v>1</v>
      </c>
      <c r="D17361">
        <v>0</v>
      </c>
      <c r="E17361">
        <v>0</v>
      </c>
      <c r="F17361">
        <v>5338</v>
      </c>
    </row>
    <row r="17362" spans="1:6" x14ac:dyDescent="0.25">
      <c r="A17362">
        <v>17361</v>
      </c>
      <c r="B17362" t="s">
        <v>0</v>
      </c>
      <c r="C17362">
        <v>90</v>
      </c>
      <c r="D17362">
        <v>3511</v>
      </c>
      <c r="E17362">
        <v>80766388</v>
      </c>
    </row>
    <row r="17363" spans="1:6" x14ac:dyDescent="0.25">
      <c r="A17363">
        <v>17362</v>
      </c>
      <c r="B17363">
        <v>13</v>
      </c>
      <c r="C17363">
        <v>0</v>
      </c>
      <c r="D17363">
        <v>0</v>
      </c>
      <c r="E17363">
        <v>0</v>
      </c>
      <c r="F17363">
        <v>1616</v>
      </c>
    </row>
    <row r="17364" spans="1:6" x14ac:dyDescent="0.25">
      <c r="A17364">
        <v>17363</v>
      </c>
      <c r="B17364">
        <v>41</v>
      </c>
      <c r="C17364">
        <v>0</v>
      </c>
      <c r="D17364">
        <v>0</v>
      </c>
      <c r="E17364">
        <v>0</v>
      </c>
      <c r="F17364">
        <v>1</v>
      </c>
    </row>
    <row r="17365" spans="1:6" x14ac:dyDescent="0.25">
      <c r="A17365">
        <v>17364</v>
      </c>
      <c r="B17365" t="s">
        <v>0</v>
      </c>
      <c r="C17365">
        <v>91</v>
      </c>
      <c r="D17365">
        <v>3511</v>
      </c>
      <c r="E17365">
        <v>80766523</v>
      </c>
    </row>
    <row r="17366" spans="1:6" x14ac:dyDescent="0.25">
      <c r="A17366">
        <v>17365</v>
      </c>
      <c r="B17366">
        <v>42</v>
      </c>
      <c r="C17366">
        <v>0</v>
      </c>
      <c r="D17366">
        <v>0</v>
      </c>
      <c r="E17366">
        <v>0</v>
      </c>
      <c r="F17366">
        <v>0.2</v>
      </c>
    </row>
    <row r="17367" spans="1:6" x14ac:dyDescent="0.25">
      <c r="A17367">
        <v>17366</v>
      </c>
      <c r="B17367">
        <v>43</v>
      </c>
      <c r="C17367">
        <v>0</v>
      </c>
      <c r="D17367">
        <v>0</v>
      </c>
      <c r="E17367">
        <v>0</v>
      </c>
      <c r="F17367">
        <v>0</v>
      </c>
    </row>
    <row r="17368" spans="1:6" x14ac:dyDescent="0.25">
      <c r="A17368">
        <v>17367</v>
      </c>
      <c r="B17368" t="s">
        <v>0</v>
      </c>
      <c r="C17368">
        <v>92</v>
      </c>
      <c r="D17368">
        <v>3511</v>
      </c>
      <c r="E17368">
        <v>80766658</v>
      </c>
    </row>
    <row r="17369" spans="1:6" x14ac:dyDescent="0.25">
      <c r="A17369">
        <v>17368</v>
      </c>
      <c r="B17369">
        <v>44</v>
      </c>
      <c r="C17369">
        <v>0</v>
      </c>
      <c r="D17369">
        <v>0</v>
      </c>
      <c r="E17369">
        <v>0</v>
      </c>
      <c r="F17369">
        <v>53.971200000000003</v>
      </c>
    </row>
    <row r="17370" spans="1:6" x14ac:dyDescent="0.25">
      <c r="A17370">
        <v>17369</v>
      </c>
      <c r="B17370">
        <v>45</v>
      </c>
      <c r="C17370">
        <v>0</v>
      </c>
      <c r="D17370">
        <v>0</v>
      </c>
      <c r="E17370">
        <v>0</v>
      </c>
      <c r="F17370">
        <v>531.70600000000002</v>
      </c>
    </row>
    <row r="17371" spans="1:6" x14ac:dyDescent="0.25">
      <c r="A17371">
        <v>17370</v>
      </c>
      <c r="B17371" t="s">
        <v>0</v>
      </c>
      <c r="C17371">
        <v>93</v>
      </c>
      <c r="D17371">
        <v>3511</v>
      </c>
      <c r="E17371">
        <v>80766793</v>
      </c>
    </row>
    <row r="17372" spans="1:6" x14ac:dyDescent="0.25">
      <c r="A17372">
        <v>17371</v>
      </c>
      <c r="B17372">
        <v>46</v>
      </c>
      <c r="C17372">
        <v>0</v>
      </c>
      <c r="D17372">
        <v>0</v>
      </c>
      <c r="E17372">
        <v>0</v>
      </c>
      <c r="F17372">
        <v>0</v>
      </c>
    </row>
    <row r="17373" spans="1:6" x14ac:dyDescent="0.25">
      <c r="A17373">
        <v>17372</v>
      </c>
      <c r="B17373">
        <v>2</v>
      </c>
      <c r="C17373">
        <v>0</v>
      </c>
      <c r="D17373">
        <v>0</v>
      </c>
      <c r="E17373">
        <v>0</v>
      </c>
      <c r="F17373">
        <v>246.03</v>
      </c>
    </row>
    <row r="17374" spans="1:6" x14ac:dyDescent="0.25">
      <c r="A17374">
        <v>17373</v>
      </c>
      <c r="B17374" t="s">
        <v>0</v>
      </c>
      <c r="C17374">
        <v>94</v>
      </c>
      <c r="D17374">
        <v>3511</v>
      </c>
      <c r="E17374">
        <v>80766928</v>
      </c>
    </row>
    <row r="17375" spans="1:6" x14ac:dyDescent="0.25">
      <c r="A17375">
        <v>17374</v>
      </c>
      <c r="B17375">
        <v>10</v>
      </c>
      <c r="C17375">
        <v>1</v>
      </c>
      <c r="D17375">
        <v>0</v>
      </c>
      <c r="E17375">
        <v>0</v>
      </c>
      <c r="F17375">
        <v>5338</v>
      </c>
    </row>
    <row r="17376" spans="1:6" x14ac:dyDescent="0.25">
      <c r="A17376">
        <v>17375</v>
      </c>
      <c r="B17376">
        <v>13</v>
      </c>
      <c r="C17376">
        <v>0</v>
      </c>
      <c r="D17376">
        <v>0</v>
      </c>
      <c r="E17376">
        <v>0</v>
      </c>
      <c r="F17376">
        <v>1616</v>
      </c>
    </row>
    <row r="17377" spans="1:6" x14ac:dyDescent="0.25">
      <c r="A17377">
        <v>17376</v>
      </c>
      <c r="B17377" t="s">
        <v>0</v>
      </c>
      <c r="C17377">
        <v>95</v>
      </c>
      <c r="D17377">
        <v>3511</v>
      </c>
      <c r="E17377">
        <v>80767063</v>
      </c>
    </row>
    <row r="17378" spans="1:6" x14ac:dyDescent="0.25">
      <c r="A17378">
        <v>17377</v>
      </c>
      <c r="B17378">
        <v>41</v>
      </c>
      <c r="C17378">
        <v>0</v>
      </c>
      <c r="D17378">
        <v>0</v>
      </c>
      <c r="E17378">
        <v>0</v>
      </c>
      <c r="F17378">
        <v>1</v>
      </c>
    </row>
    <row r="17379" spans="1:6" x14ac:dyDescent="0.25">
      <c r="A17379">
        <v>17378</v>
      </c>
      <c r="B17379">
        <v>42</v>
      </c>
      <c r="C17379">
        <v>0</v>
      </c>
      <c r="D17379">
        <v>0</v>
      </c>
      <c r="E17379">
        <v>0</v>
      </c>
      <c r="F17379">
        <v>0.2</v>
      </c>
    </row>
    <row r="17380" spans="1:6" x14ac:dyDescent="0.25">
      <c r="A17380">
        <v>17379</v>
      </c>
      <c r="B17380" t="s">
        <v>0</v>
      </c>
      <c r="C17380">
        <v>96</v>
      </c>
      <c r="D17380">
        <v>3511</v>
      </c>
      <c r="E17380">
        <v>80767198</v>
      </c>
    </row>
    <row r="17381" spans="1:6" x14ac:dyDescent="0.25">
      <c r="A17381">
        <v>17380</v>
      </c>
      <c r="B17381">
        <v>43</v>
      </c>
      <c r="C17381">
        <v>0</v>
      </c>
      <c r="D17381">
        <v>0</v>
      </c>
      <c r="E17381">
        <v>0</v>
      </c>
      <c r="F17381">
        <v>0</v>
      </c>
    </row>
    <row r="17382" spans="1:6" x14ac:dyDescent="0.25">
      <c r="A17382">
        <v>17381</v>
      </c>
      <c r="B17382">
        <v>44</v>
      </c>
      <c r="C17382">
        <v>0</v>
      </c>
      <c r="D17382">
        <v>0</v>
      </c>
      <c r="E17382">
        <v>0</v>
      </c>
      <c r="F17382">
        <v>53.967300000000002</v>
      </c>
    </row>
    <row r="17383" spans="1:6" x14ac:dyDescent="0.25">
      <c r="A17383">
        <v>17382</v>
      </c>
      <c r="B17383" t="s">
        <v>0</v>
      </c>
      <c r="C17383">
        <v>97</v>
      </c>
      <c r="D17383">
        <v>3511</v>
      </c>
      <c r="E17383">
        <v>80767333</v>
      </c>
    </row>
    <row r="17384" spans="1:6" x14ac:dyDescent="0.25">
      <c r="A17384">
        <v>17383</v>
      </c>
      <c r="B17384">
        <v>45</v>
      </c>
      <c r="C17384">
        <v>0</v>
      </c>
      <c r="D17384">
        <v>0</v>
      </c>
      <c r="E17384">
        <v>0</v>
      </c>
      <c r="F17384">
        <v>531.779</v>
      </c>
    </row>
    <row r="17385" spans="1:6" x14ac:dyDescent="0.25">
      <c r="A17385">
        <v>17384</v>
      </c>
      <c r="B17385">
        <v>46</v>
      </c>
      <c r="C17385">
        <v>0</v>
      </c>
      <c r="D17385">
        <v>0</v>
      </c>
      <c r="E17385">
        <v>0</v>
      </c>
      <c r="F17385">
        <v>0</v>
      </c>
    </row>
    <row r="17386" spans="1:6" x14ac:dyDescent="0.25">
      <c r="A17386">
        <v>17385</v>
      </c>
      <c r="B17386" t="s">
        <v>0</v>
      </c>
      <c r="C17386">
        <v>98</v>
      </c>
      <c r="D17386">
        <v>3511</v>
      </c>
      <c r="E17386">
        <v>80767467</v>
      </c>
    </row>
    <row r="17387" spans="1:6" x14ac:dyDescent="0.25">
      <c r="A17387">
        <v>17386</v>
      </c>
      <c r="B17387">
        <v>2</v>
      </c>
      <c r="C17387">
        <v>0</v>
      </c>
      <c r="D17387">
        <v>0</v>
      </c>
      <c r="E17387">
        <v>0</v>
      </c>
      <c r="F17387">
        <v>246.03399999999999</v>
      </c>
    </row>
    <row r="17388" spans="1:6" x14ac:dyDescent="0.25">
      <c r="A17388">
        <v>17387</v>
      </c>
      <c r="B17388">
        <v>10</v>
      </c>
      <c r="C17388">
        <v>1</v>
      </c>
      <c r="D17388">
        <v>0</v>
      </c>
      <c r="E17388">
        <v>0</v>
      </c>
      <c r="F17388">
        <v>5338</v>
      </c>
    </row>
    <row r="17389" spans="1:6" x14ac:dyDescent="0.25">
      <c r="A17389">
        <v>17388</v>
      </c>
      <c r="B17389" t="s">
        <v>0</v>
      </c>
      <c r="C17389">
        <v>99</v>
      </c>
      <c r="D17389">
        <v>3511</v>
      </c>
      <c r="E17389">
        <v>80767602</v>
      </c>
    </row>
    <row r="17390" spans="1:6" x14ac:dyDescent="0.25">
      <c r="A17390">
        <v>17389</v>
      </c>
      <c r="B17390">
        <v>41</v>
      </c>
      <c r="C17390">
        <v>0</v>
      </c>
      <c r="D17390">
        <v>0</v>
      </c>
      <c r="E17390">
        <v>0</v>
      </c>
      <c r="F17390">
        <v>1</v>
      </c>
    </row>
    <row r="17391" spans="1:6" x14ac:dyDescent="0.25">
      <c r="A17391">
        <v>17390</v>
      </c>
      <c r="B17391" t="s">
        <v>0</v>
      </c>
      <c r="C17391">
        <v>100</v>
      </c>
      <c r="D17391">
        <v>3511</v>
      </c>
      <c r="E17391">
        <v>80767737</v>
      </c>
    </row>
    <row r="17392" spans="1:6" x14ac:dyDescent="0.25">
      <c r="A17392">
        <v>17391</v>
      </c>
      <c r="B17392">
        <v>43</v>
      </c>
      <c r="C17392">
        <v>0</v>
      </c>
      <c r="D17392">
        <v>0</v>
      </c>
      <c r="E17392">
        <v>0</v>
      </c>
      <c r="F17392">
        <v>0</v>
      </c>
    </row>
    <row r="17393" spans="1:6" x14ac:dyDescent="0.25">
      <c r="A17393">
        <v>17392</v>
      </c>
      <c r="B17393" t="s">
        <v>0</v>
      </c>
      <c r="C17393">
        <v>101</v>
      </c>
      <c r="D17393">
        <v>3511</v>
      </c>
      <c r="E17393">
        <v>80767872</v>
      </c>
    </row>
    <row r="17394" spans="1:6" x14ac:dyDescent="0.25">
      <c r="A17394">
        <v>17393</v>
      </c>
      <c r="B17394">
        <v>45</v>
      </c>
      <c r="C17394">
        <v>0</v>
      </c>
      <c r="D17394">
        <v>0</v>
      </c>
      <c r="E17394">
        <v>0</v>
      </c>
      <c r="F17394">
        <v>531.83799999999997</v>
      </c>
    </row>
    <row r="17395" spans="1:6" x14ac:dyDescent="0.25">
      <c r="A17395">
        <v>17394</v>
      </c>
      <c r="B17395" t="s">
        <v>0</v>
      </c>
      <c r="C17395">
        <v>102</v>
      </c>
      <c r="D17395">
        <v>3511</v>
      </c>
      <c r="E17395">
        <v>80768006</v>
      </c>
    </row>
    <row r="17396" spans="1:6" x14ac:dyDescent="0.25">
      <c r="A17396">
        <v>17395</v>
      </c>
      <c r="B17396">
        <v>2</v>
      </c>
      <c r="C17396">
        <v>0</v>
      </c>
      <c r="D17396">
        <v>0</v>
      </c>
      <c r="E17396">
        <v>0</v>
      </c>
      <c r="F17396">
        <v>246.04599999999999</v>
      </c>
    </row>
    <row r="17397" spans="1:6" x14ac:dyDescent="0.25">
      <c r="A17397">
        <v>17396</v>
      </c>
      <c r="B17397" t="s">
        <v>0</v>
      </c>
      <c r="C17397">
        <v>103</v>
      </c>
      <c r="D17397">
        <v>3511</v>
      </c>
      <c r="E17397">
        <v>80768141</v>
      </c>
    </row>
    <row r="17398" spans="1:6" x14ac:dyDescent="0.25">
      <c r="A17398">
        <v>17397</v>
      </c>
      <c r="B17398">
        <v>13</v>
      </c>
      <c r="C17398">
        <v>0</v>
      </c>
      <c r="D17398">
        <v>0</v>
      </c>
      <c r="E17398">
        <v>0</v>
      </c>
      <c r="F17398">
        <v>1616</v>
      </c>
    </row>
    <row r="17399" spans="1:6" x14ac:dyDescent="0.25">
      <c r="A17399">
        <v>17398</v>
      </c>
      <c r="B17399" t="s">
        <v>0</v>
      </c>
      <c r="C17399">
        <v>104</v>
      </c>
      <c r="D17399">
        <v>3511</v>
      </c>
      <c r="E17399">
        <v>80768276</v>
      </c>
    </row>
    <row r="17400" spans="1:6" x14ac:dyDescent="0.25">
      <c r="A17400">
        <v>17399</v>
      </c>
      <c r="B17400">
        <v>42</v>
      </c>
      <c r="C17400">
        <v>0</v>
      </c>
      <c r="D17400">
        <v>0</v>
      </c>
      <c r="E17400">
        <v>0</v>
      </c>
      <c r="F17400">
        <v>0.2</v>
      </c>
    </row>
    <row r="17401" spans="1:6" x14ac:dyDescent="0.25">
      <c r="A17401">
        <v>17400</v>
      </c>
      <c r="B17401" t="s">
        <v>0</v>
      </c>
      <c r="C17401">
        <v>105</v>
      </c>
      <c r="D17401">
        <v>3511</v>
      </c>
      <c r="E17401">
        <v>80768410</v>
      </c>
    </row>
    <row r="17402" spans="1:6" x14ac:dyDescent="0.25">
      <c r="A17402">
        <v>17401</v>
      </c>
      <c r="B17402">
        <v>44</v>
      </c>
      <c r="C17402">
        <v>0</v>
      </c>
      <c r="D17402">
        <v>0</v>
      </c>
      <c r="E17402">
        <v>0</v>
      </c>
      <c r="F17402">
        <v>53.901600000000002</v>
      </c>
    </row>
    <row r="17403" spans="1:6" x14ac:dyDescent="0.25">
      <c r="A17403">
        <v>17402</v>
      </c>
      <c r="B17403" t="s">
        <v>0</v>
      </c>
      <c r="C17403">
        <v>106</v>
      </c>
      <c r="D17403">
        <v>3511</v>
      </c>
      <c r="E17403">
        <v>80768545</v>
      </c>
    </row>
    <row r="17404" spans="1:6" x14ac:dyDescent="0.25">
      <c r="A17404">
        <v>17403</v>
      </c>
      <c r="B17404">
        <v>46</v>
      </c>
      <c r="C17404">
        <v>0</v>
      </c>
      <c r="D17404">
        <v>0</v>
      </c>
      <c r="E17404">
        <v>0</v>
      </c>
      <c r="F17404">
        <v>0</v>
      </c>
    </row>
    <row r="17405" spans="1:6" x14ac:dyDescent="0.25">
      <c r="A17405">
        <v>17404</v>
      </c>
      <c r="B17405" t="s">
        <v>0</v>
      </c>
      <c r="C17405">
        <v>107</v>
      </c>
      <c r="D17405">
        <v>3511</v>
      </c>
      <c r="E17405">
        <v>80768680</v>
      </c>
    </row>
    <row r="17406" spans="1:6" x14ac:dyDescent="0.25">
      <c r="A17406">
        <v>17405</v>
      </c>
      <c r="B17406">
        <v>10</v>
      </c>
      <c r="C17406">
        <v>1</v>
      </c>
      <c r="D17406">
        <v>0</v>
      </c>
      <c r="E17406">
        <v>0</v>
      </c>
      <c r="F17406">
        <v>5337</v>
      </c>
    </row>
    <row r="17407" spans="1:6" x14ac:dyDescent="0.25">
      <c r="A17407">
        <v>17406</v>
      </c>
      <c r="B17407" t="s">
        <v>0</v>
      </c>
      <c r="C17407">
        <v>108</v>
      </c>
      <c r="D17407">
        <v>3511</v>
      </c>
      <c r="E17407">
        <v>80768814</v>
      </c>
    </row>
    <row r="17408" spans="1:6" x14ac:dyDescent="0.25">
      <c r="A17408">
        <v>17407</v>
      </c>
      <c r="B17408">
        <v>41</v>
      </c>
      <c r="C17408">
        <v>0</v>
      </c>
      <c r="D17408">
        <v>0</v>
      </c>
      <c r="E17408">
        <v>0</v>
      </c>
      <c r="F17408">
        <v>1</v>
      </c>
    </row>
    <row r="17409" spans="1:6" x14ac:dyDescent="0.25">
      <c r="A17409">
        <v>17408</v>
      </c>
      <c r="B17409" t="s">
        <v>0</v>
      </c>
      <c r="C17409">
        <v>109</v>
      </c>
      <c r="D17409">
        <v>3511</v>
      </c>
      <c r="E17409">
        <v>80768949</v>
      </c>
    </row>
    <row r="17410" spans="1:6" x14ac:dyDescent="0.25">
      <c r="A17410">
        <v>17409</v>
      </c>
      <c r="B17410">
        <v>43</v>
      </c>
      <c r="C17410">
        <v>0</v>
      </c>
      <c r="D17410">
        <v>0</v>
      </c>
      <c r="E17410">
        <v>0</v>
      </c>
      <c r="F17410">
        <v>0</v>
      </c>
    </row>
    <row r="17411" spans="1:6" x14ac:dyDescent="0.25">
      <c r="A17411">
        <v>17410</v>
      </c>
      <c r="B17411" t="s">
        <v>0</v>
      </c>
      <c r="C17411">
        <v>110</v>
      </c>
      <c r="D17411">
        <v>3511</v>
      </c>
      <c r="E17411">
        <v>80769084</v>
      </c>
    </row>
    <row r="17412" spans="1:6" x14ac:dyDescent="0.25">
      <c r="A17412">
        <v>17411</v>
      </c>
      <c r="B17412">
        <v>45</v>
      </c>
      <c r="C17412">
        <v>0</v>
      </c>
      <c r="D17412">
        <v>0</v>
      </c>
      <c r="E17412">
        <v>0</v>
      </c>
      <c r="F17412">
        <v>531.96900000000005</v>
      </c>
    </row>
    <row r="17413" spans="1:6" x14ac:dyDescent="0.25">
      <c r="A17413">
        <v>17412</v>
      </c>
      <c r="B17413" t="s">
        <v>0</v>
      </c>
      <c r="C17413">
        <v>111</v>
      </c>
      <c r="D17413">
        <v>3511</v>
      </c>
      <c r="E17413">
        <v>80769218</v>
      </c>
    </row>
    <row r="17414" spans="1:6" x14ac:dyDescent="0.25">
      <c r="A17414">
        <v>17413</v>
      </c>
      <c r="B17414">
        <v>2</v>
      </c>
      <c r="C17414">
        <v>0</v>
      </c>
      <c r="D17414">
        <v>0</v>
      </c>
      <c r="E17414">
        <v>0</v>
      </c>
      <c r="F17414">
        <v>246.18299999999999</v>
      </c>
    </row>
    <row r="17415" spans="1:6" x14ac:dyDescent="0.25">
      <c r="A17415">
        <v>17414</v>
      </c>
      <c r="B17415">
        <v>10</v>
      </c>
      <c r="C17415">
        <v>1</v>
      </c>
      <c r="D17415">
        <v>0</v>
      </c>
      <c r="E17415">
        <v>0</v>
      </c>
      <c r="F17415">
        <v>5335</v>
      </c>
    </row>
    <row r="17416" spans="1:6" x14ac:dyDescent="0.25">
      <c r="A17416">
        <v>17415</v>
      </c>
      <c r="B17416">
        <v>13</v>
      </c>
      <c r="C17416">
        <v>0</v>
      </c>
      <c r="D17416">
        <v>0</v>
      </c>
      <c r="E17416">
        <v>0</v>
      </c>
      <c r="F17416">
        <v>1616</v>
      </c>
    </row>
    <row r="17417" spans="1:6" x14ac:dyDescent="0.25">
      <c r="A17417">
        <v>17416</v>
      </c>
      <c r="B17417">
        <v>41</v>
      </c>
      <c r="C17417">
        <v>0</v>
      </c>
      <c r="D17417">
        <v>0</v>
      </c>
      <c r="E17417">
        <v>0</v>
      </c>
      <c r="F17417">
        <v>1</v>
      </c>
    </row>
    <row r="17418" spans="1:6" x14ac:dyDescent="0.25">
      <c r="A17418">
        <v>17417</v>
      </c>
      <c r="B17418">
        <v>42</v>
      </c>
      <c r="C17418">
        <v>0</v>
      </c>
      <c r="D17418">
        <v>0</v>
      </c>
      <c r="E17418">
        <v>0</v>
      </c>
      <c r="F17418">
        <v>0.2</v>
      </c>
    </row>
    <row r="17419" spans="1:6" x14ac:dyDescent="0.25">
      <c r="A17419">
        <v>17418</v>
      </c>
      <c r="B17419">
        <v>43</v>
      </c>
      <c r="C17419">
        <v>0</v>
      </c>
      <c r="D17419">
        <v>0</v>
      </c>
      <c r="E17419">
        <v>0</v>
      </c>
      <c r="F17419">
        <v>0</v>
      </c>
    </row>
    <row r="17420" spans="1:6" x14ac:dyDescent="0.25">
      <c r="A17420">
        <v>17419</v>
      </c>
      <c r="B17420">
        <v>44</v>
      </c>
      <c r="C17420">
        <v>0</v>
      </c>
      <c r="D17420">
        <v>0</v>
      </c>
      <c r="E17420">
        <v>0</v>
      </c>
      <c r="F17420">
        <v>53.784599999999998</v>
      </c>
    </row>
    <row r="17421" spans="1:6" x14ac:dyDescent="0.25">
      <c r="A17421">
        <v>17420</v>
      </c>
      <c r="B17421">
        <v>45</v>
      </c>
      <c r="C17421">
        <v>0</v>
      </c>
      <c r="D17421">
        <v>0</v>
      </c>
      <c r="E17421">
        <v>0</v>
      </c>
      <c r="F17421">
        <v>532.02700000000004</v>
      </c>
    </row>
    <row r="17422" spans="1:6" x14ac:dyDescent="0.25">
      <c r="A17422">
        <v>17421</v>
      </c>
      <c r="B17422">
        <v>46</v>
      </c>
      <c r="C17422">
        <v>0</v>
      </c>
      <c r="D17422">
        <v>0</v>
      </c>
      <c r="E17422">
        <v>0</v>
      </c>
      <c r="F17422">
        <v>0</v>
      </c>
    </row>
    <row r="17423" spans="1:6" x14ac:dyDescent="0.25">
      <c r="A17423">
        <v>17422</v>
      </c>
      <c r="B17423">
        <v>2</v>
      </c>
      <c r="C17423">
        <v>0</v>
      </c>
      <c r="D17423">
        <v>0</v>
      </c>
      <c r="E17423">
        <v>0</v>
      </c>
      <c r="F17423">
        <v>246.22499999999999</v>
      </c>
    </row>
    <row r="17424" spans="1:6" x14ac:dyDescent="0.25">
      <c r="A17424">
        <v>17423</v>
      </c>
      <c r="B17424">
        <v>10</v>
      </c>
      <c r="C17424">
        <v>1</v>
      </c>
      <c r="D17424">
        <v>0</v>
      </c>
      <c r="E17424">
        <v>0</v>
      </c>
      <c r="F17424">
        <v>5334</v>
      </c>
    </row>
    <row r="17425" spans="1:6" x14ac:dyDescent="0.25">
      <c r="A17425">
        <v>17424</v>
      </c>
      <c r="B17425">
        <v>13</v>
      </c>
      <c r="C17425">
        <v>0</v>
      </c>
      <c r="D17425">
        <v>0</v>
      </c>
      <c r="E17425">
        <v>0</v>
      </c>
      <c r="F17425">
        <v>1616</v>
      </c>
    </row>
    <row r="17426" spans="1:6" x14ac:dyDescent="0.25">
      <c r="A17426">
        <v>17425</v>
      </c>
      <c r="B17426">
        <v>41</v>
      </c>
      <c r="C17426">
        <v>0</v>
      </c>
      <c r="D17426">
        <v>0</v>
      </c>
      <c r="E17426">
        <v>0</v>
      </c>
      <c r="F17426">
        <v>1</v>
      </c>
    </row>
    <row r="17427" spans="1:6" x14ac:dyDescent="0.25">
      <c r="A17427">
        <v>17426</v>
      </c>
      <c r="B17427">
        <v>42</v>
      </c>
      <c r="C17427">
        <v>0</v>
      </c>
      <c r="D17427">
        <v>0</v>
      </c>
      <c r="E17427">
        <v>0</v>
      </c>
      <c r="F17427">
        <v>0.2</v>
      </c>
    </row>
    <row r="17428" spans="1:6" x14ac:dyDescent="0.25">
      <c r="A17428">
        <v>17427</v>
      </c>
      <c r="B17428">
        <v>43</v>
      </c>
      <c r="C17428">
        <v>0</v>
      </c>
      <c r="D17428">
        <v>0</v>
      </c>
      <c r="E17428">
        <v>0</v>
      </c>
      <c r="F17428">
        <v>0</v>
      </c>
    </row>
    <row r="17429" spans="1:6" x14ac:dyDescent="0.25">
      <c r="A17429">
        <v>17428</v>
      </c>
      <c r="B17429">
        <v>44</v>
      </c>
      <c r="C17429">
        <v>0</v>
      </c>
      <c r="D17429">
        <v>0</v>
      </c>
      <c r="E17429">
        <v>0</v>
      </c>
      <c r="F17429">
        <v>53.747900000000001</v>
      </c>
    </row>
    <row r="17430" spans="1:6" x14ac:dyDescent="0.25">
      <c r="A17430">
        <v>17429</v>
      </c>
      <c r="B17430">
        <v>45</v>
      </c>
      <c r="C17430">
        <v>0</v>
      </c>
      <c r="D17430">
        <v>0</v>
      </c>
      <c r="E17430">
        <v>0</v>
      </c>
      <c r="F17430">
        <v>532.1</v>
      </c>
    </row>
    <row r="17431" spans="1:6" x14ac:dyDescent="0.25">
      <c r="A17431">
        <v>17430</v>
      </c>
      <c r="B17431">
        <v>46</v>
      </c>
      <c r="C17431">
        <v>0</v>
      </c>
      <c r="D17431">
        <v>0</v>
      </c>
      <c r="E17431">
        <v>0</v>
      </c>
      <c r="F17431">
        <v>0</v>
      </c>
    </row>
    <row r="17432" spans="1:6" x14ac:dyDescent="0.25">
      <c r="A17432">
        <v>17431</v>
      </c>
      <c r="B17432">
        <v>2</v>
      </c>
      <c r="C17432">
        <v>0</v>
      </c>
      <c r="D17432">
        <v>0</v>
      </c>
      <c r="E17432">
        <v>0</v>
      </c>
      <c r="F17432">
        <v>246.268</v>
      </c>
    </row>
    <row r="17433" spans="1:6" x14ac:dyDescent="0.25">
      <c r="A17433">
        <v>17432</v>
      </c>
      <c r="B17433">
        <v>10</v>
      </c>
      <c r="C17433">
        <v>1</v>
      </c>
      <c r="D17433">
        <v>0</v>
      </c>
      <c r="E17433">
        <v>0</v>
      </c>
      <c r="F17433">
        <v>5334</v>
      </c>
    </row>
    <row r="17434" spans="1:6" x14ac:dyDescent="0.25">
      <c r="A17434">
        <v>17433</v>
      </c>
      <c r="B17434">
        <v>13</v>
      </c>
      <c r="C17434">
        <v>0</v>
      </c>
      <c r="D17434">
        <v>0</v>
      </c>
      <c r="E17434">
        <v>0</v>
      </c>
      <c r="F17434">
        <v>1616</v>
      </c>
    </row>
    <row r="17435" spans="1:6" x14ac:dyDescent="0.25">
      <c r="A17435">
        <v>17434</v>
      </c>
      <c r="B17435">
        <v>41</v>
      </c>
      <c r="C17435">
        <v>0</v>
      </c>
      <c r="D17435">
        <v>0</v>
      </c>
      <c r="E17435">
        <v>0</v>
      </c>
      <c r="F17435">
        <v>1</v>
      </c>
    </row>
    <row r="17436" spans="1:6" x14ac:dyDescent="0.25">
      <c r="A17436">
        <v>17435</v>
      </c>
      <c r="B17436">
        <v>42</v>
      </c>
      <c r="C17436">
        <v>0</v>
      </c>
      <c r="D17436">
        <v>0</v>
      </c>
      <c r="E17436">
        <v>0</v>
      </c>
      <c r="F17436">
        <v>0.2</v>
      </c>
    </row>
    <row r="17437" spans="1:6" x14ac:dyDescent="0.25">
      <c r="A17437">
        <v>17436</v>
      </c>
      <c r="B17437">
        <v>43</v>
      </c>
      <c r="C17437">
        <v>0</v>
      </c>
      <c r="D17437">
        <v>0</v>
      </c>
      <c r="E17437">
        <v>0</v>
      </c>
      <c r="F17437">
        <v>0</v>
      </c>
    </row>
    <row r="17438" spans="1:6" x14ac:dyDescent="0.25">
      <c r="A17438">
        <v>17437</v>
      </c>
      <c r="B17438">
        <v>44</v>
      </c>
      <c r="C17438">
        <v>0</v>
      </c>
      <c r="D17438">
        <v>0</v>
      </c>
      <c r="E17438">
        <v>0</v>
      </c>
      <c r="F17438">
        <v>53.714100000000002</v>
      </c>
    </row>
    <row r="17439" spans="1:6" x14ac:dyDescent="0.25">
      <c r="A17439">
        <v>17438</v>
      </c>
      <c r="B17439">
        <v>45</v>
      </c>
      <c r="C17439">
        <v>0</v>
      </c>
      <c r="D17439">
        <v>0</v>
      </c>
      <c r="E17439">
        <v>0</v>
      </c>
      <c r="F17439">
        <v>532.15800000000002</v>
      </c>
    </row>
    <row r="17440" spans="1:6" x14ac:dyDescent="0.25">
      <c r="A17440">
        <v>17439</v>
      </c>
      <c r="B17440">
        <v>46</v>
      </c>
      <c r="C17440">
        <v>0</v>
      </c>
      <c r="D17440">
        <v>0</v>
      </c>
      <c r="E17440">
        <v>0</v>
      </c>
      <c r="F17440">
        <v>0</v>
      </c>
    </row>
    <row r="17441" spans="1:6" x14ac:dyDescent="0.25">
      <c r="A17441">
        <v>17440</v>
      </c>
      <c r="B17441">
        <v>2</v>
      </c>
      <c r="C17441">
        <v>0</v>
      </c>
      <c r="D17441">
        <v>0</v>
      </c>
      <c r="E17441">
        <v>0</v>
      </c>
      <c r="F17441">
        <v>246.29499999999999</v>
      </c>
    </row>
    <row r="17442" spans="1:6" x14ac:dyDescent="0.25">
      <c r="A17442">
        <v>17441</v>
      </c>
      <c r="B17442">
        <v>10</v>
      </c>
      <c r="C17442">
        <v>1</v>
      </c>
      <c r="D17442">
        <v>0</v>
      </c>
      <c r="E17442">
        <v>0</v>
      </c>
      <c r="F17442">
        <v>5333</v>
      </c>
    </row>
    <row r="17443" spans="1:6" x14ac:dyDescent="0.25">
      <c r="A17443">
        <v>17442</v>
      </c>
      <c r="B17443">
        <v>13</v>
      </c>
      <c r="C17443">
        <v>0</v>
      </c>
      <c r="D17443">
        <v>0</v>
      </c>
      <c r="E17443">
        <v>0</v>
      </c>
      <c r="F17443">
        <v>1616</v>
      </c>
    </row>
    <row r="17444" spans="1:6" x14ac:dyDescent="0.25">
      <c r="A17444">
        <v>17443</v>
      </c>
      <c r="B17444">
        <v>41</v>
      </c>
      <c r="C17444">
        <v>0</v>
      </c>
      <c r="D17444">
        <v>0</v>
      </c>
      <c r="E17444">
        <v>0</v>
      </c>
      <c r="F17444">
        <v>1</v>
      </c>
    </row>
    <row r="17445" spans="1:6" x14ac:dyDescent="0.25">
      <c r="A17445">
        <v>17444</v>
      </c>
      <c r="B17445">
        <v>42</v>
      </c>
      <c r="C17445">
        <v>0</v>
      </c>
      <c r="D17445">
        <v>0</v>
      </c>
      <c r="E17445">
        <v>0</v>
      </c>
      <c r="F17445">
        <v>0.2</v>
      </c>
    </row>
    <row r="17446" spans="1:6" x14ac:dyDescent="0.25">
      <c r="A17446">
        <v>17445</v>
      </c>
      <c r="B17446" t="s">
        <v>0</v>
      </c>
      <c r="C17446">
        <v>127</v>
      </c>
      <c r="D17446">
        <v>3511</v>
      </c>
      <c r="E17446">
        <v>80771373</v>
      </c>
    </row>
    <row r="17447" spans="1:6" x14ac:dyDescent="0.25">
      <c r="A17447">
        <v>17446</v>
      </c>
      <c r="B17447">
        <v>43</v>
      </c>
      <c r="C17447">
        <v>0</v>
      </c>
      <c r="D17447">
        <v>0</v>
      </c>
      <c r="E17447">
        <v>0</v>
      </c>
      <c r="F17447">
        <v>0</v>
      </c>
    </row>
    <row r="17448" spans="1:6" x14ac:dyDescent="0.25">
      <c r="A17448">
        <v>17447</v>
      </c>
      <c r="B17448">
        <v>44</v>
      </c>
      <c r="C17448">
        <v>0</v>
      </c>
      <c r="D17448">
        <v>0</v>
      </c>
      <c r="E17448">
        <v>0</v>
      </c>
      <c r="F17448">
        <v>53.688200000000002</v>
      </c>
    </row>
    <row r="17449" spans="1:6" x14ac:dyDescent="0.25">
      <c r="A17449">
        <v>17448</v>
      </c>
      <c r="B17449" t="s">
        <v>0</v>
      </c>
      <c r="C17449">
        <v>128</v>
      </c>
      <c r="D17449">
        <v>3511</v>
      </c>
      <c r="E17449">
        <v>80771508</v>
      </c>
    </row>
    <row r="17450" spans="1:6" x14ac:dyDescent="0.25">
      <c r="A17450">
        <v>17449</v>
      </c>
      <c r="B17450">
        <v>45</v>
      </c>
      <c r="C17450">
        <v>0</v>
      </c>
      <c r="D17450">
        <v>0</v>
      </c>
      <c r="E17450">
        <v>0</v>
      </c>
      <c r="F17450">
        <v>532.23099999999999</v>
      </c>
    </row>
    <row r="17451" spans="1:6" x14ac:dyDescent="0.25">
      <c r="A17451">
        <v>17450</v>
      </c>
      <c r="B17451">
        <v>46</v>
      </c>
      <c r="C17451">
        <v>0</v>
      </c>
      <c r="D17451">
        <v>0</v>
      </c>
      <c r="E17451">
        <v>0</v>
      </c>
      <c r="F17451">
        <v>0</v>
      </c>
    </row>
    <row r="17452" spans="1:6" x14ac:dyDescent="0.25">
      <c r="A17452">
        <v>17451</v>
      </c>
      <c r="B17452" t="s">
        <v>0</v>
      </c>
      <c r="C17452">
        <v>129</v>
      </c>
      <c r="D17452">
        <v>3511</v>
      </c>
      <c r="E17452">
        <v>80771642</v>
      </c>
    </row>
    <row r="17453" spans="1:6" x14ac:dyDescent="0.25">
      <c r="A17453">
        <v>17452</v>
      </c>
      <c r="B17453">
        <v>2</v>
      </c>
      <c r="C17453">
        <v>0</v>
      </c>
      <c r="D17453">
        <v>0</v>
      </c>
      <c r="E17453">
        <v>0</v>
      </c>
      <c r="F17453">
        <v>246.322</v>
      </c>
    </row>
    <row r="17454" spans="1:6" x14ac:dyDescent="0.25">
      <c r="A17454">
        <v>17453</v>
      </c>
      <c r="B17454">
        <v>10</v>
      </c>
      <c r="C17454">
        <v>1</v>
      </c>
      <c r="D17454">
        <v>0</v>
      </c>
      <c r="E17454">
        <v>0</v>
      </c>
      <c r="F17454">
        <v>5333</v>
      </c>
    </row>
    <row r="17455" spans="1:6" x14ac:dyDescent="0.25">
      <c r="A17455">
        <v>17454</v>
      </c>
      <c r="B17455" t="s">
        <v>0</v>
      </c>
      <c r="C17455">
        <v>130</v>
      </c>
      <c r="D17455">
        <v>3511</v>
      </c>
      <c r="E17455">
        <v>80771777</v>
      </c>
    </row>
    <row r="17456" spans="1:6" x14ac:dyDescent="0.25">
      <c r="A17456">
        <v>17455</v>
      </c>
      <c r="B17456">
        <v>13</v>
      </c>
      <c r="C17456">
        <v>0</v>
      </c>
      <c r="D17456">
        <v>0</v>
      </c>
      <c r="E17456">
        <v>0</v>
      </c>
      <c r="F17456">
        <v>1616</v>
      </c>
    </row>
    <row r="17457" spans="1:6" x14ac:dyDescent="0.25">
      <c r="A17457">
        <v>17456</v>
      </c>
      <c r="B17457">
        <v>41</v>
      </c>
      <c r="C17457">
        <v>0</v>
      </c>
      <c r="D17457">
        <v>0</v>
      </c>
      <c r="E17457">
        <v>0</v>
      </c>
      <c r="F17457">
        <v>1</v>
      </c>
    </row>
    <row r="17458" spans="1:6" x14ac:dyDescent="0.25">
      <c r="A17458">
        <v>17457</v>
      </c>
      <c r="B17458" t="s">
        <v>0</v>
      </c>
      <c r="C17458">
        <v>131</v>
      </c>
      <c r="D17458">
        <v>3511</v>
      </c>
      <c r="E17458">
        <v>80771912</v>
      </c>
    </row>
    <row r="17459" spans="1:6" x14ac:dyDescent="0.25">
      <c r="A17459">
        <v>17458</v>
      </c>
      <c r="B17459">
        <v>42</v>
      </c>
      <c r="C17459">
        <v>0</v>
      </c>
      <c r="D17459">
        <v>0</v>
      </c>
      <c r="E17459">
        <v>0</v>
      </c>
      <c r="F17459">
        <v>0.2</v>
      </c>
    </row>
    <row r="17460" spans="1:6" x14ac:dyDescent="0.25">
      <c r="A17460">
        <v>17459</v>
      </c>
      <c r="B17460">
        <v>43</v>
      </c>
      <c r="C17460">
        <v>0</v>
      </c>
      <c r="D17460">
        <v>0</v>
      </c>
      <c r="E17460">
        <v>0</v>
      </c>
      <c r="F17460">
        <v>0</v>
      </c>
    </row>
    <row r="17461" spans="1:6" x14ac:dyDescent="0.25">
      <c r="A17461">
        <v>17460</v>
      </c>
      <c r="B17461" t="s">
        <v>0</v>
      </c>
      <c r="C17461">
        <v>132</v>
      </c>
      <c r="D17461">
        <v>3511</v>
      </c>
      <c r="E17461">
        <v>80772046</v>
      </c>
    </row>
    <row r="17462" spans="1:6" x14ac:dyDescent="0.25">
      <c r="A17462">
        <v>17461</v>
      </c>
      <c r="B17462">
        <v>44</v>
      </c>
      <c r="C17462">
        <v>0</v>
      </c>
      <c r="D17462">
        <v>0</v>
      </c>
      <c r="E17462">
        <v>0</v>
      </c>
      <c r="F17462">
        <v>53.665100000000002</v>
      </c>
    </row>
    <row r="17463" spans="1:6" x14ac:dyDescent="0.25">
      <c r="A17463">
        <v>17462</v>
      </c>
      <c r="B17463">
        <v>45</v>
      </c>
      <c r="C17463">
        <v>0</v>
      </c>
      <c r="D17463">
        <v>0</v>
      </c>
      <c r="E17463">
        <v>0</v>
      </c>
      <c r="F17463">
        <v>532.28899999999999</v>
      </c>
    </row>
    <row r="17464" spans="1:6" x14ac:dyDescent="0.25">
      <c r="A17464">
        <v>17463</v>
      </c>
      <c r="B17464" t="s">
        <v>0</v>
      </c>
      <c r="C17464">
        <v>133</v>
      </c>
      <c r="D17464">
        <v>3511</v>
      </c>
      <c r="E17464">
        <v>80772181</v>
      </c>
    </row>
    <row r="17465" spans="1:6" x14ac:dyDescent="0.25">
      <c r="A17465">
        <v>17464</v>
      </c>
      <c r="B17465">
        <v>46</v>
      </c>
      <c r="C17465">
        <v>0</v>
      </c>
      <c r="D17465">
        <v>0</v>
      </c>
      <c r="E17465">
        <v>0</v>
      </c>
      <c r="F17465">
        <v>0</v>
      </c>
    </row>
    <row r="17466" spans="1:6" x14ac:dyDescent="0.25">
      <c r="A17466">
        <v>17465</v>
      </c>
      <c r="B17466">
        <v>2</v>
      </c>
      <c r="C17466">
        <v>0</v>
      </c>
      <c r="D17466">
        <v>0</v>
      </c>
      <c r="E17466">
        <v>0</v>
      </c>
      <c r="F17466">
        <v>246.339</v>
      </c>
    </row>
    <row r="17467" spans="1:6" x14ac:dyDescent="0.25">
      <c r="A17467">
        <v>17466</v>
      </c>
      <c r="B17467" t="s">
        <v>0</v>
      </c>
      <c r="C17467">
        <v>134</v>
      </c>
      <c r="D17467">
        <v>3511</v>
      </c>
      <c r="E17467">
        <v>80772316</v>
      </c>
    </row>
    <row r="17468" spans="1:6" x14ac:dyDescent="0.25">
      <c r="A17468">
        <v>17467</v>
      </c>
      <c r="B17468">
        <v>10</v>
      </c>
      <c r="C17468">
        <v>1</v>
      </c>
      <c r="D17468">
        <v>0</v>
      </c>
      <c r="E17468">
        <v>0</v>
      </c>
      <c r="F17468">
        <v>5333</v>
      </c>
    </row>
    <row r="17469" spans="1:6" x14ac:dyDescent="0.25">
      <c r="A17469">
        <v>17468</v>
      </c>
      <c r="B17469">
        <v>13</v>
      </c>
      <c r="C17469">
        <v>0</v>
      </c>
      <c r="D17469">
        <v>0</v>
      </c>
      <c r="E17469">
        <v>0</v>
      </c>
      <c r="F17469">
        <v>1616</v>
      </c>
    </row>
    <row r="17470" spans="1:6" x14ac:dyDescent="0.25">
      <c r="A17470">
        <v>17469</v>
      </c>
      <c r="B17470" t="s">
        <v>0</v>
      </c>
      <c r="C17470">
        <v>135</v>
      </c>
      <c r="D17470">
        <v>3511</v>
      </c>
      <c r="E17470">
        <v>80772450</v>
      </c>
    </row>
    <row r="17471" spans="1:6" x14ac:dyDescent="0.25">
      <c r="A17471">
        <v>17470</v>
      </c>
      <c r="B17471">
        <v>41</v>
      </c>
      <c r="C17471">
        <v>0</v>
      </c>
      <c r="D17471">
        <v>0</v>
      </c>
      <c r="E17471">
        <v>0</v>
      </c>
      <c r="F17471">
        <v>1</v>
      </c>
    </row>
    <row r="17472" spans="1:6" x14ac:dyDescent="0.25">
      <c r="A17472">
        <v>17471</v>
      </c>
      <c r="B17472">
        <v>42</v>
      </c>
      <c r="C17472">
        <v>0</v>
      </c>
      <c r="D17472">
        <v>0</v>
      </c>
      <c r="E17472">
        <v>0</v>
      </c>
      <c r="F17472">
        <v>0.2</v>
      </c>
    </row>
    <row r="17473" spans="1:6" x14ac:dyDescent="0.25">
      <c r="A17473">
        <v>17472</v>
      </c>
      <c r="B17473" t="s">
        <v>0</v>
      </c>
      <c r="C17473">
        <v>136</v>
      </c>
      <c r="D17473">
        <v>3511</v>
      </c>
      <c r="E17473">
        <v>80772585</v>
      </c>
    </row>
    <row r="17474" spans="1:6" x14ac:dyDescent="0.25">
      <c r="A17474">
        <v>17473</v>
      </c>
      <c r="B17474">
        <v>43</v>
      </c>
      <c r="C17474">
        <v>0</v>
      </c>
      <c r="D17474">
        <v>0</v>
      </c>
      <c r="E17474">
        <v>0</v>
      </c>
      <c r="F17474">
        <v>0</v>
      </c>
    </row>
    <row r="17475" spans="1:6" x14ac:dyDescent="0.25">
      <c r="A17475">
        <v>17474</v>
      </c>
      <c r="B17475">
        <v>44</v>
      </c>
      <c r="C17475">
        <v>0</v>
      </c>
      <c r="D17475">
        <v>0</v>
      </c>
      <c r="E17475">
        <v>0</v>
      </c>
      <c r="F17475">
        <v>53.650599999999997</v>
      </c>
    </row>
    <row r="17476" spans="1:6" x14ac:dyDescent="0.25">
      <c r="A17476">
        <v>17475</v>
      </c>
      <c r="B17476" t="s">
        <v>0</v>
      </c>
      <c r="C17476">
        <v>137</v>
      </c>
      <c r="D17476">
        <v>3511</v>
      </c>
      <c r="E17476">
        <v>80772720</v>
      </c>
    </row>
    <row r="17477" spans="1:6" x14ac:dyDescent="0.25">
      <c r="A17477">
        <v>17476</v>
      </c>
      <c r="B17477">
        <v>45</v>
      </c>
      <c r="C17477">
        <v>0</v>
      </c>
      <c r="D17477">
        <v>0</v>
      </c>
      <c r="E17477">
        <v>0</v>
      </c>
      <c r="F17477">
        <v>532.36199999999997</v>
      </c>
    </row>
    <row r="17478" spans="1:6" x14ac:dyDescent="0.25">
      <c r="A17478">
        <v>17477</v>
      </c>
      <c r="B17478">
        <v>46</v>
      </c>
      <c r="C17478">
        <v>0</v>
      </c>
      <c r="D17478">
        <v>0</v>
      </c>
      <c r="E17478">
        <v>0</v>
      </c>
      <c r="F17478">
        <v>0</v>
      </c>
    </row>
    <row r="17479" spans="1:6" x14ac:dyDescent="0.25">
      <c r="A17479">
        <v>17478</v>
      </c>
      <c r="B17479" t="s">
        <v>0</v>
      </c>
      <c r="C17479">
        <v>138</v>
      </c>
      <c r="D17479">
        <v>3511</v>
      </c>
      <c r="E17479">
        <v>80772854</v>
      </c>
    </row>
    <row r="17480" spans="1:6" x14ac:dyDescent="0.25">
      <c r="A17480">
        <v>17479</v>
      </c>
      <c r="B17480">
        <v>2</v>
      </c>
      <c r="C17480">
        <v>0</v>
      </c>
      <c r="D17480">
        <v>0</v>
      </c>
      <c r="E17480">
        <v>0</v>
      </c>
      <c r="F17480">
        <v>246.35499999999999</v>
      </c>
    </row>
    <row r="17481" spans="1:6" x14ac:dyDescent="0.25">
      <c r="A17481">
        <v>17480</v>
      </c>
      <c r="B17481">
        <v>10</v>
      </c>
      <c r="C17481">
        <v>1</v>
      </c>
      <c r="D17481">
        <v>0</v>
      </c>
      <c r="E17481">
        <v>0</v>
      </c>
      <c r="F17481">
        <v>5333</v>
      </c>
    </row>
    <row r="17482" spans="1:6" x14ac:dyDescent="0.25">
      <c r="A17482">
        <v>17481</v>
      </c>
      <c r="B17482" t="s">
        <v>0</v>
      </c>
      <c r="C17482">
        <v>139</v>
      </c>
      <c r="D17482">
        <v>3511</v>
      </c>
      <c r="E17482">
        <v>80772989</v>
      </c>
    </row>
    <row r="17483" spans="1:6" x14ac:dyDescent="0.25">
      <c r="A17483">
        <v>17482</v>
      </c>
      <c r="B17483">
        <v>41</v>
      </c>
      <c r="C17483">
        <v>0</v>
      </c>
      <c r="D17483">
        <v>0</v>
      </c>
      <c r="E17483">
        <v>0</v>
      </c>
      <c r="F17483">
        <v>1</v>
      </c>
    </row>
    <row r="17484" spans="1:6" x14ac:dyDescent="0.25">
      <c r="A17484">
        <v>17483</v>
      </c>
      <c r="B17484" t="s">
        <v>0</v>
      </c>
      <c r="C17484">
        <v>140</v>
      </c>
      <c r="D17484">
        <v>3511</v>
      </c>
      <c r="E17484">
        <v>80773124</v>
      </c>
    </row>
    <row r="17485" spans="1:6" x14ac:dyDescent="0.25">
      <c r="A17485">
        <v>17484</v>
      </c>
      <c r="B17485">
        <v>43</v>
      </c>
      <c r="C17485">
        <v>0</v>
      </c>
      <c r="D17485">
        <v>0</v>
      </c>
      <c r="E17485">
        <v>0</v>
      </c>
      <c r="F17485">
        <v>0</v>
      </c>
    </row>
    <row r="17486" spans="1:6" x14ac:dyDescent="0.25">
      <c r="A17486">
        <v>17485</v>
      </c>
      <c r="B17486" t="s">
        <v>0</v>
      </c>
      <c r="C17486">
        <v>141</v>
      </c>
      <c r="D17486">
        <v>3511</v>
      </c>
      <c r="E17486">
        <v>80773258</v>
      </c>
    </row>
    <row r="17487" spans="1:6" x14ac:dyDescent="0.25">
      <c r="A17487">
        <v>17486</v>
      </c>
      <c r="B17487">
        <v>45</v>
      </c>
      <c r="C17487">
        <v>0</v>
      </c>
      <c r="D17487">
        <v>0</v>
      </c>
      <c r="E17487">
        <v>0</v>
      </c>
      <c r="F17487">
        <v>532.41899999999998</v>
      </c>
    </row>
    <row r="17488" spans="1:6" x14ac:dyDescent="0.25">
      <c r="A17488">
        <v>17487</v>
      </c>
      <c r="B17488" t="s">
        <v>0</v>
      </c>
      <c r="C17488">
        <v>142</v>
      </c>
      <c r="D17488">
        <v>3511</v>
      </c>
      <c r="E17488">
        <v>80773393</v>
      </c>
    </row>
    <row r="17489" spans="1:6" x14ac:dyDescent="0.25">
      <c r="A17489">
        <v>17488</v>
      </c>
      <c r="B17489">
        <v>2</v>
      </c>
      <c r="C17489">
        <v>0</v>
      </c>
      <c r="D17489">
        <v>0</v>
      </c>
      <c r="E17489">
        <v>0</v>
      </c>
      <c r="F17489">
        <v>246.36600000000001</v>
      </c>
    </row>
    <row r="17490" spans="1:6" x14ac:dyDescent="0.25">
      <c r="A17490">
        <v>17489</v>
      </c>
      <c r="B17490" t="s">
        <v>0</v>
      </c>
      <c r="C17490">
        <v>143</v>
      </c>
      <c r="D17490">
        <v>3511</v>
      </c>
      <c r="E17490">
        <v>80773528</v>
      </c>
    </row>
    <row r="17491" spans="1:6" x14ac:dyDescent="0.25">
      <c r="A17491">
        <v>17490</v>
      </c>
      <c r="B17491">
        <v>13</v>
      </c>
      <c r="C17491">
        <v>0</v>
      </c>
      <c r="D17491">
        <v>0</v>
      </c>
      <c r="E17491">
        <v>0</v>
      </c>
      <c r="F17491">
        <v>1616</v>
      </c>
    </row>
    <row r="17492" spans="1:6" x14ac:dyDescent="0.25">
      <c r="A17492">
        <v>17491</v>
      </c>
      <c r="B17492" t="s">
        <v>0</v>
      </c>
      <c r="C17492">
        <v>144</v>
      </c>
      <c r="D17492">
        <v>3511</v>
      </c>
      <c r="E17492">
        <v>80773662</v>
      </c>
    </row>
    <row r="17493" spans="1:6" x14ac:dyDescent="0.25">
      <c r="A17493">
        <v>17492</v>
      </c>
      <c r="B17493">
        <v>42</v>
      </c>
      <c r="C17493">
        <v>0</v>
      </c>
      <c r="D17493">
        <v>0</v>
      </c>
      <c r="E17493">
        <v>0</v>
      </c>
      <c r="F17493">
        <v>0.2</v>
      </c>
    </row>
    <row r="17494" spans="1:6" x14ac:dyDescent="0.25">
      <c r="A17494">
        <v>17493</v>
      </c>
      <c r="B17494" t="s">
        <v>0</v>
      </c>
      <c r="C17494">
        <v>145</v>
      </c>
      <c r="D17494">
        <v>3511</v>
      </c>
      <c r="E17494">
        <v>80773797</v>
      </c>
    </row>
    <row r="17495" spans="1:6" x14ac:dyDescent="0.25">
      <c r="A17495">
        <v>17494</v>
      </c>
      <c r="B17495">
        <v>44</v>
      </c>
      <c r="C17495">
        <v>0</v>
      </c>
      <c r="D17495">
        <v>0</v>
      </c>
      <c r="E17495">
        <v>0</v>
      </c>
      <c r="F17495">
        <v>53.627000000000002</v>
      </c>
    </row>
    <row r="17496" spans="1:6" x14ac:dyDescent="0.25">
      <c r="A17496">
        <v>17495</v>
      </c>
      <c r="B17496" t="s">
        <v>0</v>
      </c>
      <c r="C17496">
        <v>146</v>
      </c>
      <c r="D17496">
        <v>3511</v>
      </c>
      <c r="E17496">
        <v>80773932</v>
      </c>
    </row>
    <row r="17497" spans="1:6" x14ac:dyDescent="0.25">
      <c r="A17497">
        <v>17496</v>
      </c>
      <c r="B17497">
        <v>46</v>
      </c>
      <c r="C17497">
        <v>0</v>
      </c>
      <c r="D17497">
        <v>0</v>
      </c>
      <c r="E17497">
        <v>0</v>
      </c>
      <c r="F17497">
        <v>0</v>
      </c>
    </row>
    <row r="17498" spans="1:6" x14ac:dyDescent="0.25">
      <c r="A17498">
        <v>17497</v>
      </c>
      <c r="B17498" t="s">
        <v>0</v>
      </c>
      <c r="C17498">
        <v>147</v>
      </c>
      <c r="D17498">
        <v>3511</v>
      </c>
      <c r="E17498">
        <v>80774066</v>
      </c>
    </row>
    <row r="17499" spans="1:6" x14ac:dyDescent="0.25">
      <c r="A17499">
        <v>17498</v>
      </c>
      <c r="B17499">
        <v>10</v>
      </c>
      <c r="C17499">
        <v>1</v>
      </c>
      <c r="D17499">
        <v>0</v>
      </c>
      <c r="E17499">
        <v>0</v>
      </c>
      <c r="F17499">
        <v>5333</v>
      </c>
    </row>
    <row r="17500" spans="1:6" x14ac:dyDescent="0.25">
      <c r="A17500">
        <v>17499</v>
      </c>
      <c r="B17500" t="s">
        <v>0</v>
      </c>
      <c r="C17500">
        <v>148</v>
      </c>
      <c r="D17500">
        <v>3511</v>
      </c>
      <c r="E17500">
        <v>80774201</v>
      </c>
    </row>
    <row r="17501" spans="1:6" x14ac:dyDescent="0.25">
      <c r="A17501">
        <v>17500</v>
      </c>
      <c r="B17501">
        <v>41</v>
      </c>
      <c r="C17501">
        <v>0</v>
      </c>
      <c r="D17501">
        <v>0</v>
      </c>
      <c r="E17501">
        <v>0</v>
      </c>
      <c r="F17501">
        <v>1</v>
      </c>
    </row>
    <row r="17502" spans="1:6" x14ac:dyDescent="0.25">
      <c r="A17502">
        <v>17501</v>
      </c>
      <c r="B17502" t="s">
        <v>0</v>
      </c>
      <c r="C17502">
        <v>149</v>
      </c>
      <c r="D17502">
        <v>3511</v>
      </c>
      <c r="E17502">
        <v>80774336</v>
      </c>
    </row>
    <row r="17503" spans="1:6" x14ac:dyDescent="0.25">
      <c r="A17503">
        <v>17502</v>
      </c>
      <c r="B17503">
        <v>43</v>
      </c>
      <c r="C17503">
        <v>0</v>
      </c>
      <c r="D17503">
        <v>0</v>
      </c>
      <c r="E17503">
        <v>0</v>
      </c>
      <c r="F17503">
        <v>0</v>
      </c>
    </row>
    <row r="17504" spans="1:6" x14ac:dyDescent="0.25">
      <c r="A17504">
        <v>17503</v>
      </c>
      <c r="B17504" t="s">
        <v>0</v>
      </c>
      <c r="C17504">
        <v>150</v>
      </c>
      <c r="D17504">
        <v>3511</v>
      </c>
      <c r="E17504">
        <v>80774470</v>
      </c>
    </row>
    <row r="17505" spans="1:6" x14ac:dyDescent="0.25">
      <c r="A17505">
        <v>17504</v>
      </c>
      <c r="B17505">
        <v>44</v>
      </c>
      <c r="C17505">
        <v>0</v>
      </c>
      <c r="D17505">
        <v>0</v>
      </c>
      <c r="E17505">
        <v>0</v>
      </c>
      <c r="F17505">
        <v>53.618000000000002</v>
      </c>
    </row>
    <row r="17506" spans="1:6" x14ac:dyDescent="0.25">
      <c r="A17506">
        <v>17505</v>
      </c>
      <c r="B17506">
        <v>45</v>
      </c>
      <c r="C17506">
        <v>0</v>
      </c>
      <c r="D17506">
        <v>0</v>
      </c>
      <c r="E17506">
        <v>0</v>
      </c>
      <c r="F17506">
        <v>532.54999999999995</v>
      </c>
    </row>
    <row r="17507" spans="1:6" x14ac:dyDescent="0.25">
      <c r="A17507">
        <v>17506</v>
      </c>
      <c r="B17507">
        <v>46</v>
      </c>
      <c r="C17507">
        <v>0</v>
      </c>
      <c r="D17507">
        <v>0</v>
      </c>
      <c r="E17507">
        <v>0</v>
      </c>
      <c r="F17507">
        <v>0</v>
      </c>
    </row>
    <row r="17508" spans="1:6" x14ac:dyDescent="0.25">
      <c r="A17508">
        <v>17507</v>
      </c>
      <c r="B17508">
        <v>2</v>
      </c>
      <c r="C17508">
        <v>0</v>
      </c>
      <c r="D17508">
        <v>0</v>
      </c>
      <c r="E17508">
        <v>0</v>
      </c>
      <c r="F17508">
        <v>246.38399999999999</v>
      </c>
    </row>
    <row r="17509" spans="1:6" x14ac:dyDescent="0.25">
      <c r="A17509">
        <v>17508</v>
      </c>
      <c r="B17509">
        <v>10</v>
      </c>
      <c r="C17509">
        <v>1</v>
      </c>
      <c r="D17509">
        <v>0</v>
      </c>
      <c r="E17509">
        <v>0</v>
      </c>
      <c r="F17509">
        <v>5333</v>
      </c>
    </row>
    <row r="17510" spans="1:6" x14ac:dyDescent="0.25">
      <c r="A17510">
        <v>17509</v>
      </c>
      <c r="B17510">
        <v>13</v>
      </c>
      <c r="C17510">
        <v>0</v>
      </c>
      <c r="D17510">
        <v>0</v>
      </c>
      <c r="E17510">
        <v>0</v>
      </c>
      <c r="F17510">
        <v>1616</v>
      </c>
    </row>
    <row r="17511" spans="1:6" x14ac:dyDescent="0.25">
      <c r="A17511">
        <v>17510</v>
      </c>
      <c r="B17511">
        <v>41</v>
      </c>
      <c r="C17511">
        <v>0</v>
      </c>
      <c r="D17511">
        <v>0</v>
      </c>
      <c r="E17511">
        <v>0</v>
      </c>
      <c r="F17511">
        <v>1</v>
      </c>
    </row>
    <row r="17512" spans="1:6" x14ac:dyDescent="0.25">
      <c r="A17512">
        <v>17511</v>
      </c>
      <c r="B17512">
        <v>42</v>
      </c>
      <c r="C17512">
        <v>0</v>
      </c>
      <c r="D17512">
        <v>0</v>
      </c>
      <c r="E17512">
        <v>0</v>
      </c>
      <c r="F17512">
        <v>0.2</v>
      </c>
    </row>
    <row r="17513" spans="1:6" x14ac:dyDescent="0.25">
      <c r="A17513">
        <v>17512</v>
      </c>
      <c r="B17513">
        <v>43</v>
      </c>
      <c r="C17513">
        <v>0</v>
      </c>
      <c r="D17513">
        <v>0</v>
      </c>
      <c r="E17513">
        <v>0</v>
      </c>
      <c r="F17513">
        <v>0</v>
      </c>
    </row>
    <row r="17514" spans="1:6" x14ac:dyDescent="0.25">
      <c r="A17514">
        <v>17513</v>
      </c>
      <c r="B17514">
        <v>44</v>
      </c>
      <c r="C17514">
        <v>0</v>
      </c>
      <c r="D17514">
        <v>0</v>
      </c>
      <c r="E17514">
        <v>0</v>
      </c>
      <c r="F17514">
        <v>53.612099999999998</v>
      </c>
    </row>
    <row r="17515" spans="1:6" x14ac:dyDescent="0.25">
      <c r="A17515">
        <v>17514</v>
      </c>
      <c r="B17515">
        <v>45</v>
      </c>
      <c r="C17515">
        <v>0</v>
      </c>
      <c r="D17515">
        <v>0</v>
      </c>
      <c r="E17515">
        <v>0</v>
      </c>
      <c r="F17515">
        <v>532.62199999999996</v>
      </c>
    </row>
    <row r="17516" spans="1:6" x14ac:dyDescent="0.25">
      <c r="A17516">
        <v>17515</v>
      </c>
      <c r="B17516">
        <v>46</v>
      </c>
      <c r="C17516">
        <v>0</v>
      </c>
      <c r="D17516">
        <v>0</v>
      </c>
      <c r="E17516">
        <v>0</v>
      </c>
      <c r="F17516">
        <v>0</v>
      </c>
    </row>
    <row r="17517" spans="1:6" x14ac:dyDescent="0.25">
      <c r="A17517">
        <v>17516</v>
      </c>
      <c r="B17517">
        <v>2</v>
      </c>
      <c r="C17517">
        <v>0</v>
      </c>
      <c r="D17517">
        <v>0</v>
      </c>
      <c r="E17517">
        <v>0</v>
      </c>
      <c r="F17517">
        <v>246.39</v>
      </c>
    </row>
    <row r="17518" spans="1:6" x14ac:dyDescent="0.25">
      <c r="A17518">
        <v>17517</v>
      </c>
      <c r="B17518">
        <v>10</v>
      </c>
      <c r="C17518">
        <v>1</v>
      </c>
      <c r="D17518">
        <v>0</v>
      </c>
      <c r="E17518">
        <v>0</v>
      </c>
      <c r="F17518">
        <v>5333</v>
      </c>
    </row>
    <row r="17519" spans="1:6" x14ac:dyDescent="0.25">
      <c r="A17519">
        <v>17518</v>
      </c>
      <c r="B17519">
        <v>13</v>
      </c>
      <c r="C17519">
        <v>0</v>
      </c>
      <c r="D17519">
        <v>0</v>
      </c>
      <c r="E17519">
        <v>0</v>
      </c>
      <c r="F17519">
        <v>1616</v>
      </c>
    </row>
    <row r="17520" spans="1:6" x14ac:dyDescent="0.25">
      <c r="A17520">
        <v>17519</v>
      </c>
      <c r="B17520">
        <v>41</v>
      </c>
      <c r="C17520">
        <v>0</v>
      </c>
      <c r="D17520">
        <v>0</v>
      </c>
      <c r="E17520">
        <v>0</v>
      </c>
      <c r="F17520">
        <v>1</v>
      </c>
    </row>
    <row r="17521" spans="1:6" x14ac:dyDescent="0.25">
      <c r="A17521">
        <v>17520</v>
      </c>
      <c r="B17521">
        <v>42</v>
      </c>
      <c r="C17521">
        <v>0</v>
      </c>
      <c r="D17521">
        <v>0</v>
      </c>
      <c r="E17521">
        <v>0</v>
      </c>
      <c r="F17521">
        <v>0.2</v>
      </c>
    </row>
    <row r="17522" spans="1:6" x14ac:dyDescent="0.25">
      <c r="A17522">
        <v>17521</v>
      </c>
      <c r="B17522">
        <v>43</v>
      </c>
      <c r="C17522">
        <v>0</v>
      </c>
      <c r="D17522">
        <v>0</v>
      </c>
      <c r="E17522">
        <v>0</v>
      </c>
      <c r="F17522">
        <v>0</v>
      </c>
    </row>
    <row r="17523" spans="1:6" x14ac:dyDescent="0.25">
      <c r="A17523">
        <v>17522</v>
      </c>
      <c r="B17523">
        <v>44</v>
      </c>
      <c r="C17523">
        <v>0</v>
      </c>
      <c r="D17523">
        <v>0</v>
      </c>
      <c r="E17523">
        <v>0</v>
      </c>
      <c r="F17523">
        <v>53.606400000000001</v>
      </c>
    </row>
    <row r="17524" spans="1:6" x14ac:dyDescent="0.25">
      <c r="A17524">
        <v>17523</v>
      </c>
      <c r="B17524">
        <v>45</v>
      </c>
      <c r="C17524">
        <v>0</v>
      </c>
      <c r="D17524">
        <v>0</v>
      </c>
      <c r="E17524">
        <v>0</v>
      </c>
      <c r="F17524">
        <v>532.68100000000004</v>
      </c>
    </row>
    <row r="17525" spans="1:6" x14ac:dyDescent="0.25">
      <c r="A17525">
        <v>17524</v>
      </c>
      <c r="B17525">
        <v>46</v>
      </c>
      <c r="C17525">
        <v>0</v>
      </c>
      <c r="D17525">
        <v>0</v>
      </c>
      <c r="E17525">
        <v>0</v>
      </c>
      <c r="F17525">
        <v>0</v>
      </c>
    </row>
    <row r="17526" spans="1:6" x14ac:dyDescent="0.25">
      <c r="A17526">
        <v>17525</v>
      </c>
      <c r="B17526">
        <v>2</v>
      </c>
      <c r="C17526">
        <v>0</v>
      </c>
      <c r="D17526">
        <v>0</v>
      </c>
      <c r="E17526">
        <v>0</v>
      </c>
      <c r="F17526">
        <v>246.39500000000001</v>
      </c>
    </row>
    <row r="17527" spans="1:6" x14ac:dyDescent="0.25">
      <c r="A17527">
        <v>17526</v>
      </c>
      <c r="B17527">
        <v>10</v>
      </c>
      <c r="C17527">
        <v>1</v>
      </c>
      <c r="D17527">
        <v>0</v>
      </c>
      <c r="E17527">
        <v>0</v>
      </c>
      <c r="F17527">
        <v>5334</v>
      </c>
    </row>
    <row r="17528" spans="1:6" x14ac:dyDescent="0.25">
      <c r="A17528">
        <v>17527</v>
      </c>
      <c r="B17528">
        <v>13</v>
      </c>
      <c r="C17528">
        <v>0</v>
      </c>
      <c r="D17528">
        <v>0</v>
      </c>
      <c r="E17528">
        <v>0</v>
      </c>
      <c r="F17528">
        <v>1617</v>
      </c>
    </row>
    <row r="17529" spans="1:6" x14ac:dyDescent="0.25">
      <c r="A17529">
        <v>17528</v>
      </c>
      <c r="B17529">
        <v>41</v>
      </c>
      <c r="C17529">
        <v>0</v>
      </c>
      <c r="D17529">
        <v>0</v>
      </c>
      <c r="E17529">
        <v>0</v>
      </c>
      <c r="F17529">
        <v>1</v>
      </c>
    </row>
    <row r="17530" spans="1:6" x14ac:dyDescent="0.25">
      <c r="A17530">
        <v>17529</v>
      </c>
      <c r="B17530">
        <v>42</v>
      </c>
      <c r="C17530">
        <v>0</v>
      </c>
      <c r="D17530">
        <v>0</v>
      </c>
      <c r="E17530">
        <v>0</v>
      </c>
      <c r="F17530">
        <v>0.2</v>
      </c>
    </row>
    <row r="17531" spans="1:6" x14ac:dyDescent="0.25">
      <c r="A17531">
        <v>17530</v>
      </c>
      <c r="B17531">
        <v>43</v>
      </c>
      <c r="C17531">
        <v>0</v>
      </c>
      <c r="D17531">
        <v>0</v>
      </c>
      <c r="E17531">
        <v>0</v>
      </c>
      <c r="F17531">
        <v>0</v>
      </c>
    </row>
    <row r="17532" spans="1:6" x14ac:dyDescent="0.25">
      <c r="A17532">
        <v>17531</v>
      </c>
      <c r="B17532">
        <v>44</v>
      </c>
      <c r="C17532">
        <v>0</v>
      </c>
      <c r="D17532">
        <v>0</v>
      </c>
      <c r="E17532">
        <v>0</v>
      </c>
      <c r="F17532">
        <v>53.602899999999998</v>
      </c>
    </row>
    <row r="17533" spans="1:6" x14ac:dyDescent="0.25">
      <c r="A17533">
        <v>17532</v>
      </c>
      <c r="B17533">
        <v>45</v>
      </c>
      <c r="C17533">
        <v>0</v>
      </c>
      <c r="D17533">
        <v>0</v>
      </c>
      <c r="E17533">
        <v>0</v>
      </c>
      <c r="F17533">
        <v>532.75300000000004</v>
      </c>
    </row>
    <row r="17534" spans="1:6" x14ac:dyDescent="0.25">
      <c r="A17534">
        <v>17533</v>
      </c>
      <c r="B17534">
        <v>46</v>
      </c>
      <c r="C17534">
        <v>0</v>
      </c>
      <c r="D17534">
        <v>0</v>
      </c>
      <c r="E17534">
        <v>0</v>
      </c>
      <c r="F17534">
        <v>0</v>
      </c>
    </row>
    <row r="17535" spans="1:6" x14ac:dyDescent="0.25">
      <c r="A17535">
        <v>17534</v>
      </c>
      <c r="B17535">
        <v>2</v>
      </c>
      <c r="C17535">
        <v>0</v>
      </c>
      <c r="D17535">
        <v>0</v>
      </c>
      <c r="E17535">
        <v>0</v>
      </c>
      <c r="F17535">
        <v>246.399</v>
      </c>
    </row>
    <row r="17536" spans="1:6" x14ac:dyDescent="0.25">
      <c r="A17536">
        <v>17535</v>
      </c>
      <c r="B17536">
        <v>10</v>
      </c>
      <c r="C17536">
        <v>1</v>
      </c>
      <c r="D17536">
        <v>0</v>
      </c>
      <c r="E17536">
        <v>0</v>
      </c>
      <c r="F17536">
        <v>5334</v>
      </c>
    </row>
    <row r="17537" spans="1:6" x14ac:dyDescent="0.25">
      <c r="A17537">
        <v>17536</v>
      </c>
      <c r="B17537">
        <v>13</v>
      </c>
      <c r="C17537">
        <v>0</v>
      </c>
      <c r="D17537">
        <v>0</v>
      </c>
      <c r="E17537">
        <v>0</v>
      </c>
      <c r="F17537">
        <v>1617</v>
      </c>
    </row>
    <row r="17538" spans="1:6" x14ac:dyDescent="0.25">
      <c r="A17538">
        <v>17537</v>
      </c>
      <c r="B17538">
        <v>41</v>
      </c>
      <c r="C17538">
        <v>0</v>
      </c>
      <c r="D17538">
        <v>0</v>
      </c>
      <c r="E17538">
        <v>0</v>
      </c>
      <c r="F17538">
        <v>1</v>
      </c>
    </row>
    <row r="17539" spans="1:6" x14ac:dyDescent="0.25">
      <c r="A17539">
        <v>17538</v>
      </c>
      <c r="B17539">
        <v>42</v>
      </c>
      <c r="C17539">
        <v>0</v>
      </c>
      <c r="D17539">
        <v>0</v>
      </c>
      <c r="E17539">
        <v>0</v>
      </c>
      <c r="F17539">
        <v>0.2</v>
      </c>
    </row>
    <row r="17540" spans="1:6" x14ac:dyDescent="0.25">
      <c r="A17540">
        <v>17539</v>
      </c>
      <c r="B17540">
        <v>43</v>
      </c>
      <c r="C17540">
        <v>0</v>
      </c>
      <c r="D17540">
        <v>0</v>
      </c>
      <c r="E17540">
        <v>0</v>
      </c>
      <c r="F17540">
        <v>0</v>
      </c>
    </row>
    <row r="17541" spans="1:6" x14ac:dyDescent="0.25">
      <c r="A17541">
        <v>17540</v>
      </c>
      <c r="B17541" t="s">
        <v>0</v>
      </c>
      <c r="C17541">
        <v>168</v>
      </c>
      <c r="D17541">
        <v>3511</v>
      </c>
      <c r="E17541">
        <v>80776894</v>
      </c>
    </row>
    <row r="17542" spans="1:6" x14ac:dyDescent="0.25">
      <c r="A17542">
        <v>17541</v>
      </c>
      <c r="B17542">
        <v>44</v>
      </c>
      <c r="C17542">
        <v>0</v>
      </c>
      <c r="D17542">
        <v>0</v>
      </c>
      <c r="E17542">
        <v>0</v>
      </c>
      <c r="F17542">
        <v>53.5991</v>
      </c>
    </row>
    <row r="17543" spans="1:6" x14ac:dyDescent="0.25">
      <c r="A17543">
        <v>17542</v>
      </c>
      <c r="B17543">
        <v>45</v>
      </c>
      <c r="C17543">
        <v>0</v>
      </c>
      <c r="D17543">
        <v>0</v>
      </c>
      <c r="E17543">
        <v>0</v>
      </c>
      <c r="F17543">
        <v>532.81100000000004</v>
      </c>
    </row>
    <row r="17544" spans="1:6" x14ac:dyDescent="0.25">
      <c r="A17544">
        <v>17543</v>
      </c>
      <c r="B17544" t="s">
        <v>0</v>
      </c>
      <c r="C17544">
        <v>169</v>
      </c>
      <c r="D17544">
        <v>3511</v>
      </c>
      <c r="E17544">
        <v>80777029</v>
      </c>
    </row>
    <row r="17545" spans="1:6" x14ac:dyDescent="0.25">
      <c r="A17545">
        <v>17544</v>
      </c>
      <c r="B17545">
        <v>46</v>
      </c>
      <c r="C17545">
        <v>0</v>
      </c>
      <c r="D17545">
        <v>0</v>
      </c>
      <c r="E17545">
        <v>0</v>
      </c>
      <c r="F17545">
        <v>0</v>
      </c>
    </row>
    <row r="17546" spans="1:6" x14ac:dyDescent="0.25">
      <c r="A17546">
        <v>17545</v>
      </c>
      <c r="B17546">
        <v>2</v>
      </c>
      <c r="C17546">
        <v>0</v>
      </c>
      <c r="D17546">
        <v>0</v>
      </c>
      <c r="E17546">
        <v>0</v>
      </c>
      <c r="F17546">
        <v>246.40100000000001</v>
      </c>
    </row>
    <row r="17547" spans="1:6" x14ac:dyDescent="0.25">
      <c r="A17547">
        <v>17546</v>
      </c>
      <c r="B17547" t="s">
        <v>0</v>
      </c>
      <c r="C17547">
        <v>170</v>
      </c>
      <c r="D17547">
        <v>3511</v>
      </c>
      <c r="E17547">
        <v>80777164</v>
      </c>
    </row>
    <row r="17548" spans="1:6" x14ac:dyDescent="0.25">
      <c r="A17548">
        <v>17547</v>
      </c>
      <c r="B17548">
        <v>10</v>
      </c>
      <c r="C17548">
        <v>1</v>
      </c>
      <c r="D17548">
        <v>0</v>
      </c>
      <c r="E17548">
        <v>0</v>
      </c>
      <c r="F17548">
        <v>5334</v>
      </c>
    </row>
    <row r="17549" spans="1:6" x14ac:dyDescent="0.25">
      <c r="A17549">
        <v>17548</v>
      </c>
      <c r="B17549">
        <v>13</v>
      </c>
      <c r="C17549">
        <v>0</v>
      </c>
      <c r="D17549">
        <v>0</v>
      </c>
      <c r="E17549">
        <v>0</v>
      </c>
      <c r="F17549">
        <v>1617</v>
      </c>
    </row>
    <row r="17550" spans="1:6" x14ac:dyDescent="0.25">
      <c r="A17550">
        <v>17549</v>
      </c>
      <c r="B17550" t="s">
        <v>0</v>
      </c>
      <c r="C17550">
        <v>171</v>
      </c>
      <c r="D17550">
        <v>3511</v>
      </c>
      <c r="E17550">
        <v>80777299</v>
      </c>
    </row>
    <row r="17551" spans="1:6" x14ac:dyDescent="0.25">
      <c r="A17551">
        <v>17550</v>
      </c>
      <c r="B17551">
        <v>41</v>
      </c>
      <c r="C17551">
        <v>0</v>
      </c>
      <c r="D17551">
        <v>0</v>
      </c>
      <c r="E17551">
        <v>0</v>
      </c>
      <c r="F17551">
        <v>1</v>
      </c>
    </row>
    <row r="17552" spans="1:6" x14ac:dyDescent="0.25">
      <c r="A17552">
        <v>17551</v>
      </c>
      <c r="B17552">
        <v>42</v>
      </c>
      <c r="C17552">
        <v>0</v>
      </c>
      <c r="D17552">
        <v>0</v>
      </c>
      <c r="E17552">
        <v>0</v>
      </c>
      <c r="F17552">
        <v>0.2</v>
      </c>
    </row>
    <row r="17553" spans="1:6" x14ac:dyDescent="0.25">
      <c r="A17553">
        <v>17552</v>
      </c>
      <c r="B17553" t="s">
        <v>0</v>
      </c>
      <c r="C17553">
        <v>172</v>
      </c>
      <c r="D17553">
        <v>3511</v>
      </c>
      <c r="E17553">
        <v>80777433</v>
      </c>
    </row>
    <row r="17554" spans="1:6" x14ac:dyDescent="0.25">
      <c r="A17554">
        <v>17553</v>
      </c>
      <c r="B17554">
        <v>43</v>
      </c>
      <c r="C17554">
        <v>0</v>
      </c>
      <c r="D17554">
        <v>0</v>
      </c>
      <c r="E17554">
        <v>0</v>
      </c>
      <c r="F17554">
        <v>0</v>
      </c>
    </row>
    <row r="17555" spans="1:6" x14ac:dyDescent="0.25">
      <c r="A17555">
        <v>17554</v>
      </c>
      <c r="B17555">
        <v>44</v>
      </c>
      <c r="C17555">
        <v>0</v>
      </c>
      <c r="D17555">
        <v>0</v>
      </c>
      <c r="E17555">
        <v>0</v>
      </c>
      <c r="F17555">
        <v>53.561199999999999</v>
      </c>
    </row>
    <row r="17556" spans="1:6" x14ac:dyDescent="0.25">
      <c r="A17556">
        <v>17555</v>
      </c>
      <c r="B17556" t="s">
        <v>0</v>
      </c>
      <c r="C17556">
        <v>173</v>
      </c>
      <c r="D17556">
        <v>3511</v>
      </c>
      <c r="E17556">
        <v>80777567</v>
      </c>
    </row>
    <row r="17557" spans="1:6" x14ac:dyDescent="0.25">
      <c r="A17557">
        <v>17556</v>
      </c>
      <c r="B17557">
        <v>45</v>
      </c>
      <c r="C17557">
        <v>0</v>
      </c>
      <c r="D17557">
        <v>0</v>
      </c>
      <c r="E17557">
        <v>0</v>
      </c>
      <c r="F17557">
        <v>532.88300000000004</v>
      </c>
    </row>
    <row r="17558" spans="1:6" x14ac:dyDescent="0.25">
      <c r="A17558">
        <v>17557</v>
      </c>
      <c r="B17558">
        <v>46</v>
      </c>
      <c r="C17558">
        <v>0</v>
      </c>
      <c r="D17558">
        <v>0</v>
      </c>
      <c r="E17558">
        <v>0</v>
      </c>
      <c r="F17558">
        <v>0</v>
      </c>
    </row>
    <row r="17559" spans="1:6" x14ac:dyDescent="0.25">
      <c r="A17559">
        <v>17558</v>
      </c>
      <c r="B17559" t="s">
        <v>0</v>
      </c>
      <c r="C17559">
        <v>174</v>
      </c>
      <c r="D17559">
        <v>3511</v>
      </c>
      <c r="E17559">
        <v>80777701</v>
      </c>
    </row>
    <row r="17560" spans="1:6" x14ac:dyDescent="0.25">
      <c r="A17560">
        <v>17559</v>
      </c>
      <c r="B17560">
        <v>2</v>
      </c>
      <c r="C17560">
        <v>0</v>
      </c>
      <c r="D17560">
        <v>0</v>
      </c>
      <c r="E17560">
        <v>0</v>
      </c>
      <c r="F17560">
        <v>246.47200000000001</v>
      </c>
    </row>
    <row r="17561" spans="1:6" x14ac:dyDescent="0.25">
      <c r="A17561">
        <v>17560</v>
      </c>
      <c r="B17561">
        <v>10</v>
      </c>
      <c r="C17561">
        <v>1</v>
      </c>
      <c r="D17561">
        <v>0</v>
      </c>
      <c r="E17561">
        <v>0</v>
      </c>
      <c r="F17561">
        <v>5333</v>
      </c>
    </row>
    <row r="17562" spans="1:6" x14ac:dyDescent="0.25">
      <c r="A17562">
        <v>17561</v>
      </c>
      <c r="B17562" t="s">
        <v>0</v>
      </c>
      <c r="C17562">
        <v>175</v>
      </c>
      <c r="D17562">
        <v>3511</v>
      </c>
      <c r="E17562">
        <v>80777836</v>
      </c>
    </row>
    <row r="17563" spans="1:6" x14ac:dyDescent="0.25">
      <c r="A17563">
        <v>17562</v>
      </c>
      <c r="B17563">
        <v>13</v>
      </c>
      <c r="C17563">
        <v>0</v>
      </c>
      <c r="D17563">
        <v>0</v>
      </c>
      <c r="E17563">
        <v>0</v>
      </c>
      <c r="F17563">
        <v>1617</v>
      </c>
    </row>
    <row r="17564" spans="1:6" x14ac:dyDescent="0.25">
      <c r="A17564">
        <v>17563</v>
      </c>
      <c r="B17564">
        <v>41</v>
      </c>
      <c r="C17564">
        <v>0</v>
      </c>
      <c r="D17564">
        <v>0</v>
      </c>
      <c r="E17564">
        <v>0</v>
      </c>
      <c r="F17564">
        <v>1</v>
      </c>
    </row>
    <row r="17565" spans="1:6" x14ac:dyDescent="0.25">
      <c r="A17565">
        <v>17564</v>
      </c>
      <c r="B17565" t="s">
        <v>0</v>
      </c>
      <c r="C17565">
        <v>176</v>
      </c>
      <c r="D17565">
        <v>3511</v>
      </c>
      <c r="E17565">
        <v>80777971</v>
      </c>
    </row>
    <row r="17566" spans="1:6" x14ac:dyDescent="0.25">
      <c r="A17566">
        <v>17565</v>
      </c>
      <c r="B17566">
        <v>42</v>
      </c>
      <c r="C17566">
        <v>0</v>
      </c>
      <c r="D17566">
        <v>0</v>
      </c>
      <c r="E17566">
        <v>0</v>
      </c>
      <c r="F17566">
        <v>0.2</v>
      </c>
    </row>
    <row r="17567" spans="1:6" x14ac:dyDescent="0.25">
      <c r="A17567">
        <v>17566</v>
      </c>
      <c r="B17567">
        <v>43</v>
      </c>
      <c r="C17567">
        <v>0</v>
      </c>
      <c r="D17567">
        <v>0</v>
      </c>
      <c r="E17567">
        <v>0</v>
      </c>
      <c r="F17567">
        <v>0</v>
      </c>
    </row>
    <row r="17568" spans="1:6" x14ac:dyDescent="0.25">
      <c r="A17568">
        <v>17567</v>
      </c>
      <c r="B17568" t="s">
        <v>0</v>
      </c>
      <c r="C17568">
        <v>177</v>
      </c>
      <c r="D17568">
        <v>3511</v>
      </c>
      <c r="E17568">
        <v>80778106</v>
      </c>
    </row>
    <row r="17569" spans="1:6" x14ac:dyDescent="0.25">
      <c r="A17569">
        <v>17568</v>
      </c>
      <c r="B17569">
        <v>44</v>
      </c>
      <c r="C17569">
        <v>0</v>
      </c>
      <c r="D17569">
        <v>0</v>
      </c>
      <c r="E17569">
        <v>0</v>
      </c>
      <c r="F17569">
        <v>53.484499999999997</v>
      </c>
    </row>
    <row r="17570" spans="1:6" x14ac:dyDescent="0.25">
      <c r="A17570">
        <v>17569</v>
      </c>
      <c r="B17570">
        <v>45</v>
      </c>
      <c r="C17570">
        <v>0</v>
      </c>
      <c r="D17570">
        <v>0</v>
      </c>
      <c r="E17570">
        <v>0</v>
      </c>
      <c r="F17570">
        <v>532.94100000000003</v>
      </c>
    </row>
    <row r="17571" spans="1:6" x14ac:dyDescent="0.25">
      <c r="A17571">
        <v>17570</v>
      </c>
      <c r="B17571" t="s">
        <v>0</v>
      </c>
      <c r="C17571">
        <v>178</v>
      </c>
      <c r="D17571">
        <v>3511</v>
      </c>
      <c r="E17571">
        <v>80778240</v>
      </c>
    </row>
    <row r="17572" spans="1:6" x14ac:dyDescent="0.25">
      <c r="A17572">
        <v>17571</v>
      </c>
      <c r="B17572">
        <v>46</v>
      </c>
      <c r="C17572">
        <v>0</v>
      </c>
      <c r="D17572">
        <v>0</v>
      </c>
      <c r="E17572">
        <v>0</v>
      </c>
      <c r="F17572">
        <v>0</v>
      </c>
    </row>
    <row r="17573" spans="1:6" x14ac:dyDescent="0.25">
      <c r="A17573">
        <v>17572</v>
      </c>
      <c r="B17573">
        <v>2</v>
      </c>
      <c r="C17573">
        <v>0</v>
      </c>
      <c r="D17573">
        <v>0</v>
      </c>
      <c r="E17573">
        <v>0</v>
      </c>
      <c r="F17573">
        <v>246.529</v>
      </c>
    </row>
    <row r="17574" spans="1:6" x14ac:dyDescent="0.25">
      <c r="A17574">
        <v>17573</v>
      </c>
      <c r="B17574">
        <v>10</v>
      </c>
      <c r="C17574">
        <v>1</v>
      </c>
      <c r="D17574">
        <v>0</v>
      </c>
      <c r="E17574">
        <v>0</v>
      </c>
      <c r="F17574">
        <v>5331</v>
      </c>
    </row>
    <row r="17575" spans="1:6" x14ac:dyDescent="0.25">
      <c r="A17575">
        <v>17574</v>
      </c>
      <c r="B17575">
        <v>13</v>
      </c>
      <c r="C17575">
        <v>0</v>
      </c>
      <c r="D17575">
        <v>0</v>
      </c>
      <c r="E17575">
        <v>0</v>
      </c>
      <c r="F17575">
        <v>1617</v>
      </c>
    </row>
    <row r="17576" spans="1:6" x14ac:dyDescent="0.25">
      <c r="A17576">
        <v>17575</v>
      </c>
      <c r="B17576" t="s">
        <v>0</v>
      </c>
      <c r="C17576">
        <v>0</v>
      </c>
      <c r="D17576">
        <v>3512</v>
      </c>
      <c r="E17576">
        <v>80778509</v>
      </c>
    </row>
    <row r="17577" spans="1:6" x14ac:dyDescent="0.25">
      <c r="A17577">
        <v>17576</v>
      </c>
      <c r="B17577">
        <v>42</v>
      </c>
      <c r="C17577">
        <v>0</v>
      </c>
      <c r="D17577">
        <v>0</v>
      </c>
      <c r="E17577">
        <v>0</v>
      </c>
      <c r="F17577">
        <v>0.2</v>
      </c>
    </row>
    <row r="17578" spans="1:6" x14ac:dyDescent="0.25">
      <c r="A17578">
        <v>17577</v>
      </c>
      <c r="B17578" t="s">
        <v>0</v>
      </c>
      <c r="C17578">
        <v>1</v>
      </c>
      <c r="D17578">
        <v>3512</v>
      </c>
      <c r="E17578">
        <v>80778644</v>
      </c>
    </row>
    <row r="17579" spans="1:6" x14ac:dyDescent="0.25">
      <c r="A17579">
        <v>17578</v>
      </c>
      <c r="B17579">
        <v>44</v>
      </c>
      <c r="C17579">
        <v>0</v>
      </c>
      <c r="D17579">
        <v>0</v>
      </c>
      <c r="E17579">
        <v>0</v>
      </c>
      <c r="F17579">
        <v>53.459000000000003</v>
      </c>
    </row>
    <row r="17580" spans="1:6" x14ac:dyDescent="0.25">
      <c r="A17580">
        <v>17579</v>
      </c>
      <c r="B17580" t="s">
        <v>0</v>
      </c>
      <c r="C17580">
        <v>2</v>
      </c>
      <c r="D17580">
        <v>3512</v>
      </c>
      <c r="E17580">
        <v>80778779</v>
      </c>
    </row>
    <row r="17581" spans="1:6" x14ac:dyDescent="0.25">
      <c r="A17581">
        <v>17580</v>
      </c>
      <c r="B17581">
        <v>46</v>
      </c>
      <c r="C17581">
        <v>0</v>
      </c>
      <c r="D17581">
        <v>0</v>
      </c>
      <c r="E17581">
        <v>0</v>
      </c>
      <c r="F17581">
        <v>0</v>
      </c>
    </row>
    <row r="17582" spans="1:6" x14ac:dyDescent="0.25">
      <c r="A17582">
        <v>17581</v>
      </c>
      <c r="B17582" t="s">
        <v>0</v>
      </c>
      <c r="C17582">
        <v>3</v>
      </c>
      <c r="D17582">
        <v>3512</v>
      </c>
      <c r="E17582">
        <v>80778914</v>
      </c>
    </row>
    <row r="17583" spans="1:6" x14ac:dyDescent="0.25">
      <c r="A17583">
        <v>17582</v>
      </c>
      <c r="B17583">
        <v>10</v>
      </c>
      <c r="C17583">
        <v>1</v>
      </c>
      <c r="D17583">
        <v>0</v>
      </c>
      <c r="E17583">
        <v>0</v>
      </c>
      <c r="F17583">
        <v>5331</v>
      </c>
    </row>
    <row r="17584" spans="1:6" x14ac:dyDescent="0.25">
      <c r="A17584">
        <v>17583</v>
      </c>
      <c r="B17584" t="s">
        <v>0</v>
      </c>
      <c r="C17584">
        <v>4</v>
      </c>
      <c r="D17584">
        <v>3512</v>
      </c>
      <c r="E17584">
        <v>80779049</v>
      </c>
    </row>
    <row r="17585" spans="1:6" x14ac:dyDescent="0.25">
      <c r="A17585">
        <v>17584</v>
      </c>
      <c r="B17585">
        <v>41</v>
      </c>
      <c r="C17585">
        <v>0</v>
      </c>
      <c r="D17585">
        <v>0</v>
      </c>
      <c r="E17585">
        <v>0</v>
      </c>
      <c r="F17585">
        <v>1</v>
      </c>
    </row>
    <row r="17586" spans="1:6" x14ac:dyDescent="0.25">
      <c r="A17586">
        <v>17585</v>
      </c>
      <c r="B17586" t="s">
        <v>0</v>
      </c>
      <c r="C17586">
        <v>5</v>
      </c>
      <c r="D17586">
        <v>3512</v>
      </c>
      <c r="E17586">
        <v>80779184</v>
      </c>
    </row>
    <row r="17587" spans="1:6" x14ac:dyDescent="0.25">
      <c r="A17587">
        <v>17586</v>
      </c>
      <c r="B17587">
        <v>43</v>
      </c>
      <c r="C17587">
        <v>0</v>
      </c>
      <c r="D17587">
        <v>0</v>
      </c>
      <c r="E17587">
        <v>0</v>
      </c>
      <c r="F17587">
        <v>0</v>
      </c>
    </row>
    <row r="17588" spans="1:6" x14ac:dyDescent="0.25">
      <c r="A17588">
        <v>17587</v>
      </c>
      <c r="B17588" t="s">
        <v>0</v>
      </c>
      <c r="C17588">
        <v>6</v>
      </c>
      <c r="D17588">
        <v>3512</v>
      </c>
      <c r="E17588">
        <v>80779319</v>
      </c>
    </row>
    <row r="17589" spans="1:6" x14ac:dyDescent="0.25">
      <c r="A17589">
        <v>17588</v>
      </c>
      <c r="B17589">
        <v>45</v>
      </c>
      <c r="C17589">
        <v>0</v>
      </c>
      <c r="D17589">
        <v>0</v>
      </c>
      <c r="E17589">
        <v>0</v>
      </c>
      <c r="F17589">
        <v>533.04200000000003</v>
      </c>
    </row>
    <row r="17590" spans="1:6" x14ac:dyDescent="0.25">
      <c r="A17590">
        <v>17589</v>
      </c>
      <c r="B17590" t="s">
        <v>0</v>
      </c>
      <c r="C17590">
        <v>7</v>
      </c>
      <c r="D17590">
        <v>3512</v>
      </c>
      <c r="E17590">
        <v>80779453</v>
      </c>
    </row>
    <row r="17591" spans="1:6" x14ac:dyDescent="0.25">
      <c r="A17591">
        <v>17590</v>
      </c>
      <c r="B17591">
        <v>2</v>
      </c>
      <c r="C17591">
        <v>0</v>
      </c>
      <c r="D17591">
        <v>0</v>
      </c>
      <c r="E17591">
        <v>0</v>
      </c>
      <c r="F17591">
        <v>246.60400000000001</v>
      </c>
    </row>
    <row r="17592" spans="1:6" x14ac:dyDescent="0.25">
      <c r="A17592">
        <v>17591</v>
      </c>
      <c r="B17592" t="s">
        <v>0</v>
      </c>
      <c r="C17592">
        <v>8</v>
      </c>
      <c r="D17592">
        <v>3512</v>
      </c>
      <c r="E17592">
        <v>80779587</v>
      </c>
    </row>
    <row r="17593" spans="1:6" x14ac:dyDescent="0.25">
      <c r="A17593">
        <v>17592</v>
      </c>
      <c r="B17593">
        <v>13</v>
      </c>
      <c r="C17593">
        <v>0</v>
      </c>
      <c r="D17593">
        <v>0</v>
      </c>
      <c r="E17593">
        <v>0</v>
      </c>
      <c r="F17593">
        <v>1617</v>
      </c>
    </row>
    <row r="17594" spans="1:6" x14ac:dyDescent="0.25">
      <c r="A17594">
        <v>17593</v>
      </c>
      <c r="B17594" t="s">
        <v>0</v>
      </c>
      <c r="C17594">
        <v>9</v>
      </c>
      <c r="D17594">
        <v>3512</v>
      </c>
      <c r="E17594">
        <v>80779721</v>
      </c>
    </row>
    <row r="17595" spans="1:6" x14ac:dyDescent="0.25">
      <c r="A17595">
        <v>17594</v>
      </c>
      <c r="B17595">
        <v>42</v>
      </c>
      <c r="C17595">
        <v>0</v>
      </c>
      <c r="D17595">
        <v>0</v>
      </c>
      <c r="E17595">
        <v>0</v>
      </c>
      <c r="F17595">
        <v>0.2</v>
      </c>
    </row>
    <row r="17596" spans="1:6" x14ac:dyDescent="0.25">
      <c r="A17596">
        <v>17595</v>
      </c>
      <c r="B17596" t="s">
        <v>0</v>
      </c>
      <c r="C17596">
        <v>10</v>
      </c>
      <c r="D17596">
        <v>3512</v>
      </c>
      <c r="E17596">
        <v>80779856</v>
      </c>
    </row>
    <row r="17597" spans="1:6" x14ac:dyDescent="0.25">
      <c r="A17597">
        <v>17596</v>
      </c>
      <c r="B17597">
        <v>44</v>
      </c>
      <c r="C17597">
        <v>0</v>
      </c>
      <c r="D17597">
        <v>0</v>
      </c>
      <c r="E17597">
        <v>0</v>
      </c>
      <c r="F17597">
        <v>53.371200000000002</v>
      </c>
    </row>
    <row r="17598" spans="1:6" x14ac:dyDescent="0.25">
      <c r="A17598">
        <v>17597</v>
      </c>
      <c r="B17598" t="s">
        <v>0</v>
      </c>
      <c r="C17598">
        <v>11</v>
      </c>
      <c r="D17598">
        <v>3512</v>
      </c>
      <c r="E17598">
        <v>80779991</v>
      </c>
    </row>
    <row r="17599" spans="1:6" x14ac:dyDescent="0.25">
      <c r="A17599">
        <v>17598</v>
      </c>
      <c r="B17599">
        <v>46</v>
      </c>
      <c r="C17599">
        <v>0</v>
      </c>
      <c r="D17599">
        <v>0</v>
      </c>
      <c r="E17599">
        <v>0</v>
      </c>
      <c r="F17599">
        <v>0</v>
      </c>
    </row>
    <row r="17600" spans="1:6" x14ac:dyDescent="0.25">
      <c r="A17600">
        <v>17599</v>
      </c>
      <c r="B17600" t="s">
        <v>0</v>
      </c>
      <c r="C17600">
        <v>12</v>
      </c>
      <c r="D17600">
        <v>3512</v>
      </c>
      <c r="E17600">
        <v>80780126</v>
      </c>
    </row>
    <row r="17601" spans="1:6" x14ac:dyDescent="0.25">
      <c r="A17601">
        <v>17600</v>
      </c>
      <c r="B17601">
        <v>10</v>
      </c>
      <c r="C17601">
        <v>1</v>
      </c>
      <c r="D17601">
        <v>0</v>
      </c>
      <c r="E17601">
        <v>0</v>
      </c>
      <c r="F17601">
        <v>5329</v>
      </c>
    </row>
    <row r="17602" spans="1:6" x14ac:dyDescent="0.25">
      <c r="A17602">
        <v>17601</v>
      </c>
      <c r="B17602" t="s">
        <v>0</v>
      </c>
      <c r="C17602">
        <v>13</v>
      </c>
      <c r="D17602">
        <v>3512</v>
      </c>
      <c r="E17602">
        <v>80780261</v>
      </c>
    </row>
    <row r="17603" spans="1:6" x14ac:dyDescent="0.25">
      <c r="A17603">
        <v>17602</v>
      </c>
      <c r="B17603">
        <v>41</v>
      </c>
      <c r="C17603">
        <v>0</v>
      </c>
      <c r="D17603">
        <v>0</v>
      </c>
      <c r="E17603">
        <v>0</v>
      </c>
      <c r="F17603">
        <v>1</v>
      </c>
    </row>
    <row r="17604" spans="1:6" x14ac:dyDescent="0.25">
      <c r="A17604">
        <v>17603</v>
      </c>
      <c r="B17604" t="s">
        <v>0</v>
      </c>
      <c r="C17604">
        <v>14</v>
      </c>
      <c r="D17604">
        <v>3512</v>
      </c>
      <c r="E17604">
        <v>80780395</v>
      </c>
    </row>
    <row r="17605" spans="1:6" x14ac:dyDescent="0.25">
      <c r="A17605">
        <v>17604</v>
      </c>
      <c r="B17605">
        <v>43</v>
      </c>
      <c r="C17605">
        <v>0</v>
      </c>
      <c r="D17605">
        <v>0</v>
      </c>
      <c r="E17605">
        <v>0</v>
      </c>
      <c r="F17605">
        <v>0</v>
      </c>
    </row>
    <row r="17606" spans="1:6" x14ac:dyDescent="0.25">
      <c r="A17606">
        <v>17605</v>
      </c>
      <c r="B17606">
        <v>44</v>
      </c>
      <c r="C17606">
        <v>0</v>
      </c>
      <c r="D17606">
        <v>0</v>
      </c>
      <c r="E17606">
        <v>0</v>
      </c>
      <c r="F17606">
        <v>53.343499999999999</v>
      </c>
    </row>
    <row r="17607" spans="1:6" x14ac:dyDescent="0.25">
      <c r="A17607">
        <v>17606</v>
      </c>
      <c r="B17607">
        <v>45</v>
      </c>
      <c r="C17607">
        <v>0</v>
      </c>
      <c r="D17607">
        <v>0</v>
      </c>
      <c r="E17607">
        <v>0</v>
      </c>
      <c r="F17607">
        <v>533.17200000000003</v>
      </c>
    </row>
    <row r="17608" spans="1:6" x14ac:dyDescent="0.25">
      <c r="A17608">
        <v>17607</v>
      </c>
      <c r="B17608">
        <v>46</v>
      </c>
      <c r="C17608">
        <v>0</v>
      </c>
      <c r="D17608">
        <v>0</v>
      </c>
      <c r="E17608">
        <v>0</v>
      </c>
      <c r="F17608">
        <v>0</v>
      </c>
    </row>
    <row r="17609" spans="1:6" x14ac:dyDescent="0.25">
      <c r="A17609">
        <v>17608</v>
      </c>
      <c r="B17609">
        <v>2</v>
      </c>
      <c r="C17609">
        <v>0</v>
      </c>
      <c r="D17609">
        <v>0</v>
      </c>
      <c r="E17609">
        <v>0</v>
      </c>
      <c r="F17609">
        <v>246.66800000000001</v>
      </c>
    </row>
    <row r="17610" spans="1:6" x14ac:dyDescent="0.25">
      <c r="A17610">
        <v>17609</v>
      </c>
      <c r="B17610">
        <v>10</v>
      </c>
      <c r="C17610">
        <v>1</v>
      </c>
      <c r="D17610">
        <v>0</v>
      </c>
      <c r="E17610">
        <v>0</v>
      </c>
      <c r="F17610">
        <v>5329</v>
      </c>
    </row>
    <row r="17611" spans="1:6" x14ac:dyDescent="0.25">
      <c r="A17611">
        <v>17610</v>
      </c>
      <c r="B17611">
        <v>13</v>
      </c>
      <c r="C17611">
        <v>0</v>
      </c>
      <c r="D17611">
        <v>0</v>
      </c>
      <c r="E17611">
        <v>0</v>
      </c>
      <c r="F17611">
        <v>1617</v>
      </c>
    </row>
    <row r="17612" spans="1:6" x14ac:dyDescent="0.25">
      <c r="A17612">
        <v>17611</v>
      </c>
      <c r="B17612">
        <v>41</v>
      </c>
      <c r="C17612">
        <v>0</v>
      </c>
      <c r="D17612">
        <v>0</v>
      </c>
      <c r="E17612">
        <v>0</v>
      </c>
      <c r="F17612">
        <v>1</v>
      </c>
    </row>
    <row r="17613" spans="1:6" x14ac:dyDescent="0.25">
      <c r="A17613">
        <v>17612</v>
      </c>
      <c r="B17613">
        <v>42</v>
      </c>
      <c r="C17613">
        <v>0</v>
      </c>
      <c r="D17613">
        <v>0</v>
      </c>
      <c r="E17613">
        <v>0</v>
      </c>
      <c r="F17613">
        <v>0.2</v>
      </c>
    </row>
    <row r="17614" spans="1:6" x14ac:dyDescent="0.25">
      <c r="A17614">
        <v>17613</v>
      </c>
      <c r="B17614">
        <v>43</v>
      </c>
      <c r="C17614">
        <v>0</v>
      </c>
      <c r="D17614">
        <v>0</v>
      </c>
      <c r="E17614">
        <v>0</v>
      </c>
      <c r="F17614">
        <v>0</v>
      </c>
    </row>
    <row r="17615" spans="1:6" x14ac:dyDescent="0.25">
      <c r="A17615">
        <v>17614</v>
      </c>
      <c r="B17615">
        <v>44</v>
      </c>
      <c r="C17615">
        <v>0</v>
      </c>
      <c r="D17615">
        <v>0</v>
      </c>
      <c r="E17615">
        <v>0</v>
      </c>
      <c r="F17615">
        <v>53.315800000000003</v>
      </c>
    </row>
    <row r="17616" spans="1:6" x14ac:dyDescent="0.25">
      <c r="A17616">
        <v>17615</v>
      </c>
      <c r="B17616">
        <v>45</v>
      </c>
      <c r="C17616">
        <v>0</v>
      </c>
      <c r="D17616">
        <v>0</v>
      </c>
      <c r="E17616">
        <v>0</v>
      </c>
      <c r="F17616">
        <v>533.23</v>
      </c>
    </row>
    <row r="17617" spans="1:6" x14ac:dyDescent="0.25">
      <c r="A17617">
        <v>17616</v>
      </c>
      <c r="B17617">
        <v>46</v>
      </c>
      <c r="C17617">
        <v>0</v>
      </c>
      <c r="D17617">
        <v>0</v>
      </c>
      <c r="E17617">
        <v>0</v>
      </c>
      <c r="F17617">
        <v>0</v>
      </c>
    </row>
    <row r="17618" spans="1:6" x14ac:dyDescent="0.25">
      <c r="A17618">
        <v>17617</v>
      </c>
      <c r="B17618">
        <v>2</v>
      </c>
      <c r="C17618">
        <v>0</v>
      </c>
      <c r="D17618">
        <v>0</v>
      </c>
      <c r="E17618">
        <v>0</v>
      </c>
      <c r="F17618">
        <v>246.68899999999999</v>
      </c>
    </row>
    <row r="17619" spans="1:6" x14ac:dyDescent="0.25">
      <c r="A17619">
        <v>17618</v>
      </c>
      <c r="B17619">
        <v>10</v>
      </c>
      <c r="C17619">
        <v>1</v>
      </c>
      <c r="D17619">
        <v>0</v>
      </c>
      <c r="E17619">
        <v>0</v>
      </c>
      <c r="F17619">
        <v>5329</v>
      </c>
    </row>
    <row r="17620" spans="1:6" x14ac:dyDescent="0.25">
      <c r="A17620">
        <v>17619</v>
      </c>
      <c r="B17620">
        <v>13</v>
      </c>
      <c r="C17620">
        <v>0</v>
      </c>
      <c r="D17620">
        <v>0</v>
      </c>
      <c r="E17620">
        <v>0</v>
      </c>
      <c r="F17620">
        <v>1617</v>
      </c>
    </row>
    <row r="17621" spans="1:6" x14ac:dyDescent="0.25">
      <c r="A17621">
        <v>17620</v>
      </c>
      <c r="B17621">
        <v>41</v>
      </c>
      <c r="C17621">
        <v>0</v>
      </c>
      <c r="D17621">
        <v>0</v>
      </c>
      <c r="E17621">
        <v>0</v>
      </c>
      <c r="F17621">
        <v>1</v>
      </c>
    </row>
    <row r="17622" spans="1:6" x14ac:dyDescent="0.25">
      <c r="A17622">
        <v>17621</v>
      </c>
      <c r="B17622">
        <v>42</v>
      </c>
      <c r="C17622">
        <v>0</v>
      </c>
      <c r="D17622">
        <v>0</v>
      </c>
      <c r="E17622">
        <v>0</v>
      </c>
      <c r="F17622">
        <v>0.2</v>
      </c>
    </row>
    <row r="17623" spans="1:6" x14ac:dyDescent="0.25">
      <c r="A17623">
        <v>17622</v>
      </c>
      <c r="B17623">
        <v>43</v>
      </c>
      <c r="C17623">
        <v>0</v>
      </c>
      <c r="D17623">
        <v>0</v>
      </c>
      <c r="E17623">
        <v>0</v>
      </c>
      <c r="F17623">
        <v>0</v>
      </c>
    </row>
    <row r="17624" spans="1:6" x14ac:dyDescent="0.25">
      <c r="A17624">
        <v>17623</v>
      </c>
      <c r="B17624">
        <v>44</v>
      </c>
      <c r="C17624">
        <v>0</v>
      </c>
      <c r="D17624">
        <v>0</v>
      </c>
      <c r="E17624">
        <v>0</v>
      </c>
      <c r="F17624">
        <v>53.298299999999998</v>
      </c>
    </row>
    <row r="17625" spans="1:6" x14ac:dyDescent="0.25">
      <c r="A17625">
        <v>17624</v>
      </c>
      <c r="B17625">
        <v>45</v>
      </c>
      <c r="C17625">
        <v>0</v>
      </c>
      <c r="D17625">
        <v>0</v>
      </c>
      <c r="E17625">
        <v>0</v>
      </c>
      <c r="F17625">
        <v>533.30200000000002</v>
      </c>
    </row>
    <row r="17626" spans="1:6" x14ac:dyDescent="0.25">
      <c r="A17626">
        <v>17625</v>
      </c>
      <c r="B17626">
        <v>46</v>
      </c>
      <c r="C17626">
        <v>0</v>
      </c>
      <c r="D17626">
        <v>0</v>
      </c>
      <c r="E17626">
        <v>0</v>
      </c>
      <c r="F17626">
        <v>0</v>
      </c>
    </row>
    <row r="17627" spans="1:6" x14ac:dyDescent="0.25">
      <c r="A17627">
        <v>17626</v>
      </c>
      <c r="B17627">
        <v>2</v>
      </c>
      <c r="C17627">
        <v>0</v>
      </c>
      <c r="D17627">
        <v>0</v>
      </c>
      <c r="E17627">
        <v>0</v>
      </c>
      <c r="F17627">
        <v>246.709</v>
      </c>
    </row>
    <row r="17628" spans="1:6" x14ac:dyDescent="0.25">
      <c r="A17628">
        <v>17627</v>
      </c>
      <c r="B17628">
        <v>10</v>
      </c>
      <c r="C17628">
        <v>1</v>
      </c>
      <c r="D17628">
        <v>0</v>
      </c>
      <c r="E17628">
        <v>0</v>
      </c>
      <c r="F17628">
        <v>5329</v>
      </c>
    </row>
    <row r="17629" spans="1:6" x14ac:dyDescent="0.25">
      <c r="A17629">
        <v>17628</v>
      </c>
      <c r="B17629">
        <v>13</v>
      </c>
      <c r="C17629">
        <v>0</v>
      </c>
      <c r="D17629">
        <v>0</v>
      </c>
      <c r="E17629">
        <v>0</v>
      </c>
      <c r="F17629">
        <v>1617</v>
      </c>
    </row>
    <row r="17630" spans="1:6" x14ac:dyDescent="0.25">
      <c r="A17630">
        <v>17629</v>
      </c>
      <c r="B17630">
        <v>41</v>
      </c>
      <c r="C17630">
        <v>0</v>
      </c>
      <c r="D17630">
        <v>0</v>
      </c>
      <c r="E17630">
        <v>0</v>
      </c>
      <c r="F17630">
        <v>1</v>
      </c>
    </row>
    <row r="17631" spans="1:6" x14ac:dyDescent="0.25">
      <c r="A17631">
        <v>17630</v>
      </c>
      <c r="B17631">
        <v>42</v>
      </c>
      <c r="C17631">
        <v>0</v>
      </c>
      <c r="D17631">
        <v>0</v>
      </c>
      <c r="E17631">
        <v>0</v>
      </c>
      <c r="F17631">
        <v>0.2</v>
      </c>
    </row>
    <row r="17632" spans="1:6" x14ac:dyDescent="0.25">
      <c r="A17632">
        <v>17631</v>
      </c>
      <c r="B17632">
        <v>43</v>
      </c>
      <c r="C17632">
        <v>0</v>
      </c>
      <c r="D17632">
        <v>0</v>
      </c>
      <c r="E17632">
        <v>0</v>
      </c>
      <c r="F17632">
        <v>0</v>
      </c>
    </row>
    <row r="17633" spans="1:6" x14ac:dyDescent="0.25">
      <c r="A17633">
        <v>17632</v>
      </c>
      <c r="B17633">
        <v>44</v>
      </c>
      <c r="C17633">
        <v>0</v>
      </c>
      <c r="D17633">
        <v>0</v>
      </c>
      <c r="E17633">
        <v>0</v>
      </c>
      <c r="F17633">
        <v>53.280700000000003</v>
      </c>
    </row>
    <row r="17634" spans="1:6" x14ac:dyDescent="0.25">
      <c r="A17634">
        <v>17633</v>
      </c>
      <c r="B17634">
        <v>45</v>
      </c>
      <c r="C17634">
        <v>0</v>
      </c>
      <c r="D17634">
        <v>0</v>
      </c>
      <c r="E17634">
        <v>0</v>
      </c>
      <c r="F17634">
        <v>533.35900000000004</v>
      </c>
    </row>
    <row r="17635" spans="1:6" x14ac:dyDescent="0.25">
      <c r="A17635">
        <v>17634</v>
      </c>
      <c r="B17635">
        <v>46</v>
      </c>
      <c r="C17635">
        <v>0</v>
      </c>
      <c r="D17635">
        <v>0</v>
      </c>
      <c r="E17635">
        <v>0</v>
      </c>
      <c r="F17635">
        <v>0</v>
      </c>
    </row>
    <row r="17636" spans="1:6" x14ac:dyDescent="0.25">
      <c r="A17636">
        <v>17635</v>
      </c>
      <c r="B17636">
        <v>2</v>
      </c>
      <c r="C17636">
        <v>0</v>
      </c>
      <c r="D17636">
        <v>0</v>
      </c>
      <c r="E17636">
        <v>0</v>
      </c>
      <c r="F17636">
        <v>246.72200000000001</v>
      </c>
    </row>
    <row r="17637" spans="1:6" x14ac:dyDescent="0.25">
      <c r="A17637">
        <v>17636</v>
      </c>
      <c r="B17637">
        <v>10</v>
      </c>
      <c r="C17637">
        <v>1</v>
      </c>
      <c r="D17637">
        <v>0</v>
      </c>
      <c r="E17637">
        <v>0</v>
      </c>
      <c r="F17637">
        <v>5329</v>
      </c>
    </row>
    <row r="17638" spans="1:6" x14ac:dyDescent="0.25">
      <c r="A17638">
        <v>17637</v>
      </c>
      <c r="B17638">
        <v>13</v>
      </c>
      <c r="C17638">
        <v>0</v>
      </c>
      <c r="D17638">
        <v>0</v>
      </c>
      <c r="E17638">
        <v>0</v>
      </c>
      <c r="F17638">
        <v>1617</v>
      </c>
    </row>
    <row r="17639" spans="1:6" x14ac:dyDescent="0.25">
      <c r="A17639">
        <v>17638</v>
      </c>
      <c r="B17639">
        <v>41</v>
      </c>
      <c r="C17639">
        <v>0</v>
      </c>
      <c r="D17639">
        <v>0</v>
      </c>
      <c r="E17639">
        <v>0</v>
      </c>
      <c r="F17639">
        <v>1</v>
      </c>
    </row>
    <row r="17640" spans="1:6" x14ac:dyDescent="0.25">
      <c r="A17640">
        <v>17639</v>
      </c>
      <c r="B17640">
        <v>42</v>
      </c>
      <c r="C17640">
        <v>0</v>
      </c>
      <c r="D17640">
        <v>0</v>
      </c>
      <c r="E17640">
        <v>0</v>
      </c>
      <c r="F17640">
        <v>0.2</v>
      </c>
    </row>
    <row r="17641" spans="1:6" x14ac:dyDescent="0.25">
      <c r="A17641">
        <v>17640</v>
      </c>
      <c r="B17641">
        <v>43</v>
      </c>
      <c r="C17641">
        <v>0</v>
      </c>
      <c r="D17641">
        <v>0</v>
      </c>
      <c r="E17641">
        <v>0</v>
      </c>
      <c r="F17641">
        <v>0</v>
      </c>
    </row>
    <row r="17642" spans="1:6" x14ac:dyDescent="0.25">
      <c r="A17642">
        <v>17641</v>
      </c>
      <c r="B17642">
        <v>44</v>
      </c>
      <c r="C17642">
        <v>0</v>
      </c>
      <c r="D17642">
        <v>0</v>
      </c>
      <c r="E17642">
        <v>0</v>
      </c>
      <c r="F17642">
        <v>53.269799999999996</v>
      </c>
    </row>
    <row r="17643" spans="1:6" x14ac:dyDescent="0.25">
      <c r="A17643">
        <v>17642</v>
      </c>
      <c r="B17643">
        <v>45</v>
      </c>
      <c r="C17643">
        <v>0</v>
      </c>
      <c r="D17643">
        <v>0</v>
      </c>
      <c r="E17643">
        <v>0</v>
      </c>
      <c r="F17643">
        <v>533.43100000000004</v>
      </c>
    </row>
    <row r="17644" spans="1:6" x14ac:dyDescent="0.25">
      <c r="A17644">
        <v>17643</v>
      </c>
      <c r="B17644">
        <v>46</v>
      </c>
      <c r="C17644">
        <v>0</v>
      </c>
      <c r="D17644">
        <v>0</v>
      </c>
      <c r="E17644">
        <v>0</v>
      </c>
      <c r="F17644">
        <v>0</v>
      </c>
    </row>
    <row r="17645" spans="1:6" x14ac:dyDescent="0.25">
      <c r="A17645">
        <v>17644</v>
      </c>
      <c r="B17645" t="s">
        <v>0</v>
      </c>
      <c r="C17645">
        <v>34</v>
      </c>
      <c r="D17645">
        <v>3512</v>
      </c>
      <c r="E17645">
        <v>80783088</v>
      </c>
    </row>
    <row r="17646" spans="1:6" x14ac:dyDescent="0.25">
      <c r="A17646">
        <v>17645</v>
      </c>
      <c r="B17646">
        <v>2</v>
      </c>
      <c r="C17646">
        <v>0</v>
      </c>
      <c r="D17646">
        <v>0</v>
      </c>
      <c r="E17646">
        <v>0</v>
      </c>
      <c r="F17646">
        <v>246.73500000000001</v>
      </c>
    </row>
    <row r="17647" spans="1:6" x14ac:dyDescent="0.25">
      <c r="A17647">
        <v>17646</v>
      </c>
      <c r="B17647">
        <v>10</v>
      </c>
      <c r="C17647">
        <v>1</v>
      </c>
      <c r="D17647">
        <v>0</v>
      </c>
      <c r="E17647">
        <v>0</v>
      </c>
      <c r="F17647">
        <v>5329</v>
      </c>
    </row>
    <row r="17648" spans="1:6" x14ac:dyDescent="0.25">
      <c r="A17648">
        <v>17647</v>
      </c>
      <c r="B17648" t="s">
        <v>0</v>
      </c>
      <c r="C17648">
        <v>35</v>
      </c>
      <c r="D17648">
        <v>3512</v>
      </c>
      <c r="E17648">
        <v>80783223</v>
      </c>
    </row>
    <row r="17649" spans="1:6" x14ac:dyDescent="0.25">
      <c r="A17649">
        <v>17648</v>
      </c>
      <c r="B17649">
        <v>13</v>
      </c>
      <c r="C17649">
        <v>0</v>
      </c>
      <c r="D17649">
        <v>0</v>
      </c>
      <c r="E17649">
        <v>0</v>
      </c>
      <c r="F17649">
        <v>1617</v>
      </c>
    </row>
    <row r="17650" spans="1:6" x14ac:dyDescent="0.25">
      <c r="A17650">
        <v>17649</v>
      </c>
      <c r="B17650">
        <v>41</v>
      </c>
      <c r="C17650">
        <v>0</v>
      </c>
      <c r="D17650">
        <v>0</v>
      </c>
      <c r="E17650">
        <v>0</v>
      </c>
      <c r="F17650">
        <v>1</v>
      </c>
    </row>
    <row r="17651" spans="1:6" x14ac:dyDescent="0.25">
      <c r="A17651">
        <v>17650</v>
      </c>
      <c r="B17651" t="s">
        <v>0</v>
      </c>
      <c r="C17651">
        <v>36</v>
      </c>
      <c r="D17651">
        <v>3512</v>
      </c>
      <c r="E17651">
        <v>80783358</v>
      </c>
    </row>
    <row r="17652" spans="1:6" x14ac:dyDescent="0.25">
      <c r="A17652">
        <v>17651</v>
      </c>
      <c r="B17652">
        <v>42</v>
      </c>
      <c r="C17652">
        <v>0</v>
      </c>
      <c r="D17652">
        <v>0</v>
      </c>
      <c r="E17652">
        <v>0</v>
      </c>
      <c r="F17652">
        <v>0.2</v>
      </c>
    </row>
    <row r="17653" spans="1:6" x14ac:dyDescent="0.25">
      <c r="A17653">
        <v>17652</v>
      </c>
      <c r="B17653">
        <v>43</v>
      </c>
      <c r="C17653">
        <v>0</v>
      </c>
      <c r="D17653">
        <v>0</v>
      </c>
      <c r="E17653">
        <v>0</v>
      </c>
      <c r="F17653">
        <v>0</v>
      </c>
    </row>
    <row r="17654" spans="1:6" x14ac:dyDescent="0.25">
      <c r="A17654">
        <v>17653</v>
      </c>
      <c r="B17654" t="s">
        <v>0</v>
      </c>
      <c r="C17654">
        <v>37</v>
      </c>
      <c r="D17654">
        <v>3512</v>
      </c>
      <c r="E17654">
        <v>80783493</v>
      </c>
    </row>
    <row r="17655" spans="1:6" x14ac:dyDescent="0.25">
      <c r="A17655">
        <v>17654</v>
      </c>
      <c r="B17655">
        <v>44</v>
      </c>
      <c r="C17655">
        <v>0</v>
      </c>
      <c r="D17655">
        <v>0</v>
      </c>
      <c r="E17655">
        <v>0</v>
      </c>
      <c r="F17655">
        <v>53.207599999999999</v>
      </c>
    </row>
    <row r="17656" spans="1:6" x14ac:dyDescent="0.25">
      <c r="A17656">
        <v>17655</v>
      </c>
      <c r="B17656">
        <v>45</v>
      </c>
      <c r="C17656">
        <v>0</v>
      </c>
      <c r="D17656">
        <v>0</v>
      </c>
      <c r="E17656">
        <v>0</v>
      </c>
      <c r="F17656">
        <v>533.48900000000003</v>
      </c>
    </row>
    <row r="17657" spans="1:6" x14ac:dyDescent="0.25">
      <c r="A17657">
        <v>17656</v>
      </c>
      <c r="B17657" t="s">
        <v>0</v>
      </c>
      <c r="C17657">
        <v>38</v>
      </c>
      <c r="D17657">
        <v>3512</v>
      </c>
      <c r="E17657">
        <v>80783627</v>
      </c>
    </row>
    <row r="17658" spans="1:6" x14ac:dyDescent="0.25">
      <c r="A17658">
        <v>17657</v>
      </c>
      <c r="B17658">
        <v>46</v>
      </c>
      <c r="C17658">
        <v>0</v>
      </c>
      <c r="D17658">
        <v>0</v>
      </c>
      <c r="E17658">
        <v>0</v>
      </c>
      <c r="F17658">
        <v>0</v>
      </c>
    </row>
    <row r="17659" spans="1:6" x14ac:dyDescent="0.25">
      <c r="A17659">
        <v>17658</v>
      </c>
      <c r="B17659">
        <v>2</v>
      </c>
      <c r="C17659">
        <v>0</v>
      </c>
      <c r="D17659">
        <v>0</v>
      </c>
      <c r="E17659">
        <v>0</v>
      </c>
      <c r="F17659">
        <v>246.81100000000001</v>
      </c>
    </row>
    <row r="17660" spans="1:6" x14ac:dyDescent="0.25">
      <c r="A17660">
        <v>17659</v>
      </c>
      <c r="B17660" t="s">
        <v>0</v>
      </c>
      <c r="C17660">
        <v>39</v>
      </c>
      <c r="D17660">
        <v>3512</v>
      </c>
      <c r="E17660">
        <v>80783761</v>
      </c>
    </row>
    <row r="17661" spans="1:6" x14ac:dyDescent="0.25">
      <c r="A17661">
        <v>17660</v>
      </c>
      <c r="B17661">
        <v>10</v>
      </c>
      <c r="C17661">
        <v>1</v>
      </c>
      <c r="D17661">
        <v>0</v>
      </c>
      <c r="E17661">
        <v>0</v>
      </c>
      <c r="F17661">
        <v>5327</v>
      </c>
    </row>
    <row r="17662" spans="1:6" x14ac:dyDescent="0.25">
      <c r="A17662">
        <v>17661</v>
      </c>
      <c r="B17662">
        <v>13</v>
      </c>
      <c r="C17662">
        <v>0</v>
      </c>
      <c r="D17662">
        <v>0</v>
      </c>
      <c r="E17662">
        <v>0</v>
      </c>
      <c r="F17662">
        <v>1617</v>
      </c>
    </row>
    <row r="17663" spans="1:6" x14ac:dyDescent="0.25">
      <c r="A17663">
        <v>17662</v>
      </c>
      <c r="B17663" t="s">
        <v>0</v>
      </c>
      <c r="C17663">
        <v>40</v>
      </c>
      <c r="D17663">
        <v>3512</v>
      </c>
      <c r="E17663">
        <v>80783895</v>
      </c>
    </row>
    <row r="17664" spans="1:6" x14ac:dyDescent="0.25">
      <c r="A17664">
        <v>17663</v>
      </c>
      <c r="B17664">
        <v>41</v>
      </c>
      <c r="C17664">
        <v>0</v>
      </c>
      <c r="D17664">
        <v>0</v>
      </c>
      <c r="E17664">
        <v>0</v>
      </c>
      <c r="F17664">
        <v>1</v>
      </c>
    </row>
    <row r="17665" spans="1:6" x14ac:dyDescent="0.25">
      <c r="A17665">
        <v>17664</v>
      </c>
      <c r="B17665">
        <v>42</v>
      </c>
      <c r="C17665">
        <v>0</v>
      </c>
      <c r="D17665">
        <v>0</v>
      </c>
      <c r="E17665">
        <v>0</v>
      </c>
      <c r="F17665">
        <v>0.2</v>
      </c>
    </row>
    <row r="17666" spans="1:6" x14ac:dyDescent="0.25">
      <c r="A17666">
        <v>17665</v>
      </c>
      <c r="B17666" t="s">
        <v>0</v>
      </c>
      <c r="C17666">
        <v>41</v>
      </c>
      <c r="D17666">
        <v>3512</v>
      </c>
      <c r="E17666">
        <v>80784029</v>
      </c>
    </row>
    <row r="17667" spans="1:6" x14ac:dyDescent="0.25">
      <c r="A17667">
        <v>17666</v>
      </c>
      <c r="B17667">
        <v>43</v>
      </c>
      <c r="C17667">
        <v>0</v>
      </c>
      <c r="D17667">
        <v>0</v>
      </c>
      <c r="E17667">
        <v>0</v>
      </c>
      <c r="F17667">
        <v>0</v>
      </c>
    </row>
    <row r="17668" spans="1:6" x14ac:dyDescent="0.25">
      <c r="A17668">
        <v>17667</v>
      </c>
      <c r="B17668">
        <v>44</v>
      </c>
      <c r="C17668">
        <v>0</v>
      </c>
      <c r="D17668">
        <v>0</v>
      </c>
      <c r="E17668">
        <v>0</v>
      </c>
      <c r="F17668">
        <v>53.141599999999997</v>
      </c>
    </row>
    <row r="17669" spans="1:6" x14ac:dyDescent="0.25">
      <c r="A17669">
        <v>17668</v>
      </c>
      <c r="B17669" t="s">
        <v>0</v>
      </c>
      <c r="C17669">
        <v>42</v>
      </c>
      <c r="D17669">
        <v>3512</v>
      </c>
      <c r="E17669">
        <v>80784163</v>
      </c>
    </row>
    <row r="17670" spans="1:6" x14ac:dyDescent="0.25">
      <c r="A17670">
        <v>17669</v>
      </c>
      <c r="B17670">
        <v>45</v>
      </c>
      <c r="C17670">
        <v>0</v>
      </c>
      <c r="D17670">
        <v>0</v>
      </c>
      <c r="E17670">
        <v>0</v>
      </c>
      <c r="F17670">
        <v>533.55999999999995</v>
      </c>
    </row>
    <row r="17671" spans="1:6" x14ac:dyDescent="0.25">
      <c r="A17671">
        <v>17670</v>
      </c>
      <c r="B17671">
        <v>46</v>
      </c>
      <c r="C17671">
        <v>0</v>
      </c>
      <c r="D17671">
        <v>0</v>
      </c>
      <c r="E17671">
        <v>0</v>
      </c>
      <c r="F17671">
        <v>0</v>
      </c>
    </row>
    <row r="17672" spans="1:6" x14ac:dyDescent="0.25">
      <c r="A17672">
        <v>17671</v>
      </c>
      <c r="B17672" t="s">
        <v>0</v>
      </c>
      <c r="C17672">
        <v>43</v>
      </c>
      <c r="D17672">
        <v>3512</v>
      </c>
      <c r="E17672">
        <v>80784297</v>
      </c>
    </row>
    <row r="17673" spans="1:6" x14ac:dyDescent="0.25">
      <c r="A17673">
        <v>17672</v>
      </c>
      <c r="B17673">
        <v>2</v>
      </c>
      <c r="C17673">
        <v>0</v>
      </c>
      <c r="D17673">
        <v>0</v>
      </c>
      <c r="E17673">
        <v>0</v>
      </c>
      <c r="F17673">
        <v>246.886</v>
      </c>
    </row>
    <row r="17674" spans="1:6" x14ac:dyDescent="0.25">
      <c r="A17674">
        <v>17673</v>
      </c>
      <c r="B17674">
        <v>10</v>
      </c>
      <c r="C17674">
        <v>1</v>
      </c>
      <c r="D17674">
        <v>0</v>
      </c>
      <c r="E17674">
        <v>0</v>
      </c>
      <c r="F17674">
        <v>5325</v>
      </c>
    </row>
    <row r="17675" spans="1:6" x14ac:dyDescent="0.25">
      <c r="A17675">
        <v>17674</v>
      </c>
      <c r="B17675" t="s">
        <v>0</v>
      </c>
      <c r="C17675">
        <v>44</v>
      </c>
      <c r="D17675">
        <v>3512</v>
      </c>
      <c r="E17675">
        <v>80784431</v>
      </c>
    </row>
    <row r="17676" spans="1:6" x14ac:dyDescent="0.25">
      <c r="A17676">
        <v>17675</v>
      </c>
      <c r="B17676">
        <v>13</v>
      </c>
      <c r="C17676">
        <v>0</v>
      </c>
      <c r="D17676">
        <v>0</v>
      </c>
      <c r="E17676">
        <v>0</v>
      </c>
      <c r="F17676">
        <v>1617</v>
      </c>
    </row>
    <row r="17677" spans="1:6" x14ac:dyDescent="0.25">
      <c r="A17677">
        <v>17676</v>
      </c>
      <c r="B17677">
        <v>41</v>
      </c>
      <c r="C17677">
        <v>0</v>
      </c>
      <c r="D17677">
        <v>0</v>
      </c>
      <c r="E17677">
        <v>0</v>
      </c>
      <c r="F17677">
        <v>1</v>
      </c>
    </row>
    <row r="17678" spans="1:6" x14ac:dyDescent="0.25">
      <c r="A17678">
        <v>17677</v>
      </c>
      <c r="B17678" t="s">
        <v>0</v>
      </c>
      <c r="C17678">
        <v>45</v>
      </c>
      <c r="D17678">
        <v>3512</v>
      </c>
      <c r="E17678">
        <v>80784565</v>
      </c>
    </row>
    <row r="17679" spans="1:6" x14ac:dyDescent="0.25">
      <c r="A17679">
        <v>17678</v>
      </c>
      <c r="B17679">
        <v>42</v>
      </c>
      <c r="C17679">
        <v>0</v>
      </c>
      <c r="D17679">
        <v>0</v>
      </c>
      <c r="E17679">
        <v>0</v>
      </c>
      <c r="F17679">
        <v>0.2</v>
      </c>
    </row>
    <row r="17680" spans="1:6" x14ac:dyDescent="0.25">
      <c r="A17680">
        <v>17679</v>
      </c>
      <c r="B17680">
        <v>43</v>
      </c>
      <c r="C17680">
        <v>0</v>
      </c>
      <c r="D17680">
        <v>0</v>
      </c>
      <c r="E17680">
        <v>0</v>
      </c>
      <c r="F17680">
        <v>0</v>
      </c>
    </row>
    <row r="17681" spans="1:6" x14ac:dyDescent="0.25">
      <c r="A17681">
        <v>17680</v>
      </c>
      <c r="B17681" t="s">
        <v>0</v>
      </c>
      <c r="C17681">
        <v>46</v>
      </c>
      <c r="D17681">
        <v>3512</v>
      </c>
      <c r="E17681">
        <v>80784699</v>
      </c>
    </row>
    <row r="17682" spans="1:6" x14ac:dyDescent="0.25">
      <c r="A17682">
        <v>17681</v>
      </c>
      <c r="B17682">
        <v>44</v>
      </c>
      <c r="C17682">
        <v>0</v>
      </c>
      <c r="D17682">
        <v>0</v>
      </c>
      <c r="E17682">
        <v>0</v>
      </c>
      <c r="F17682">
        <v>53.076999999999998</v>
      </c>
    </row>
    <row r="17683" spans="1:6" x14ac:dyDescent="0.25">
      <c r="A17683">
        <v>17682</v>
      </c>
      <c r="B17683">
        <v>45</v>
      </c>
      <c r="C17683">
        <v>0</v>
      </c>
      <c r="D17683">
        <v>0</v>
      </c>
      <c r="E17683">
        <v>0</v>
      </c>
      <c r="F17683">
        <v>533.61800000000005</v>
      </c>
    </row>
    <row r="17684" spans="1:6" x14ac:dyDescent="0.25">
      <c r="A17684">
        <v>17683</v>
      </c>
      <c r="B17684" t="s">
        <v>0</v>
      </c>
      <c r="C17684">
        <v>47</v>
      </c>
      <c r="D17684">
        <v>3512</v>
      </c>
      <c r="E17684">
        <v>80784834</v>
      </c>
    </row>
    <row r="17685" spans="1:6" x14ac:dyDescent="0.25">
      <c r="A17685">
        <v>17684</v>
      </c>
      <c r="B17685">
        <v>46</v>
      </c>
      <c r="C17685">
        <v>0</v>
      </c>
      <c r="D17685">
        <v>0</v>
      </c>
      <c r="E17685">
        <v>0</v>
      </c>
      <c r="F17685">
        <v>0</v>
      </c>
    </row>
    <row r="17686" spans="1:6" x14ac:dyDescent="0.25">
      <c r="A17686">
        <v>17685</v>
      </c>
      <c r="B17686">
        <v>2</v>
      </c>
      <c r="C17686">
        <v>0</v>
      </c>
      <c r="D17686">
        <v>0</v>
      </c>
      <c r="E17686">
        <v>0</v>
      </c>
      <c r="F17686">
        <v>246.934</v>
      </c>
    </row>
    <row r="17687" spans="1:6" x14ac:dyDescent="0.25">
      <c r="A17687">
        <v>17686</v>
      </c>
      <c r="B17687" t="s">
        <v>0</v>
      </c>
      <c r="C17687">
        <v>48</v>
      </c>
      <c r="D17687">
        <v>3512</v>
      </c>
      <c r="E17687">
        <v>80784969</v>
      </c>
    </row>
    <row r="17688" spans="1:6" x14ac:dyDescent="0.25">
      <c r="A17688">
        <v>17687</v>
      </c>
      <c r="B17688">
        <v>10</v>
      </c>
      <c r="C17688">
        <v>1</v>
      </c>
      <c r="D17688">
        <v>0</v>
      </c>
      <c r="E17688">
        <v>0</v>
      </c>
      <c r="F17688">
        <v>5324</v>
      </c>
    </row>
    <row r="17689" spans="1:6" x14ac:dyDescent="0.25">
      <c r="A17689">
        <v>17688</v>
      </c>
      <c r="B17689">
        <v>13</v>
      </c>
      <c r="C17689">
        <v>0</v>
      </c>
      <c r="D17689">
        <v>0</v>
      </c>
      <c r="E17689">
        <v>0</v>
      </c>
      <c r="F17689">
        <v>1617</v>
      </c>
    </row>
    <row r="17690" spans="1:6" x14ac:dyDescent="0.25">
      <c r="A17690">
        <v>17689</v>
      </c>
      <c r="B17690" t="s">
        <v>0</v>
      </c>
      <c r="C17690">
        <v>49</v>
      </c>
      <c r="D17690">
        <v>3512</v>
      </c>
      <c r="E17690">
        <v>80785104</v>
      </c>
    </row>
    <row r="17691" spans="1:6" x14ac:dyDescent="0.25">
      <c r="A17691">
        <v>17690</v>
      </c>
      <c r="B17691">
        <v>41</v>
      </c>
      <c r="C17691">
        <v>0</v>
      </c>
      <c r="D17691">
        <v>0</v>
      </c>
      <c r="E17691">
        <v>0</v>
      </c>
      <c r="F17691">
        <v>1</v>
      </c>
    </row>
    <row r="17692" spans="1:6" x14ac:dyDescent="0.25">
      <c r="A17692">
        <v>17691</v>
      </c>
      <c r="B17692">
        <v>42</v>
      </c>
      <c r="C17692">
        <v>0</v>
      </c>
      <c r="D17692">
        <v>0</v>
      </c>
      <c r="E17692">
        <v>0</v>
      </c>
      <c r="F17692">
        <v>0.2</v>
      </c>
    </row>
    <row r="17693" spans="1:6" x14ac:dyDescent="0.25">
      <c r="A17693">
        <v>17692</v>
      </c>
      <c r="B17693" t="s">
        <v>0</v>
      </c>
      <c r="C17693">
        <v>50</v>
      </c>
      <c r="D17693">
        <v>3512</v>
      </c>
      <c r="E17693">
        <v>80785239</v>
      </c>
    </row>
    <row r="17694" spans="1:6" x14ac:dyDescent="0.25">
      <c r="A17694">
        <v>17693</v>
      </c>
      <c r="B17694">
        <v>44</v>
      </c>
      <c r="C17694">
        <v>0</v>
      </c>
      <c r="D17694">
        <v>0</v>
      </c>
      <c r="E17694">
        <v>0</v>
      </c>
      <c r="F17694">
        <v>53.035899999999998</v>
      </c>
    </row>
    <row r="17695" spans="1:6" x14ac:dyDescent="0.25">
      <c r="A17695">
        <v>17694</v>
      </c>
      <c r="B17695" t="s">
        <v>0</v>
      </c>
      <c r="C17695">
        <v>51</v>
      </c>
      <c r="D17695">
        <v>3512</v>
      </c>
      <c r="E17695">
        <v>80785374</v>
      </c>
    </row>
    <row r="17696" spans="1:6" x14ac:dyDescent="0.25">
      <c r="A17696">
        <v>17695</v>
      </c>
      <c r="B17696">
        <v>46</v>
      </c>
      <c r="C17696">
        <v>0</v>
      </c>
      <c r="D17696">
        <v>0</v>
      </c>
      <c r="E17696">
        <v>0</v>
      </c>
      <c r="F17696">
        <v>0</v>
      </c>
    </row>
    <row r="17697" spans="1:6" x14ac:dyDescent="0.25">
      <c r="A17697">
        <v>17696</v>
      </c>
      <c r="B17697" t="s">
        <v>0</v>
      </c>
      <c r="C17697">
        <v>52</v>
      </c>
      <c r="D17697">
        <v>3512</v>
      </c>
      <c r="E17697">
        <v>80785509</v>
      </c>
    </row>
    <row r="17698" spans="1:6" x14ac:dyDescent="0.25">
      <c r="A17698">
        <v>17697</v>
      </c>
      <c r="B17698">
        <v>10</v>
      </c>
      <c r="C17698">
        <v>1</v>
      </c>
      <c r="D17698">
        <v>0</v>
      </c>
      <c r="E17698">
        <v>0</v>
      </c>
      <c r="F17698">
        <v>5323</v>
      </c>
    </row>
    <row r="17699" spans="1:6" x14ac:dyDescent="0.25">
      <c r="A17699">
        <v>17698</v>
      </c>
      <c r="B17699" t="s">
        <v>0</v>
      </c>
      <c r="C17699">
        <v>53</v>
      </c>
      <c r="D17699">
        <v>3512</v>
      </c>
      <c r="E17699">
        <v>80785643</v>
      </c>
    </row>
    <row r="17700" spans="1:6" x14ac:dyDescent="0.25">
      <c r="A17700">
        <v>17699</v>
      </c>
      <c r="B17700">
        <v>41</v>
      </c>
      <c r="C17700">
        <v>0</v>
      </c>
      <c r="D17700">
        <v>0</v>
      </c>
      <c r="E17700">
        <v>0</v>
      </c>
      <c r="F17700">
        <v>1</v>
      </c>
    </row>
    <row r="17701" spans="1:6" x14ac:dyDescent="0.25">
      <c r="A17701">
        <v>17700</v>
      </c>
      <c r="B17701" t="s">
        <v>0</v>
      </c>
      <c r="C17701">
        <v>54</v>
      </c>
      <c r="D17701">
        <v>3512</v>
      </c>
      <c r="E17701">
        <v>80785777</v>
      </c>
    </row>
    <row r="17702" spans="1:6" x14ac:dyDescent="0.25">
      <c r="A17702">
        <v>17701</v>
      </c>
      <c r="B17702">
        <v>43</v>
      </c>
      <c r="C17702">
        <v>0</v>
      </c>
      <c r="D17702">
        <v>0</v>
      </c>
      <c r="E17702">
        <v>0</v>
      </c>
      <c r="F17702">
        <v>0</v>
      </c>
    </row>
    <row r="17703" spans="1:6" x14ac:dyDescent="0.25">
      <c r="A17703">
        <v>17702</v>
      </c>
      <c r="B17703" t="s">
        <v>0</v>
      </c>
      <c r="C17703">
        <v>55</v>
      </c>
      <c r="D17703">
        <v>3512</v>
      </c>
      <c r="E17703">
        <v>80785911</v>
      </c>
    </row>
    <row r="17704" spans="1:6" x14ac:dyDescent="0.25">
      <c r="A17704">
        <v>17703</v>
      </c>
      <c r="B17704">
        <v>45</v>
      </c>
      <c r="C17704">
        <v>0</v>
      </c>
      <c r="D17704">
        <v>0</v>
      </c>
      <c r="E17704">
        <v>0</v>
      </c>
      <c r="F17704">
        <v>533.74699999999996</v>
      </c>
    </row>
    <row r="17705" spans="1:6" x14ac:dyDescent="0.25">
      <c r="A17705">
        <v>17704</v>
      </c>
      <c r="B17705" t="s">
        <v>0</v>
      </c>
      <c r="C17705">
        <v>56</v>
      </c>
      <c r="D17705">
        <v>3512</v>
      </c>
      <c r="E17705">
        <v>80786045</v>
      </c>
    </row>
    <row r="17706" spans="1:6" x14ac:dyDescent="0.25">
      <c r="A17706">
        <v>17705</v>
      </c>
      <c r="B17706">
        <v>2</v>
      </c>
      <c r="C17706">
        <v>0</v>
      </c>
      <c r="D17706">
        <v>0</v>
      </c>
      <c r="E17706">
        <v>0</v>
      </c>
      <c r="F17706">
        <v>247.012</v>
      </c>
    </row>
    <row r="17707" spans="1:6" x14ac:dyDescent="0.25">
      <c r="A17707">
        <v>17706</v>
      </c>
      <c r="B17707" t="s">
        <v>0</v>
      </c>
      <c r="C17707">
        <v>57</v>
      </c>
      <c r="D17707">
        <v>3512</v>
      </c>
      <c r="E17707">
        <v>80786179</v>
      </c>
    </row>
    <row r="17708" spans="1:6" x14ac:dyDescent="0.25">
      <c r="A17708">
        <v>17707</v>
      </c>
      <c r="B17708">
        <v>13</v>
      </c>
      <c r="C17708">
        <v>0</v>
      </c>
      <c r="D17708">
        <v>0</v>
      </c>
      <c r="E17708">
        <v>0</v>
      </c>
      <c r="F17708">
        <v>1617</v>
      </c>
    </row>
    <row r="17709" spans="1:6" x14ac:dyDescent="0.25">
      <c r="A17709">
        <v>17708</v>
      </c>
      <c r="B17709" t="s">
        <v>0</v>
      </c>
      <c r="C17709">
        <v>58</v>
      </c>
      <c r="D17709">
        <v>3512</v>
      </c>
      <c r="E17709">
        <v>80786313</v>
      </c>
    </row>
    <row r="17710" spans="1:6" x14ac:dyDescent="0.25">
      <c r="A17710">
        <v>17709</v>
      </c>
      <c r="B17710">
        <v>42</v>
      </c>
      <c r="C17710">
        <v>0</v>
      </c>
      <c r="D17710">
        <v>0</v>
      </c>
      <c r="E17710">
        <v>0</v>
      </c>
      <c r="F17710">
        <v>0.2</v>
      </c>
    </row>
    <row r="17711" spans="1:6" x14ac:dyDescent="0.25">
      <c r="A17711">
        <v>17710</v>
      </c>
      <c r="B17711" t="s">
        <v>0</v>
      </c>
      <c r="C17711">
        <v>59</v>
      </c>
      <c r="D17711">
        <v>3512</v>
      </c>
      <c r="E17711">
        <v>80786447</v>
      </c>
    </row>
    <row r="17712" spans="1:6" x14ac:dyDescent="0.25">
      <c r="A17712">
        <v>17711</v>
      </c>
      <c r="B17712">
        <v>44</v>
      </c>
      <c r="C17712">
        <v>0</v>
      </c>
      <c r="D17712">
        <v>0</v>
      </c>
      <c r="E17712">
        <v>0</v>
      </c>
      <c r="F17712">
        <v>52.969299999999997</v>
      </c>
    </row>
    <row r="17713" spans="1:6" x14ac:dyDescent="0.25">
      <c r="A17713">
        <v>17712</v>
      </c>
      <c r="B17713" t="s">
        <v>0</v>
      </c>
      <c r="C17713">
        <v>60</v>
      </c>
      <c r="D17713">
        <v>3512</v>
      </c>
      <c r="E17713">
        <v>80786581</v>
      </c>
    </row>
    <row r="17714" spans="1:6" x14ac:dyDescent="0.25">
      <c r="A17714">
        <v>17713</v>
      </c>
      <c r="B17714">
        <v>46</v>
      </c>
      <c r="C17714">
        <v>0</v>
      </c>
      <c r="D17714">
        <v>0</v>
      </c>
      <c r="E17714">
        <v>0</v>
      </c>
      <c r="F17714">
        <v>0</v>
      </c>
    </row>
    <row r="17715" spans="1:6" x14ac:dyDescent="0.25">
      <c r="A17715">
        <v>17714</v>
      </c>
      <c r="B17715" t="s">
        <v>0</v>
      </c>
      <c r="C17715">
        <v>61</v>
      </c>
      <c r="D17715">
        <v>3512</v>
      </c>
      <c r="E17715">
        <v>80786715</v>
      </c>
    </row>
    <row r="17716" spans="1:6" x14ac:dyDescent="0.25">
      <c r="A17716">
        <v>17715</v>
      </c>
      <c r="B17716">
        <v>10</v>
      </c>
      <c r="C17716">
        <v>1</v>
      </c>
      <c r="D17716">
        <v>0</v>
      </c>
      <c r="E17716">
        <v>0</v>
      </c>
      <c r="F17716">
        <v>5322</v>
      </c>
    </row>
    <row r="17717" spans="1:6" x14ac:dyDescent="0.25">
      <c r="A17717">
        <v>17716</v>
      </c>
      <c r="B17717" t="s">
        <v>0</v>
      </c>
      <c r="C17717">
        <v>62</v>
      </c>
      <c r="D17717">
        <v>3512</v>
      </c>
      <c r="E17717">
        <v>80786850</v>
      </c>
    </row>
    <row r="17718" spans="1:6" x14ac:dyDescent="0.25">
      <c r="A17718">
        <v>17717</v>
      </c>
      <c r="B17718">
        <v>41</v>
      </c>
      <c r="C17718">
        <v>0</v>
      </c>
      <c r="D17718">
        <v>0</v>
      </c>
      <c r="E17718">
        <v>0</v>
      </c>
      <c r="F17718">
        <v>1</v>
      </c>
    </row>
    <row r="17719" spans="1:6" x14ac:dyDescent="0.25">
      <c r="A17719">
        <v>17718</v>
      </c>
      <c r="B17719" t="s">
        <v>0</v>
      </c>
      <c r="C17719">
        <v>63</v>
      </c>
      <c r="D17719">
        <v>3512</v>
      </c>
      <c r="E17719">
        <v>80786985</v>
      </c>
    </row>
    <row r="17720" spans="1:6" x14ac:dyDescent="0.25">
      <c r="A17720">
        <v>17719</v>
      </c>
      <c r="B17720">
        <v>43</v>
      </c>
      <c r="C17720">
        <v>0</v>
      </c>
      <c r="D17720">
        <v>0</v>
      </c>
      <c r="E17720">
        <v>0</v>
      </c>
      <c r="F17720">
        <v>0</v>
      </c>
    </row>
    <row r="17721" spans="1:6" x14ac:dyDescent="0.25">
      <c r="A17721">
        <v>17720</v>
      </c>
      <c r="B17721" t="s">
        <v>0</v>
      </c>
      <c r="C17721">
        <v>64</v>
      </c>
      <c r="D17721">
        <v>3512</v>
      </c>
      <c r="E17721">
        <v>80787120</v>
      </c>
    </row>
    <row r="17722" spans="1:6" x14ac:dyDescent="0.25">
      <c r="A17722">
        <v>17721</v>
      </c>
      <c r="B17722">
        <v>45</v>
      </c>
      <c r="C17722">
        <v>0</v>
      </c>
      <c r="D17722">
        <v>0</v>
      </c>
      <c r="E17722">
        <v>0</v>
      </c>
      <c r="F17722">
        <v>533.875</v>
      </c>
    </row>
    <row r="17723" spans="1:6" x14ac:dyDescent="0.25">
      <c r="A17723">
        <v>17722</v>
      </c>
      <c r="B17723" t="s">
        <v>0</v>
      </c>
      <c r="C17723">
        <v>65</v>
      </c>
      <c r="D17723">
        <v>3512</v>
      </c>
      <c r="E17723">
        <v>80787255</v>
      </c>
    </row>
    <row r="17724" spans="1:6" x14ac:dyDescent="0.25">
      <c r="A17724">
        <v>17723</v>
      </c>
      <c r="B17724">
        <v>2</v>
      </c>
      <c r="C17724">
        <v>0</v>
      </c>
      <c r="D17724">
        <v>0</v>
      </c>
      <c r="E17724">
        <v>0</v>
      </c>
      <c r="F17724">
        <v>247.06100000000001</v>
      </c>
    </row>
    <row r="17725" spans="1:6" x14ac:dyDescent="0.25">
      <c r="A17725">
        <v>17724</v>
      </c>
      <c r="B17725" t="s">
        <v>0</v>
      </c>
      <c r="C17725">
        <v>66</v>
      </c>
      <c r="D17725">
        <v>3512</v>
      </c>
      <c r="E17725">
        <v>80787390</v>
      </c>
    </row>
    <row r="17726" spans="1:6" x14ac:dyDescent="0.25">
      <c r="A17726">
        <v>17725</v>
      </c>
      <c r="B17726">
        <v>10</v>
      </c>
      <c r="C17726">
        <v>1</v>
      </c>
      <c r="D17726">
        <v>0</v>
      </c>
      <c r="E17726">
        <v>0</v>
      </c>
      <c r="F17726">
        <v>5322</v>
      </c>
    </row>
    <row r="17727" spans="1:6" x14ac:dyDescent="0.25">
      <c r="A17727">
        <v>17726</v>
      </c>
      <c r="B17727">
        <v>13</v>
      </c>
      <c r="C17727">
        <v>0</v>
      </c>
      <c r="D17727">
        <v>0</v>
      </c>
      <c r="E17727">
        <v>0</v>
      </c>
      <c r="F17727">
        <v>1617</v>
      </c>
    </row>
    <row r="17728" spans="1:6" x14ac:dyDescent="0.25">
      <c r="A17728">
        <v>17727</v>
      </c>
      <c r="B17728">
        <v>41</v>
      </c>
      <c r="C17728">
        <v>0</v>
      </c>
      <c r="D17728">
        <v>0</v>
      </c>
      <c r="E17728">
        <v>0</v>
      </c>
      <c r="F17728">
        <v>1</v>
      </c>
    </row>
    <row r="17729" spans="1:6" x14ac:dyDescent="0.25">
      <c r="A17729">
        <v>17728</v>
      </c>
      <c r="B17729">
        <v>42</v>
      </c>
      <c r="C17729">
        <v>0</v>
      </c>
      <c r="D17729">
        <v>0</v>
      </c>
      <c r="E17729">
        <v>0</v>
      </c>
      <c r="F17729">
        <v>0.2</v>
      </c>
    </row>
    <row r="17730" spans="1:6" x14ac:dyDescent="0.25">
      <c r="A17730">
        <v>17729</v>
      </c>
      <c r="B17730">
        <v>43</v>
      </c>
      <c r="C17730">
        <v>0</v>
      </c>
      <c r="D17730">
        <v>0</v>
      </c>
      <c r="E17730">
        <v>0</v>
      </c>
      <c r="F17730">
        <v>0</v>
      </c>
    </row>
    <row r="17731" spans="1:6" x14ac:dyDescent="0.25">
      <c r="A17731">
        <v>17730</v>
      </c>
      <c r="B17731">
        <v>44</v>
      </c>
      <c r="C17731">
        <v>0</v>
      </c>
      <c r="D17731">
        <v>0</v>
      </c>
      <c r="E17731">
        <v>0</v>
      </c>
      <c r="F17731">
        <v>52.927500000000002</v>
      </c>
    </row>
    <row r="17732" spans="1:6" x14ac:dyDescent="0.25">
      <c r="A17732">
        <v>17731</v>
      </c>
      <c r="B17732">
        <v>45</v>
      </c>
      <c r="C17732">
        <v>0</v>
      </c>
      <c r="D17732">
        <v>0</v>
      </c>
      <c r="E17732">
        <v>0</v>
      </c>
      <c r="F17732">
        <v>533.94600000000003</v>
      </c>
    </row>
    <row r="17733" spans="1:6" x14ac:dyDescent="0.25">
      <c r="A17733">
        <v>17732</v>
      </c>
      <c r="B17733">
        <v>46</v>
      </c>
      <c r="C17733">
        <v>0</v>
      </c>
      <c r="D17733">
        <v>0</v>
      </c>
      <c r="E17733">
        <v>0</v>
      </c>
      <c r="F17733">
        <v>0</v>
      </c>
    </row>
    <row r="17734" spans="1:6" x14ac:dyDescent="0.25">
      <c r="A17734">
        <v>17733</v>
      </c>
      <c r="B17734">
        <v>2</v>
      </c>
      <c r="C17734">
        <v>0</v>
      </c>
      <c r="D17734">
        <v>0</v>
      </c>
      <c r="E17734">
        <v>0</v>
      </c>
      <c r="F17734">
        <v>247.08</v>
      </c>
    </row>
    <row r="17735" spans="1:6" x14ac:dyDescent="0.25">
      <c r="A17735">
        <v>17734</v>
      </c>
      <c r="B17735">
        <v>10</v>
      </c>
      <c r="C17735">
        <v>1</v>
      </c>
      <c r="D17735">
        <v>0</v>
      </c>
      <c r="E17735">
        <v>0</v>
      </c>
      <c r="F17735">
        <v>5322</v>
      </c>
    </row>
    <row r="17736" spans="1:6" x14ac:dyDescent="0.25">
      <c r="A17736">
        <v>17735</v>
      </c>
      <c r="B17736">
        <v>13</v>
      </c>
      <c r="C17736">
        <v>0</v>
      </c>
      <c r="D17736">
        <v>0</v>
      </c>
      <c r="E17736">
        <v>0</v>
      </c>
      <c r="F17736">
        <v>1617</v>
      </c>
    </row>
    <row r="17737" spans="1:6" x14ac:dyDescent="0.25">
      <c r="A17737">
        <v>17736</v>
      </c>
      <c r="B17737">
        <v>41</v>
      </c>
      <c r="C17737">
        <v>0</v>
      </c>
      <c r="D17737">
        <v>0</v>
      </c>
      <c r="E17737">
        <v>0</v>
      </c>
      <c r="F17737">
        <v>1</v>
      </c>
    </row>
    <row r="17738" spans="1:6" x14ac:dyDescent="0.25">
      <c r="A17738">
        <v>17737</v>
      </c>
      <c r="B17738">
        <v>42</v>
      </c>
      <c r="C17738">
        <v>0</v>
      </c>
      <c r="D17738">
        <v>0</v>
      </c>
      <c r="E17738">
        <v>0</v>
      </c>
      <c r="F17738">
        <v>0.2</v>
      </c>
    </row>
    <row r="17739" spans="1:6" x14ac:dyDescent="0.25">
      <c r="A17739">
        <v>17738</v>
      </c>
      <c r="B17739">
        <v>43</v>
      </c>
      <c r="C17739">
        <v>0</v>
      </c>
      <c r="D17739">
        <v>0</v>
      </c>
      <c r="E17739">
        <v>0</v>
      </c>
      <c r="F17739">
        <v>0</v>
      </c>
    </row>
    <row r="17740" spans="1:6" x14ac:dyDescent="0.25">
      <c r="A17740">
        <v>17739</v>
      </c>
      <c r="B17740">
        <v>44</v>
      </c>
      <c r="C17740">
        <v>0</v>
      </c>
      <c r="D17740">
        <v>0</v>
      </c>
      <c r="E17740">
        <v>0</v>
      </c>
      <c r="F17740">
        <v>52.911200000000001</v>
      </c>
    </row>
    <row r="17741" spans="1:6" x14ac:dyDescent="0.25">
      <c r="A17741">
        <v>17740</v>
      </c>
      <c r="B17741">
        <v>45</v>
      </c>
      <c r="C17741">
        <v>0</v>
      </c>
      <c r="D17741">
        <v>0</v>
      </c>
      <c r="E17741">
        <v>0</v>
      </c>
      <c r="F17741">
        <v>534.00400000000002</v>
      </c>
    </row>
    <row r="17742" spans="1:6" x14ac:dyDescent="0.25">
      <c r="A17742">
        <v>17741</v>
      </c>
      <c r="B17742">
        <v>46</v>
      </c>
      <c r="C17742">
        <v>0</v>
      </c>
      <c r="D17742">
        <v>0</v>
      </c>
      <c r="E17742">
        <v>0</v>
      </c>
      <c r="F17742">
        <v>0</v>
      </c>
    </row>
    <row r="17743" spans="1:6" x14ac:dyDescent="0.25">
      <c r="A17743">
        <v>17742</v>
      </c>
      <c r="B17743">
        <v>2</v>
      </c>
      <c r="C17743">
        <v>0</v>
      </c>
      <c r="D17743">
        <v>0</v>
      </c>
      <c r="E17743">
        <v>0</v>
      </c>
      <c r="F17743">
        <v>247.09200000000001</v>
      </c>
    </row>
    <row r="17744" spans="1:6" x14ac:dyDescent="0.25">
      <c r="A17744">
        <v>17743</v>
      </c>
      <c r="B17744">
        <v>10</v>
      </c>
      <c r="C17744">
        <v>1</v>
      </c>
      <c r="D17744">
        <v>0</v>
      </c>
      <c r="E17744">
        <v>0</v>
      </c>
      <c r="F17744">
        <v>5322</v>
      </c>
    </row>
    <row r="17745" spans="1:6" x14ac:dyDescent="0.25">
      <c r="A17745">
        <v>17744</v>
      </c>
      <c r="B17745">
        <v>13</v>
      </c>
      <c r="C17745">
        <v>0</v>
      </c>
      <c r="D17745">
        <v>0</v>
      </c>
      <c r="E17745">
        <v>0</v>
      </c>
      <c r="F17745">
        <v>1617</v>
      </c>
    </row>
    <row r="17746" spans="1:6" x14ac:dyDescent="0.25">
      <c r="A17746">
        <v>17745</v>
      </c>
      <c r="B17746">
        <v>41</v>
      </c>
      <c r="C17746">
        <v>0</v>
      </c>
      <c r="D17746">
        <v>0</v>
      </c>
      <c r="E17746">
        <v>0</v>
      </c>
      <c r="F17746">
        <v>1</v>
      </c>
    </row>
    <row r="17747" spans="1:6" x14ac:dyDescent="0.25">
      <c r="A17747">
        <v>17746</v>
      </c>
      <c r="B17747">
        <v>42</v>
      </c>
      <c r="C17747">
        <v>0</v>
      </c>
      <c r="D17747">
        <v>0</v>
      </c>
      <c r="E17747">
        <v>0</v>
      </c>
      <c r="F17747">
        <v>0.2</v>
      </c>
    </row>
    <row r="17748" spans="1:6" x14ac:dyDescent="0.25">
      <c r="A17748">
        <v>17747</v>
      </c>
      <c r="B17748">
        <v>43</v>
      </c>
      <c r="C17748">
        <v>0</v>
      </c>
      <c r="D17748">
        <v>0</v>
      </c>
      <c r="E17748">
        <v>0</v>
      </c>
      <c r="F17748">
        <v>0</v>
      </c>
    </row>
    <row r="17749" spans="1:6" x14ac:dyDescent="0.25">
      <c r="A17749">
        <v>17748</v>
      </c>
      <c r="B17749">
        <v>44</v>
      </c>
      <c r="C17749">
        <v>0</v>
      </c>
      <c r="D17749">
        <v>0</v>
      </c>
      <c r="E17749">
        <v>0</v>
      </c>
      <c r="F17749">
        <v>52.901400000000002</v>
      </c>
    </row>
    <row r="17750" spans="1:6" x14ac:dyDescent="0.25">
      <c r="A17750">
        <v>17749</v>
      </c>
      <c r="B17750">
        <v>45</v>
      </c>
      <c r="C17750">
        <v>0</v>
      </c>
      <c r="D17750">
        <v>0</v>
      </c>
      <c r="E17750">
        <v>0</v>
      </c>
      <c r="F17750">
        <v>534.07500000000005</v>
      </c>
    </row>
    <row r="17751" spans="1:6" x14ac:dyDescent="0.25">
      <c r="A17751">
        <v>17750</v>
      </c>
      <c r="B17751">
        <v>46</v>
      </c>
      <c r="C17751">
        <v>0</v>
      </c>
      <c r="D17751">
        <v>0</v>
      </c>
      <c r="E17751">
        <v>0</v>
      </c>
      <c r="F17751">
        <v>0</v>
      </c>
    </row>
    <row r="17752" spans="1:6" x14ac:dyDescent="0.25">
      <c r="A17752">
        <v>17751</v>
      </c>
      <c r="B17752">
        <v>2</v>
      </c>
      <c r="C17752">
        <v>0</v>
      </c>
      <c r="D17752">
        <v>0</v>
      </c>
      <c r="E17752">
        <v>0</v>
      </c>
      <c r="F17752">
        <v>247.131</v>
      </c>
    </row>
    <row r="17753" spans="1:6" x14ac:dyDescent="0.25">
      <c r="A17753">
        <v>17752</v>
      </c>
      <c r="B17753">
        <v>10</v>
      </c>
      <c r="C17753">
        <v>1</v>
      </c>
      <c r="D17753">
        <v>0</v>
      </c>
      <c r="E17753">
        <v>0</v>
      </c>
      <c r="F17753">
        <v>5321</v>
      </c>
    </row>
    <row r="17754" spans="1:6" x14ac:dyDescent="0.25">
      <c r="A17754">
        <v>17753</v>
      </c>
      <c r="B17754">
        <v>13</v>
      </c>
      <c r="C17754">
        <v>0</v>
      </c>
      <c r="D17754">
        <v>0</v>
      </c>
      <c r="E17754">
        <v>0</v>
      </c>
      <c r="F17754">
        <v>1617</v>
      </c>
    </row>
    <row r="17755" spans="1:6" x14ac:dyDescent="0.25">
      <c r="A17755">
        <v>17754</v>
      </c>
      <c r="B17755">
        <v>41</v>
      </c>
      <c r="C17755">
        <v>0</v>
      </c>
      <c r="D17755">
        <v>0</v>
      </c>
      <c r="E17755">
        <v>0</v>
      </c>
      <c r="F17755">
        <v>1</v>
      </c>
    </row>
    <row r="17756" spans="1:6" x14ac:dyDescent="0.25">
      <c r="A17756">
        <v>17755</v>
      </c>
      <c r="B17756">
        <v>42</v>
      </c>
      <c r="C17756">
        <v>0</v>
      </c>
      <c r="D17756">
        <v>0</v>
      </c>
      <c r="E17756">
        <v>0</v>
      </c>
      <c r="F17756">
        <v>0.2</v>
      </c>
    </row>
    <row r="17757" spans="1:6" x14ac:dyDescent="0.25">
      <c r="A17757">
        <v>17756</v>
      </c>
      <c r="B17757">
        <v>43</v>
      </c>
      <c r="C17757">
        <v>0</v>
      </c>
      <c r="D17757">
        <v>0</v>
      </c>
      <c r="E17757">
        <v>0</v>
      </c>
      <c r="F17757">
        <v>0</v>
      </c>
    </row>
    <row r="17758" spans="1:6" x14ac:dyDescent="0.25">
      <c r="A17758">
        <v>17757</v>
      </c>
      <c r="B17758">
        <v>44</v>
      </c>
      <c r="C17758">
        <v>0</v>
      </c>
      <c r="D17758">
        <v>0</v>
      </c>
      <c r="E17758">
        <v>0</v>
      </c>
      <c r="F17758">
        <v>52.815100000000001</v>
      </c>
    </row>
    <row r="17759" spans="1:6" x14ac:dyDescent="0.25">
      <c r="A17759">
        <v>17758</v>
      </c>
      <c r="B17759">
        <v>45</v>
      </c>
      <c r="C17759">
        <v>0</v>
      </c>
      <c r="D17759">
        <v>0</v>
      </c>
      <c r="E17759">
        <v>0</v>
      </c>
      <c r="F17759">
        <v>534.13199999999995</v>
      </c>
    </row>
    <row r="17760" spans="1:6" x14ac:dyDescent="0.25">
      <c r="A17760">
        <v>17759</v>
      </c>
      <c r="B17760">
        <v>46</v>
      </c>
      <c r="C17760">
        <v>0</v>
      </c>
      <c r="D17760">
        <v>0</v>
      </c>
      <c r="E17760">
        <v>0</v>
      </c>
      <c r="F17760">
        <v>0</v>
      </c>
    </row>
    <row r="17761" spans="1:6" x14ac:dyDescent="0.25">
      <c r="A17761">
        <v>17760</v>
      </c>
      <c r="B17761">
        <v>2</v>
      </c>
      <c r="C17761">
        <v>0</v>
      </c>
      <c r="D17761">
        <v>0</v>
      </c>
      <c r="E17761">
        <v>0</v>
      </c>
      <c r="F17761">
        <v>247.20099999999999</v>
      </c>
    </row>
    <row r="17762" spans="1:6" x14ac:dyDescent="0.25">
      <c r="A17762">
        <v>17761</v>
      </c>
      <c r="B17762">
        <v>10</v>
      </c>
      <c r="C17762">
        <v>1</v>
      </c>
      <c r="D17762">
        <v>0</v>
      </c>
      <c r="E17762">
        <v>0</v>
      </c>
      <c r="F17762">
        <v>5320</v>
      </c>
    </row>
    <row r="17763" spans="1:6" x14ac:dyDescent="0.25">
      <c r="A17763">
        <v>17762</v>
      </c>
      <c r="B17763">
        <v>13</v>
      </c>
      <c r="C17763">
        <v>0</v>
      </c>
      <c r="D17763">
        <v>0</v>
      </c>
      <c r="E17763">
        <v>0</v>
      </c>
      <c r="F17763">
        <v>1617</v>
      </c>
    </row>
    <row r="17764" spans="1:6" x14ac:dyDescent="0.25">
      <c r="A17764">
        <v>17763</v>
      </c>
      <c r="B17764">
        <v>41</v>
      </c>
      <c r="C17764">
        <v>0</v>
      </c>
      <c r="D17764">
        <v>0</v>
      </c>
      <c r="E17764">
        <v>0</v>
      </c>
      <c r="F17764">
        <v>1</v>
      </c>
    </row>
    <row r="17765" spans="1:6" x14ac:dyDescent="0.25">
      <c r="A17765">
        <v>17764</v>
      </c>
      <c r="B17765">
        <v>42</v>
      </c>
      <c r="C17765">
        <v>0</v>
      </c>
      <c r="D17765">
        <v>0</v>
      </c>
      <c r="E17765">
        <v>0</v>
      </c>
      <c r="F17765">
        <v>0.2</v>
      </c>
    </row>
    <row r="17766" spans="1:6" x14ac:dyDescent="0.25">
      <c r="A17766">
        <v>17765</v>
      </c>
      <c r="B17766">
        <v>43</v>
      </c>
      <c r="C17766">
        <v>0</v>
      </c>
      <c r="D17766">
        <v>0</v>
      </c>
      <c r="E17766">
        <v>0</v>
      </c>
      <c r="F17766">
        <v>0</v>
      </c>
    </row>
    <row r="17767" spans="1:6" x14ac:dyDescent="0.25">
      <c r="A17767">
        <v>17766</v>
      </c>
      <c r="B17767">
        <v>44</v>
      </c>
      <c r="C17767">
        <v>0</v>
      </c>
      <c r="D17767">
        <v>0</v>
      </c>
      <c r="E17767">
        <v>0</v>
      </c>
      <c r="F17767">
        <v>52.754600000000003</v>
      </c>
    </row>
    <row r="17768" spans="1:6" x14ac:dyDescent="0.25">
      <c r="A17768">
        <v>17767</v>
      </c>
      <c r="B17768">
        <v>45</v>
      </c>
      <c r="C17768">
        <v>0</v>
      </c>
      <c r="D17768">
        <v>0</v>
      </c>
      <c r="E17768">
        <v>0</v>
      </c>
      <c r="F17768">
        <v>534.20299999999997</v>
      </c>
    </row>
    <row r="17769" spans="1:6" x14ac:dyDescent="0.25">
      <c r="A17769">
        <v>17768</v>
      </c>
      <c r="B17769">
        <v>46</v>
      </c>
      <c r="C17769">
        <v>0</v>
      </c>
      <c r="D17769">
        <v>0</v>
      </c>
      <c r="E17769">
        <v>0</v>
      </c>
      <c r="F17769">
        <v>0</v>
      </c>
    </row>
    <row r="17770" spans="1:6" x14ac:dyDescent="0.25">
      <c r="A17770">
        <v>17769</v>
      </c>
      <c r="B17770">
        <v>2</v>
      </c>
      <c r="C17770">
        <v>0</v>
      </c>
      <c r="D17770">
        <v>0</v>
      </c>
      <c r="E17770">
        <v>0</v>
      </c>
      <c r="F17770">
        <v>247.27099999999999</v>
      </c>
    </row>
    <row r="17771" spans="1:6" x14ac:dyDescent="0.25">
      <c r="A17771">
        <v>17770</v>
      </c>
      <c r="B17771">
        <v>10</v>
      </c>
      <c r="C17771">
        <v>1</v>
      </c>
      <c r="D17771">
        <v>0</v>
      </c>
      <c r="E17771">
        <v>0</v>
      </c>
      <c r="F17771">
        <v>5318</v>
      </c>
    </row>
    <row r="17772" spans="1:6" x14ac:dyDescent="0.25">
      <c r="A17772">
        <v>17771</v>
      </c>
      <c r="B17772">
        <v>13</v>
      </c>
      <c r="C17772">
        <v>0</v>
      </c>
      <c r="D17772">
        <v>0</v>
      </c>
      <c r="E17772">
        <v>0</v>
      </c>
      <c r="F17772">
        <v>1617</v>
      </c>
    </row>
    <row r="17773" spans="1:6" x14ac:dyDescent="0.25">
      <c r="A17773">
        <v>17772</v>
      </c>
      <c r="B17773">
        <v>41</v>
      </c>
      <c r="C17773">
        <v>0</v>
      </c>
      <c r="D17773">
        <v>0</v>
      </c>
      <c r="E17773">
        <v>0</v>
      </c>
      <c r="F17773">
        <v>1</v>
      </c>
    </row>
    <row r="17774" spans="1:6" x14ac:dyDescent="0.25">
      <c r="A17774">
        <v>17773</v>
      </c>
      <c r="B17774">
        <v>42</v>
      </c>
      <c r="C17774">
        <v>0</v>
      </c>
      <c r="D17774">
        <v>0</v>
      </c>
      <c r="E17774">
        <v>0</v>
      </c>
      <c r="F17774">
        <v>0.2</v>
      </c>
    </row>
    <row r="17775" spans="1:6" x14ac:dyDescent="0.25">
      <c r="A17775">
        <v>17774</v>
      </c>
      <c r="B17775">
        <v>43</v>
      </c>
      <c r="C17775">
        <v>0</v>
      </c>
      <c r="D17775">
        <v>0</v>
      </c>
      <c r="E17775">
        <v>0</v>
      </c>
      <c r="F17775">
        <v>0</v>
      </c>
    </row>
    <row r="17776" spans="1:6" x14ac:dyDescent="0.25">
      <c r="A17776">
        <v>17775</v>
      </c>
      <c r="B17776">
        <v>44</v>
      </c>
      <c r="C17776">
        <v>0</v>
      </c>
      <c r="D17776">
        <v>0</v>
      </c>
      <c r="E17776">
        <v>0</v>
      </c>
      <c r="F17776">
        <v>52.694400000000002</v>
      </c>
    </row>
    <row r="17777" spans="1:6" x14ac:dyDescent="0.25">
      <c r="A17777">
        <v>17776</v>
      </c>
      <c r="B17777">
        <v>45</v>
      </c>
      <c r="C17777">
        <v>0</v>
      </c>
      <c r="D17777">
        <v>0</v>
      </c>
      <c r="E17777">
        <v>0</v>
      </c>
      <c r="F17777">
        <v>534.26</v>
      </c>
    </row>
    <row r="17778" spans="1:6" x14ac:dyDescent="0.25">
      <c r="A17778">
        <v>17777</v>
      </c>
      <c r="B17778" t="s">
        <v>0</v>
      </c>
      <c r="C17778">
        <v>92</v>
      </c>
      <c r="D17778">
        <v>3512</v>
      </c>
      <c r="E17778">
        <v>80790878</v>
      </c>
    </row>
    <row r="17779" spans="1:6" x14ac:dyDescent="0.25">
      <c r="A17779">
        <v>17778</v>
      </c>
      <c r="B17779">
        <v>46</v>
      </c>
      <c r="C17779">
        <v>0</v>
      </c>
      <c r="D17779">
        <v>0</v>
      </c>
      <c r="E17779">
        <v>0</v>
      </c>
      <c r="F17779">
        <v>0</v>
      </c>
    </row>
    <row r="17780" spans="1:6" x14ac:dyDescent="0.25">
      <c r="A17780">
        <v>17779</v>
      </c>
      <c r="B17780">
        <v>2</v>
      </c>
      <c r="C17780">
        <v>0</v>
      </c>
      <c r="D17780">
        <v>0</v>
      </c>
      <c r="E17780">
        <v>0</v>
      </c>
      <c r="F17780">
        <v>247.316</v>
      </c>
    </row>
    <row r="17781" spans="1:6" x14ac:dyDescent="0.25">
      <c r="A17781">
        <v>17780</v>
      </c>
      <c r="B17781" t="s">
        <v>0</v>
      </c>
      <c r="C17781">
        <v>93</v>
      </c>
      <c r="D17781">
        <v>3512</v>
      </c>
      <c r="E17781">
        <v>80791012</v>
      </c>
    </row>
    <row r="17782" spans="1:6" x14ac:dyDescent="0.25">
      <c r="A17782">
        <v>17781</v>
      </c>
      <c r="B17782">
        <v>10</v>
      </c>
      <c r="C17782">
        <v>1</v>
      </c>
      <c r="D17782">
        <v>0</v>
      </c>
      <c r="E17782">
        <v>0</v>
      </c>
      <c r="F17782">
        <v>5317</v>
      </c>
    </row>
    <row r="17783" spans="1:6" x14ac:dyDescent="0.25">
      <c r="A17783">
        <v>17782</v>
      </c>
      <c r="B17783">
        <v>13</v>
      </c>
      <c r="C17783">
        <v>0</v>
      </c>
      <c r="D17783">
        <v>0</v>
      </c>
      <c r="E17783">
        <v>0</v>
      </c>
      <c r="F17783">
        <v>1617</v>
      </c>
    </row>
    <row r="17784" spans="1:6" x14ac:dyDescent="0.25">
      <c r="A17784">
        <v>17783</v>
      </c>
      <c r="B17784" t="s">
        <v>0</v>
      </c>
      <c r="C17784">
        <v>94</v>
      </c>
      <c r="D17784">
        <v>3512</v>
      </c>
      <c r="E17784">
        <v>80791146</v>
      </c>
    </row>
    <row r="17785" spans="1:6" x14ac:dyDescent="0.25">
      <c r="A17785">
        <v>17784</v>
      </c>
      <c r="B17785">
        <v>41</v>
      </c>
      <c r="C17785">
        <v>0</v>
      </c>
      <c r="D17785">
        <v>0</v>
      </c>
      <c r="E17785">
        <v>0</v>
      </c>
      <c r="F17785">
        <v>1</v>
      </c>
    </row>
    <row r="17786" spans="1:6" x14ac:dyDescent="0.25">
      <c r="A17786">
        <v>17785</v>
      </c>
      <c r="B17786">
        <v>42</v>
      </c>
      <c r="C17786">
        <v>0</v>
      </c>
      <c r="D17786">
        <v>0</v>
      </c>
      <c r="E17786">
        <v>0</v>
      </c>
      <c r="F17786">
        <v>0.2</v>
      </c>
    </row>
    <row r="17787" spans="1:6" x14ac:dyDescent="0.25">
      <c r="A17787">
        <v>17786</v>
      </c>
      <c r="B17787" t="s">
        <v>0</v>
      </c>
      <c r="C17787">
        <v>95</v>
      </c>
      <c r="D17787">
        <v>3512</v>
      </c>
      <c r="E17787">
        <v>80791280</v>
      </c>
    </row>
    <row r="17788" spans="1:6" x14ac:dyDescent="0.25">
      <c r="A17788">
        <v>17787</v>
      </c>
      <c r="B17788">
        <v>43</v>
      </c>
      <c r="C17788">
        <v>0</v>
      </c>
      <c r="D17788">
        <v>0</v>
      </c>
      <c r="E17788">
        <v>0</v>
      </c>
      <c r="F17788">
        <v>0</v>
      </c>
    </row>
    <row r="17789" spans="1:6" x14ac:dyDescent="0.25">
      <c r="A17789">
        <v>17788</v>
      </c>
      <c r="B17789">
        <v>44</v>
      </c>
      <c r="C17789">
        <v>0</v>
      </c>
      <c r="D17789">
        <v>0</v>
      </c>
      <c r="E17789">
        <v>0</v>
      </c>
      <c r="F17789">
        <v>52.656300000000002</v>
      </c>
    </row>
    <row r="17790" spans="1:6" x14ac:dyDescent="0.25">
      <c r="A17790">
        <v>17789</v>
      </c>
      <c r="B17790" t="s">
        <v>0</v>
      </c>
      <c r="C17790">
        <v>96</v>
      </c>
      <c r="D17790">
        <v>3512</v>
      </c>
      <c r="E17790">
        <v>80791414</v>
      </c>
    </row>
    <row r="17791" spans="1:6" x14ac:dyDescent="0.25">
      <c r="A17791">
        <v>17790</v>
      </c>
      <c r="B17791">
        <v>45</v>
      </c>
      <c r="C17791">
        <v>0</v>
      </c>
      <c r="D17791">
        <v>0</v>
      </c>
      <c r="E17791">
        <v>0</v>
      </c>
      <c r="F17791">
        <v>534.33100000000002</v>
      </c>
    </row>
    <row r="17792" spans="1:6" x14ac:dyDescent="0.25">
      <c r="A17792">
        <v>17791</v>
      </c>
      <c r="B17792">
        <v>46</v>
      </c>
      <c r="C17792">
        <v>0</v>
      </c>
      <c r="D17792">
        <v>0</v>
      </c>
      <c r="E17792">
        <v>0</v>
      </c>
      <c r="F17792">
        <v>0</v>
      </c>
    </row>
    <row r="17793" spans="1:6" x14ac:dyDescent="0.25">
      <c r="A17793">
        <v>17792</v>
      </c>
      <c r="B17793" t="s">
        <v>0</v>
      </c>
      <c r="C17793">
        <v>97</v>
      </c>
      <c r="D17793">
        <v>3512</v>
      </c>
      <c r="E17793">
        <v>80791549</v>
      </c>
    </row>
    <row r="17794" spans="1:6" x14ac:dyDescent="0.25">
      <c r="A17794">
        <v>17793</v>
      </c>
      <c r="B17794">
        <v>2</v>
      </c>
      <c r="C17794">
        <v>0</v>
      </c>
      <c r="D17794">
        <v>0</v>
      </c>
      <c r="E17794">
        <v>0</v>
      </c>
      <c r="F17794">
        <v>247.35900000000001</v>
      </c>
    </row>
    <row r="17795" spans="1:6" x14ac:dyDescent="0.25">
      <c r="A17795">
        <v>17794</v>
      </c>
      <c r="B17795">
        <v>10</v>
      </c>
      <c r="C17795">
        <v>1</v>
      </c>
      <c r="D17795">
        <v>0</v>
      </c>
      <c r="E17795">
        <v>0</v>
      </c>
      <c r="F17795">
        <v>5317</v>
      </c>
    </row>
    <row r="17796" spans="1:6" x14ac:dyDescent="0.25">
      <c r="A17796">
        <v>17795</v>
      </c>
      <c r="B17796" t="s">
        <v>0</v>
      </c>
      <c r="C17796">
        <v>98</v>
      </c>
      <c r="D17796">
        <v>3512</v>
      </c>
      <c r="E17796">
        <v>80791683</v>
      </c>
    </row>
    <row r="17797" spans="1:6" x14ac:dyDescent="0.25">
      <c r="A17797">
        <v>17796</v>
      </c>
      <c r="B17797">
        <v>13</v>
      </c>
      <c r="C17797">
        <v>0</v>
      </c>
      <c r="D17797">
        <v>0</v>
      </c>
      <c r="E17797">
        <v>0</v>
      </c>
      <c r="F17797">
        <v>1617</v>
      </c>
    </row>
    <row r="17798" spans="1:6" x14ac:dyDescent="0.25">
      <c r="A17798">
        <v>17797</v>
      </c>
      <c r="B17798">
        <v>41</v>
      </c>
      <c r="C17798">
        <v>0</v>
      </c>
      <c r="D17798">
        <v>0</v>
      </c>
      <c r="E17798">
        <v>0</v>
      </c>
      <c r="F17798">
        <v>1</v>
      </c>
    </row>
    <row r="17799" spans="1:6" x14ac:dyDescent="0.25">
      <c r="A17799">
        <v>17798</v>
      </c>
      <c r="B17799" t="s">
        <v>0</v>
      </c>
      <c r="C17799">
        <v>99</v>
      </c>
      <c r="D17799">
        <v>3512</v>
      </c>
      <c r="E17799">
        <v>80791817</v>
      </c>
    </row>
    <row r="17800" spans="1:6" x14ac:dyDescent="0.25">
      <c r="A17800">
        <v>17799</v>
      </c>
      <c r="B17800">
        <v>42</v>
      </c>
      <c r="C17800">
        <v>0</v>
      </c>
      <c r="D17800">
        <v>0</v>
      </c>
      <c r="E17800">
        <v>0</v>
      </c>
      <c r="F17800">
        <v>0.2</v>
      </c>
    </row>
    <row r="17801" spans="1:6" x14ac:dyDescent="0.25">
      <c r="A17801">
        <v>17800</v>
      </c>
      <c r="B17801">
        <v>43</v>
      </c>
      <c r="C17801">
        <v>0</v>
      </c>
      <c r="D17801">
        <v>0</v>
      </c>
      <c r="E17801">
        <v>0</v>
      </c>
      <c r="F17801">
        <v>0</v>
      </c>
    </row>
    <row r="17802" spans="1:6" x14ac:dyDescent="0.25">
      <c r="A17802">
        <v>17801</v>
      </c>
      <c r="B17802" t="s">
        <v>0</v>
      </c>
      <c r="C17802">
        <v>100</v>
      </c>
      <c r="D17802">
        <v>3512</v>
      </c>
      <c r="E17802">
        <v>80791951</v>
      </c>
    </row>
    <row r="17803" spans="1:6" x14ac:dyDescent="0.25">
      <c r="A17803">
        <v>17802</v>
      </c>
      <c r="B17803">
        <v>44</v>
      </c>
      <c r="C17803">
        <v>0</v>
      </c>
      <c r="D17803">
        <v>0</v>
      </c>
      <c r="E17803">
        <v>0</v>
      </c>
      <c r="F17803">
        <v>52.618400000000001</v>
      </c>
    </row>
    <row r="17804" spans="1:6" x14ac:dyDescent="0.25">
      <c r="A17804">
        <v>17803</v>
      </c>
      <c r="B17804">
        <v>45</v>
      </c>
      <c r="C17804">
        <v>0</v>
      </c>
      <c r="D17804">
        <v>0</v>
      </c>
      <c r="E17804">
        <v>0</v>
      </c>
      <c r="F17804">
        <v>534.38699999999994</v>
      </c>
    </row>
    <row r="17805" spans="1:6" x14ac:dyDescent="0.25">
      <c r="A17805">
        <v>17804</v>
      </c>
      <c r="B17805" t="s">
        <v>0</v>
      </c>
      <c r="C17805">
        <v>101</v>
      </c>
      <c r="D17805">
        <v>3512</v>
      </c>
      <c r="E17805">
        <v>80792085</v>
      </c>
    </row>
    <row r="17806" spans="1:6" x14ac:dyDescent="0.25">
      <c r="A17806">
        <v>17805</v>
      </c>
      <c r="B17806">
        <v>46</v>
      </c>
      <c r="C17806">
        <v>0</v>
      </c>
      <c r="D17806">
        <v>0</v>
      </c>
      <c r="E17806">
        <v>0</v>
      </c>
      <c r="F17806">
        <v>0</v>
      </c>
    </row>
    <row r="17807" spans="1:6" x14ac:dyDescent="0.25">
      <c r="A17807">
        <v>17806</v>
      </c>
      <c r="B17807">
        <v>2</v>
      </c>
      <c r="C17807">
        <v>0</v>
      </c>
      <c r="D17807">
        <v>0</v>
      </c>
      <c r="E17807">
        <v>0</v>
      </c>
      <c r="F17807">
        <v>247.38800000000001</v>
      </c>
    </row>
    <row r="17808" spans="1:6" x14ac:dyDescent="0.25">
      <c r="A17808">
        <v>17807</v>
      </c>
      <c r="B17808" t="s">
        <v>0</v>
      </c>
      <c r="C17808">
        <v>102</v>
      </c>
      <c r="D17808">
        <v>3512</v>
      </c>
      <c r="E17808">
        <v>80792219</v>
      </c>
    </row>
    <row r="17809" spans="1:6" x14ac:dyDescent="0.25">
      <c r="A17809">
        <v>17808</v>
      </c>
      <c r="B17809">
        <v>10</v>
      </c>
      <c r="C17809">
        <v>1</v>
      </c>
      <c r="D17809">
        <v>0</v>
      </c>
      <c r="E17809">
        <v>0</v>
      </c>
      <c r="F17809">
        <v>5316</v>
      </c>
    </row>
    <row r="17810" spans="1:6" x14ac:dyDescent="0.25">
      <c r="A17810">
        <v>17809</v>
      </c>
      <c r="B17810">
        <v>13</v>
      </c>
      <c r="C17810">
        <v>0</v>
      </c>
      <c r="D17810">
        <v>0</v>
      </c>
      <c r="E17810">
        <v>0</v>
      </c>
      <c r="F17810">
        <v>1617</v>
      </c>
    </row>
    <row r="17811" spans="1:6" x14ac:dyDescent="0.25">
      <c r="A17811">
        <v>17810</v>
      </c>
      <c r="B17811" t="s">
        <v>0</v>
      </c>
      <c r="C17811">
        <v>103</v>
      </c>
      <c r="D17811">
        <v>3512</v>
      </c>
      <c r="E17811">
        <v>80792353</v>
      </c>
    </row>
    <row r="17812" spans="1:6" x14ac:dyDescent="0.25">
      <c r="A17812">
        <v>17811</v>
      </c>
      <c r="B17812">
        <v>41</v>
      </c>
      <c r="C17812">
        <v>0</v>
      </c>
      <c r="D17812">
        <v>0</v>
      </c>
      <c r="E17812">
        <v>0</v>
      </c>
      <c r="F17812">
        <v>1</v>
      </c>
    </row>
    <row r="17813" spans="1:6" x14ac:dyDescent="0.25">
      <c r="A17813">
        <v>17812</v>
      </c>
      <c r="B17813">
        <v>42</v>
      </c>
      <c r="C17813">
        <v>0</v>
      </c>
      <c r="D17813">
        <v>0</v>
      </c>
      <c r="E17813">
        <v>0</v>
      </c>
      <c r="F17813">
        <v>0.2</v>
      </c>
    </row>
    <row r="17814" spans="1:6" x14ac:dyDescent="0.25">
      <c r="A17814">
        <v>17813</v>
      </c>
      <c r="B17814" t="s">
        <v>0</v>
      </c>
      <c r="C17814">
        <v>104</v>
      </c>
      <c r="D17814">
        <v>3512</v>
      </c>
      <c r="E17814">
        <v>80792488</v>
      </c>
    </row>
    <row r="17815" spans="1:6" x14ac:dyDescent="0.25">
      <c r="A17815">
        <v>17814</v>
      </c>
      <c r="B17815">
        <v>43</v>
      </c>
      <c r="C17815">
        <v>0</v>
      </c>
      <c r="D17815">
        <v>0</v>
      </c>
      <c r="E17815">
        <v>0</v>
      </c>
      <c r="F17815">
        <v>0</v>
      </c>
    </row>
    <row r="17816" spans="1:6" x14ac:dyDescent="0.25">
      <c r="A17816">
        <v>17815</v>
      </c>
      <c r="B17816">
        <v>44</v>
      </c>
      <c r="C17816">
        <v>0</v>
      </c>
      <c r="D17816">
        <v>0</v>
      </c>
      <c r="E17816">
        <v>0</v>
      </c>
      <c r="F17816">
        <v>52.5944</v>
      </c>
    </row>
    <row r="17817" spans="1:6" x14ac:dyDescent="0.25">
      <c r="A17817">
        <v>17816</v>
      </c>
      <c r="B17817" t="s">
        <v>0</v>
      </c>
      <c r="C17817">
        <v>105</v>
      </c>
      <c r="D17817">
        <v>3512</v>
      </c>
      <c r="E17817">
        <v>80792622</v>
      </c>
    </row>
    <row r="17818" spans="1:6" x14ac:dyDescent="0.25">
      <c r="A17818">
        <v>17817</v>
      </c>
      <c r="B17818">
        <v>45</v>
      </c>
      <c r="C17818">
        <v>0</v>
      </c>
      <c r="D17818">
        <v>0</v>
      </c>
      <c r="E17818">
        <v>0</v>
      </c>
      <c r="F17818">
        <v>534.45799999999997</v>
      </c>
    </row>
    <row r="17819" spans="1:6" x14ac:dyDescent="0.25">
      <c r="A17819">
        <v>17818</v>
      </c>
      <c r="B17819">
        <v>46</v>
      </c>
      <c r="C17819">
        <v>0</v>
      </c>
      <c r="D17819">
        <v>0</v>
      </c>
      <c r="E17819">
        <v>0</v>
      </c>
      <c r="F17819">
        <v>0</v>
      </c>
    </row>
    <row r="17820" spans="1:6" x14ac:dyDescent="0.25">
      <c r="A17820">
        <v>17819</v>
      </c>
      <c r="B17820" t="s">
        <v>0</v>
      </c>
      <c r="C17820">
        <v>106</v>
      </c>
      <c r="D17820">
        <v>3512</v>
      </c>
      <c r="E17820">
        <v>80792756</v>
      </c>
    </row>
    <row r="17821" spans="1:6" x14ac:dyDescent="0.25">
      <c r="A17821">
        <v>17820</v>
      </c>
      <c r="B17821">
        <v>2</v>
      </c>
      <c r="C17821">
        <v>0</v>
      </c>
      <c r="D17821">
        <v>0</v>
      </c>
      <c r="E17821">
        <v>0</v>
      </c>
      <c r="F17821">
        <v>247.416</v>
      </c>
    </row>
    <row r="17822" spans="1:6" x14ac:dyDescent="0.25">
      <c r="A17822">
        <v>17821</v>
      </c>
      <c r="B17822">
        <v>10</v>
      </c>
      <c r="C17822">
        <v>1</v>
      </c>
      <c r="D17822">
        <v>0</v>
      </c>
      <c r="E17822">
        <v>0</v>
      </c>
      <c r="F17822">
        <v>5316</v>
      </c>
    </row>
    <row r="17823" spans="1:6" x14ac:dyDescent="0.25">
      <c r="A17823">
        <v>17822</v>
      </c>
      <c r="B17823" t="s">
        <v>0</v>
      </c>
      <c r="C17823">
        <v>107</v>
      </c>
      <c r="D17823">
        <v>3512</v>
      </c>
      <c r="E17823">
        <v>80792890</v>
      </c>
    </row>
    <row r="17824" spans="1:6" x14ac:dyDescent="0.25">
      <c r="A17824">
        <v>17823</v>
      </c>
      <c r="B17824">
        <v>13</v>
      </c>
      <c r="C17824">
        <v>0</v>
      </c>
      <c r="D17824">
        <v>0</v>
      </c>
      <c r="E17824">
        <v>0</v>
      </c>
      <c r="F17824">
        <v>1617</v>
      </c>
    </row>
    <row r="17825" spans="1:6" x14ac:dyDescent="0.25">
      <c r="A17825">
        <v>17824</v>
      </c>
      <c r="B17825">
        <v>41</v>
      </c>
      <c r="C17825">
        <v>0</v>
      </c>
      <c r="D17825">
        <v>0</v>
      </c>
      <c r="E17825">
        <v>0</v>
      </c>
      <c r="F17825">
        <v>1</v>
      </c>
    </row>
    <row r="17826" spans="1:6" x14ac:dyDescent="0.25">
      <c r="A17826">
        <v>17825</v>
      </c>
      <c r="B17826" t="s">
        <v>0</v>
      </c>
      <c r="C17826">
        <v>108</v>
      </c>
      <c r="D17826">
        <v>3512</v>
      </c>
      <c r="E17826">
        <v>80793025</v>
      </c>
    </row>
    <row r="17827" spans="1:6" x14ac:dyDescent="0.25">
      <c r="A17827">
        <v>17826</v>
      </c>
      <c r="B17827">
        <v>42</v>
      </c>
      <c r="C17827">
        <v>0</v>
      </c>
      <c r="D17827">
        <v>0</v>
      </c>
      <c r="E17827">
        <v>0</v>
      </c>
      <c r="F17827">
        <v>0.2</v>
      </c>
    </row>
    <row r="17828" spans="1:6" x14ac:dyDescent="0.25">
      <c r="A17828">
        <v>17827</v>
      </c>
      <c r="B17828">
        <v>43</v>
      </c>
      <c r="C17828">
        <v>0</v>
      </c>
      <c r="D17828">
        <v>0</v>
      </c>
      <c r="E17828">
        <v>0</v>
      </c>
      <c r="F17828">
        <v>0</v>
      </c>
    </row>
    <row r="17829" spans="1:6" x14ac:dyDescent="0.25">
      <c r="A17829">
        <v>17828</v>
      </c>
      <c r="B17829" t="s">
        <v>0</v>
      </c>
      <c r="C17829">
        <v>109</v>
      </c>
      <c r="D17829">
        <v>3512</v>
      </c>
      <c r="E17829">
        <v>80793159</v>
      </c>
    </row>
    <row r="17830" spans="1:6" x14ac:dyDescent="0.25">
      <c r="A17830">
        <v>17829</v>
      </c>
      <c r="B17830">
        <v>44</v>
      </c>
      <c r="C17830">
        <v>0</v>
      </c>
      <c r="D17830">
        <v>0</v>
      </c>
      <c r="E17830">
        <v>0</v>
      </c>
      <c r="F17830">
        <v>52.570900000000002</v>
      </c>
    </row>
    <row r="17831" spans="1:6" x14ac:dyDescent="0.25">
      <c r="A17831">
        <v>17830</v>
      </c>
      <c r="B17831">
        <v>45</v>
      </c>
      <c r="C17831">
        <v>0</v>
      </c>
      <c r="D17831">
        <v>0</v>
      </c>
      <c r="E17831">
        <v>0</v>
      </c>
      <c r="F17831">
        <v>534.51499999999999</v>
      </c>
    </row>
    <row r="17832" spans="1:6" x14ac:dyDescent="0.25">
      <c r="A17832">
        <v>17831</v>
      </c>
      <c r="B17832" t="s">
        <v>0</v>
      </c>
      <c r="C17832">
        <v>110</v>
      </c>
      <c r="D17832">
        <v>3512</v>
      </c>
      <c r="E17832">
        <v>80793293</v>
      </c>
    </row>
    <row r="17833" spans="1:6" x14ac:dyDescent="0.25">
      <c r="A17833">
        <v>17832</v>
      </c>
      <c r="B17833">
        <v>46</v>
      </c>
      <c r="C17833">
        <v>0</v>
      </c>
      <c r="D17833">
        <v>0</v>
      </c>
      <c r="E17833">
        <v>0</v>
      </c>
      <c r="F17833">
        <v>0</v>
      </c>
    </row>
    <row r="17834" spans="1:6" x14ac:dyDescent="0.25">
      <c r="A17834">
        <v>17833</v>
      </c>
      <c r="B17834">
        <v>2</v>
      </c>
      <c r="C17834">
        <v>0</v>
      </c>
      <c r="D17834">
        <v>0</v>
      </c>
      <c r="E17834">
        <v>0</v>
      </c>
      <c r="F17834">
        <v>247.434</v>
      </c>
    </row>
    <row r="17835" spans="1:6" x14ac:dyDescent="0.25">
      <c r="A17835">
        <v>17834</v>
      </c>
      <c r="B17835" t="s">
        <v>0</v>
      </c>
      <c r="C17835">
        <v>111</v>
      </c>
      <c r="D17835">
        <v>3512</v>
      </c>
      <c r="E17835">
        <v>80793427</v>
      </c>
    </row>
    <row r="17836" spans="1:6" x14ac:dyDescent="0.25">
      <c r="A17836">
        <v>17835</v>
      </c>
      <c r="B17836">
        <v>13</v>
      </c>
      <c r="C17836">
        <v>0</v>
      </c>
      <c r="D17836">
        <v>0</v>
      </c>
      <c r="E17836">
        <v>0</v>
      </c>
      <c r="F17836">
        <v>1617</v>
      </c>
    </row>
    <row r="17837" spans="1:6" x14ac:dyDescent="0.25">
      <c r="A17837">
        <v>17836</v>
      </c>
      <c r="B17837" t="s">
        <v>0</v>
      </c>
      <c r="C17837">
        <v>112</v>
      </c>
      <c r="D17837">
        <v>3512</v>
      </c>
      <c r="E17837">
        <v>80793562</v>
      </c>
    </row>
    <row r="17838" spans="1:6" x14ac:dyDescent="0.25">
      <c r="A17838">
        <v>17837</v>
      </c>
      <c r="B17838">
        <v>42</v>
      </c>
      <c r="C17838">
        <v>0</v>
      </c>
      <c r="D17838">
        <v>0</v>
      </c>
      <c r="E17838">
        <v>0</v>
      </c>
      <c r="F17838">
        <v>0.2</v>
      </c>
    </row>
    <row r="17839" spans="1:6" x14ac:dyDescent="0.25">
      <c r="A17839">
        <v>17838</v>
      </c>
      <c r="B17839" t="s">
        <v>0</v>
      </c>
      <c r="C17839">
        <v>113</v>
      </c>
      <c r="D17839">
        <v>3512</v>
      </c>
      <c r="E17839">
        <v>80793696</v>
      </c>
    </row>
    <row r="17840" spans="1:6" x14ac:dyDescent="0.25">
      <c r="A17840">
        <v>17839</v>
      </c>
      <c r="B17840">
        <v>44</v>
      </c>
      <c r="C17840">
        <v>0</v>
      </c>
      <c r="D17840">
        <v>0</v>
      </c>
      <c r="E17840">
        <v>0</v>
      </c>
      <c r="F17840">
        <v>52.555199999999999</v>
      </c>
    </row>
    <row r="17841" spans="1:6" x14ac:dyDescent="0.25">
      <c r="A17841">
        <v>17840</v>
      </c>
      <c r="B17841" t="s">
        <v>0</v>
      </c>
      <c r="C17841">
        <v>114</v>
      </c>
      <c r="D17841">
        <v>3512</v>
      </c>
      <c r="E17841">
        <v>80793830</v>
      </c>
    </row>
    <row r="17842" spans="1:6" x14ac:dyDescent="0.25">
      <c r="A17842">
        <v>17841</v>
      </c>
      <c r="B17842">
        <v>46</v>
      </c>
      <c r="C17842">
        <v>0</v>
      </c>
      <c r="D17842">
        <v>0</v>
      </c>
      <c r="E17842">
        <v>0</v>
      </c>
      <c r="F17842">
        <v>0</v>
      </c>
    </row>
    <row r="17843" spans="1:6" x14ac:dyDescent="0.25">
      <c r="A17843">
        <v>17842</v>
      </c>
      <c r="B17843" t="s">
        <v>0</v>
      </c>
      <c r="C17843">
        <v>115</v>
      </c>
      <c r="D17843">
        <v>3512</v>
      </c>
      <c r="E17843">
        <v>80793964</v>
      </c>
    </row>
    <row r="17844" spans="1:6" x14ac:dyDescent="0.25">
      <c r="A17844">
        <v>17843</v>
      </c>
      <c r="B17844">
        <v>10</v>
      </c>
      <c r="C17844">
        <v>1</v>
      </c>
      <c r="D17844">
        <v>0</v>
      </c>
      <c r="E17844">
        <v>0</v>
      </c>
      <c r="F17844">
        <v>5316</v>
      </c>
    </row>
    <row r="17845" spans="1:6" x14ac:dyDescent="0.25">
      <c r="A17845">
        <v>17844</v>
      </c>
      <c r="B17845" t="s">
        <v>0</v>
      </c>
      <c r="C17845">
        <v>116</v>
      </c>
      <c r="D17845">
        <v>3512</v>
      </c>
      <c r="E17845">
        <v>80794098</v>
      </c>
    </row>
    <row r="17846" spans="1:6" x14ac:dyDescent="0.25">
      <c r="A17846">
        <v>17845</v>
      </c>
      <c r="B17846">
        <v>41</v>
      </c>
      <c r="C17846">
        <v>0</v>
      </c>
      <c r="D17846">
        <v>0</v>
      </c>
      <c r="E17846">
        <v>0</v>
      </c>
      <c r="F17846">
        <v>1</v>
      </c>
    </row>
    <row r="17847" spans="1:6" x14ac:dyDescent="0.25">
      <c r="A17847">
        <v>17846</v>
      </c>
      <c r="B17847" t="s">
        <v>0</v>
      </c>
      <c r="C17847">
        <v>117</v>
      </c>
      <c r="D17847">
        <v>3512</v>
      </c>
      <c r="E17847">
        <v>80794232</v>
      </c>
    </row>
    <row r="17848" spans="1:6" x14ac:dyDescent="0.25">
      <c r="A17848">
        <v>17847</v>
      </c>
      <c r="B17848">
        <v>43</v>
      </c>
      <c r="C17848">
        <v>0</v>
      </c>
      <c r="D17848">
        <v>0</v>
      </c>
      <c r="E17848">
        <v>0</v>
      </c>
      <c r="F17848">
        <v>0</v>
      </c>
    </row>
    <row r="17849" spans="1:6" x14ac:dyDescent="0.25">
      <c r="A17849">
        <v>17848</v>
      </c>
      <c r="B17849" t="s">
        <v>0</v>
      </c>
      <c r="C17849">
        <v>118</v>
      </c>
      <c r="D17849">
        <v>3512</v>
      </c>
      <c r="E17849">
        <v>80794366</v>
      </c>
    </row>
    <row r="17850" spans="1:6" x14ac:dyDescent="0.25">
      <c r="A17850">
        <v>17849</v>
      </c>
      <c r="B17850">
        <v>45</v>
      </c>
      <c r="C17850">
        <v>0</v>
      </c>
      <c r="D17850">
        <v>0</v>
      </c>
      <c r="E17850">
        <v>0</v>
      </c>
      <c r="F17850">
        <v>534.64200000000005</v>
      </c>
    </row>
    <row r="17851" spans="1:6" x14ac:dyDescent="0.25">
      <c r="A17851">
        <v>17850</v>
      </c>
      <c r="B17851" t="s">
        <v>0</v>
      </c>
      <c r="C17851">
        <v>119</v>
      </c>
      <c r="D17851">
        <v>3512</v>
      </c>
      <c r="E17851">
        <v>80794501</v>
      </c>
    </row>
    <row r="17852" spans="1:6" x14ac:dyDescent="0.25">
      <c r="A17852">
        <v>17851</v>
      </c>
      <c r="B17852">
        <v>2</v>
      </c>
      <c r="C17852">
        <v>0</v>
      </c>
      <c r="D17852">
        <v>0</v>
      </c>
      <c r="E17852">
        <v>0</v>
      </c>
      <c r="F17852">
        <v>247.46199999999999</v>
      </c>
    </row>
    <row r="17853" spans="1:6" x14ac:dyDescent="0.25">
      <c r="A17853">
        <v>17852</v>
      </c>
      <c r="B17853" t="s">
        <v>0</v>
      </c>
      <c r="C17853">
        <v>120</v>
      </c>
      <c r="D17853">
        <v>3512</v>
      </c>
      <c r="E17853">
        <v>80794635</v>
      </c>
    </row>
    <row r="17854" spans="1:6" x14ac:dyDescent="0.25">
      <c r="A17854">
        <v>17853</v>
      </c>
      <c r="B17854">
        <v>13</v>
      </c>
      <c r="C17854">
        <v>0</v>
      </c>
      <c r="D17854">
        <v>0</v>
      </c>
      <c r="E17854">
        <v>0</v>
      </c>
      <c r="F17854">
        <v>1617</v>
      </c>
    </row>
    <row r="17855" spans="1:6" x14ac:dyDescent="0.25">
      <c r="A17855">
        <v>17854</v>
      </c>
      <c r="B17855" t="s">
        <v>0</v>
      </c>
      <c r="C17855">
        <v>121</v>
      </c>
      <c r="D17855">
        <v>3512</v>
      </c>
      <c r="E17855">
        <v>80794769</v>
      </c>
    </row>
    <row r="17856" spans="1:6" x14ac:dyDescent="0.25">
      <c r="A17856">
        <v>17855</v>
      </c>
      <c r="B17856">
        <v>42</v>
      </c>
      <c r="C17856">
        <v>0</v>
      </c>
      <c r="D17856">
        <v>0</v>
      </c>
      <c r="E17856">
        <v>0</v>
      </c>
      <c r="F17856">
        <v>0.2</v>
      </c>
    </row>
    <row r="17857" spans="1:6" x14ac:dyDescent="0.25">
      <c r="A17857">
        <v>17856</v>
      </c>
      <c r="B17857" t="s">
        <v>0</v>
      </c>
      <c r="C17857">
        <v>122</v>
      </c>
      <c r="D17857">
        <v>3512</v>
      </c>
      <c r="E17857">
        <v>80794903</v>
      </c>
    </row>
    <row r="17858" spans="1:6" x14ac:dyDescent="0.25">
      <c r="A17858">
        <v>17857</v>
      </c>
      <c r="B17858">
        <v>44</v>
      </c>
      <c r="C17858">
        <v>0</v>
      </c>
      <c r="D17858">
        <v>0</v>
      </c>
      <c r="E17858">
        <v>0</v>
      </c>
      <c r="F17858">
        <v>52.530700000000003</v>
      </c>
    </row>
    <row r="17859" spans="1:6" x14ac:dyDescent="0.25">
      <c r="A17859">
        <v>17858</v>
      </c>
      <c r="B17859" t="s">
        <v>0</v>
      </c>
      <c r="C17859">
        <v>123</v>
      </c>
      <c r="D17859">
        <v>3512</v>
      </c>
      <c r="E17859">
        <v>80795037</v>
      </c>
    </row>
    <row r="17860" spans="1:6" x14ac:dyDescent="0.25">
      <c r="A17860">
        <v>17859</v>
      </c>
      <c r="B17860">
        <v>46</v>
      </c>
      <c r="C17860">
        <v>0</v>
      </c>
      <c r="D17860">
        <v>0</v>
      </c>
      <c r="E17860">
        <v>0</v>
      </c>
      <c r="F17860">
        <v>0</v>
      </c>
    </row>
    <row r="17861" spans="1:6" x14ac:dyDescent="0.25">
      <c r="A17861">
        <v>17860</v>
      </c>
      <c r="B17861" t="s">
        <v>0</v>
      </c>
      <c r="C17861">
        <v>124</v>
      </c>
      <c r="D17861">
        <v>3512</v>
      </c>
      <c r="E17861">
        <v>80795171</v>
      </c>
    </row>
    <row r="17862" spans="1:6" x14ac:dyDescent="0.25">
      <c r="A17862">
        <v>17861</v>
      </c>
      <c r="B17862">
        <v>10</v>
      </c>
      <c r="C17862">
        <v>1</v>
      </c>
      <c r="D17862">
        <v>0</v>
      </c>
      <c r="E17862">
        <v>0</v>
      </c>
      <c r="F17862">
        <v>5315</v>
      </c>
    </row>
    <row r="17863" spans="1:6" x14ac:dyDescent="0.25">
      <c r="A17863">
        <v>17862</v>
      </c>
      <c r="B17863" t="s">
        <v>0</v>
      </c>
      <c r="C17863">
        <v>125</v>
      </c>
      <c r="D17863">
        <v>3512</v>
      </c>
      <c r="E17863">
        <v>80795305</v>
      </c>
    </row>
    <row r="17864" spans="1:6" x14ac:dyDescent="0.25">
      <c r="A17864">
        <v>17863</v>
      </c>
      <c r="B17864">
        <v>41</v>
      </c>
      <c r="C17864">
        <v>0</v>
      </c>
      <c r="D17864">
        <v>0</v>
      </c>
      <c r="E17864">
        <v>0</v>
      </c>
      <c r="F17864">
        <v>1</v>
      </c>
    </row>
    <row r="17865" spans="1:6" x14ac:dyDescent="0.25">
      <c r="A17865">
        <v>17864</v>
      </c>
      <c r="B17865" t="s">
        <v>0</v>
      </c>
      <c r="C17865">
        <v>126</v>
      </c>
      <c r="D17865">
        <v>3512</v>
      </c>
      <c r="E17865">
        <v>80795439</v>
      </c>
    </row>
    <row r="17866" spans="1:6" x14ac:dyDescent="0.25">
      <c r="A17866">
        <v>17865</v>
      </c>
      <c r="B17866">
        <v>43</v>
      </c>
      <c r="C17866">
        <v>0</v>
      </c>
      <c r="D17866">
        <v>0</v>
      </c>
      <c r="E17866">
        <v>0</v>
      </c>
      <c r="F17866">
        <v>0</v>
      </c>
    </row>
    <row r="17867" spans="1:6" x14ac:dyDescent="0.25">
      <c r="A17867">
        <v>17866</v>
      </c>
      <c r="B17867" t="s">
        <v>0</v>
      </c>
      <c r="C17867">
        <v>127</v>
      </c>
      <c r="D17867">
        <v>3512</v>
      </c>
      <c r="E17867">
        <v>80795573</v>
      </c>
    </row>
    <row r="17868" spans="1:6" x14ac:dyDescent="0.25">
      <c r="A17868">
        <v>17867</v>
      </c>
      <c r="B17868">
        <v>45</v>
      </c>
      <c r="C17868">
        <v>0</v>
      </c>
      <c r="D17868">
        <v>0</v>
      </c>
      <c r="E17868">
        <v>0</v>
      </c>
      <c r="F17868">
        <v>534.76900000000001</v>
      </c>
    </row>
    <row r="17869" spans="1:6" x14ac:dyDescent="0.25">
      <c r="A17869">
        <v>17868</v>
      </c>
      <c r="B17869" t="s">
        <v>0</v>
      </c>
      <c r="C17869">
        <v>128</v>
      </c>
      <c r="D17869">
        <v>3512</v>
      </c>
      <c r="E17869">
        <v>80795707</v>
      </c>
    </row>
    <row r="17870" spans="1:6" x14ac:dyDescent="0.25">
      <c r="A17870">
        <v>17869</v>
      </c>
      <c r="B17870">
        <v>2</v>
      </c>
      <c r="C17870">
        <v>0</v>
      </c>
      <c r="D17870">
        <v>0</v>
      </c>
      <c r="E17870">
        <v>0</v>
      </c>
      <c r="F17870">
        <v>247.566</v>
      </c>
    </row>
    <row r="17871" spans="1:6" x14ac:dyDescent="0.25">
      <c r="A17871">
        <v>17870</v>
      </c>
      <c r="B17871" t="s">
        <v>0</v>
      </c>
      <c r="C17871">
        <v>129</v>
      </c>
      <c r="D17871">
        <v>3512</v>
      </c>
      <c r="E17871">
        <v>80795841</v>
      </c>
    </row>
    <row r="17872" spans="1:6" x14ac:dyDescent="0.25">
      <c r="A17872">
        <v>17871</v>
      </c>
      <c r="B17872">
        <v>13</v>
      </c>
      <c r="C17872">
        <v>0</v>
      </c>
      <c r="D17872">
        <v>0</v>
      </c>
      <c r="E17872">
        <v>0</v>
      </c>
      <c r="F17872">
        <v>1617</v>
      </c>
    </row>
    <row r="17873" spans="1:6" x14ac:dyDescent="0.25">
      <c r="A17873">
        <v>17872</v>
      </c>
      <c r="B17873" t="s">
        <v>0</v>
      </c>
      <c r="C17873">
        <v>130</v>
      </c>
      <c r="D17873">
        <v>3512</v>
      </c>
      <c r="E17873">
        <v>80795975</v>
      </c>
    </row>
    <row r="17874" spans="1:6" x14ac:dyDescent="0.25">
      <c r="A17874">
        <v>17873</v>
      </c>
      <c r="B17874">
        <v>42</v>
      </c>
      <c r="C17874">
        <v>0</v>
      </c>
      <c r="D17874">
        <v>0</v>
      </c>
      <c r="E17874">
        <v>0</v>
      </c>
      <c r="F17874">
        <v>0.2</v>
      </c>
    </row>
    <row r="17875" spans="1:6" x14ac:dyDescent="0.25">
      <c r="A17875">
        <v>17874</v>
      </c>
      <c r="B17875" t="s">
        <v>0</v>
      </c>
      <c r="C17875">
        <v>131</v>
      </c>
      <c r="D17875">
        <v>3512</v>
      </c>
      <c r="E17875">
        <v>80796109</v>
      </c>
    </row>
    <row r="17876" spans="1:6" x14ac:dyDescent="0.25">
      <c r="A17876">
        <v>17875</v>
      </c>
      <c r="B17876">
        <v>44</v>
      </c>
      <c r="C17876">
        <v>0</v>
      </c>
      <c r="D17876">
        <v>0</v>
      </c>
      <c r="E17876">
        <v>0</v>
      </c>
      <c r="F17876">
        <v>52.385100000000001</v>
      </c>
    </row>
    <row r="17877" spans="1:6" x14ac:dyDescent="0.25">
      <c r="A17877">
        <v>17876</v>
      </c>
      <c r="B17877" t="s">
        <v>0</v>
      </c>
      <c r="C17877">
        <v>132</v>
      </c>
      <c r="D17877">
        <v>3512</v>
      </c>
      <c r="E17877">
        <v>80796243</v>
      </c>
    </row>
    <row r="17878" spans="1:6" x14ac:dyDescent="0.25">
      <c r="A17878">
        <v>17877</v>
      </c>
      <c r="B17878">
        <v>46</v>
      </c>
      <c r="C17878">
        <v>0</v>
      </c>
      <c r="D17878">
        <v>0</v>
      </c>
      <c r="E17878">
        <v>0</v>
      </c>
      <c r="F17878">
        <v>0</v>
      </c>
    </row>
    <row r="17879" spans="1:6" x14ac:dyDescent="0.25">
      <c r="A17879">
        <v>17878</v>
      </c>
      <c r="B17879" t="s">
        <v>0</v>
      </c>
      <c r="C17879">
        <v>133</v>
      </c>
      <c r="D17879">
        <v>3512</v>
      </c>
      <c r="E17879">
        <v>80796377</v>
      </c>
    </row>
    <row r="17880" spans="1:6" x14ac:dyDescent="0.25">
      <c r="A17880">
        <v>17879</v>
      </c>
      <c r="B17880">
        <v>10</v>
      </c>
      <c r="C17880">
        <v>1</v>
      </c>
      <c r="D17880">
        <v>0</v>
      </c>
      <c r="E17880">
        <v>0</v>
      </c>
      <c r="F17880">
        <v>5312</v>
      </c>
    </row>
    <row r="17881" spans="1:6" x14ac:dyDescent="0.25">
      <c r="A17881">
        <v>17880</v>
      </c>
      <c r="B17881" t="s">
        <v>0</v>
      </c>
      <c r="C17881">
        <v>134</v>
      </c>
      <c r="D17881">
        <v>3512</v>
      </c>
      <c r="E17881">
        <v>80796511</v>
      </c>
    </row>
    <row r="17882" spans="1:6" x14ac:dyDescent="0.25">
      <c r="A17882">
        <v>17881</v>
      </c>
      <c r="B17882">
        <v>41</v>
      </c>
      <c r="C17882">
        <v>0</v>
      </c>
      <c r="D17882">
        <v>0</v>
      </c>
      <c r="E17882">
        <v>0</v>
      </c>
      <c r="F17882">
        <v>1</v>
      </c>
    </row>
    <row r="17883" spans="1:6" x14ac:dyDescent="0.25">
      <c r="A17883">
        <v>17882</v>
      </c>
      <c r="B17883" t="s">
        <v>0</v>
      </c>
      <c r="C17883">
        <v>135</v>
      </c>
      <c r="D17883">
        <v>3512</v>
      </c>
      <c r="E17883">
        <v>80796645</v>
      </c>
    </row>
    <row r="17884" spans="1:6" x14ac:dyDescent="0.25">
      <c r="A17884">
        <v>17883</v>
      </c>
      <c r="B17884">
        <v>43</v>
      </c>
      <c r="C17884">
        <v>0</v>
      </c>
      <c r="D17884">
        <v>0</v>
      </c>
      <c r="E17884">
        <v>0</v>
      </c>
      <c r="F17884">
        <v>0</v>
      </c>
    </row>
    <row r="17885" spans="1:6" x14ac:dyDescent="0.25">
      <c r="A17885">
        <v>17884</v>
      </c>
      <c r="B17885" t="s">
        <v>0</v>
      </c>
      <c r="C17885">
        <v>136</v>
      </c>
      <c r="D17885">
        <v>3512</v>
      </c>
      <c r="E17885">
        <v>80796779</v>
      </c>
    </row>
    <row r="17886" spans="1:6" x14ac:dyDescent="0.25">
      <c r="A17886">
        <v>17885</v>
      </c>
      <c r="B17886">
        <v>45</v>
      </c>
      <c r="C17886">
        <v>0</v>
      </c>
      <c r="D17886">
        <v>0</v>
      </c>
      <c r="E17886">
        <v>0</v>
      </c>
      <c r="F17886">
        <v>534.89599999999996</v>
      </c>
    </row>
    <row r="17887" spans="1:6" x14ac:dyDescent="0.25">
      <c r="A17887">
        <v>17886</v>
      </c>
      <c r="B17887" t="s">
        <v>0</v>
      </c>
      <c r="C17887">
        <v>137</v>
      </c>
      <c r="D17887">
        <v>3512</v>
      </c>
      <c r="E17887">
        <v>80796913</v>
      </c>
    </row>
    <row r="17888" spans="1:6" x14ac:dyDescent="0.25">
      <c r="A17888">
        <v>17887</v>
      </c>
      <c r="B17888">
        <v>2</v>
      </c>
      <c r="C17888">
        <v>0</v>
      </c>
      <c r="D17888">
        <v>0</v>
      </c>
      <c r="E17888">
        <v>0</v>
      </c>
      <c r="F17888">
        <v>247.685</v>
      </c>
    </row>
    <row r="17889" spans="1:6" x14ac:dyDescent="0.25">
      <c r="A17889">
        <v>17888</v>
      </c>
      <c r="B17889" t="s">
        <v>0</v>
      </c>
      <c r="C17889">
        <v>138</v>
      </c>
      <c r="D17889">
        <v>3512</v>
      </c>
      <c r="E17889">
        <v>80797047</v>
      </c>
    </row>
    <row r="17890" spans="1:6" x14ac:dyDescent="0.25">
      <c r="A17890">
        <v>17889</v>
      </c>
      <c r="B17890">
        <v>10</v>
      </c>
      <c r="C17890">
        <v>1</v>
      </c>
      <c r="D17890">
        <v>0</v>
      </c>
      <c r="E17890">
        <v>0</v>
      </c>
      <c r="F17890">
        <v>5311</v>
      </c>
    </row>
    <row r="17891" spans="1:6" x14ac:dyDescent="0.25">
      <c r="A17891">
        <v>17890</v>
      </c>
      <c r="B17891">
        <v>13</v>
      </c>
      <c r="C17891">
        <v>0</v>
      </c>
      <c r="D17891">
        <v>0</v>
      </c>
      <c r="E17891">
        <v>0</v>
      </c>
      <c r="F17891">
        <v>1617</v>
      </c>
    </row>
    <row r="17892" spans="1:6" x14ac:dyDescent="0.25">
      <c r="A17892">
        <v>17891</v>
      </c>
      <c r="B17892">
        <v>41</v>
      </c>
      <c r="C17892">
        <v>0</v>
      </c>
      <c r="D17892">
        <v>0</v>
      </c>
      <c r="E17892">
        <v>0</v>
      </c>
      <c r="F17892">
        <v>1</v>
      </c>
    </row>
    <row r="17893" spans="1:6" x14ac:dyDescent="0.25">
      <c r="A17893">
        <v>17892</v>
      </c>
      <c r="B17893">
        <v>42</v>
      </c>
      <c r="C17893">
        <v>0</v>
      </c>
      <c r="D17893">
        <v>0</v>
      </c>
      <c r="E17893">
        <v>0</v>
      </c>
      <c r="F17893">
        <v>0.2</v>
      </c>
    </row>
    <row r="17894" spans="1:6" x14ac:dyDescent="0.25">
      <c r="A17894">
        <v>17893</v>
      </c>
      <c r="B17894">
        <v>43</v>
      </c>
      <c r="C17894">
        <v>0</v>
      </c>
      <c r="D17894">
        <v>0</v>
      </c>
      <c r="E17894">
        <v>0</v>
      </c>
      <c r="F17894">
        <v>0</v>
      </c>
    </row>
    <row r="17895" spans="1:6" x14ac:dyDescent="0.25">
      <c r="A17895">
        <v>17894</v>
      </c>
      <c r="B17895">
        <v>44</v>
      </c>
      <c r="C17895">
        <v>0</v>
      </c>
      <c r="D17895">
        <v>0</v>
      </c>
      <c r="E17895">
        <v>0</v>
      </c>
      <c r="F17895">
        <v>52.291400000000003</v>
      </c>
    </row>
    <row r="17896" spans="1:6" x14ac:dyDescent="0.25">
      <c r="A17896">
        <v>17895</v>
      </c>
      <c r="B17896">
        <v>45</v>
      </c>
      <c r="C17896">
        <v>0</v>
      </c>
      <c r="D17896">
        <v>0</v>
      </c>
      <c r="E17896">
        <v>0</v>
      </c>
      <c r="F17896">
        <v>534.96600000000001</v>
      </c>
    </row>
    <row r="17897" spans="1:6" x14ac:dyDescent="0.25">
      <c r="A17897">
        <v>17896</v>
      </c>
      <c r="B17897">
        <v>46</v>
      </c>
      <c r="C17897">
        <v>0</v>
      </c>
      <c r="D17897">
        <v>0</v>
      </c>
      <c r="E17897">
        <v>0</v>
      </c>
      <c r="F17897">
        <v>0</v>
      </c>
    </row>
    <row r="17898" spans="1:6" x14ac:dyDescent="0.25">
      <c r="A17898">
        <v>17897</v>
      </c>
      <c r="B17898">
        <v>2</v>
      </c>
      <c r="C17898">
        <v>0</v>
      </c>
      <c r="D17898">
        <v>0</v>
      </c>
      <c r="E17898">
        <v>0</v>
      </c>
      <c r="F17898">
        <v>247.72900000000001</v>
      </c>
    </row>
    <row r="17899" spans="1:6" x14ac:dyDescent="0.25">
      <c r="A17899">
        <v>17898</v>
      </c>
      <c r="B17899">
        <v>10</v>
      </c>
      <c r="C17899">
        <v>1</v>
      </c>
      <c r="D17899">
        <v>0</v>
      </c>
      <c r="E17899">
        <v>0</v>
      </c>
      <c r="F17899">
        <v>5310</v>
      </c>
    </row>
    <row r="17900" spans="1:6" x14ac:dyDescent="0.25">
      <c r="A17900">
        <v>17899</v>
      </c>
      <c r="B17900">
        <v>13</v>
      </c>
      <c r="C17900">
        <v>0</v>
      </c>
      <c r="D17900">
        <v>0</v>
      </c>
      <c r="E17900">
        <v>0</v>
      </c>
      <c r="F17900">
        <v>1617</v>
      </c>
    </row>
    <row r="17901" spans="1:6" x14ac:dyDescent="0.25">
      <c r="A17901">
        <v>17900</v>
      </c>
      <c r="B17901">
        <v>41</v>
      </c>
      <c r="C17901">
        <v>0</v>
      </c>
      <c r="D17901">
        <v>0</v>
      </c>
      <c r="E17901">
        <v>0</v>
      </c>
      <c r="F17901">
        <v>1</v>
      </c>
    </row>
    <row r="17902" spans="1:6" x14ac:dyDescent="0.25">
      <c r="A17902">
        <v>17901</v>
      </c>
      <c r="B17902">
        <v>42</v>
      </c>
      <c r="C17902">
        <v>0</v>
      </c>
      <c r="D17902">
        <v>0</v>
      </c>
      <c r="E17902">
        <v>0</v>
      </c>
      <c r="F17902">
        <v>0.2</v>
      </c>
    </row>
    <row r="17903" spans="1:6" x14ac:dyDescent="0.25">
      <c r="A17903">
        <v>17902</v>
      </c>
      <c r="B17903">
        <v>43</v>
      </c>
      <c r="C17903">
        <v>0</v>
      </c>
      <c r="D17903">
        <v>0</v>
      </c>
      <c r="E17903">
        <v>0</v>
      </c>
      <c r="F17903">
        <v>0</v>
      </c>
    </row>
    <row r="17904" spans="1:6" x14ac:dyDescent="0.25">
      <c r="A17904">
        <v>17903</v>
      </c>
      <c r="B17904">
        <v>44</v>
      </c>
      <c r="C17904">
        <v>0</v>
      </c>
      <c r="D17904">
        <v>0</v>
      </c>
      <c r="E17904">
        <v>0</v>
      </c>
      <c r="F17904">
        <v>52.249400000000001</v>
      </c>
    </row>
    <row r="17905" spans="1:6" x14ac:dyDescent="0.25">
      <c r="A17905">
        <v>17904</v>
      </c>
      <c r="B17905">
        <v>45</v>
      </c>
      <c r="C17905">
        <v>0</v>
      </c>
      <c r="D17905">
        <v>0</v>
      </c>
      <c r="E17905">
        <v>0</v>
      </c>
      <c r="F17905">
        <v>535.02300000000002</v>
      </c>
    </row>
    <row r="17906" spans="1:6" x14ac:dyDescent="0.25">
      <c r="A17906">
        <v>17905</v>
      </c>
      <c r="B17906">
        <v>46</v>
      </c>
      <c r="C17906">
        <v>0</v>
      </c>
      <c r="D17906">
        <v>0</v>
      </c>
      <c r="E17906">
        <v>0</v>
      </c>
      <c r="F17906">
        <v>0</v>
      </c>
    </row>
    <row r="17907" spans="1:6" x14ac:dyDescent="0.25">
      <c r="A17907">
        <v>17906</v>
      </c>
      <c r="B17907">
        <v>2</v>
      </c>
      <c r="C17907">
        <v>0</v>
      </c>
      <c r="D17907">
        <v>0</v>
      </c>
      <c r="E17907">
        <v>0</v>
      </c>
      <c r="F17907">
        <v>247.75700000000001</v>
      </c>
    </row>
    <row r="17908" spans="1:6" x14ac:dyDescent="0.25">
      <c r="A17908">
        <v>17907</v>
      </c>
      <c r="B17908">
        <v>10</v>
      </c>
      <c r="C17908">
        <v>1</v>
      </c>
      <c r="D17908">
        <v>0</v>
      </c>
      <c r="E17908">
        <v>0</v>
      </c>
      <c r="F17908">
        <v>5310</v>
      </c>
    </row>
    <row r="17909" spans="1:6" x14ac:dyDescent="0.25">
      <c r="A17909">
        <v>17908</v>
      </c>
      <c r="B17909">
        <v>13</v>
      </c>
      <c r="C17909">
        <v>0</v>
      </c>
      <c r="D17909">
        <v>0</v>
      </c>
      <c r="E17909">
        <v>0</v>
      </c>
      <c r="F17909">
        <v>1617</v>
      </c>
    </row>
    <row r="17910" spans="1:6" x14ac:dyDescent="0.25">
      <c r="A17910">
        <v>17909</v>
      </c>
      <c r="B17910">
        <v>41</v>
      </c>
      <c r="C17910">
        <v>0</v>
      </c>
      <c r="D17910">
        <v>0</v>
      </c>
      <c r="E17910">
        <v>0</v>
      </c>
      <c r="F17910">
        <v>1</v>
      </c>
    </row>
    <row r="17911" spans="1:6" x14ac:dyDescent="0.25">
      <c r="A17911">
        <v>17910</v>
      </c>
      <c r="B17911">
        <v>42</v>
      </c>
      <c r="C17911">
        <v>0</v>
      </c>
      <c r="D17911">
        <v>0</v>
      </c>
      <c r="E17911">
        <v>0</v>
      </c>
      <c r="F17911">
        <v>0.2</v>
      </c>
    </row>
    <row r="17912" spans="1:6" x14ac:dyDescent="0.25">
      <c r="A17912">
        <v>17911</v>
      </c>
      <c r="B17912">
        <v>43</v>
      </c>
      <c r="C17912">
        <v>0</v>
      </c>
      <c r="D17912">
        <v>0</v>
      </c>
      <c r="E17912">
        <v>0</v>
      </c>
      <c r="F17912">
        <v>0</v>
      </c>
    </row>
    <row r="17913" spans="1:6" x14ac:dyDescent="0.25">
      <c r="A17913">
        <v>17912</v>
      </c>
      <c r="B17913">
        <v>44</v>
      </c>
      <c r="C17913">
        <v>0</v>
      </c>
      <c r="D17913">
        <v>0</v>
      </c>
      <c r="E17913">
        <v>0</v>
      </c>
      <c r="F17913">
        <v>52.225499999999997</v>
      </c>
    </row>
    <row r="17914" spans="1:6" x14ac:dyDescent="0.25">
      <c r="A17914">
        <v>17913</v>
      </c>
      <c r="B17914">
        <v>45</v>
      </c>
      <c r="C17914">
        <v>0</v>
      </c>
      <c r="D17914">
        <v>0</v>
      </c>
      <c r="E17914">
        <v>0</v>
      </c>
      <c r="F17914">
        <v>535.09299999999996</v>
      </c>
    </row>
    <row r="17915" spans="1:6" x14ac:dyDescent="0.25">
      <c r="A17915">
        <v>17914</v>
      </c>
      <c r="B17915">
        <v>46</v>
      </c>
      <c r="C17915">
        <v>0</v>
      </c>
      <c r="D17915">
        <v>0</v>
      </c>
      <c r="E17915">
        <v>0</v>
      </c>
      <c r="F17915">
        <v>0</v>
      </c>
    </row>
    <row r="17916" spans="1:6" x14ac:dyDescent="0.25">
      <c r="A17916">
        <v>17915</v>
      </c>
      <c r="B17916">
        <v>2</v>
      </c>
      <c r="C17916">
        <v>0</v>
      </c>
      <c r="D17916">
        <v>0</v>
      </c>
      <c r="E17916">
        <v>0</v>
      </c>
      <c r="F17916">
        <v>247.785</v>
      </c>
    </row>
    <row r="17917" spans="1:6" x14ac:dyDescent="0.25">
      <c r="A17917">
        <v>17916</v>
      </c>
      <c r="B17917">
        <v>10</v>
      </c>
      <c r="C17917">
        <v>1</v>
      </c>
      <c r="D17917">
        <v>0</v>
      </c>
      <c r="E17917">
        <v>0</v>
      </c>
      <c r="F17917">
        <v>5309</v>
      </c>
    </row>
    <row r="17918" spans="1:6" x14ac:dyDescent="0.25">
      <c r="A17918">
        <v>17917</v>
      </c>
      <c r="B17918">
        <v>13</v>
      </c>
      <c r="C17918">
        <v>0</v>
      </c>
      <c r="D17918">
        <v>0</v>
      </c>
      <c r="E17918">
        <v>0</v>
      </c>
      <c r="F17918">
        <v>1617</v>
      </c>
    </row>
    <row r="17919" spans="1:6" x14ac:dyDescent="0.25">
      <c r="A17919">
        <v>17918</v>
      </c>
      <c r="B17919">
        <v>41</v>
      </c>
      <c r="C17919">
        <v>0</v>
      </c>
      <c r="D17919">
        <v>0</v>
      </c>
      <c r="E17919">
        <v>0</v>
      </c>
      <c r="F17919">
        <v>1</v>
      </c>
    </row>
    <row r="17920" spans="1:6" x14ac:dyDescent="0.25">
      <c r="A17920">
        <v>17919</v>
      </c>
      <c r="B17920">
        <v>42</v>
      </c>
      <c r="C17920">
        <v>0</v>
      </c>
      <c r="D17920">
        <v>0</v>
      </c>
      <c r="E17920">
        <v>0</v>
      </c>
      <c r="F17920">
        <v>0.2</v>
      </c>
    </row>
    <row r="17921" spans="1:6" x14ac:dyDescent="0.25">
      <c r="A17921">
        <v>17920</v>
      </c>
      <c r="B17921">
        <v>43</v>
      </c>
      <c r="C17921">
        <v>0</v>
      </c>
      <c r="D17921">
        <v>0</v>
      </c>
      <c r="E17921">
        <v>0</v>
      </c>
      <c r="F17921">
        <v>0</v>
      </c>
    </row>
    <row r="17922" spans="1:6" x14ac:dyDescent="0.25">
      <c r="A17922">
        <v>17921</v>
      </c>
      <c r="B17922">
        <v>44</v>
      </c>
      <c r="C17922">
        <v>0</v>
      </c>
      <c r="D17922">
        <v>0</v>
      </c>
      <c r="E17922">
        <v>0</v>
      </c>
      <c r="F17922">
        <v>52.201900000000002</v>
      </c>
    </row>
    <row r="17923" spans="1:6" x14ac:dyDescent="0.25">
      <c r="A17923">
        <v>17922</v>
      </c>
      <c r="B17923">
        <v>45</v>
      </c>
      <c r="C17923">
        <v>0</v>
      </c>
      <c r="D17923">
        <v>0</v>
      </c>
      <c r="E17923">
        <v>0</v>
      </c>
      <c r="F17923">
        <v>535.149</v>
      </c>
    </row>
    <row r="17924" spans="1:6" x14ac:dyDescent="0.25">
      <c r="A17924">
        <v>17923</v>
      </c>
      <c r="B17924">
        <v>46</v>
      </c>
      <c r="C17924">
        <v>0</v>
      </c>
      <c r="D17924">
        <v>0</v>
      </c>
      <c r="E17924">
        <v>0</v>
      </c>
      <c r="F17924">
        <v>0</v>
      </c>
    </row>
    <row r="17925" spans="1:6" x14ac:dyDescent="0.25">
      <c r="A17925">
        <v>17924</v>
      </c>
      <c r="B17925">
        <v>2</v>
      </c>
      <c r="C17925">
        <v>0</v>
      </c>
      <c r="D17925">
        <v>0</v>
      </c>
      <c r="E17925">
        <v>0</v>
      </c>
      <c r="F17925">
        <v>247.80199999999999</v>
      </c>
    </row>
    <row r="17926" spans="1:6" x14ac:dyDescent="0.25">
      <c r="A17926">
        <v>17925</v>
      </c>
      <c r="B17926">
        <v>10</v>
      </c>
      <c r="C17926">
        <v>1</v>
      </c>
      <c r="D17926">
        <v>0</v>
      </c>
      <c r="E17926">
        <v>0</v>
      </c>
      <c r="F17926">
        <v>5309</v>
      </c>
    </row>
    <row r="17927" spans="1:6" x14ac:dyDescent="0.25">
      <c r="A17927">
        <v>17926</v>
      </c>
      <c r="B17927">
        <v>13</v>
      </c>
      <c r="C17927">
        <v>0</v>
      </c>
      <c r="D17927">
        <v>0</v>
      </c>
      <c r="E17927">
        <v>0</v>
      </c>
      <c r="F17927">
        <v>1617</v>
      </c>
    </row>
    <row r="17928" spans="1:6" x14ac:dyDescent="0.25">
      <c r="A17928">
        <v>17927</v>
      </c>
      <c r="B17928">
        <v>41</v>
      </c>
      <c r="C17928">
        <v>0</v>
      </c>
      <c r="D17928">
        <v>0</v>
      </c>
      <c r="E17928">
        <v>0</v>
      </c>
      <c r="F17928">
        <v>1</v>
      </c>
    </row>
    <row r="17929" spans="1:6" x14ac:dyDescent="0.25">
      <c r="A17929">
        <v>17928</v>
      </c>
      <c r="B17929">
        <v>42</v>
      </c>
      <c r="C17929">
        <v>0</v>
      </c>
      <c r="D17929">
        <v>0</v>
      </c>
      <c r="E17929">
        <v>0</v>
      </c>
      <c r="F17929">
        <v>0.2</v>
      </c>
    </row>
    <row r="17930" spans="1:6" x14ac:dyDescent="0.25">
      <c r="A17930">
        <v>17929</v>
      </c>
      <c r="B17930">
        <v>43</v>
      </c>
      <c r="C17930">
        <v>0</v>
      </c>
      <c r="D17930">
        <v>0</v>
      </c>
      <c r="E17930">
        <v>0</v>
      </c>
      <c r="F17930">
        <v>0</v>
      </c>
    </row>
    <row r="17931" spans="1:6" x14ac:dyDescent="0.25">
      <c r="A17931">
        <v>17930</v>
      </c>
      <c r="B17931">
        <v>44</v>
      </c>
      <c r="C17931">
        <v>0</v>
      </c>
      <c r="D17931">
        <v>0</v>
      </c>
      <c r="E17931">
        <v>0</v>
      </c>
      <c r="F17931">
        <v>52.191200000000002</v>
      </c>
    </row>
    <row r="17932" spans="1:6" x14ac:dyDescent="0.25">
      <c r="A17932">
        <v>17931</v>
      </c>
      <c r="B17932">
        <v>45</v>
      </c>
      <c r="C17932">
        <v>0</v>
      </c>
      <c r="D17932">
        <v>0</v>
      </c>
      <c r="E17932">
        <v>0</v>
      </c>
      <c r="F17932">
        <v>535.21900000000005</v>
      </c>
    </row>
    <row r="17933" spans="1:6" x14ac:dyDescent="0.25">
      <c r="A17933">
        <v>17932</v>
      </c>
      <c r="B17933">
        <v>46</v>
      </c>
      <c r="C17933">
        <v>0</v>
      </c>
      <c r="D17933">
        <v>0</v>
      </c>
      <c r="E17933">
        <v>0</v>
      </c>
      <c r="F17933">
        <v>0</v>
      </c>
    </row>
    <row r="17934" spans="1:6" x14ac:dyDescent="0.25">
      <c r="A17934">
        <v>17933</v>
      </c>
      <c r="B17934">
        <v>2</v>
      </c>
      <c r="C17934">
        <v>0</v>
      </c>
      <c r="D17934">
        <v>0</v>
      </c>
      <c r="E17934">
        <v>0</v>
      </c>
      <c r="F17934">
        <v>247.82</v>
      </c>
    </row>
    <row r="17935" spans="1:6" x14ac:dyDescent="0.25">
      <c r="A17935">
        <v>17934</v>
      </c>
      <c r="B17935">
        <v>10</v>
      </c>
      <c r="C17935">
        <v>1</v>
      </c>
      <c r="D17935">
        <v>0</v>
      </c>
      <c r="E17935">
        <v>0</v>
      </c>
      <c r="F17935">
        <v>5309</v>
      </c>
    </row>
    <row r="17936" spans="1:6" x14ac:dyDescent="0.25">
      <c r="A17936">
        <v>17935</v>
      </c>
      <c r="B17936">
        <v>13</v>
      </c>
      <c r="C17936">
        <v>0</v>
      </c>
      <c r="D17936">
        <v>0</v>
      </c>
      <c r="E17936">
        <v>0</v>
      </c>
      <c r="F17936">
        <v>1617</v>
      </c>
    </row>
    <row r="17937" spans="1:6" x14ac:dyDescent="0.25">
      <c r="A17937">
        <v>17936</v>
      </c>
      <c r="B17937">
        <v>41</v>
      </c>
      <c r="C17937">
        <v>0</v>
      </c>
      <c r="D17937">
        <v>0</v>
      </c>
      <c r="E17937">
        <v>0</v>
      </c>
      <c r="F17937">
        <v>1</v>
      </c>
    </row>
    <row r="17938" spans="1:6" x14ac:dyDescent="0.25">
      <c r="A17938">
        <v>17937</v>
      </c>
      <c r="B17938">
        <v>42</v>
      </c>
      <c r="C17938">
        <v>0</v>
      </c>
      <c r="D17938">
        <v>0</v>
      </c>
      <c r="E17938">
        <v>0</v>
      </c>
      <c r="F17938">
        <v>0.2</v>
      </c>
    </row>
    <row r="17939" spans="1:6" x14ac:dyDescent="0.25">
      <c r="A17939">
        <v>17938</v>
      </c>
      <c r="B17939">
        <v>43</v>
      </c>
      <c r="C17939">
        <v>0</v>
      </c>
      <c r="D17939">
        <v>0</v>
      </c>
      <c r="E17939">
        <v>0</v>
      </c>
      <c r="F17939">
        <v>0</v>
      </c>
    </row>
    <row r="17940" spans="1:6" x14ac:dyDescent="0.25">
      <c r="A17940">
        <v>17939</v>
      </c>
      <c r="B17940">
        <v>44</v>
      </c>
      <c r="C17940">
        <v>0</v>
      </c>
      <c r="D17940">
        <v>0</v>
      </c>
      <c r="E17940">
        <v>0</v>
      </c>
      <c r="F17940">
        <v>52.171599999999998</v>
      </c>
    </row>
    <row r="17941" spans="1:6" x14ac:dyDescent="0.25">
      <c r="A17941">
        <v>17940</v>
      </c>
      <c r="B17941">
        <v>45</v>
      </c>
      <c r="C17941">
        <v>0</v>
      </c>
      <c r="D17941">
        <v>0</v>
      </c>
      <c r="E17941">
        <v>0</v>
      </c>
      <c r="F17941">
        <v>535.27499999999998</v>
      </c>
    </row>
    <row r="17942" spans="1:6" x14ac:dyDescent="0.25">
      <c r="A17942">
        <v>17941</v>
      </c>
      <c r="B17942">
        <v>46</v>
      </c>
      <c r="C17942">
        <v>0</v>
      </c>
      <c r="D17942">
        <v>0</v>
      </c>
      <c r="E17942">
        <v>0</v>
      </c>
      <c r="F17942">
        <v>0</v>
      </c>
    </row>
    <row r="17943" spans="1:6" x14ac:dyDescent="0.25">
      <c r="A17943">
        <v>17942</v>
      </c>
      <c r="B17943">
        <v>2</v>
      </c>
      <c r="C17943">
        <v>0</v>
      </c>
      <c r="D17943">
        <v>0</v>
      </c>
      <c r="E17943">
        <v>0</v>
      </c>
      <c r="F17943">
        <v>247.83099999999999</v>
      </c>
    </row>
    <row r="17944" spans="1:6" x14ac:dyDescent="0.25">
      <c r="A17944">
        <v>17943</v>
      </c>
      <c r="B17944">
        <v>10</v>
      </c>
      <c r="C17944">
        <v>1</v>
      </c>
      <c r="D17944">
        <v>0</v>
      </c>
      <c r="E17944">
        <v>0</v>
      </c>
      <c r="F17944">
        <v>5309</v>
      </c>
    </row>
    <row r="17945" spans="1:6" x14ac:dyDescent="0.25">
      <c r="A17945">
        <v>17944</v>
      </c>
      <c r="B17945">
        <v>13</v>
      </c>
      <c r="C17945">
        <v>0</v>
      </c>
      <c r="D17945">
        <v>0</v>
      </c>
      <c r="E17945">
        <v>0</v>
      </c>
      <c r="F17945">
        <v>1617</v>
      </c>
    </row>
    <row r="17946" spans="1:6" x14ac:dyDescent="0.25">
      <c r="A17946">
        <v>17945</v>
      </c>
      <c r="B17946">
        <v>41</v>
      </c>
      <c r="C17946">
        <v>0</v>
      </c>
      <c r="D17946">
        <v>0</v>
      </c>
      <c r="E17946">
        <v>0</v>
      </c>
      <c r="F17946">
        <v>1</v>
      </c>
    </row>
    <row r="17947" spans="1:6" x14ac:dyDescent="0.25">
      <c r="A17947">
        <v>17946</v>
      </c>
      <c r="B17947">
        <v>42</v>
      </c>
      <c r="C17947">
        <v>0</v>
      </c>
      <c r="D17947">
        <v>0</v>
      </c>
      <c r="E17947">
        <v>0</v>
      </c>
      <c r="F17947">
        <v>0.2</v>
      </c>
    </row>
    <row r="17948" spans="1:6" x14ac:dyDescent="0.25">
      <c r="A17948">
        <v>17947</v>
      </c>
      <c r="B17948">
        <v>43</v>
      </c>
      <c r="C17948">
        <v>0</v>
      </c>
      <c r="D17948">
        <v>0</v>
      </c>
      <c r="E17948">
        <v>0</v>
      </c>
      <c r="F17948">
        <v>0</v>
      </c>
    </row>
    <row r="17949" spans="1:6" x14ac:dyDescent="0.25">
      <c r="A17949">
        <v>17948</v>
      </c>
      <c r="B17949">
        <v>44</v>
      </c>
      <c r="C17949">
        <v>0</v>
      </c>
      <c r="D17949">
        <v>0</v>
      </c>
      <c r="E17949">
        <v>0</v>
      </c>
      <c r="F17949">
        <v>52.1616</v>
      </c>
    </row>
    <row r="17950" spans="1:6" x14ac:dyDescent="0.25">
      <c r="A17950">
        <v>17949</v>
      </c>
      <c r="B17950">
        <v>45</v>
      </c>
      <c r="C17950">
        <v>0</v>
      </c>
      <c r="D17950">
        <v>0</v>
      </c>
      <c r="E17950">
        <v>0</v>
      </c>
      <c r="F17950">
        <v>535.346</v>
      </c>
    </row>
    <row r="17951" spans="1:6" x14ac:dyDescent="0.25">
      <c r="A17951">
        <v>17950</v>
      </c>
      <c r="B17951">
        <v>46</v>
      </c>
      <c r="C17951">
        <v>0</v>
      </c>
      <c r="D17951">
        <v>0</v>
      </c>
      <c r="E17951">
        <v>0</v>
      </c>
      <c r="F17951">
        <v>0</v>
      </c>
    </row>
    <row r="17952" spans="1:6" x14ac:dyDescent="0.25">
      <c r="A17952">
        <v>17951</v>
      </c>
      <c r="B17952">
        <v>2</v>
      </c>
      <c r="C17952">
        <v>0</v>
      </c>
      <c r="D17952">
        <v>0</v>
      </c>
      <c r="E17952">
        <v>0</v>
      </c>
      <c r="F17952">
        <v>247.86099999999999</v>
      </c>
    </row>
    <row r="17953" spans="1:6" x14ac:dyDescent="0.25">
      <c r="A17953">
        <v>17952</v>
      </c>
      <c r="B17953">
        <v>10</v>
      </c>
      <c r="C17953">
        <v>1</v>
      </c>
      <c r="D17953">
        <v>0</v>
      </c>
      <c r="E17953">
        <v>0</v>
      </c>
      <c r="F17953">
        <v>5309</v>
      </c>
    </row>
    <row r="17954" spans="1:6" x14ac:dyDescent="0.25">
      <c r="A17954">
        <v>17953</v>
      </c>
      <c r="B17954">
        <v>13</v>
      </c>
      <c r="C17954">
        <v>0</v>
      </c>
      <c r="D17954">
        <v>0</v>
      </c>
      <c r="E17954">
        <v>0</v>
      </c>
      <c r="F17954">
        <v>1617</v>
      </c>
    </row>
    <row r="17955" spans="1:6" x14ac:dyDescent="0.25">
      <c r="A17955">
        <v>17954</v>
      </c>
      <c r="B17955">
        <v>41</v>
      </c>
      <c r="C17955">
        <v>0</v>
      </c>
      <c r="D17955">
        <v>0</v>
      </c>
      <c r="E17955">
        <v>0</v>
      </c>
      <c r="F17955">
        <v>1</v>
      </c>
    </row>
    <row r="17956" spans="1:6" x14ac:dyDescent="0.25">
      <c r="A17956">
        <v>17955</v>
      </c>
      <c r="B17956">
        <v>42</v>
      </c>
      <c r="C17956">
        <v>0</v>
      </c>
      <c r="D17956">
        <v>0</v>
      </c>
      <c r="E17956">
        <v>0</v>
      </c>
      <c r="F17956">
        <v>0.2</v>
      </c>
    </row>
    <row r="17957" spans="1:6" x14ac:dyDescent="0.25">
      <c r="A17957">
        <v>17956</v>
      </c>
      <c r="B17957">
        <v>43</v>
      </c>
      <c r="C17957">
        <v>0</v>
      </c>
      <c r="D17957">
        <v>0</v>
      </c>
      <c r="E17957">
        <v>0</v>
      </c>
      <c r="F17957">
        <v>0</v>
      </c>
    </row>
    <row r="17958" spans="1:6" x14ac:dyDescent="0.25">
      <c r="A17958">
        <v>17957</v>
      </c>
      <c r="B17958">
        <v>44</v>
      </c>
      <c r="C17958">
        <v>0</v>
      </c>
      <c r="D17958">
        <v>0</v>
      </c>
      <c r="E17958">
        <v>0</v>
      </c>
      <c r="F17958">
        <v>52.083799999999997</v>
      </c>
    </row>
    <row r="17959" spans="1:6" x14ac:dyDescent="0.25">
      <c r="A17959">
        <v>17958</v>
      </c>
      <c r="B17959">
        <v>45</v>
      </c>
      <c r="C17959">
        <v>0</v>
      </c>
      <c r="D17959">
        <v>0</v>
      </c>
      <c r="E17959">
        <v>0</v>
      </c>
      <c r="F17959">
        <v>535.40200000000004</v>
      </c>
    </row>
    <row r="17960" spans="1:6" x14ac:dyDescent="0.25">
      <c r="A17960">
        <v>17959</v>
      </c>
      <c r="B17960">
        <v>46</v>
      </c>
      <c r="C17960">
        <v>0</v>
      </c>
      <c r="D17960">
        <v>0</v>
      </c>
      <c r="E17960">
        <v>0</v>
      </c>
      <c r="F17960">
        <v>0</v>
      </c>
    </row>
    <row r="17961" spans="1:6" x14ac:dyDescent="0.25">
      <c r="A17961">
        <v>17960</v>
      </c>
      <c r="B17961">
        <v>2</v>
      </c>
      <c r="C17961">
        <v>0</v>
      </c>
      <c r="D17961">
        <v>0</v>
      </c>
      <c r="E17961">
        <v>0</v>
      </c>
      <c r="F17961">
        <v>247.93299999999999</v>
      </c>
    </row>
    <row r="17962" spans="1:6" x14ac:dyDescent="0.25">
      <c r="A17962">
        <v>17961</v>
      </c>
      <c r="B17962">
        <v>10</v>
      </c>
      <c r="C17962">
        <v>1</v>
      </c>
      <c r="D17962">
        <v>0</v>
      </c>
      <c r="E17962">
        <v>0</v>
      </c>
      <c r="F17962">
        <v>5307</v>
      </c>
    </row>
    <row r="17963" spans="1:6" x14ac:dyDescent="0.25">
      <c r="A17963">
        <v>17962</v>
      </c>
      <c r="B17963">
        <v>13</v>
      </c>
      <c r="C17963">
        <v>0</v>
      </c>
      <c r="D17963">
        <v>0</v>
      </c>
      <c r="E17963">
        <v>0</v>
      </c>
      <c r="F17963">
        <v>1617</v>
      </c>
    </row>
    <row r="17964" spans="1:6" x14ac:dyDescent="0.25">
      <c r="A17964">
        <v>17963</v>
      </c>
      <c r="B17964">
        <v>41</v>
      </c>
      <c r="C17964">
        <v>0</v>
      </c>
      <c r="D17964">
        <v>0</v>
      </c>
      <c r="E17964">
        <v>0</v>
      </c>
      <c r="F17964">
        <v>1</v>
      </c>
    </row>
    <row r="17965" spans="1:6" x14ac:dyDescent="0.25">
      <c r="A17965">
        <v>17964</v>
      </c>
      <c r="B17965">
        <v>42</v>
      </c>
      <c r="C17965">
        <v>0</v>
      </c>
      <c r="D17965">
        <v>0</v>
      </c>
      <c r="E17965">
        <v>0</v>
      </c>
      <c r="F17965">
        <v>0.2</v>
      </c>
    </row>
    <row r="17966" spans="1:6" x14ac:dyDescent="0.25">
      <c r="A17966">
        <v>17965</v>
      </c>
      <c r="B17966">
        <v>43</v>
      </c>
      <c r="C17966">
        <v>0</v>
      </c>
      <c r="D17966">
        <v>0</v>
      </c>
      <c r="E17966">
        <v>0</v>
      </c>
      <c r="F17966">
        <v>0</v>
      </c>
    </row>
    <row r="17967" spans="1:6" x14ac:dyDescent="0.25">
      <c r="A17967">
        <v>17966</v>
      </c>
      <c r="B17967">
        <v>44</v>
      </c>
      <c r="C17967">
        <v>0</v>
      </c>
      <c r="D17967">
        <v>0</v>
      </c>
      <c r="E17967">
        <v>0</v>
      </c>
      <c r="F17967">
        <v>52.022199999999998</v>
      </c>
    </row>
    <row r="17968" spans="1:6" x14ac:dyDescent="0.25">
      <c r="A17968">
        <v>17967</v>
      </c>
      <c r="B17968">
        <v>45</v>
      </c>
      <c r="C17968">
        <v>0</v>
      </c>
      <c r="D17968">
        <v>0</v>
      </c>
      <c r="E17968">
        <v>0</v>
      </c>
      <c r="F17968">
        <v>535.471</v>
      </c>
    </row>
    <row r="17969" spans="1:6" x14ac:dyDescent="0.25">
      <c r="A17969">
        <v>17968</v>
      </c>
      <c r="B17969">
        <v>46</v>
      </c>
      <c r="C17969">
        <v>0</v>
      </c>
      <c r="D17969">
        <v>0</v>
      </c>
      <c r="E17969">
        <v>0</v>
      </c>
      <c r="F17969">
        <v>0</v>
      </c>
    </row>
    <row r="17970" spans="1:6" x14ac:dyDescent="0.25">
      <c r="A17970">
        <v>17969</v>
      </c>
      <c r="B17970">
        <v>2</v>
      </c>
      <c r="C17970">
        <v>0</v>
      </c>
      <c r="D17970">
        <v>0</v>
      </c>
      <c r="E17970">
        <v>0</v>
      </c>
      <c r="F17970">
        <v>248.00399999999999</v>
      </c>
    </row>
    <row r="17971" spans="1:6" x14ac:dyDescent="0.25">
      <c r="A17971">
        <v>17970</v>
      </c>
      <c r="B17971">
        <v>10</v>
      </c>
      <c r="C17971">
        <v>1</v>
      </c>
      <c r="D17971">
        <v>0</v>
      </c>
      <c r="E17971">
        <v>0</v>
      </c>
      <c r="F17971">
        <v>5306</v>
      </c>
    </row>
    <row r="17972" spans="1:6" x14ac:dyDescent="0.25">
      <c r="A17972">
        <v>17971</v>
      </c>
      <c r="B17972">
        <v>13</v>
      </c>
      <c r="C17972">
        <v>0</v>
      </c>
      <c r="D17972">
        <v>0</v>
      </c>
      <c r="E17972">
        <v>0</v>
      </c>
      <c r="F17972">
        <v>1617</v>
      </c>
    </row>
    <row r="17973" spans="1:6" x14ac:dyDescent="0.25">
      <c r="A17973">
        <v>17972</v>
      </c>
      <c r="B17973">
        <v>41</v>
      </c>
      <c r="C17973">
        <v>0</v>
      </c>
      <c r="D17973">
        <v>0</v>
      </c>
      <c r="E17973">
        <v>0</v>
      </c>
      <c r="F17973">
        <v>1</v>
      </c>
    </row>
    <row r="17974" spans="1:6" x14ac:dyDescent="0.25">
      <c r="A17974">
        <v>17973</v>
      </c>
      <c r="B17974" t="s">
        <v>0</v>
      </c>
      <c r="C17974">
        <v>0</v>
      </c>
      <c r="D17974">
        <v>3513</v>
      </c>
      <c r="E17974">
        <v>80802671</v>
      </c>
    </row>
    <row r="17975" spans="1:6" x14ac:dyDescent="0.25">
      <c r="A17975">
        <v>17974</v>
      </c>
      <c r="B17975">
        <v>42</v>
      </c>
      <c r="C17975">
        <v>0</v>
      </c>
      <c r="D17975">
        <v>0</v>
      </c>
      <c r="E17975">
        <v>0</v>
      </c>
      <c r="F17975">
        <v>0.2</v>
      </c>
    </row>
    <row r="17976" spans="1:6" x14ac:dyDescent="0.25">
      <c r="A17976">
        <v>17975</v>
      </c>
      <c r="B17976">
        <v>43</v>
      </c>
      <c r="C17976">
        <v>0</v>
      </c>
      <c r="D17976">
        <v>0</v>
      </c>
      <c r="E17976">
        <v>0</v>
      </c>
      <c r="F17976">
        <v>0</v>
      </c>
    </row>
    <row r="17977" spans="1:6" x14ac:dyDescent="0.25">
      <c r="A17977">
        <v>17976</v>
      </c>
      <c r="B17977" t="s">
        <v>0</v>
      </c>
      <c r="C17977">
        <v>1</v>
      </c>
      <c r="D17977">
        <v>3513</v>
      </c>
      <c r="E17977">
        <v>80802806</v>
      </c>
    </row>
    <row r="17978" spans="1:6" x14ac:dyDescent="0.25">
      <c r="A17978">
        <v>17977</v>
      </c>
      <c r="B17978">
        <v>44</v>
      </c>
      <c r="C17978">
        <v>0</v>
      </c>
      <c r="D17978">
        <v>0</v>
      </c>
      <c r="E17978">
        <v>0</v>
      </c>
      <c r="F17978">
        <v>51.983699999999999</v>
      </c>
    </row>
    <row r="17979" spans="1:6" x14ac:dyDescent="0.25">
      <c r="A17979">
        <v>17978</v>
      </c>
      <c r="B17979">
        <v>45</v>
      </c>
      <c r="C17979">
        <v>0</v>
      </c>
      <c r="D17979">
        <v>0</v>
      </c>
      <c r="E17979">
        <v>0</v>
      </c>
      <c r="F17979">
        <v>535.49900000000002</v>
      </c>
    </row>
    <row r="17980" spans="1:6" x14ac:dyDescent="0.25">
      <c r="A17980">
        <v>17979</v>
      </c>
      <c r="B17980" t="s">
        <v>0</v>
      </c>
      <c r="C17980">
        <v>2</v>
      </c>
      <c r="D17980">
        <v>3513</v>
      </c>
      <c r="E17980">
        <v>80802940</v>
      </c>
    </row>
    <row r="17981" spans="1:6" x14ac:dyDescent="0.25">
      <c r="A17981">
        <v>17980</v>
      </c>
      <c r="B17981">
        <v>46</v>
      </c>
      <c r="C17981">
        <v>0</v>
      </c>
      <c r="D17981">
        <v>0</v>
      </c>
      <c r="E17981">
        <v>0</v>
      </c>
      <c r="F17981">
        <v>0</v>
      </c>
    </row>
    <row r="17982" spans="1:6" x14ac:dyDescent="0.25">
      <c r="A17982">
        <v>17981</v>
      </c>
      <c r="B17982">
        <v>2</v>
      </c>
      <c r="C17982">
        <v>0</v>
      </c>
      <c r="D17982">
        <v>0</v>
      </c>
      <c r="E17982">
        <v>0</v>
      </c>
      <c r="F17982">
        <v>248.02799999999999</v>
      </c>
    </row>
    <row r="17983" spans="1:6" x14ac:dyDescent="0.25">
      <c r="A17983">
        <v>17982</v>
      </c>
      <c r="B17983" t="s">
        <v>0</v>
      </c>
      <c r="C17983">
        <v>3</v>
      </c>
      <c r="D17983">
        <v>3513</v>
      </c>
      <c r="E17983">
        <v>80803073</v>
      </c>
    </row>
    <row r="17984" spans="1:6" x14ac:dyDescent="0.25">
      <c r="A17984">
        <v>17983</v>
      </c>
      <c r="B17984">
        <v>10</v>
      </c>
      <c r="C17984">
        <v>1</v>
      </c>
      <c r="D17984">
        <v>0</v>
      </c>
      <c r="E17984">
        <v>0</v>
      </c>
      <c r="F17984">
        <v>5305</v>
      </c>
    </row>
    <row r="17985" spans="1:6" x14ac:dyDescent="0.25">
      <c r="A17985">
        <v>17984</v>
      </c>
      <c r="B17985">
        <v>13</v>
      </c>
      <c r="C17985">
        <v>0</v>
      </c>
      <c r="D17985">
        <v>0</v>
      </c>
      <c r="E17985">
        <v>0</v>
      </c>
      <c r="F17985">
        <v>1617</v>
      </c>
    </row>
    <row r="17986" spans="1:6" x14ac:dyDescent="0.25">
      <c r="A17986">
        <v>17985</v>
      </c>
      <c r="B17986" t="s">
        <v>0</v>
      </c>
      <c r="C17986">
        <v>4</v>
      </c>
      <c r="D17986">
        <v>3513</v>
      </c>
      <c r="E17986">
        <v>80803207</v>
      </c>
    </row>
    <row r="17987" spans="1:6" x14ac:dyDescent="0.25">
      <c r="A17987">
        <v>17986</v>
      </c>
      <c r="B17987">
        <v>41</v>
      </c>
      <c r="C17987">
        <v>0</v>
      </c>
      <c r="D17987">
        <v>0</v>
      </c>
      <c r="E17987">
        <v>0</v>
      </c>
      <c r="F17987">
        <v>1</v>
      </c>
    </row>
    <row r="17988" spans="1:6" x14ac:dyDescent="0.25">
      <c r="A17988">
        <v>17987</v>
      </c>
      <c r="B17988">
        <v>42</v>
      </c>
      <c r="C17988">
        <v>0</v>
      </c>
      <c r="D17988">
        <v>0</v>
      </c>
      <c r="E17988">
        <v>0</v>
      </c>
      <c r="F17988">
        <v>0.2</v>
      </c>
    </row>
    <row r="17989" spans="1:6" x14ac:dyDescent="0.25">
      <c r="A17989">
        <v>17988</v>
      </c>
      <c r="B17989" t="s">
        <v>0</v>
      </c>
      <c r="C17989">
        <v>5</v>
      </c>
      <c r="D17989">
        <v>3513</v>
      </c>
      <c r="E17989">
        <v>80803341</v>
      </c>
    </row>
    <row r="17990" spans="1:6" x14ac:dyDescent="0.25">
      <c r="A17990">
        <v>17989</v>
      </c>
      <c r="B17990">
        <v>43</v>
      </c>
      <c r="C17990">
        <v>0</v>
      </c>
      <c r="D17990">
        <v>0</v>
      </c>
      <c r="E17990">
        <v>0</v>
      </c>
      <c r="F17990">
        <v>0</v>
      </c>
    </row>
    <row r="17991" spans="1:6" x14ac:dyDescent="0.25">
      <c r="A17991">
        <v>17990</v>
      </c>
      <c r="B17991">
        <v>44</v>
      </c>
      <c r="C17991">
        <v>0</v>
      </c>
      <c r="D17991">
        <v>0</v>
      </c>
      <c r="E17991">
        <v>0</v>
      </c>
      <c r="F17991">
        <v>51.9407</v>
      </c>
    </row>
    <row r="17992" spans="1:6" x14ac:dyDescent="0.25">
      <c r="A17992">
        <v>17991</v>
      </c>
      <c r="B17992" t="s">
        <v>0</v>
      </c>
      <c r="C17992">
        <v>6</v>
      </c>
      <c r="D17992">
        <v>3513</v>
      </c>
      <c r="E17992">
        <v>80803474</v>
      </c>
    </row>
    <row r="17993" spans="1:6" x14ac:dyDescent="0.25">
      <c r="A17993">
        <v>17992</v>
      </c>
      <c r="B17993">
        <v>45</v>
      </c>
      <c r="C17993">
        <v>0</v>
      </c>
      <c r="D17993">
        <v>0</v>
      </c>
      <c r="E17993">
        <v>0</v>
      </c>
      <c r="F17993">
        <v>535.56899999999996</v>
      </c>
    </row>
    <row r="17994" spans="1:6" x14ac:dyDescent="0.25">
      <c r="A17994">
        <v>17993</v>
      </c>
      <c r="B17994">
        <v>46</v>
      </c>
      <c r="C17994">
        <v>0</v>
      </c>
      <c r="D17994">
        <v>0</v>
      </c>
      <c r="E17994">
        <v>0</v>
      </c>
      <c r="F17994">
        <v>0</v>
      </c>
    </row>
    <row r="17995" spans="1:6" x14ac:dyDescent="0.25">
      <c r="A17995">
        <v>17994</v>
      </c>
      <c r="B17995" t="s">
        <v>0</v>
      </c>
      <c r="C17995">
        <v>7</v>
      </c>
      <c r="D17995">
        <v>3513</v>
      </c>
      <c r="E17995">
        <v>80803608</v>
      </c>
    </row>
    <row r="17996" spans="1:6" x14ac:dyDescent="0.25">
      <c r="A17996">
        <v>17995</v>
      </c>
      <c r="B17996">
        <v>2</v>
      </c>
      <c r="C17996">
        <v>0</v>
      </c>
      <c r="D17996">
        <v>0</v>
      </c>
      <c r="E17996">
        <v>0</v>
      </c>
      <c r="F17996">
        <v>248.078</v>
      </c>
    </row>
    <row r="17997" spans="1:6" x14ac:dyDescent="0.25">
      <c r="A17997">
        <v>17996</v>
      </c>
      <c r="B17997">
        <v>10</v>
      </c>
      <c r="C17997">
        <v>1</v>
      </c>
      <c r="D17997">
        <v>0</v>
      </c>
      <c r="E17997">
        <v>0</v>
      </c>
      <c r="F17997">
        <v>5304</v>
      </c>
    </row>
    <row r="17998" spans="1:6" x14ac:dyDescent="0.25">
      <c r="A17998">
        <v>17997</v>
      </c>
      <c r="B17998" t="s">
        <v>0</v>
      </c>
      <c r="C17998">
        <v>8</v>
      </c>
      <c r="D17998">
        <v>3513</v>
      </c>
      <c r="E17998">
        <v>80803742</v>
      </c>
    </row>
    <row r="17999" spans="1:6" x14ac:dyDescent="0.25">
      <c r="A17999">
        <v>17998</v>
      </c>
      <c r="B17999">
        <v>13</v>
      </c>
      <c r="C17999">
        <v>0</v>
      </c>
      <c r="D17999">
        <v>0</v>
      </c>
      <c r="E17999">
        <v>0</v>
      </c>
      <c r="F17999">
        <v>1617</v>
      </c>
    </row>
    <row r="18000" spans="1:6" x14ac:dyDescent="0.25">
      <c r="A18000">
        <v>17999</v>
      </c>
      <c r="B18000">
        <v>41</v>
      </c>
      <c r="C18000">
        <v>0</v>
      </c>
      <c r="D18000">
        <v>0</v>
      </c>
      <c r="E18000">
        <v>0</v>
      </c>
      <c r="F18000">
        <v>1</v>
      </c>
    </row>
    <row r="18001" spans="1:6" x14ac:dyDescent="0.25">
      <c r="A18001">
        <v>18000</v>
      </c>
      <c r="B18001" t="s">
        <v>0</v>
      </c>
      <c r="C18001">
        <v>9</v>
      </c>
      <c r="D18001">
        <v>3513</v>
      </c>
      <c r="E18001">
        <v>80803875</v>
      </c>
    </row>
    <row r="18002" spans="1:6" x14ac:dyDescent="0.25">
      <c r="A18002">
        <v>18001</v>
      </c>
      <c r="B18002">
        <v>42</v>
      </c>
      <c r="C18002">
        <v>0</v>
      </c>
      <c r="D18002">
        <v>0</v>
      </c>
      <c r="E18002">
        <v>0</v>
      </c>
      <c r="F18002">
        <v>0.2</v>
      </c>
    </row>
    <row r="18003" spans="1:6" x14ac:dyDescent="0.25">
      <c r="A18003">
        <v>18002</v>
      </c>
      <c r="B18003">
        <v>43</v>
      </c>
      <c r="C18003">
        <v>0</v>
      </c>
      <c r="D18003">
        <v>0</v>
      </c>
      <c r="E18003">
        <v>0</v>
      </c>
      <c r="F18003">
        <v>0</v>
      </c>
    </row>
    <row r="18004" spans="1:6" x14ac:dyDescent="0.25">
      <c r="A18004">
        <v>18003</v>
      </c>
      <c r="B18004" t="s">
        <v>0</v>
      </c>
      <c r="C18004">
        <v>10</v>
      </c>
      <c r="D18004">
        <v>3513</v>
      </c>
      <c r="E18004">
        <v>80804009</v>
      </c>
    </row>
    <row r="18005" spans="1:6" x14ac:dyDescent="0.25">
      <c r="A18005">
        <v>18004</v>
      </c>
      <c r="B18005">
        <v>44</v>
      </c>
      <c r="C18005">
        <v>0</v>
      </c>
      <c r="D18005">
        <v>0</v>
      </c>
      <c r="E18005">
        <v>0</v>
      </c>
      <c r="F18005">
        <v>51.897799999999997</v>
      </c>
    </row>
    <row r="18006" spans="1:6" x14ac:dyDescent="0.25">
      <c r="A18006">
        <v>18005</v>
      </c>
      <c r="B18006">
        <v>45</v>
      </c>
      <c r="C18006">
        <v>0</v>
      </c>
      <c r="D18006">
        <v>0</v>
      </c>
      <c r="E18006">
        <v>0</v>
      </c>
      <c r="F18006">
        <v>535.625</v>
      </c>
    </row>
    <row r="18007" spans="1:6" x14ac:dyDescent="0.25">
      <c r="A18007">
        <v>18006</v>
      </c>
      <c r="B18007" t="s">
        <v>0</v>
      </c>
      <c r="C18007">
        <v>11</v>
      </c>
      <c r="D18007">
        <v>3513</v>
      </c>
      <c r="E18007">
        <v>80804143</v>
      </c>
    </row>
    <row r="18008" spans="1:6" x14ac:dyDescent="0.25">
      <c r="A18008">
        <v>18007</v>
      </c>
      <c r="B18008">
        <v>46</v>
      </c>
      <c r="C18008">
        <v>0</v>
      </c>
      <c r="D18008">
        <v>0</v>
      </c>
      <c r="E18008">
        <v>0</v>
      </c>
      <c r="F18008">
        <v>0</v>
      </c>
    </row>
    <row r="18009" spans="1:6" x14ac:dyDescent="0.25">
      <c r="A18009">
        <v>18008</v>
      </c>
      <c r="B18009">
        <v>2</v>
      </c>
      <c r="C18009">
        <v>0</v>
      </c>
      <c r="D18009">
        <v>0</v>
      </c>
      <c r="E18009">
        <v>0</v>
      </c>
      <c r="F18009">
        <v>248.11</v>
      </c>
    </row>
    <row r="18010" spans="1:6" x14ac:dyDescent="0.25">
      <c r="A18010">
        <v>18009</v>
      </c>
      <c r="B18010" t="s">
        <v>0</v>
      </c>
      <c r="C18010">
        <v>12</v>
      </c>
      <c r="D18010">
        <v>3513</v>
      </c>
      <c r="E18010">
        <v>80804276</v>
      </c>
    </row>
    <row r="18011" spans="1:6" x14ac:dyDescent="0.25">
      <c r="A18011">
        <v>18010</v>
      </c>
      <c r="B18011">
        <v>10</v>
      </c>
      <c r="C18011">
        <v>1</v>
      </c>
      <c r="D18011">
        <v>0</v>
      </c>
      <c r="E18011">
        <v>0</v>
      </c>
      <c r="F18011">
        <v>5304</v>
      </c>
    </row>
    <row r="18012" spans="1:6" x14ac:dyDescent="0.25">
      <c r="A18012">
        <v>18011</v>
      </c>
      <c r="B18012">
        <v>13</v>
      </c>
      <c r="C18012">
        <v>0</v>
      </c>
      <c r="D18012">
        <v>0</v>
      </c>
      <c r="E18012">
        <v>0</v>
      </c>
      <c r="F18012">
        <v>1617</v>
      </c>
    </row>
    <row r="18013" spans="1:6" x14ac:dyDescent="0.25">
      <c r="A18013">
        <v>18012</v>
      </c>
      <c r="B18013" t="s">
        <v>0</v>
      </c>
      <c r="C18013">
        <v>13</v>
      </c>
      <c r="D18013">
        <v>3513</v>
      </c>
      <c r="E18013">
        <v>80804410</v>
      </c>
    </row>
    <row r="18014" spans="1:6" x14ac:dyDescent="0.25">
      <c r="A18014">
        <v>18013</v>
      </c>
      <c r="B18014">
        <v>41</v>
      </c>
      <c r="C18014">
        <v>0</v>
      </c>
      <c r="D18014">
        <v>0</v>
      </c>
      <c r="E18014">
        <v>0</v>
      </c>
      <c r="F18014">
        <v>1</v>
      </c>
    </row>
    <row r="18015" spans="1:6" x14ac:dyDescent="0.25">
      <c r="A18015">
        <v>18014</v>
      </c>
      <c r="B18015">
        <v>42</v>
      </c>
      <c r="C18015">
        <v>0</v>
      </c>
      <c r="D18015">
        <v>0</v>
      </c>
      <c r="E18015">
        <v>0</v>
      </c>
      <c r="F18015">
        <v>0.2</v>
      </c>
    </row>
    <row r="18016" spans="1:6" x14ac:dyDescent="0.25">
      <c r="A18016">
        <v>18015</v>
      </c>
      <c r="B18016" t="s">
        <v>0</v>
      </c>
      <c r="C18016">
        <v>14</v>
      </c>
      <c r="D18016">
        <v>3513</v>
      </c>
      <c r="E18016">
        <v>80804544</v>
      </c>
    </row>
    <row r="18017" spans="1:6" x14ac:dyDescent="0.25">
      <c r="A18017">
        <v>18016</v>
      </c>
      <c r="B18017">
        <v>43</v>
      </c>
      <c r="C18017">
        <v>0</v>
      </c>
      <c r="D18017">
        <v>0</v>
      </c>
      <c r="E18017">
        <v>0</v>
      </c>
      <c r="F18017">
        <v>0</v>
      </c>
    </row>
    <row r="18018" spans="1:6" x14ac:dyDescent="0.25">
      <c r="A18018">
        <v>18017</v>
      </c>
      <c r="B18018">
        <v>44</v>
      </c>
      <c r="C18018">
        <v>0</v>
      </c>
      <c r="D18018">
        <v>0</v>
      </c>
      <c r="E18018">
        <v>0</v>
      </c>
      <c r="F18018">
        <v>51.870699999999999</v>
      </c>
    </row>
    <row r="18019" spans="1:6" x14ac:dyDescent="0.25">
      <c r="A18019">
        <v>18018</v>
      </c>
      <c r="B18019" t="s">
        <v>0</v>
      </c>
      <c r="C18019">
        <v>15</v>
      </c>
      <c r="D18019">
        <v>3513</v>
      </c>
      <c r="E18019">
        <v>80804677</v>
      </c>
    </row>
    <row r="18020" spans="1:6" x14ac:dyDescent="0.25">
      <c r="A18020">
        <v>18019</v>
      </c>
      <c r="B18020">
        <v>45</v>
      </c>
      <c r="C18020">
        <v>0</v>
      </c>
      <c r="D18020">
        <v>0</v>
      </c>
      <c r="E18020">
        <v>0</v>
      </c>
      <c r="F18020">
        <v>535.69500000000005</v>
      </c>
    </row>
    <row r="18021" spans="1:6" x14ac:dyDescent="0.25">
      <c r="A18021">
        <v>18020</v>
      </c>
      <c r="B18021">
        <v>46</v>
      </c>
      <c r="C18021">
        <v>0</v>
      </c>
      <c r="D18021">
        <v>0</v>
      </c>
      <c r="E18021">
        <v>0</v>
      </c>
      <c r="F18021">
        <v>0</v>
      </c>
    </row>
    <row r="18022" spans="1:6" x14ac:dyDescent="0.25">
      <c r="A18022">
        <v>18021</v>
      </c>
      <c r="B18022" t="s">
        <v>0</v>
      </c>
      <c r="C18022">
        <v>16</v>
      </c>
      <c r="D18022">
        <v>3513</v>
      </c>
      <c r="E18022">
        <v>80804811</v>
      </c>
    </row>
    <row r="18023" spans="1:6" x14ac:dyDescent="0.25">
      <c r="A18023">
        <v>18022</v>
      </c>
      <c r="B18023">
        <v>2</v>
      </c>
      <c r="C18023">
        <v>0</v>
      </c>
      <c r="D18023">
        <v>0</v>
      </c>
      <c r="E18023">
        <v>0</v>
      </c>
      <c r="F18023">
        <v>248.14099999999999</v>
      </c>
    </row>
    <row r="18024" spans="1:6" x14ac:dyDescent="0.25">
      <c r="A18024">
        <v>18023</v>
      </c>
      <c r="B18024">
        <v>10</v>
      </c>
      <c r="C18024">
        <v>1</v>
      </c>
      <c r="D18024">
        <v>0</v>
      </c>
      <c r="E18024">
        <v>0</v>
      </c>
      <c r="F18024">
        <v>5303</v>
      </c>
    </row>
    <row r="18025" spans="1:6" x14ac:dyDescent="0.25">
      <c r="A18025">
        <v>18024</v>
      </c>
      <c r="B18025" t="s">
        <v>0</v>
      </c>
      <c r="C18025">
        <v>17</v>
      </c>
      <c r="D18025">
        <v>3513</v>
      </c>
      <c r="E18025">
        <v>80804945</v>
      </c>
    </row>
    <row r="18026" spans="1:6" x14ac:dyDescent="0.25">
      <c r="A18026">
        <v>18025</v>
      </c>
      <c r="B18026">
        <v>13</v>
      </c>
      <c r="C18026">
        <v>0</v>
      </c>
      <c r="D18026">
        <v>0</v>
      </c>
      <c r="E18026">
        <v>0</v>
      </c>
      <c r="F18026">
        <v>1617</v>
      </c>
    </row>
    <row r="18027" spans="1:6" x14ac:dyDescent="0.25">
      <c r="A18027">
        <v>18026</v>
      </c>
      <c r="B18027">
        <v>41</v>
      </c>
      <c r="C18027">
        <v>0</v>
      </c>
      <c r="D18027">
        <v>0</v>
      </c>
      <c r="E18027">
        <v>0</v>
      </c>
      <c r="F18027">
        <v>1</v>
      </c>
    </row>
    <row r="18028" spans="1:6" x14ac:dyDescent="0.25">
      <c r="A18028">
        <v>18027</v>
      </c>
      <c r="B18028" t="s">
        <v>0</v>
      </c>
      <c r="C18028">
        <v>18</v>
      </c>
      <c r="D18028">
        <v>3513</v>
      </c>
      <c r="E18028">
        <v>80805078</v>
      </c>
    </row>
    <row r="18029" spans="1:6" x14ac:dyDescent="0.25">
      <c r="A18029">
        <v>18028</v>
      </c>
      <c r="B18029">
        <v>42</v>
      </c>
      <c r="C18029">
        <v>0</v>
      </c>
      <c r="D18029">
        <v>0</v>
      </c>
      <c r="E18029">
        <v>0</v>
      </c>
      <c r="F18029">
        <v>0.2</v>
      </c>
    </row>
    <row r="18030" spans="1:6" x14ac:dyDescent="0.25">
      <c r="A18030">
        <v>18029</v>
      </c>
      <c r="B18030">
        <v>43</v>
      </c>
      <c r="C18030">
        <v>0</v>
      </c>
      <c r="D18030">
        <v>0</v>
      </c>
      <c r="E18030">
        <v>0</v>
      </c>
      <c r="F18030">
        <v>0</v>
      </c>
    </row>
    <row r="18031" spans="1:6" x14ac:dyDescent="0.25">
      <c r="A18031">
        <v>18030</v>
      </c>
      <c r="B18031" t="s">
        <v>0</v>
      </c>
      <c r="C18031">
        <v>19</v>
      </c>
      <c r="D18031">
        <v>3513</v>
      </c>
      <c r="E18031">
        <v>80805212</v>
      </c>
    </row>
    <row r="18032" spans="1:6" x14ac:dyDescent="0.25">
      <c r="A18032">
        <v>18031</v>
      </c>
      <c r="B18032">
        <v>44</v>
      </c>
      <c r="C18032">
        <v>0</v>
      </c>
      <c r="D18032">
        <v>0</v>
      </c>
      <c r="E18032">
        <v>0</v>
      </c>
      <c r="F18032">
        <v>51.843800000000002</v>
      </c>
    </row>
    <row r="18033" spans="1:6" x14ac:dyDescent="0.25">
      <c r="A18033">
        <v>18032</v>
      </c>
      <c r="B18033">
        <v>45</v>
      </c>
      <c r="C18033">
        <v>0</v>
      </c>
      <c r="D18033">
        <v>0</v>
      </c>
      <c r="E18033">
        <v>0</v>
      </c>
      <c r="F18033">
        <v>535.75</v>
      </c>
    </row>
    <row r="18034" spans="1:6" x14ac:dyDescent="0.25">
      <c r="A18034">
        <v>18033</v>
      </c>
      <c r="B18034" t="s">
        <v>0</v>
      </c>
      <c r="C18034">
        <v>20</v>
      </c>
      <c r="D18034">
        <v>3513</v>
      </c>
      <c r="E18034">
        <v>80805346</v>
      </c>
    </row>
    <row r="18035" spans="1:6" x14ac:dyDescent="0.25">
      <c r="A18035">
        <v>18034</v>
      </c>
      <c r="B18035">
        <v>46</v>
      </c>
      <c r="C18035">
        <v>0</v>
      </c>
      <c r="D18035">
        <v>0</v>
      </c>
      <c r="E18035">
        <v>0</v>
      </c>
      <c r="F18035">
        <v>0</v>
      </c>
    </row>
    <row r="18036" spans="1:6" x14ac:dyDescent="0.25">
      <c r="A18036">
        <v>18035</v>
      </c>
      <c r="B18036">
        <v>2</v>
      </c>
      <c r="C18036">
        <v>0</v>
      </c>
      <c r="D18036">
        <v>0</v>
      </c>
      <c r="E18036">
        <v>0</v>
      </c>
      <c r="F18036">
        <v>248.16</v>
      </c>
    </row>
    <row r="18037" spans="1:6" x14ac:dyDescent="0.25">
      <c r="A18037">
        <v>18036</v>
      </c>
      <c r="B18037" t="s">
        <v>0</v>
      </c>
      <c r="C18037">
        <v>21</v>
      </c>
      <c r="D18037">
        <v>3513</v>
      </c>
      <c r="E18037">
        <v>80805479</v>
      </c>
    </row>
    <row r="18038" spans="1:6" x14ac:dyDescent="0.25">
      <c r="A18038">
        <v>18037</v>
      </c>
      <c r="B18038">
        <v>10</v>
      </c>
      <c r="C18038">
        <v>1</v>
      </c>
      <c r="D18038">
        <v>0</v>
      </c>
      <c r="E18038">
        <v>0</v>
      </c>
      <c r="F18038">
        <v>5303</v>
      </c>
    </row>
    <row r="18039" spans="1:6" x14ac:dyDescent="0.25">
      <c r="A18039">
        <v>18038</v>
      </c>
      <c r="B18039">
        <v>13</v>
      </c>
      <c r="C18039">
        <v>0</v>
      </c>
      <c r="D18039">
        <v>0</v>
      </c>
      <c r="E18039">
        <v>0</v>
      </c>
      <c r="F18039">
        <v>1617</v>
      </c>
    </row>
    <row r="18040" spans="1:6" x14ac:dyDescent="0.25">
      <c r="A18040">
        <v>18039</v>
      </c>
      <c r="B18040" t="s">
        <v>0</v>
      </c>
      <c r="C18040">
        <v>22</v>
      </c>
      <c r="D18040">
        <v>3513</v>
      </c>
      <c r="E18040">
        <v>80805613</v>
      </c>
    </row>
    <row r="18041" spans="1:6" x14ac:dyDescent="0.25">
      <c r="A18041">
        <v>18040</v>
      </c>
      <c r="B18041">
        <v>41</v>
      </c>
      <c r="C18041">
        <v>0</v>
      </c>
      <c r="D18041">
        <v>0</v>
      </c>
      <c r="E18041">
        <v>0</v>
      </c>
      <c r="F18041">
        <v>1</v>
      </c>
    </row>
    <row r="18042" spans="1:6" x14ac:dyDescent="0.25">
      <c r="A18042">
        <v>18041</v>
      </c>
      <c r="B18042">
        <v>42</v>
      </c>
      <c r="C18042">
        <v>0</v>
      </c>
      <c r="D18042">
        <v>0</v>
      </c>
      <c r="E18042">
        <v>0</v>
      </c>
      <c r="F18042">
        <v>0.2</v>
      </c>
    </row>
    <row r="18043" spans="1:6" x14ac:dyDescent="0.25">
      <c r="A18043">
        <v>18042</v>
      </c>
      <c r="B18043" t="s">
        <v>0</v>
      </c>
      <c r="C18043">
        <v>23</v>
      </c>
      <c r="D18043">
        <v>3513</v>
      </c>
      <c r="E18043">
        <v>80805747</v>
      </c>
    </row>
    <row r="18044" spans="1:6" x14ac:dyDescent="0.25">
      <c r="A18044">
        <v>18043</v>
      </c>
      <c r="B18044">
        <v>43</v>
      </c>
      <c r="C18044">
        <v>0</v>
      </c>
      <c r="D18044">
        <v>0</v>
      </c>
      <c r="E18044">
        <v>0</v>
      </c>
      <c r="F18044">
        <v>0</v>
      </c>
    </row>
    <row r="18045" spans="1:6" x14ac:dyDescent="0.25">
      <c r="A18045">
        <v>18044</v>
      </c>
      <c r="B18045">
        <v>44</v>
      </c>
      <c r="C18045">
        <v>0</v>
      </c>
      <c r="D18045">
        <v>0</v>
      </c>
      <c r="E18045">
        <v>0</v>
      </c>
      <c r="F18045">
        <v>51.826500000000003</v>
      </c>
    </row>
    <row r="18046" spans="1:6" x14ac:dyDescent="0.25">
      <c r="A18046">
        <v>18045</v>
      </c>
      <c r="B18046" t="s">
        <v>0</v>
      </c>
      <c r="C18046">
        <v>24</v>
      </c>
      <c r="D18046">
        <v>3513</v>
      </c>
      <c r="E18046">
        <v>80805880</v>
      </c>
    </row>
    <row r="18047" spans="1:6" x14ac:dyDescent="0.25">
      <c r="A18047">
        <v>18046</v>
      </c>
      <c r="B18047">
        <v>45</v>
      </c>
      <c r="C18047">
        <v>0</v>
      </c>
      <c r="D18047">
        <v>0</v>
      </c>
      <c r="E18047">
        <v>0</v>
      </c>
      <c r="F18047">
        <v>535.82000000000005</v>
      </c>
    </row>
    <row r="18048" spans="1:6" x14ac:dyDescent="0.25">
      <c r="A18048">
        <v>18047</v>
      </c>
      <c r="B18048">
        <v>46</v>
      </c>
      <c r="C18048">
        <v>0</v>
      </c>
      <c r="D18048">
        <v>0</v>
      </c>
      <c r="E18048">
        <v>0</v>
      </c>
      <c r="F18048">
        <v>0</v>
      </c>
    </row>
    <row r="18049" spans="1:6" x14ac:dyDescent="0.25">
      <c r="A18049">
        <v>18048</v>
      </c>
      <c r="B18049" t="s">
        <v>0</v>
      </c>
      <c r="C18049">
        <v>25</v>
      </c>
      <c r="D18049">
        <v>3513</v>
      </c>
      <c r="E18049">
        <v>80806014</v>
      </c>
    </row>
    <row r="18050" spans="1:6" x14ac:dyDescent="0.25">
      <c r="A18050">
        <v>18049</v>
      </c>
      <c r="B18050">
        <v>2</v>
      </c>
      <c r="C18050">
        <v>0</v>
      </c>
      <c r="D18050">
        <v>0</v>
      </c>
      <c r="E18050">
        <v>0</v>
      </c>
      <c r="F18050">
        <v>248.18100000000001</v>
      </c>
    </row>
    <row r="18051" spans="1:6" x14ac:dyDescent="0.25">
      <c r="A18051">
        <v>18050</v>
      </c>
      <c r="B18051">
        <v>10</v>
      </c>
      <c r="C18051">
        <v>1</v>
      </c>
      <c r="D18051">
        <v>0</v>
      </c>
      <c r="E18051">
        <v>0</v>
      </c>
      <c r="F18051">
        <v>5303</v>
      </c>
    </row>
    <row r="18052" spans="1:6" x14ac:dyDescent="0.25">
      <c r="A18052">
        <v>18051</v>
      </c>
      <c r="B18052" t="s">
        <v>0</v>
      </c>
      <c r="C18052">
        <v>26</v>
      </c>
      <c r="D18052">
        <v>3513</v>
      </c>
      <c r="E18052">
        <v>80806148</v>
      </c>
    </row>
    <row r="18053" spans="1:6" x14ac:dyDescent="0.25">
      <c r="A18053">
        <v>18052</v>
      </c>
      <c r="B18053">
        <v>13</v>
      </c>
      <c r="C18053">
        <v>0</v>
      </c>
      <c r="D18053">
        <v>0</v>
      </c>
      <c r="E18053">
        <v>0</v>
      </c>
      <c r="F18053">
        <v>1617</v>
      </c>
    </row>
    <row r="18054" spans="1:6" x14ac:dyDescent="0.25">
      <c r="A18054">
        <v>18053</v>
      </c>
      <c r="B18054">
        <v>41</v>
      </c>
      <c r="C18054">
        <v>0</v>
      </c>
      <c r="D18054">
        <v>0</v>
      </c>
      <c r="E18054">
        <v>0</v>
      </c>
      <c r="F18054">
        <v>1</v>
      </c>
    </row>
    <row r="18055" spans="1:6" x14ac:dyDescent="0.25">
      <c r="A18055">
        <v>18054</v>
      </c>
      <c r="B18055" t="s">
        <v>0</v>
      </c>
      <c r="C18055">
        <v>27</v>
      </c>
      <c r="D18055">
        <v>3513</v>
      </c>
      <c r="E18055">
        <v>80806281</v>
      </c>
    </row>
    <row r="18056" spans="1:6" x14ac:dyDescent="0.25">
      <c r="A18056">
        <v>18055</v>
      </c>
      <c r="B18056">
        <v>42</v>
      </c>
      <c r="C18056">
        <v>0</v>
      </c>
      <c r="D18056">
        <v>0</v>
      </c>
      <c r="E18056">
        <v>0</v>
      </c>
      <c r="F18056">
        <v>0.2</v>
      </c>
    </row>
    <row r="18057" spans="1:6" x14ac:dyDescent="0.25">
      <c r="A18057">
        <v>18056</v>
      </c>
      <c r="B18057">
        <v>43</v>
      </c>
      <c r="C18057">
        <v>0</v>
      </c>
      <c r="D18057">
        <v>0</v>
      </c>
      <c r="E18057">
        <v>0</v>
      </c>
      <c r="F18057">
        <v>0</v>
      </c>
    </row>
    <row r="18058" spans="1:6" x14ac:dyDescent="0.25">
      <c r="A18058">
        <v>18057</v>
      </c>
      <c r="B18058" t="s">
        <v>0</v>
      </c>
      <c r="C18058">
        <v>28</v>
      </c>
      <c r="D18058">
        <v>3513</v>
      </c>
      <c r="E18058">
        <v>80806415</v>
      </c>
    </row>
    <row r="18059" spans="1:6" x14ac:dyDescent="0.25">
      <c r="A18059">
        <v>18058</v>
      </c>
      <c r="B18059">
        <v>44</v>
      </c>
      <c r="C18059">
        <v>0</v>
      </c>
      <c r="D18059">
        <v>0</v>
      </c>
      <c r="E18059">
        <v>0</v>
      </c>
      <c r="F18059">
        <v>51.809699999999999</v>
      </c>
    </row>
    <row r="18060" spans="1:6" x14ac:dyDescent="0.25">
      <c r="A18060">
        <v>18059</v>
      </c>
      <c r="B18060">
        <v>45</v>
      </c>
      <c r="C18060">
        <v>0</v>
      </c>
      <c r="D18060">
        <v>0</v>
      </c>
      <c r="E18060">
        <v>0</v>
      </c>
      <c r="F18060">
        <v>535.875</v>
      </c>
    </row>
    <row r="18061" spans="1:6" x14ac:dyDescent="0.25">
      <c r="A18061">
        <v>18060</v>
      </c>
      <c r="B18061" t="s">
        <v>0</v>
      </c>
      <c r="C18061">
        <v>29</v>
      </c>
      <c r="D18061">
        <v>3513</v>
      </c>
      <c r="E18061">
        <v>80806549</v>
      </c>
    </row>
    <row r="18062" spans="1:6" x14ac:dyDescent="0.25">
      <c r="A18062">
        <v>18061</v>
      </c>
      <c r="B18062">
        <v>46</v>
      </c>
      <c r="C18062">
        <v>0</v>
      </c>
      <c r="D18062">
        <v>0</v>
      </c>
      <c r="E18062">
        <v>0</v>
      </c>
      <c r="F18062">
        <v>0</v>
      </c>
    </row>
    <row r="18063" spans="1:6" x14ac:dyDescent="0.25">
      <c r="A18063">
        <v>18062</v>
      </c>
      <c r="B18063">
        <v>2</v>
      </c>
      <c r="C18063">
        <v>0</v>
      </c>
      <c r="D18063">
        <v>0</v>
      </c>
      <c r="E18063">
        <v>0</v>
      </c>
      <c r="F18063">
        <v>248.19300000000001</v>
      </c>
    </row>
    <row r="18064" spans="1:6" x14ac:dyDescent="0.25">
      <c r="A18064">
        <v>18063</v>
      </c>
      <c r="B18064" t="s">
        <v>0</v>
      </c>
      <c r="C18064">
        <v>30</v>
      </c>
      <c r="D18064">
        <v>3513</v>
      </c>
      <c r="E18064">
        <v>80806682</v>
      </c>
    </row>
    <row r="18065" spans="1:6" x14ac:dyDescent="0.25">
      <c r="A18065">
        <v>18064</v>
      </c>
      <c r="B18065">
        <v>10</v>
      </c>
      <c r="C18065">
        <v>1</v>
      </c>
      <c r="D18065">
        <v>0</v>
      </c>
      <c r="E18065">
        <v>0</v>
      </c>
      <c r="F18065">
        <v>5303</v>
      </c>
    </row>
    <row r="18066" spans="1:6" x14ac:dyDescent="0.25">
      <c r="A18066">
        <v>18065</v>
      </c>
      <c r="B18066">
        <v>13</v>
      </c>
      <c r="C18066">
        <v>0</v>
      </c>
      <c r="D18066">
        <v>0</v>
      </c>
      <c r="E18066">
        <v>0</v>
      </c>
      <c r="F18066">
        <v>1617</v>
      </c>
    </row>
    <row r="18067" spans="1:6" x14ac:dyDescent="0.25">
      <c r="A18067">
        <v>18066</v>
      </c>
      <c r="B18067" t="s">
        <v>0</v>
      </c>
      <c r="C18067">
        <v>31</v>
      </c>
      <c r="D18067">
        <v>3513</v>
      </c>
      <c r="E18067">
        <v>80806816</v>
      </c>
    </row>
    <row r="18068" spans="1:6" x14ac:dyDescent="0.25">
      <c r="A18068">
        <v>18067</v>
      </c>
      <c r="B18068">
        <v>41</v>
      </c>
      <c r="C18068">
        <v>0</v>
      </c>
      <c r="D18068">
        <v>0</v>
      </c>
      <c r="E18068">
        <v>0</v>
      </c>
      <c r="F18068">
        <v>1</v>
      </c>
    </row>
    <row r="18069" spans="1:6" x14ac:dyDescent="0.25">
      <c r="A18069">
        <v>18068</v>
      </c>
      <c r="B18069">
        <v>42</v>
      </c>
      <c r="C18069">
        <v>0</v>
      </c>
      <c r="D18069">
        <v>0</v>
      </c>
      <c r="E18069">
        <v>0</v>
      </c>
      <c r="F18069">
        <v>0.2</v>
      </c>
    </row>
    <row r="18070" spans="1:6" x14ac:dyDescent="0.25">
      <c r="A18070">
        <v>18069</v>
      </c>
      <c r="B18070" t="s">
        <v>0</v>
      </c>
      <c r="C18070">
        <v>32</v>
      </c>
      <c r="D18070">
        <v>3513</v>
      </c>
      <c r="E18070">
        <v>80806950</v>
      </c>
    </row>
    <row r="18071" spans="1:6" x14ac:dyDescent="0.25">
      <c r="A18071">
        <v>18070</v>
      </c>
      <c r="B18071">
        <v>43</v>
      </c>
      <c r="C18071">
        <v>0</v>
      </c>
      <c r="D18071">
        <v>0</v>
      </c>
      <c r="E18071">
        <v>0</v>
      </c>
      <c r="F18071">
        <v>0</v>
      </c>
    </row>
    <row r="18072" spans="1:6" x14ac:dyDescent="0.25">
      <c r="A18072">
        <v>18071</v>
      </c>
      <c r="B18072">
        <v>44</v>
      </c>
      <c r="C18072">
        <v>0</v>
      </c>
      <c r="D18072">
        <v>0</v>
      </c>
      <c r="E18072">
        <v>0</v>
      </c>
      <c r="F18072">
        <v>51.7988</v>
      </c>
    </row>
    <row r="18073" spans="1:6" x14ac:dyDescent="0.25">
      <c r="A18073">
        <v>18072</v>
      </c>
      <c r="B18073" t="s">
        <v>0</v>
      </c>
      <c r="C18073">
        <v>33</v>
      </c>
      <c r="D18073">
        <v>3513</v>
      </c>
      <c r="E18073">
        <v>80807083</v>
      </c>
    </row>
    <row r="18074" spans="1:6" x14ac:dyDescent="0.25">
      <c r="A18074">
        <v>18073</v>
      </c>
      <c r="B18074">
        <v>45</v>
      </c>
      <c r="C18074">
        <v>0</v>
      </c>
      <c r="D18074">
        <v>0</v>
      </c>
      <c r="E18074">
        <v>0</v>
      </c>
      <c r="F18074">
        <v>535.94500000000005</v>
      </c>
    </row>
    <row r="18075" spans="1:6" x14ac:dyDescent="0.25">
      <c r="A18075">
        <v>18074</v>
      </c>
      <c r="B18075">
        <v>46</v>
      </c>
      <c r="C18075">
        <v>0</v>
      </c>
      <c r="D18075">
        <v>0</v>
      </c>
      <c r="E18075">
        <v>0</v>
      </c>
      <c r="F18075">
        <v>0</v>
      </c>
    </row>
    <row r="18076" spans="1:6" x14ac:dyDescent="0.25">
      <c r="A18076">
        <v>18075</v>
      </c>
      <c r="B18076" t="s">
        <v>0</v>
      </c>
      <c r="C18076">
        <v>34</v>
      </c>
      <c r="D18076">
        <v>3513</v>
      </c>
      <c r="E18076">
        <v>80807217</v>
      </c>
    </row>
    <row r="18077" spans="1:6" x14ac:dyDescent="0.25">
      <c r="A18077">
        <v>18076</v>
      </c>
      <c r="B18077">
        <v>2</v>
      </c>
      <c r="C18077">
        <v>0</v>
      </c>
      <c r="D18077">
        <v>0</v>
      </c>
      <c r="E18077">
        <v>0</v>
      </c>
      <c r="F18077">
        <v>248.20599999999999</v>
      </c>
    </row>
    <row r="18078" spans="1:6" x14ac:dyDescent="0.25">
      <c r="A18078">
        <v>18077</v>
      </c>
      <c r="B18078">
        <v>10</v>
      </c>
      <c r="C18078">
        <v>1</v>
      </c>
      <c r="D18078">
        <v>0</v>
      </c>
      <c r="E18078">
        <v>0</v>
      </c>
      <c r="F18078">
        <v>5303</v>
      </c>
    </row>
    <row r="18079" spans="1:6" x14ac:dyDescent="0.25">
      <c r="A18079">
        <v>18078</v>
      </c>
      <c r="B18079" t="s">
        <v>0</v>
      </c>
      <c r="C18079">
        <v>35</v>
      </c>
      <c r="D18079">
        <v>3513</v>
      </c>
      <c r="E18079">
        <v>80807351</v>
      </c>
    </row>
    <row r="18080" spans="1:6" x14ac:dyDescent="0.25">
      <c r="A18080">
        <v>18079</v>
      </c>
      <c r="B18080">
        <v>13</v>
      </c>
      <c r="C18080">
        <v>0</v>
      </c>
      <c r="D18080">
        <v>0</v>
      </c>
      <c r="E18080">
        <v>0</v>
      </c>
      <c r="F18080">
        <v>1617</v>
      </c>
    </row>
    <row r="18081" spans="1:6" x14ac:dyDescent="0.25">
      <c r="A18081">
        <v>18080</v>
      </c>
      <c r="B18081">
        <v>41</v>
      </c>
      <c r="C18081">
        <v>0</v>
      </c>
      <c r="D18081">
        <v>0</v>
      </c>
      <c r="E18081">
        <v>0</v>
      </c>
      <c r="F18081">
        <v>1</v>
      </c>
    </row>
    <row r="18082" spans="1:6" x14ac:dyDescent="0.25">
      <c r="A18082">
        <v>18081</v>
      </c>
      <c r="B18082" t="s">
        <v>0</v>
      </c>
      <c r="C18082">
        <v>36</v>
      </c>
      <c r="D18082">
        <v>3513</v>
      </c>
      <c r="E18082">
        <v>80807484</v>
      </c>
    </row>
    <row r="18083" spans="1:6" x14ac:dyDescent="0.25">
      <c r="A18083">
        <v>18082</v>
      </c>
      <c r="B18083">
        <v>42</v>
      </c>
      <c r="C18083">
        <v>0</v>
      </c>
      <c r="D18083">
        <v>0</v>
      </c>
      <c r="E18083">
        <v>0</v>
      </c>
      <c r="F18083">
        <v>0.2</v>
      </c>
    </row>
    <row r="18084" spans="1:6" x14ac:dyDescent="0.25">
      <c r="A18084">
        <v>18083</v>
      </c>
      <c r="B18084">
        <v>43</v>
      </c>
      <c r="C18084">
        <v>0</v>
      </c>
      <c r="D18084">
        <v>0</v>
      </c>
      <c r="E18084">
        <v>0</v>
      </c>
      <c r="F18084">
        <v>0</v>
      </c>
    </row>
    <row r="18085" spans="1:6" x14ac:dyDescent="0.25">
      <c r="A18085">
        <v>18084</v>
      </c>
      <c r="B18085" t="s">
        <v>0</v>
      </c>
      <c r="C18085">
        <v>37</v>
      </c>
      <c r="D18085">
        <v>3513</v>
      </c>
      <c r="E18085">
        <v>80807617</v>
      </c>
    </row>
    <row r="18086" spans="1:6" x14ac:dyDescent="0.25">
      <c r="A18086">
        <v>18085</v>
      </c>
      <c r="B18086">
        <v>44</v>
      </c>
      <c r="C18086">
        <v>0</v>
      </c>
      <c r="D18086">
        <v>0</v>
      </c>
      <c r="E18086">
        <v>0</v>
      </c>
      <c r="F18086">
        <v>51.761000000000003</v>
      </c>
    </row>
    <row r="18087" spans="1:6" x14ac:dyDescent="0.25">
      <c r="A18087">
        <v>18086</v>
      </c>
      <c r="B18087">
        <v>45</v>
      </c>
      <c r="C18087">
        <v>0</v>
      </c>
      <c r="D18087">
        <v>0</v>
      </c>
      <c r="E18087">
        <v>0</v>
      </c>
      <c r="F18087">
        <v>536.00099999999998</v>
      </c>
    </row>
    <row r="18088" spans="1:6" x14ac:dyDescent="0.25">
      <c r="A18088">
        <v>18087</v>
      </c>
      <c r="B18088" t="s">
        <v>0</v>
      </c>
      <c r="C18088">
        <v>38</v>
      </c>
      <c r="D18088">
        <v>3513</v>
      </c>
      <c r="E18088">
        <v>80807751</v>
      </c>
    </row>
    <row r="18089" spans="1:6" x14ac:dyDescent="0.25">
      <c r="A18089">
        <v>18088</v>
      </c>
      <c r="B18089">
        <v>46</v>
      </c>
      <c r="C18089">
        <v>0</v>
      </c>
      <c r="D18089">
        <v>0</v>
      </c>
      <c r="E18089">
        <v>0</v>
      </c>
      <c r="F18089">
        <v>0</v>
      </c>
    </row>
    <row r="18090" spans="1:6" x14ac:dyDescent="0.25">
      <c r="A18090">
        <v>18089</v>
      </c>
      <c r="B18090">
        <v>2</v>
      </c>
      <c r="C18090">
        <v>0</v>
      </c>
      <c r="D18090">
        <v>0</v>
      </c>
      <c r="E18090">
        <v>0</v>
      </c>
      <c r="F18090">
        <v>248.25299999999999</v>
      </c>
    </row>
    <row r="18091" spans="1:6" x14ac:dyDescent="0.25">
      <c r="A18091">
        <v>18090</v>
      </c>
      <c r="B18091" t="s">
        <v>0</v>
      </c>
      <c r="C18091">
        <v>39</v>
      </c>
      <c r="D18091">
        <v>3513</v>
      </c>
      <c r="E18091">
        <v>80807885</v>
      </c>
    </row>
    <row r="18092" spans="1:6" x14ac:dyDescent="0.25">
      <c r="A18092">
        <v>18091</v>
      </c>
      <c r="B18092">
        <v>10</v>
      </c>
      <c r="C18092">
        <v>1</v>
      </c>
      <c r="D18092">
        <v>0</v>
      </c>
      <c r="E18092">
        <v>0</v>
      </c>
      <c r="F18092">
        <v>5302</v>
      </c>
    </row>
    <row r="18093" spans="1:6" x14ac:dyDescent="0.25">
      <c r="A18093">
        <v>18092</v>
      </c>
      <c r="B18093">
        <v>13</v>
      </c>
      <c r="C18093">
        <v>0</v>
      </c>
      <c r="D18093">
        <v>0</v>
      </c>
      <c r="E18093">
        <v>0</v>
      </c>
      <c r="F18093">
        <v>1617</v>
      </c>
    </row>
    <row r="18094" spans="1:6" x14ac:dyDescent="0.25">
      <c r="A18094">
        <v>18093</v>
      </c>
      <c r="B18094" t="s">
        <v>0</v>
      </c>
      <c r="C18094">
        <v>40</v>
      </c>
      <c r="D18094">
        <v>3513</v>
      </c>
      <c r="E18094">
        <v>80808019</v>
      </c>
    </row>
    <row r="18095" spans="1:6" x14ac:dyDescent="0.25">
      <c r="A18095">
        <v>18094</v>
      </c>
      <c r="B18095">
        <v>41</v>
      </c>
      <c r="C18095">
        <v>0</v>
      </c>
      <c r="D18095">
        <v>0</v>
      </c>
      <c r="E18095">
        <v>0</v>
      </c>
      <c r="F18095">
        <v>1</v>
      </c>
    </row>
    <row r="18096" spans="1:6" x14ac:dyDescent="0.25">
      <c r="A18096">
        <v>18095</v>
      </c>
      <c r="B18096">
        <v>42</v>
      </c>
      <c r="C18096">
        <v>0</v>
      </c>
      <c r="D18096">
        <v>0</v>
      </c>
      <c r="E18096">
        <v>0</v>
      </c>
      <c r="F18096">
        <v>0.2</v>
      </c>
    </row>
    <row r="18097" spans="1:6" x14ac:dyDescent="0.25">
      <c r="A18097">
        <v>18096</v>
      </c>
      <c r="B18097" t="s">
        <v>0</v>
      </c>
      <c r="C18097">
        <v>41</v>
      </c>
      <c r="D18097">
        <v>3513</v>
      </c>
      <c r="E18097">
        <v>80808153</v>
      </c>
    </row>
    <row r="18098" spans="1:6" x14ac:dyDescent="0.25">
      <c r="A18098">
        <v>18097</v>
      </c>
      <c r="B18098">
        <v>43</v>
      </c>
      <c r="C18098">
        <v>0</v>
      </c>
      <c r="D18098">
        <v>0</v>
      </c>
      <c r="E18098">
        <v>0</v>
      </c>
      <c r="F18098">
        <v>0</v>
      </c>
    </row>
    <row r="18099" spans="1:6" x14ac:dyDescent="0.25">
      <c r="A18099">
        <v>18098</v>
      </c>
      <c r="B18099">
        <v>44</v>
      </c>
      <c r="C18099">
        <v>0</v>
      </c>
      <c r="D18099">
        <v>0</v>
      </c>
      <c r="E18099">
        <v>0</v>
      </c>
      <c r="F18099">
        <v>51.690199999999997</v>
      </c>
    </row>
    <row r="18100" spans="1:6" x14ac:dyDescent="0.25">
      <c r="A18100">
        <v>18099</v>
      </c>
      <c r="B18100" t="s">
        <v>0</v>
      </c>
      <c r="C18100">
        <v>42</v>
      </c>
      <c r="D18100">
        <v>3513</v>
      </c>
      <c r="E18100">
        <v>80808287</v>
      </c>
    </row>
    <row r="18101" spans="1:6" x14ac:dyDescent="0.25">
      <c r="A18101">
        <v>18100</v>
      </c>
      <c r="B18101">
        <v>45</v>
      </c>
      <c r="C18101">
        <v>0</v>
      </c>
      <c r="D18101">
        <v>0</v>
      </c>
      <c r="E18101">
        <v>0</v>
      </c>
      <c r="F18101">
        <v>536.07000000000005</v>
      </c>
    </row>
    <row r="18102" spans="1:6" x14ac:dyDescent="0.25">
      <c r="A18102">
        <v>18101</v>
      </c>
      <c r="B18102">
        <v>46</v>
      </c>
      <c r="C18102">
        <v>0</v>
      </c>
      <c r="D18102">
        <v>0</v>
      </c>
      <c r="E18102">
        <v>0</v>
      </c>
      <c r="F18102">
        <v>0</v>
      </c>
    </row>
    <row r="18103" spans="1:6" x14ac:dyDescent="0.25">
      <c r="A18103">
        <v>18102</v>
      </c>
      <c r="B18103" t="s">
        <v>0</v>
      </c>
      <c r="C18103">
        <v>43</v>
      </c>
      <c r="D18103">
        <v>3513</v>
      </c>
      <c r="E18103">
        <v>80808420</v>
      </c>
    </row>
    <row r="18104" spans="1:6" x14ac:dyDescent="0.25">
      <c r="A18104">
        <v>18103</v>
      </c>
      <c r="B18104">
        <v>2</v>
      </c>
      <c r="C18104">
        <v>0</v>
      </c>
      <c r="D18104">
        <v>0</v>
      </c>
      <c r="E18104">
        <v>0</v>
      </c>
      <c r="F18104">
        <v>248.34</v>
      </c>
    </row>
    <row r="18105" spans="1:6" x14ac:dyDescent="0.25">
      <c r="A18105">
        <v>18104</v>
      </c>
      <c r="B18105">
        <v>10</v>
      </c>
      <c r="C18105">
        <v>1</v>
      </c>
      <c r="D18105">
        <v>0</v>
      </c>
      <c r="E18105">
        <v>0</v>
      </c>
      <c r="F18105">
        <v>5300</v>
      </c>
    </row>
    <row r="18106" spans="1:6" x14ac:dyDescent="0.25">
      <c r="A18106">
        <v>18105</v>
      </c>
      <c r="B18106" t="s">
        <v>0</v>
      </c>
      <c r="C18106">
        <v>44</v>
      </c>
      <c r="D18106">
        <v>3513</v>
      </c>
      <c r="E18106">
        <v>80808553</v>
      </c>
    </row>
    <row r="18107" spans="1:6" x14ac:dyDescent="0.25">
      <c r="A18107">
        <v>18106</v>
      </c>
      <c r="B18107">
        <v>13</v>
      </c>
      <c r="C18107">
        <v>0</v>
      </c>
      <c r="D18107">
        <v>0</v>
      </c>
      <c r="E18107">
        <v>0</v>
      </c>
      <c r="F18107">
        <v>1617</v>
      </c>
    </row>
    <row r="18108" spans="1:6" x14ac:dyDescent="0.25">
      <c r="A18108">
        <v>18107</v>
      </c>
      <c r="B18108">
        <v>41</v>
      </c>
      <c r="C18108">
        <v>0</v>
      </c>
      <c r="D18108">
        <v>0</v>
      </c>
      <c r="E18108">
        <v>0</v>
      </c>
      <c r="F18108">
        <v>1</v>
      </c>
    </row>
    <row r="18109" spans="1:6" x14ac:dyDescent="0.25">
      <c r="A18109">
        <v>18108</v>
      </c>
      <c r="B18109" t="s">
        <v>0</v>
      </c>
      <c r="C18109">
        <v>45</v>
      </c>
      <c r="D18109">
        <v>3513</v>
      </c>
      <c r="E18109">
        <v>80808686</v>
      </c>
    </row>
    <row r="18110" spans="1:6" x14ac:dyDescent="0.25">
      <c r="A18110">
        <v>18109</v>
      </c>
      <c r="B18110">
        <v>42</v>
      </c>
      <c r="C18110">
        <v>0</v>
      </c>
      <c r="D18110">
        <v>0</v>
      </c>
      <c r="E18110">
        <v>0</v>
      </c>
      <c r="F18110">
        <v>0.2</v>
      </c>
    </row>
    <row r="18111" spans="1:6" x14ac:dyDescent="0.25">
      <c r="A18111">
        <v>18110</v>
      </c>
      <c r="B18111">
        <v>43</v>
      </c>
      <c r="C18111">
        <v>0</v>
      </c>
      <c r="D18111">
        <v>0</v>
      </c>
      <c r="E18111">
        <v>0</v>
      </c>
      <c r="F18111">
        <v>0</v>
      </c>
    </row>
    <row r="18112" spans="1:6" x14ac:dyDescent="0.25">
      <c r="A18112">
        <v>18111</v>
      </c>
      <c r="B18112" t="s">
        <v>0</v>
      </c>
      <c r="C18112">
        <v>46</v>
      </c>
      <c r="D18112">
        <v>3513</v>
      </c>
      <c r="E18112">
        <v>80808820</v>
      </c>
    </row>
    <row r="18113" spans="1:6" x14ac:dyDescent="0.25">
      <c r="A18113">
        <v>18112</v>
      </c>
      <c r="B18113">
        <v>44</v>
      </c>
      <c r="C18113">
        <v>0</v>
      </c>
      <c r="D18113">
        <v>0</v>
      </c>
      <c r="E18113">
        <v>0</v>
      </c>
      <c r="F18113">
        <v>51.620199999999997</v>
      </c>
    </row>
    <row r="18114" spans="1:6" x14ac:dyDescent="0.25">
      <c r="A18114">
        <v>18113</v>
      </c>
      <c r="B18114">
        <v>45</v>
      </c>
      <c r="C18114">
        <v>0</v>
      </c>
      <c r="D18114">
        <v>0</v>
      </c>
      <c r="E18114">
        <v>0</v>
      </c>
      <c r="F18114">
        <v>536.125</v>
      </c>
    </row>
    <row r="18115" spans="1:6" x14ac:dyDescent="0.25">
      <c r="A18115">
        <v>18114</v>
      </c>
      <c r="B18115" t="s">
        <v>0</v>
      </c>
      <c r="C18115">
        <v>47</v>
      </c>
      <c r="D18115">
        <v>3513</v>
      </c>
      <c r="E18115">
        <v>80808954</v>
      </c>
    </row>
    <row r="18116" spans="1:6" x14ac:dyDescent="0.25">
      <c r="A18116">
        <v>18115</v>
      </c>
      <c r="B18116">
        <v>2</v>
      </c>
      <c r="C18116">
        <v>0</v>
      </c>
      <c r="D18116">
        <v>0</v>
      </c>
      <c r="E18116">
        <v>0</v>
      </c>
      <c r="F18116">
        <v>248.392</v>
      </c>
    </row>
    <row r="18117" spans="1:6" x14ac:dyDescent="0.25">
      <c r="A18117">
        <v>18116</v>
      </c>
      <c r="B18117" t="s">
        <v>0</v>
      </c>
      <c r="C18117">
        <v>48</v>
      </c>
      <c r="D18117">
        <v>3513</v>
      </c>
      <c r="E18117">
        <v>80809088</v>
      </c>
    </row>
    <row r="18118" spans="1:6" x14ac:dyDescent="0.25">
      <c r="A18118">
        <v>18117</v>
      </c>
      <c r="B18118">
        <v>10</v>
      </c>
      <c r="C18118">
        <v>1</v>
      </c>
      <c r="D18118">
        <v>0</v>
      </c>
      <c r="E18118">
        <v>0</v>
      </c>
      <c r="F18118">
        <v>5299</v>
      </c>
    </row>
    <row r="18119" spans="1:6" x14ac:dyDescent="0.25">
      <c r="A18119">
        <v>18118</v>
      </c>
      <c r="B18119">
        <v>13</v>
      </c>
      <c r="C18119">
        <v>0</v>
      </c>
      <c r="D18119">
        <v>0</v>
      </c>
      <c r="E18119">
        <v>0</v>
      </c>
      <c r="F18119">
        <v>1617</v>
      </c>
    </row>
    <row r="18120" spans="1:6" x14ac:dyDescent="0.25">
      <c r="A18120">
        <v>18119</v>
      </c>
      <c r="B18120" t="s">
        <v>0</v>
      </c>
      <c r="C18120">
        <v>49</v>
      </c>
      <c r="D18120">
        <v>3513</v>
      </c>
      <c r="E18120">
        <v>80809222</v>
      </c>
    </row>
    <row r="18121" spans="1:6" x14ac:dyDescent="0.25">
      <c r="A18121">
        <v>18120</v>
      </c>
      <c r="B18121">
        <v>41</v>
      </c>
      <c r="C18121">
        <v>0</v>
      </c>
      <c r="D18121">
        <v>0</v>
      </c>
      <c r="E18121">
        <v>0</v>
      </c>
      <c r="F18121">
        <v>1</v>
      </c>
    </row>
    <row r="18122" spans="1:6" x14ac:dyDescent="0.25">
      <c r="A18122">
        <v>18121</v>
      </c>
      <c r="B18122">
        <v>42</v>
      </c>
      <c r="C18122">
        <v>0</v>
      </c>
      <c r="D18122">
        <v>0</v>
      </c>
      <c r="E18122">
        <v>0</v>
      </c>
      <c r="F18122">
        <v>0.2</v>
      </c>
    </row>
    <row r="18123" spans="1:6" x14ac:dyDescent="0.25">
      <c r="A18123">
        <v>18122</v>
      </c>
      <c r="B18123" t="s">
        <v>0</v>
      </c>
      <c r="C18123">
        <v>50</v>
      </c>
      <c r="D18123">
        <v>3513</v>
      </c>
      <c r="E18123">
        <v>80809355</v>
      </c>
    </row>
    <row r="18124" spans="1:6" x14ac:dyDescent="0.25">
      <c r="A18124">
        <v>18123</v>
      </c>
      <c r="B18124">
        <v>43</v>
      </c>
      <c r="C18124">
        <v>0</v>
      </c>
      <c r="D18124">
        <v>0</v>
      </c>
      <c r="E18124">
        <v>0</v>
      </c>
      <c r="F18124">
        <v>0</v>
      </c>
    </row>
    <row r="18125" spans="1:6" x14ac:dyDescent="0.25">
      <c r="A18125">
        <v>18124</v>
      </c>
      <c r="B18125">
        <v>44</v>
      </c>
      <c r="C18125">
        <v>0</v>
      </c>
      <c r="D18125">
        <v>0</v>
      </c>
      <c r="E18125">
        <v>0</v>
      </c>
      <c r="F18125">
        <v>51.575899999999997</v>
      </c>
    </row>
    <row r="18126" spans="1:6" x14ac:dyDescent="0.25">
      <c r="A18126">
        <v>18125</v>
      </c>
      <c r="B18126" t="s">
        <v>0</v>
      </c>
      <c r="C18126">
        <v>51</v>
      </c>
      <c r="D18126">
        <v>3513</v>
      </c>
      <c r="E18126">
        <v>80809488</v>
      </c>
    </row>
    <row r="18127" spans="1:6" x14ac:dyDescent="0.25">
      <c r="A18127">
        <v>18126</v>
      </c>
      <c r="B18127">
        <v>46</v>
      </c>
      <c r="C18127">
        <v>0</v>
      </c>
      <c r="D18127">
        <v>0</v>
      </c>
      <c r="E18127">
        <v>0</v>
      </c>
      <c r="F18127">
        <v>0</v>
      </c>
    </row>
    <row r="18128" spans="1:6" x14ac:dyDescent="0.25">
      <c r="A18128">
        <v>18127</v>
      </c>
      <c r="B18128" t="s">
        <v>0</v>
      </c>
      <c r="C18128">
        <v>52</v>
      </c>
      <c r="D18128">
        <v>3513</v>
      </c>
      <c r="E18128">
        <v>80809621</v>
      </c>
    </row>
    <row r="18129" spans="1:6" x14ac:dyDescent="0.25">
      <c r="A18129">
        <v>18128</v>
      </c>
      <c r="B18129">
        <v>10</v>
      </c>
      <c r="C18129">
        <v>1</v>
      </c>
      <c r="D18129">
        <v>0</v>
      </c>
      <c r="E18129">
        <v>0</v>
      </c>
      <c r="F18129">
        <v>5298</v>
      </c>
    </row>
    <row r="18130" spans="1:6" x14ac:dyDescent="0.25">
      <c r="A18130">
        <v>18129</v>
      </c>
      <c r="B18130" t="s">
        <v>0</v>
      </c>
      <c r="C18130">
        <v>53</v>
      </c>
      <c r="D18130">
        <v>3513</v>
      </c>
      <c r="E18130">
        <v>80809754</v>
      </c>
    </row>
    <row r="18131" spans="1:6" x14ac:dyDescent="0.25">
      <c r="A18131">
        <v>18130</v>
      </c>
      <c r="B18131">
        <v>41</v>
      </c>
      <c r="C18131">
        <v>0</v>
      </c>
      <c r="D18131">
        <v>0</v>
      </c>
      <c r="E18131">
        <v>0</v>
      </c>
      <c r="F18131">
        <v>1</v>
      </c>
    </row>
    <row r="18132" spans="1:6" x14ac:dyDescent="0.25">
      <c r="A18132">
        <v>18131</v>
      </c>
      <c r="B18132" t="s">
        <v>0</v>
      </c>
      <c r="C18132">
        <v>54</v>
      </c>
      <c r="D18132">
        <v>3513</v>
      </c>
      <c r="E18132">
        <v>80809888</v>
      </c>
    </row>
    <row r="18133" spans="1:6" x14ac:dyDescent="0.25">
      <c r="A18133">
        <v>18132</v>
      </c>
      <c r="B18133">
        <v>43</v>
      </c>
      <c r="C18133">
        <v>0</v>
      </c>
      <c r="D18133">
        <v>0</v>
      </c>
      <c r="E18133">
        <v>0</v>
      </c>
      <c r="F18133">
        <v>0</v>
      </c>
    </row>
    <row r="18134" spans="1:6" x14ac:dyDescent="0.25">
      <c r="A18134">
        <v>18133</v>
      </c>
      <c r="B18134" t="s">
        <v>0</v>
      </c>
      <c r="C18134">
        <v>55</v>
      </c>
      <c r="D18134">
        <v>3513</v>
      </c>
      <c r="E18134">
        <v>80810022</v>
      </c>
    </row>
    <row r="18135" spans="1:6" x14ac:dyDescent="0.25">
      <c r="A18135">
        <v>18134</v>
      </c>
      <c r="B18135">
        <v>45</v>
      </c>
      <c r="C18135">
        <v>0</v>
      </c>
      <c r="D18135">
        <v>0</v>
      </c>
      <c r="E18135">
        <v>0</v>
      </c>
      <c r="F18135">
        <v>536.25</v>
      </c>
    </row>
    <row r="18136" spans="1:6" x14ac:dyDescent="0.25">
      <c r="A18136">
        <v>18135</v>
      </c>
      <c r="B18136" t="s">
        <v>0</v>
      </c>
      <c r="C18136">
        <v>56</v>
      </c>
      <c r="D18136">
        <v>3513</v>
      </c>
      <c r="E18136">
        <v>80810156</v>
      </c>
    </row>
    <row r="18137" spans="1:6" x14ac:dyDescent="0.25">
      <c r="A18137">
        <v>18136</v>
      </c>
      <c r="B18137">
        <v>2</v>
      </c>
      <c r="C18137">
        <v>0</v>
      </c>
      <c r="D18137">
        <v>0</v>
      </c>
      <c r="E18137">
        <v>0</v>
      </c>
      <c r="F18137">
        <v>248.476</v>
      </c>
    </row>
    <row r="18138" spans="1:6" x14ac:dyDescent="0.25">
      <c r="A18138">
        <v>18137</v>
      </c>
      <c r="B18138" t="s">
        <v>0</v>
      </c>
      <c r="C18138">
        <v>57</v>
      </c>
      <c r="D18138">
        <v>3513</v>
      </c>
      <c r="E18138">
        <v>80810290</v>
      </c>
    </row>
    <row r="18139" spans="1:6" x14ac:dyDescent="0.25">
      <c r="A18139">
        <v>18138</v>
      </c>
      <c r="B18139">
        <v>13</v>
      </c>
      <c r="C18139">
        <v>0</v>
      </c>
      <c r="D18139">
        <v>0</v>
      </c>
      <c r="E18139">
        <v>0</v>
      </c>
      <c r="F18139">
        <v>1617</v>
      </c>
    </row>
    <row r="18140" spans="1:6" x14ac:dyDescent="0.25">
      <c r="A18140">
        <v>18139</v>
      </c>
      <c r="B18140" t="s">
        <v>0</v>
      </c>
      <c r="C18140">
        <v>58</v>
      </c>
      <c r="D18140">
        <v>3513</v>
      </c>
      <c r="E18140">
        <v>80810423</v>
      </c>
    </row>
    <row r="18141" spans="1:6" x14ac:dyDescent="0.25">
      <c r="A18141">
        <v>18140</v>
      </c>
      <c r="B18141">
        <v>42</v>
      </c>
      <c r="C18141">
        <v>0</v>
      </c>
      <c r="D18141">
        <v>0</v>
      </c>
      <c r="E18141">
        <v>0</v>
      </c>
      <c r="F18141">
        <v>0.2</v>
      </c>
    </row>
    <row r="18142" spans="1:6" x14ac:dyDescent="0.25">
      <c r="A18142">
        <v>18141</v>
      </c>
      <c r="B18142" t="s">
        <v>0</v>
      </c>
      <c r="C18142">
        <v>59</v>
      </c>
      <c r="D18142">
        <v>3513</v>
      </c>
      <c r="E18142">
        <v>80810556</v>
      </c>
    </row>
    <row r="18143" spans="1:6" x14ac:dyDescent="0.25">
      <c r="A18143">
        <v>18142</v>
      </c>
      <c r="B18143">
        <v>44</v>
      </c>
      <c r="C18143">
        <v>0</v>
      </c>
      <c r="D18143">
        <v>0</v>
      </c>
      <c r="E18143">
        <v>0</v>
      </c>
      <c r="F18143">
        <v>51.503500000000003</v>
      </c>
    </row>
    <row r="18144" spans="1:6" x14ac:dyDescent="0.25">
      <c r="A18144">
        <v>18143</v>
      </c>
      <c r="B18144" t="s">
        <v>0</v>
      </c>
      <c r="C18144">
        <v>60</v>
      </c>
      <c r="D18144">
        <v>3513</v>
      </c>
      <c r="E18144">
        <v>80810689</v>
      </c>
    </row>
    <row r="18145" spans="1:6" x14ac:dyDescent="0.25">
      <c r="A18145">
        <v>18144</v>
      </c>
      <c r="B18145">
        <v>46</v>
      </c>
      <c r="C18145">
        <v>0</v>
      </c>
      <c r="D18145">
        <v>0</v>
      </c>
      <c r="E18145">
        <v>0</v>
      </c>
      <c r="F18145">
        <v>0</v>
      </c>
    </row>
    <row r="18146" spans="1:6" x14ac:dyDescent="0.25">
      <c r="A18146">
        <v>18145</v>
      </c>
      <c r="B18146" t="s">
        <v>0</v>
      </c>
      <c r="C18146">
        <v>61</v>
      </c>
      <c r="D18146">
        <v>3513</v>
      </c>
      <c r="E18146">
        <v>80810823</v>
      </c>
    </row>
    <row r="18147" spans="1:6" x14ac:dyDescent="0.25">
      <c r="A18147">
        <v>18146</v>
      </c>
      <c r="B18147">
        <v>10</v>
      </c>
      <c r="C18147">
        <v>1</v>
      </c>
      <c r="D18147">
        <v>0</v>
      </c>
      <c r="E18147">
        <v>0</v>
      </c>
      <c r="F18147">
        <v>5297</v>
      </c>
    </row>
    <row r="18148" spans="1:6" x14ac:dyDescent="0.25">
      <c r="A18148">
        <v>18147</v>
      </c>
      <c r="B18148" t="s">
        <v>0</v>
      </c>
      <c r="C18148">
        <v>62</v>
      </c>
      <c r="D18148">
        <v>3513</v>
      </c>
      <c r="E18148">
        <v>80810957</v>
      </c>
    </row>
    <row r="18149" spans="1:6" x14ac:dyDescent="0.25">
      <c r="A18149">
        <v>18148</v>
      </c>
      <c r="B18149">
        <v>41</v>
      </c>
      <c r="C18149">
        <v>0</v>
      </c>
      <c r="D18149">
        <v>0</v>
      </c>
      <c r="E18149">
        <v>0</v>
      </c>
      <c r="F18149">
        <v>1</v>
      </c>
    </row>
    <row r="18150" spans="1:6" x14ac:dyDescent="0.25">
      <c r="A18150">
        <v>18149</v>
      </c>
      <c r="B18150" t="s">
        <v>0</v>
      </c>
      <c r="C18150">
        <v>63</v>
      </c>
      <c r="D18150">
        <v>3513</v>
      </c>
      <c r="E18150">
        <v>80811091</v>
      </c>
    </row>
    <row r="18151" spans="1:6" x14ac:dyDescent="0.25">
      <c r="A18151">
        <v>18150</v>
      </c>
      <c r="B18151">
        <v>43</v>
      </c>
      <c r="C18151">
        <v>0</v>
      </c>
      <c r="D18151">
        <v>0</v>
      </c>
      <c r="E18151">
        <v>0</v>
      </c>
      <c r="F18151">
        <v>0</v>
      </c>
    </row>
    <row r="18152" spans="1:6" x14ac:dyDescent="0.25">
      <c r="A18152">
        <v>18151</v>
      </c>
      <c r="B18152" t="s">
        <v>0</v>
      </c>
      <c r="C18152">
        <v>64</v>
      </c>
      <c r="D18152">
        <v>3513</v>
      </c>
      <c r="E18152">
        <v>80811225</v>
      </c>
    </row>
    <row r="18153" spans="1:6" x14ac:dyDescent="0.25">
      <c r="A18153">
        <v>18152</v>
      </c>
      <c r="B18153">
        <v>45</v>
      </c>
      <c r="C18153">
        <v>0</v>
      </c>
      <c r="D18153">
        <v>0</v>
      </c>
      <c r="E18153">
        <v>0</v>
      </c>
      <c r="F18153">
        <v>536.37400000000002</v>
      </c>
    </row>
    <row r="18154" spans="1:6" x14ac:dyDescent="0.25">
      <c r="A18154">
        <v>18153</v>
      </c>
      <c r="B18154" t="s">
        <v>0</v>
      </c>
      <c r="C18154">
        <v>65</v>
      </c>
      <c r="D18154">
        <v>3513</v>
      </c>
      <c r="E18154">
        <v>80811359</v>
      </c>
    </row>
    <row r="18155" spans="1:6" x14ac:dyDescent="0.25">
      <c r="A18155">
        <v>18154</v>
      </c>
      <c r="B18155">
        <v>2</v>
      </c>
      <c r="C18155">
        <v>0</v>
      </c>
      <c r="D18155">
        <v>0</v>
      </c>
      <c r="E18155">
        <v>0</v>
      </c>
      <c r="F18155">
        <v>248.529</v>
      </c>
    </row>
    <row r="18156" spans="1:6" x14ac:dyDescent="0.25">
      <c r="A18156">
        <v>18155</v>
      </c>
      <c r="B18156" t="s">
        <v>0</v>
      </c>
      <c r="C18156">
        <v>66</v>
      </c>
      <c r="D18156">
        <v>3513</v>
      </c>
      <c r="E18156">
        <v>80811492</v>
      </c>
    </row>
    <row r="18157" spans="1:6" x14ac:dyDescent="0.25">
      <c r="A18157">
        <v>18156</v>
      </c>
      <c r="B18157">
        <v>13</v>
      </c>
      <c r="C18157">
        <v>0</v>
      </c>
      <c r="D18157">
        <v>0</v>
      </c>
      <c r="E18157">
        <v>0</v>
      </c>
      <c r="F18157">
        <v>1617</v>
      </c>
    </row>
    <row r="18158" spans="1:6" x14ac:dyDescent="0.25">
      <c r="A18158">
        <v>18157</v>
      </c>
      <c r="B18158" t="s">
        <v>0</v>
      </c>
      <c r="C18158">
        <v>67</v>
      </c>
      <c r="D18158">
        <v>3513</v>
      </c>
      <c r="E18158">
        <v>80811625</v>
      </c>
    </row>
    <row r="18159" spans="1:6" x14ac:dyDescent="0.25">
      <c r="A18159">
        <v>18158</v>
      </c>
      <c r="B18159">
        <v>42</v>
      </c>
      <c r="C18159">
        <v>0</v>
      </c>
      <c r="D18159">
        <v>0</v>
      </c>
      <c r="E18159">
        <v>0</v>
      </c>
      <c r="F18159">
        <v>0.2</v>
      </c>
    </row>
    <row r="18160" spans="1:6" x14ac:dyDescent="0.25">
      <c r="A18160">
        <v>18159</v>
      </c>
      <c r="B18160" t="s">
        <v>0</v>
      </c>
      <c r="C18160">
        <v>68</v>
      </c>
      <c r="D18160">
        <v>3513</v>
      </c>
      <c r="E18160">
        <v>80811758</v>
      </c>
    </row>
    <row r="18161" spans="1:6" x14ac:dyDescent="0.25">
      <c r="A18161">
        <v>18160</v>
      </c>
      <c r="B18161">
        <v>44</v>
      </c>
      <c r="C18161">
        <v>0</v>
      </c>
      <c r="D18161">
        <v>0</v>
      </c>
      <c r="E18161">
        <v>0</v>
      </c>
      <c r="F18161">
        <v>51.458100000000002</v>
      </c>
    </row>
    <row r="18162" spans="1:6" x14ac:dyDescent="0.25">
      <c r="A18162">
        <v>18161</v>
      </c>
      <c r="B18162" t="s">
        <v>0</v>
      </c>
      <c r="C18162">
        <v>69</v>
      </c>
      <c r="D18162">
        <v>3513</v>
      </c>
      <c r="E18162">
        <v>80811892</v>
      </c>
    </row>
    <row r="18163" spans="1:6" x14ac:dyDescent="0.25">
      <c r="A18163">
        <v>18162</v>
      </c>
      <c r="B18163">
        <v>46</v>
      </c>
      <c r="C18163">
        <v>0</v>
      </c>
      <c r="D18163">
        <v>0</v>
      </c>
      <c r="E18163">
        <v>0</v>
      </c>
      <c r="F18163">
        <v>0</v>
      </c>
    </row>
    <row r="18164" spans="1:6" x14ac:dyDescent="0.25">
      <c r="A18164">
        <v>18163</v>
      </c>
      <c r="B18164" t="s">
        <v>0</v>
      </c>
      <c r="C18164">
        <v>70</v>
      </c>
      <c r="D18164">
        <v>3513</v>
      </c>
      <c r="E18164">
        <v>80812026</v>
      </c>
    </row>
    <row r="18165" spans="1:6" x14ac:dyDescent="0.25">
      <c r="A18165">
        <v>18164</v>
      </c>
      <c r="B18165">
        <v>10</v>
      </c>
      <c r="C18165">
        <v>1</v>
      </c>
      <c r="D18165">
        <v>0</v>
      </c>
      <c r="E18165">
        <v>0</v>
      </c>
      <c r="F18165">
        <v>5296</v>
      </c>
    </row>
    <row r="18166" spans="1:6" x14ac:dyDescent="0.25">
      <c r="A18166">
        <v>18165</v>
      </c>
      <c r="B18166" t="s">
        <v>0</v>
      </c>
      <c r="C18166">
        <v>71</v>
      </c>
      <c r="D18166">
        <v>3513</v>
      </c>
      <c r="E18166">
        <v>80812160</v>
      </c>
    </row>
    <row r="18167" spans="1:6" x14ac:dyDescent="0.25">
      <c r="A18167">
        <v>18166</v>
      </c>
      <c r="B18167">
        <v>41</v>
      </c>
      <c r="C18167">
        <v>0</v>
      </c>
      <c r="D18167">
        <v>0</v>
      </c>
      <c r="E18167">
        <v>0</v>
      </c>
      <c r="F18167">
        <v>1</v>
      </c>
    </row>
    <row r="18168" spans="1:6" x14ac:dyDescent="0.25">
      <c r="A18168">
        <v>18167</v>
      </c>
      <c r="B18168" t="s">
        <v>0</v>
      </c>
      <c r="C18168">
        <v>72</v>
      </c>
      <c r="D18168">
        <v>3513</v>
      </c>
      <c r="E18168">
        <v>80812294</v>
      </c>
    </row>
    <row r="18169" spans="1:6" x14ac:dyDescent="0.25">
      <c r="A18169">
        <v>18168</v>
      </c>
      <c r="B18169">
        <v>43</v>
      </c>
      <c r="C18169">
        <v>0</v>
      </c>
      <c r="D18169">
        <v>0</v>
      </c>
      <c r="E18169">
        <v>0</v>
      </c>
      <c r="F18169">
        <v>0</v>
      </c>
    </row>
    <row r="18170" spans="1:6" x14ac:dyDescent="0.25">
      <c r="A18170">
        <v>18169</v>
      </c>
      <c r="B18170" t="s">
        <v>0</v>
      </c>
      <c r="C18170">
        <v>73</v>
      </c>
      <c r="D18170">
        <v>3513</v>
      </c>
      <c r="E18170">
        <v>80812427</v>
      </c>
    </row>
    <row r="18171" spans="1:6" x14ac:dyDescent="0.25">
      <c r="A18171">
        <v>18170</v>
      </c>
      <c r="B18171">
        <v>45</v>
      </c>
      <c r="C18171">
        <v>0</v>
      </c>
      <c r="D18171">
        <v>0</v>
      </c>
      <c r="E18171">
        <v>0</v>
      </c>
      <c r="F18171">
        <v>536.49800000000005</v>
      </c>
    </row>
    <row r="18172" spans="1:6" x14ac:dyDescent="0.25">
      <c r="A18172">
        <v>18171</v>
      </c>
      <c r="B18172" t="s">
        <v>0</v>
      </c>
      <c r="C18172">
        <v>74</v>
      </c>
      <c r="D18172">
        <v>3513</v>
      </c>
      <c r="E18172">
        <v>80812560</v>
      </c>
    </row>
    <row r="18173" spans="1:6" x14ac:dyDescent="0.25">
      <c r="A18173">
        <v>18172</v>
      </c>
      <c r="B18173">
        <v>2</v>
      </c>
      <c r="C18173">
        <v>0</v>
      </c>
      <c r="D18173">
        <v>0</v>
      </c>
      <c r="E18173">
        <v>0</v>
      </c>
      <c r="F18173">
        <v>248.56200000000001</v>
      </c>
    </row>
    <row r="18174" spans="1:6" x14ac:dyDescent="0.25">
      <c r="A18174">
        <v>18173</v>
      </c>
      <c r="B18174" t="s">
        <v>0</v>
      </c>
      <c r="C18174">
        <v>75</v>
      </c>
      <c r="D18174">
        <v>3513</v>
      </c>
      <c r="E18174">
        <v>80812693</v>
      </c>
    </row>
    <row r="18175" spans="1:6" x14ac:dyDescent="0.25">
      <c r="A18175">
        <v>18174</v>
      </c>
      <c r="B18175">
        <v>13</v>
      </c>
      <c r="C18175">
        <v>0</v>
      </c>
      <c r="D18175">
        <v>0</v>
      </c>
      <c r="E18175">
        <v>0</v>
      </c>
      <c r="F18175">
        <v>1617</v>
      </c>
    </row>
    <row r="18176" spans="1:6" x14ac:dyDescent="0.25">
      <c r="A18176">
        <v>18175</v>
      </c>
      <c r="B18176" t="s">
        <v>0</v>
      </c>
      <c r="C18176">
        <v>76</v>
      </c>
      <c r="D18176">
        <v>3513</v>
      </c>
      <c r="E18176">
        <v>80812827</v>
      </c>
    </row>
    <row r="18177" spans="1:6" x14ac:dyDescent="0.25">
      <c r="A18177">
        <v>18176</v>
      </c>
      <c r="B18177">
        <v>42</v>
      </c>
      <c r="C18177">
        <v>0</v>
      </c>
      <c r="D18177">
        <v>0</v>
      </c>
      <c r="E18177">
        <v>0</v>
      </c>
      <c r="F18177">
        <v>0.2</v>
      </c>
    </row>
    <row r="18178" spans="1:6" x14ac:dyDescent="0.25">
      <c r="A18178">
        <v>18177</v>
      </c>
      <c r="B18178" t="s">
        <v>0</v>
      </c>
      <c r="C18178">
        <v>77</v>
      </c>
      <c r="D18178">
        <v>3513</v>
      </c>
      <c r="E18178">
        <v>80812961</v>
      </c>
    </row>
    <row r="18179" spans="1:6" x14ac:dyDescent="0.25">
      <c r="A18179">
        <v>18178</v>
      </c>
      <c r="B18179">
        <v>44</v>
      </c>
      <c r="C18179">
        <v>0</v>
      </c>
      <c r="D18179">
        <v>0</v>
      </c>
      <c r="E18179">
        <v>0</v>
      </c>
      <c r="F18179">
        <v>51.429400000000001</v>
      </c>
    </row>
    <row r="18180" spans="1:6" x14ac:dyDescent="0.25">
      <c r="A18180">
        <v>18179</v>
      </c>
      <c r="B18180" t="s">
        <v>0</v>
      </c>
      <c r="C18180">
        <v>78</v>
      </c>
      <c r="D18180">
        <v>3513</v>
      </c>
      <c r="E18180">
        <v>80813095</v>
      </c>
    </row>
    <row r="18181" spans="1:6" x14ac:dyDescent="0.25">
      <c r="A18181">
        <v>18180</v>
      </c>
      <c r="B18181">
        <v>46</v>
      </c>
      <c r="C18181">
        <v>0</v>
      </c>
      <c r="D18181">
        <v>0</v>
      </c>
      <c r="E18181">
        <v>0</v>
      </c>
      <c r="F18181">
        <v>0</v>
      </c>
    </row>
    <row r="18182" spans="1:6" x14ac:dyDescent="0.25">
      <c r="A18182">
        <v>18181</v>
      </c>
      <c r="B18182" t="s">
        <v>0</v>
      </c>
      <c r="C18182">
        <v>79</v>
      </c>
      <c r="D18182">
        <v>3513</v>
      </c>
      <c r="E18182">
        <v>80813229</v>
      </c>
    </row>
    <row r="18183" spans="1:6" x14ac:dyDescent="0.25">
      <c r="A18183">
        <v>18182</v>
      </c>
      <c r="B18183">
        <v>10</v>
      </c>
      <c r="C18183">
        <v>1</v>
      </c>
      <c r="D18183">
        <v>0</v>
      </c>
      <c r="E18183">
        <v>0</v>
      </c>
      <c r="F18183">
        <v>5296</v>
      </c>
    </row>
    <row r="18184" spans="1:6" x14ac:dyDescent="0.25">
      <c r="A18184">
        <v>18183</v>
      </c>
      <c r="B18184" t="s">
        <v>0</v>
      </c>
      <c r="C18184">
        <v>80</v>
      </c>
      <c r="D18184">
        <v>3513</v>
      </c>
      <c r="E18184">
        <v>80813363</v>
      </c>
    </row>
    <row r="18185" spans="1:6" x14ac:dyDescent="0.25">
      <c r="A18185">
        <v>18184</v>
      </c>
      <c r="B18185">
        <v>41</v>
      </c>
      <c r="C18185">
        <v>0</v>
      </c>
      <c r="D18185">
        <v>0</v>
      </c>
      <c r="E18185">
        <v>0</v>
      </c>
      <c r="F18185">
        <v>1</v>
      </c>
    </row>
    <row r="18186" spans="1:6" x14ac:dyDescent="0.25">
      <c r="A18186">
        <v>18185</v>
      </c>
      <c r="B18186" t="s">
        <v>0</v>
      </c>
      <c r="C18186">
        <v>81</v>
      </c>
      <c r="D18186">
        <v>3513</v>
      </c>
      <c r="E18186">
        <v>80813496</v>
      </c>
    </row>
    <row r="18187" spans="1:6" x14ac:dyDescent="0.25">
      <c r="A18187">
        <v>18186</v>
      </c>
      <c r="B18187">
        <v>43</v>
      </c>
      <c r="C18187">
        <v>0</v>
      </c>
      <c r="D18187">
        <v>0</v>
      </c>
      <c r="E18187">
        <v>0</v>
      </c>
      <c r="F18187">
        <v>0</v>
      </c>
    </row>
    <row r="18188" spans="1:6" x14ac:dyDescent="0.25">
      <c r="A18188">
        <v>18187</v>
      </c>
      <c r="B18188" t="s">
        <v>0</v>
      </c>
      <c r="C18188">
        <v>82</v>
      </c>
      <c r="D18188">
        <v>3513</v>
      </c>
      <c r="E18188">
        <v>80813629</v>
      </c>
    </row>
    <row r="18189" spans="1:6" x14ac:dyDescent="0.25">
      <c r="A18189">
        <v>18188</v>
      </c>
      <c r="B18189">
        <v>45</v>
      </c>
      <c r="C18189">
        <v>0</v>
      </c>
      <c r="D18189">
        <v>0</v>
      </c>
      <c r="E18189">
        <v>0</v>
      </c>
      <c r="F18189">
        <v>536.62199999999996</v>
      </c>
    </row>
    <row r="18190" spans="1:6" x14ac:dyDescent="0.25">
      <c r="A18190">
        <v>18189</v>
      </c>
      <c r="B18190" t="s">
        <v>0</v>
      </c>
      <c r="C18190">
        <v>83</v>
      </c>
      <c r="D18190">
        <v>3513</v>
      </c>
      <c r="E18190">
        <v>80813762</v>
      </c>
    </row>
    <row r="18191" spans="1:6" x14ac:dyDescent="0.25">
      <c r="A18191">
        <v>18190</v>
      </c>
      <c r="B18191">
        <v>2</v>
      </c>
      <c r="C18191">
        <v>0</v>
      </c>
      <c r="D18191">
        <v>0</v>
      </c>
      <c r="E18191">
        <v>0</v>
      </c>
      <c r="F18191">
        <v>248.583</v>
      </c>
    </row>
    <row r="18192" spans="1:6" x14ac:dyDescent="0.25">
      <c r="A18192">
        <v>18191</v>
      </c>
      <c r="B18192" t="s">
        <v>0</v>
      </c>
      <c r="C18192">
        <v>84</v>
      </c>
      <c r="D18192">
        <v>3513</v>
      </c>
      <c r="E18192">
        <v>80813896</v>
      </c>
    </row>
    <row r="18193" spans="1:6" x14ac:dyDescent="0.25">
      <c r="A18193">
        <v>18192</v>
      </c>
      <c r="B18193">
        <v>13</v>
      </c>
      <c r="C18193">
        <v>0</v>
      </c>
      <c r="D18193">
        <v>0</v>
      </c>
      <c r="E18193">
        <v>0</v>
      </c>
      <c r="F18193">
        <v>1617</v>
      </c>
    </row>
    <row r="18194" spans="1:6" x14ac:dyDescent="0.25">
      <c r="A18194">
        <v>18193</v>
      </c>
      <c r="B18194" t="s">
        <v>0</v>
      </c>
      <c r="C18194">
        <v>85</v>
      </c>
      <c r="D18194">
        <v>3513</v>
      </c>
      <c r="E18194">
        <v>80814030</v>
      </c>
    </row>
    <row r="18195" spans="1:6" x14ac:dyDescent="0.25">
      <c r="A18195">
        <v>18194</v>
      </c>
      <c r="B18195">
        <v>42</v>
      </c>
      <c r="C18195">
        <v>0</v>
      </c>
      <c r="D18195">
        <v>0</v>
      </c>
      <c r="E18195">
        <v>0</v>
      </c>
      <c r="F18195">
        <v>0.2</v>
      </c>
    </row>
    <row r="18196" spans="1:6" x14ac:dyDescent="0.25">
      <c r="A18196">
        <v>18195</v>
      </c>
      <c r="B18196" t="s">
        <v>0</v>
      </c>
      <c r="C18196">
        <v>86</v>
      </c>
      <c r="D18196">
        <v>3513</v>
      </c>
      <c r="E18196">
        <v>80814163</v>
      </c>
    </row>
    <row r="18197" spans="1:6" x14ac:dyDescent="0.25">
      <c r="A18197">
        <v>18196</v>
      </c>
      <c r="B18197">
        <v>44</v>
      </c>
      <c r="C18197">
        <v>0</v>
      </c>
      <c r="D18197">
        <v>0</v>
      </c>
      <c r="E18197">
        <v>0</v>
      </c>
      <c r="F18197">
        <v>51.3752</v>
      </c>
    </row>
    <row r="18198" spans="1:6" x14ac:dyDescent="0.25">
      <c r="A18198">
        <v>18197</v>
      </c>
      <c r="B18198" t="s">
        <v>0</v>
      </c>
      <c r="C18198">
        <v>87</v>
      </c>
      <c r="D18198">
        <v>3513</v>
      </c>
      <c r="E18198">
        <v>80814296</v>
      </c>
    </row>
    <row r="18199" spans="1:6" x14ac:dyDescent="0.25">
      <c r="A18199">
        <v>18198</v>
      </c>
      <c r="B18199">
        <v>46</v>
      </c>
      <c r="C18199">
        <v>0</v>
      </c>
      <c r="D18199">
        <v>0</v>
      </c>
      <c r="E18199">
        <v>0</v>
      </c>
      <c r="F18199">
        <v>0</v>
      </c>
    </row>
    <row r="18200" spans="1:6" x14ac:dyDescent="0.25">
      <c r="A18200">
        <v>18199</v>
      </c>
      <c r="B18200" t="s">
        <v>0</v>
      </c>
      <c r="C18200">
        <v>88</v>
      </c>
      <c r="D18200">
        <v>3513</v>
      </c>
      <c r="E18200">
        <v>80814429</v>
      </c>
    </row>
    <row r="18201" spans="1:6" x14ac:dyDescent="0.25">
      <c r="A18201">
        <v>18200</v>
      </c>
      <c r="B18201">
        <v>10</v>
      </c>
      <c r="C18201">
        <v>1</v>
      </c>
      <c r="D18201">
        <v>0</v>
      </c>
      <c r="E18201">
        <v>0</v>
      </c>
      <c r="F18201">
        <v>5295</v>
      </c>
    </row>
    <row r="18202" spans="1:6" x14ac:dyDescent="0.25">
      <c r="A18202">
        <v>18201</v>
      </c>
      <c r="B18202" t="s">
        <v>0</v>
      </c>
      <c r="C18202">
        <v>89</v>
      </c>
      <c r="D18202">
        <v>3513</v>
      </c>
      <c r="E18202">
        <v>80814562</v>
      </c>
    </row>
    <row r="18203" spans="1:6" x14ac:dyDescent="0.25">
      <c r="A18203">
        <v>18202</v>
      </c>
      <c r="B18203">
        <v>41</v>
      </c>
      <c r="C18203">
        <v>0</v>
      </c>
      <c r="D18203">
        <v>0</v>
      </c>
      <c r="E18203">
        <v>0</v>
      </c>
      <c r="F18203">
        <v>1</v>
      </c>
    </row>
    <row r="18204" spans="1:6" x14ac:dyDescent="0.25">
      <c r="A18204">
        <v>18203</v>
      </c>
      <c r="B18204" t="s">
        <v>0</v>
      </c>
      <c r="C18204">
        <v>90</v>
      </c>
      <c r="D18204">
        <v>3513</v>
      </c>
      <c r="E18204">
        <v>80814695</v>
      </c>
    </row>
    <row r="18205" spans="1:6" x14ac:dyDescent="0.25">
      <c r="A18205">
        <v>18204</v>
      </c>
      <c r="B18205">
        <v>43</v>
      </c>
      <c r="C18205">
        <v>0</v>
      </c>
      <c r="D18205">
        <v>0</v>
      </c>
      <c r="E18205">
        <v>0</v>
      </c>
      <c r="F18205">
        <v>0</v>
      </c>
    </row>
    <row r="18206" spans="1:6" x14ac:dyDescent="0.25">
      <c r="A18206">
        <v>18205</v>
      </c>
      <c r="B18206" t="s">
        <v>0</v>
      </c>
      <c r="C18206">
        <v>91</v>
      </c>
      <c r="D18206">
        <v>3513</v>
      </c>
      <c r="E18206">
        <v>80814828</v>
      </c>
    </row>
    <row r="18207" spans="1:6" x14ac:dyDescent="0.25">
      <c r="A18207">
        <v>18206</v>
      </c>
      <c r="B18207">
        <v>45</v>
      </c>
      <c r="C18207">
        <v>0</v>
      </c>
      <c r="D18207">
        <v>0</v>
      </c>
      <c r="E18207">
        <v>0</v>
      </c>
      <c r="F18207">
        <v>536.74599999999998</v>
      </c>
    </row>
    <row r="18208" spans="1:6" x14ac:dyDescent="0.25">
      <c r="A18208">
        <v>18207</v>
      </c>
      <c r="B18208" t="s">
        <v>0</v>
      </c>
      <c r="C18208">
        <v>92</v>
      </c>
      <c r="D18208">
        <v>3513</v>
      </c>
      <c r="E18208">
        <v>80814961</v>
      </c>
    </row>
    <row r="18209" spans="1:6" x14ac:dyDescent="0.25">
      <c r="A18209">
        <v>18208</v>
      </c>
      <c r="B18209">
        <v>2</v>
      </c>
      <c r="C18209">
        <v>0</v>
      </c>
      <c r="D18209">
        <v>0</v>
      </c>
      <c r="E18209">
        <v>0</v>
      </c>
      <c r="F18209">
        <v>248.72200000000001</v>
      </c>
    </row>
    <row r="18210" spans="1:6" x14ac:dyDescent="0.25">
      <c r="A18210">
        <v>18209</v>
      </c>
      <c r="B18210" t="s">
        <v>0</v>
      </c>
      <c r="C18210">
        <v>93</v>
      </c>
      <c r="D18210">
        <v>3513</v>
      </c>
      <c r="E18210">
        <v>80815094</v>
      </c>
    </row>
    <row r="18211" spans="1:6" x14ac:dyDescent="0.25">
      <c r="A18211">
        <v>18210</v>
      </c>
      <c r="B18211">
        <v>13</v>
      </c>
      <c r="C18211">
        <v>0</v>
      </c>
      <c r="D18211">
        <v>0</v>
      </c>
      <c r="E18211">
        <v>0</v>
      </c>
      <c r="F18211">
        <v>1617</v>
      </c>
    </row>
    <row r="18212" spans="1:6" x14ac:dyDescent="0.25">
      <c r="A18212">
        <v>18211</v>
      </c>
      <c r="B18212" t="s">
        <v>0</v>
      </c>
      <c r="C18212">
        <v>94</v>
      </c>
      <c r="D18212">
        <v>3513</v>
      </c>
      <c r="E18212">
        <v>80815227</v>
      </c>
    </row>
    <row r="18213" spans="1:6" x14ac:dyDescent="0.25">
      <c r="A18213">
        <v>18212</v>
      </c>
      <c r="B18213">
        <v>42</v>
      </c>
      <c r="C18213">
        <v>0</v>
      </c>
      <c r="D18213">
        <v>0</v>
      </c>
      <c r="E18213">
        <v>0</v>
      </c>
      <c r="F18213">
        <v>0.2</v>
      </c>
    </row>
    <row r="18214" spans="1:6" x14ac:dyDescent="0.25">
      <c r="A18214">
        <v>18213</v>
      </c>
      <c r="B18214" t="s">
        <v>0</v>
      </c>
      <c r="C18214">
        <v>95</v>
      </c>
      <c r="D18214">
        <v>3513</v>
      </c>
      <c r="E18214">
        <v>80815361</v>
      </c>
    </row>
    <row r="18215" spans="1:6" x14ac:dyDescent="0.25">
      <c r="A18215">
        <v>18214</v>
      </c>
      <c r="B18215">
        <v>44</v>
      </c>
      <c r="C18215">
        <v>0</v>
      </c>
      <c r="D18215">
        <v>0</v>
      </c>
      <c r="E18215">
        <v>0</v>
      </c>
      <c r="F18215">
        <v>51.24</v>
      </c>
    </row>
    <row r="18216" spans="1:6" x14ac:dyDescent="0.25">
      <c r="A18216">
        <v>18215</v>
      </c>
      <c r="B18216" t="s">
        <v>0</v>
      </c>
      <c r="C18216">
        <v>96</v>
      </c>
      <c r="D18216">
        <v>3513</v>
      </c>
      <c r="E18216">
        <v>80815494</v>
      </c>
    </row>
    <row r="18217" spans="1:6" x14ac:dyDescent="0.25">
      <c r="A18217">
        <v>18216</v>
      </c>
      <c r="B18217">
        <v>46</v>
      </c>
      <c r="C18217">
        <v>0</v>
      </c>
      <c r="D18217">
        <v>0</v>
      </c>
      <c r="E18217">
        <v>0</v>
      </c>
      <c r="F18217">
        <v>0</v>
      </c>
    </row>
    <row r="18218" spans="1:6" x14ac:dyDescent="0.25">
      <c r="A18218">
        <v>18217</v>
      </c>
      <c r="B18218" t="s">
        <v>0</v>
      </c>
      <c r="C18218">
        <v>97</v>
      </c>
      <c r="D18218">
        <v>3513</v>
      </c>
      <c r="E18218">
        <v>80815628</v>
      </c>
    </row>
    <row r="18219" spans="1:6" x14ac:dyDescent="0.25">
      <c r="A18219">
        <v>18218</v>
      </c>
      <c r="B18219">
        <v>10</v>
      </c>
      <c r="C18219">
        <v>1</v>
      </c>
      <c r="D18219">
        <v>0</v>
      </c>
      <c r="E18219">
        <v>0</v>
      </c>
      <c r="F18219">
        <v>5292</v>
      </c>
    </row>
    <row r="18220" spans="1:6" x14ac:dyDescent="0.25">
      <c r="A18220">
        <v>18219</v>
      </c>
      <c r="B18220" t="s">
        <v>0</v>
      </c>
      <c r="C18220">
        <v>98</v>
      </c>
      <c r="D18220">
        <v>3513</v>
      </c>
      <c r="E18220">
        <v>80815762</v>
      </c>
    </row>
    <row r="18221" spans="1:6" x14ac:dyDescent="0.25">
      <c r="A18221">
        <v>18220</v>
      </c>
      <c r="B18221">
        <v>41</v>
      </c>
      <c r="C18221">
        <v>0</v>
      </c>
      <c r="D18221">
        <v>0</v>
      </c>
      <c r="E18221">
        <v>0</v>
      </c>
      <c r="F18221">
        <v>1</v>
      </c>
    </row>
    <row r="18222" spans="1:6" x14ac:dyDescent="0.25">
      <c r="A18222">
        <v>18221</v>
      </c>
      <c r="B18222" t="s">
        <v>0</v>
      </c>
      <c r="C18222">
        <v>99</v>
      </c>
      <c r="D18222">
        <v>3513</v>
      </c>
      <c r="E18222">
        <v>80815896</v>
      </c>
    </row>
    <row r="18223" spans="1:6" x14ac:dyDescent="0.25">
      <c r="A18223">
        <v>18222</v>
      </c>
      <c r="B18223">
        <v>43</v>
      </c>
      <c r="C18223">
        <v>0</v>
      </c>
      <c r="D18223">
        <v>0</v>
      </c>
      <c r="E18223">
        <v>0</v>
      </c>
      <c r="F18223">
        <v>0</v>
      </c>
    </row>
    <row r="18224" spans="1:6" x14ac:dyDescent="0.25">
      <c r="A18224">
        <v>18223</v>
      </c>
      <c r="B18224" t="s">
        <v>0</v>
      </c>
      <c r="C18224">
        <v>100</v>
      </c>
      <c r="D18224">
        <v>3513</v>
      </c>
      <c r="E18224">
        <v>80816029</v>
      </c>
    </row>
    <row r="18225" spans="1:6" x14ac:dyDescent="0.25">
      <c r="A18225">
        <v>18224</v>
      </c>
      <c r="B18225">
        <v>45</v>
      </c>
      <c r="C18225">
        <v>0</v>
      </c>
      <c r="D18225">
        <v>0</v>
      </c>
      <c r="E18225">
        <v>0</v>
      </c>
      <c r="F18225">
        <v>536.87</v>
      </c>
    </row>
    <row r="18226" spans="1:6" x14ac:dyDescent="0.25">
      <c r="A18226">
        <v>18225</v>
      </c>
      <c r="B18226" t="s">
        <v>0</v>
      </c>
      <c r="C18226">
        <v>101</v>
      </c>
      <c r="D18226">
        <v>3513</v>
      </c>
      <c r="E18226">
        <v>80816162</v>
      </c>
    </row>
    <row r="18227" spans="1:6" x14ac:dyDescent="0.25">
      <c r="A18227">
        <v>18226</v>
      </c>
      <c r="B18227">
        <v>2</v>
      </c>
      <c r="C18227">
        <v>0</v>
      </c>
      <c r="D18227">
        <v>0</v>
      </c>
      <c r="E18227">
        <v>0</v>
      </c>
      <c r="F18227">
        <v>248.821</v>
      </c>
    </row>
    <row r="18228" spans="1:6" x14ac:dyDescent="0.25">
      <c r="A18228">
        <v>18227</v>
      </c>
      <c r="B18228" t="s">
        <v>0</v>
      </c>
      <c r="C18228">
        <v>102</v>
      </c>
      <c r="D18228">
        <v>3513</v>
      </c>
      <c r="E18228">
        <v>80816295</v>
      </c>
    </row>
    <row r="18229" spans="1:6" x14ac:dyDescent="0.25">
      <c r="A18229">
        <v>18228</v>
      </c>
      <c r="B18229">
        <v>13</v>
      </c>
      <c r="C18229">
        <v>0</v>
      </c>
      <c r="D18229">
        <v>0</v>
      </c>
      <c r="E18229">
        <v>0</v>
      </c>
      <c r="F18229">
        <v>1617</v>
      </c>
    </row>
    <row r="18230" spans="1:6" x14ac:dyDescent="0.25">
      <c r="A18230">
        <v>18229</v>
      </c>
      <c r="B18230" t="s">
        <v>0</v>
      </c>
      <c r="C18230">
        <v>103</v>
      </c>
      <c r="D18230">
        <v>3513</v>
      </c>
      <c r="E18230">
        <v>80816428</v>
      </c>
    </row>
    <row r="18231" spans="1:6" x14ac:dyDescent="0.25">
      <c r="A18231">
        <v>18230</v>
      </c>
      <c r="B18231">
        <v>42</v>
      </c>
      <c r="C18231">
        <v>0</v>
      </c>
      <c r="D18231">
        <v>0</v>
      </c>
      <c r="E18231">
        <v>0</v>
      </c>
      <c r="F18231">
        <v>0.2</v>
      </c>
    </row>
    <row r="18232" spans="1:6" x14ac:dyDescent="0.25">
      <c r="A18232">
        <v>18231</v>
      </c>
      <c r="B18232" t="s">
        <v>0</v>
      </c>
      <c r="C18232">
        <v>104</v>
      </c>
      <c r="D18232">
        <v>3513</v>
      </c>
      <c r="E18232">
        <v>80816561</v>
      </c>
    </row>
    <row r="18233" spans="1:6" x14ac:dyDescent="0.25">
      <c r="A18233">
        <v>18232</v>
      </c>
      <c r="B18233">
        <v>44</v>
      </c>
      <c r="C18233">
        <v>0</v>
      </c>
      <c r="D18233">
        <v>0</v>
      </c>
      <c r="E18233">
        <v>0</v>
      </c>
      <c r="F18233">
        <v>51.154899999999998</v>
      </c>
    </row>
    <row r="18234" spans="1:6" x14ac:dyDescent="0.25">
      <c r="A18234">
        <v>18233</v>
      </c>
      <c r="B18234" t="s">
        <v>0</v>
      </c>
      <c r="C18234">
        <v>105</v>
      </c>
      <c r="D18234">
        <v>3513</v>
      </c>
      <c r="E18234">
        <v>80816694</v>
      </c>
    </row>
    <row r="18235" spans="1:6" x14ac:dyDescent="0.25">
      <c r="A18235">
        <v>18234</v>
      </c>
      <c r="B18235">
        <v>46</v>
      </c>
      <c r="C18235">
        <v>0</v>
      </c>
      <c r="D18235">
        <v>0</v>
      </c>
      <c r="E18235">
        <v>0</v>
      </c>
      <c r="F18235">
        <v>0</v>
      </c>
    </row>
    <row r="18236" spans="1:6" x14ac:dyDescent="0.25">
      <c r="A18236">
        <v>18235</v>
      </c>
      <c r="B18236" t="s">
        <v>0</v>
      </c>
      <c r="C18236">
        <v>106</v>
      </c>
      <c r="D18236">
        <v>3513</v>
      </c>
      <c r="E18236">
        <v>80816827</v>
      </c>
    </row>
    <row r="18237" spans="1:6" x14ac:dyDescent="0.25">
      <c r="A18237">
        <v>18236</v>
      </c>
      <c r="B18237">
        <v>10</v>
      </c>
      <c r="C18237">
        <v>1</v>
      </c>
      <c r="D18237">
        <v>0</v>
      </c>
      <c r="E18237">
        <v>0</v>
      </c>
      <c r="F18237">
        <v>5291</v>
      </c>
    </row>
    <row r="18238" spans="1:6" x14ac:dyDescent="0.25">
      <c r="A18238">
        <v>18237</v>
      </c>
      <c r="B18238" t="s">
        <v>0</v>
      </c>
      <c r="C18238">
        <v>107</v>
      </c>
      <c r="D18238">
        <v>3513</v>
      </c>
      <c r="E18238">
        <v>80816960</v>
      </c>
    </row>
    <row r="18239" spans="1:6" x14ac:dyDescent="0.25">
      <c r="A18239">
        <v>18238</v>
      </c>
      <c r="B18239">
        <v>41</v>
      </c>
      <c r="C18239">
        <v>0</v>
      </c>
      <c r="D18239">
        <v>0</v>
      </c>
      <c r="E18239">
        <v>0</v>
      </c>
      <c r="F18239">
        <v>1</v>
      </c>
    </row>
    <row r="18240" spans="1:6" x14ac:dyDescent="0.25">
      <c r="A18240">
        <v>18239</v>
      </c>
      <c r="B18240" t="s">
        <v>0</v>
      </c>
      <c r="C18240">
        <v>108</v>
      </c>
      <c r="D18240">
        <v>3513</v>
      </c>
      <c r="E18240">
        <v>80817093</v>
      </c>
    </row>
    <row r="18241" spans="1:6" x14ac:dyDescent="0.25">
      <c r="A18241">
        <v>18240</v>
      </c>
      <c r="B18241">
        <v>43</v>
      </c>
      <c r="C18241">
        <v>0</v>
      </c>
      <c r="D18241">
        <v>0</v>
      </c>
      <c r="E18241">
        <v>0</v>
      </c>
      <c r="F18241">
        <v>0</v>
      </c>
    </row>
    <row r="18242" spans="1:6" x14ac:dyDescent="0.25">
      <c r="A18242">
        <v>18241</v>
      </c>
      <c r="B18242" t="s">
        <v>0</v>
      </c>
      <c r="C18242">
        <v>109</v>
      </c>
      <c r="D18242">
        <v>3513</v>
      </c>
      <c r="E18242">
        <v>80817227</v>
      </c>
    </row>
    <row r="18243" spans="1:6" x14ac:dyDescent="0.25">
      <c r="A18243">
        <v>18242</v>
      </c>
      <c r="B18243">
        <v>45</v>
      </c>
      <c r="C18243">
        <v>0</v>
      </c>
      <c r="D18243">
        <v>0</v>
      </c>
      <c r="E18243">
        <v>0</v>
      </c>
      <c r="F18243">
        <v>536.99300000000005</v>
      </c>
    </row>
    <row r="18244" spans="1:6" x14ac:dyDescent="0.25">
      <c r="A18244">
        <v>18243</v>
      </c>
      <c r="B18244" t="s">
        <v>0</v>
      </c>
      <c r="C18244">
        <v>110</v>
      </c>
      <c r="D18244">
        <v>3513</v>
      </c>
      <c r="E18244">
        <v>80817361</v>
      </c>
    </row>
    <row r="18245" spans="1:6" x14ac:dyDescent="0.25">
      <c r="A18245">
        <v>18244</v>
      </c>
      <c r="B18245">
        <v>2</v>
      </c>
      <c r="C18245">
        <v>0</v>
      </c>
      <c r="D18245">
        <v>0</v>
      </c>
      <c r="E18245">
        <v>0</v>
      </c>
      <c r="F18245">
        <v>248.88300000000001</v>
      </c>
    </row>
    <row r="18246" spans="1:6" x14ac:dyDescent="0.25">
      <c r="A18246">
        <v>18245</v>
      </c>
      <c r="B18246" t="s">
        <v>0</v>
      </c>
      <c r="C18246">
        <v>111</v>
      </c>
      <c r="D18246">
        <v>3513</v>
      </c>
      <c r="E18246">
        <v>80817494</v>
      </c>
    </row>
    <row r="18247" spans="1:6" x14ac:dyDescent="0.25">
      <c r="A18247">
        <v>18246</v>
      </c>
      <c r="B18247">
        <v>13</v>
      </c>
      <c r="C18247">
        <v>0</v>
      </c>
      <c r="D18247">
        <v>0</v>
      </c>
      <c r="E18247">
        <v>0</v>
      </c>
      <c r="F18247">
        <v>1617</v>
      </c>
    </row>
    <row r="18248" spans="1:6" x14ac:dyDescent="0.25">
      <c r="A18248">
        <v>18247</v>
      </c>
      <c r="B18248" t="s">
        <v>0</v>
      </c>
      <c r="C18248">
        <v>112</v>
      </c>
      <c r="D18248">
        <v>3513</v>
      </c>
      <c r="E18248">
        <v>80817628</v>
      </c>
    </row>
    <row r="18249" spans="1:6" x14ac:dyDescent="0.25">
      <c r="A18249">
        <v>18248</v>
      </c>
      <c r="B18249">
        <v>42</v>
      </c>
      <c r="C18249">
        <v>0</v>
      </c>
      <c r="D18249">
        <v>0</v>
      </c>
      <c r="E18249">
        <v>0</v>
      </c>
      <c r="F18249">
        <v>0.2</v>
      </c>
    </row>
    <row r="18250" spans="1:6" x14ac:dyDescent="0.25">
      <c r="A18250">
        <v>18249</v>
      </c>
      <c r="B18250" t="s">
        <v>0</v>
      </c>
      <c r="C18250">
        <v>113</v>
      </c>
      <c r="D18250">
        <v>3513</v>
      </c>
      <c r="E18250">
        <v>80817762</v>
      </c>
    </row>
    <row r="18251" spans="1:6" x14ac:dyDescent="0.25">
      <c r="A18251">
        <v>18250</v>
      </c>
      <c r="B18251">
        <v>44</v>
      </c>
      <c r="C18251">
        <v>0</v>
      </c>
      <c r="D18251">
        <v>0</v>
      </c>
      <c r="E18251">
        <v>0</v>
      </c>
      <c r="F18251">
        <v>51.101500000000001</v>
      </c>
    </row>
    <row r="18252" spans="1:6" x14ac:dyDescent="0.25">
      <c r="A18252">
        <v>18251</v>
      </c>
      <c r="B18252" t="s">
        <v>0</v>
      </c>
      <c r="C18252">
        <v>114</v>
      </c>
      <c r="D18252">
        <v>3513</v>
      </c>
      <c r="E18252">
        <v>80817896</v>
      </c>
    </row>
    <row r="18253" spans="1:6" x14ac:dyDescent="0.25">
      <c r="A18253">
        <v>18252</v>
      </c>
      <c r="B18253">
        <v>46</v>
      </c>
      <c r="C18253">
        <v>0</v>
      </c>
      <c r="D18253">
        <v>0</v>
      </c>
      <c r="E18253">
        <v>0</v>
      </c>
      <c r="F18253">
        <v>0</v>
      </c>
    </row>
    <row r="18254" spans="1:6" x14ac:dyDescent="0.25">
      <c r="A18254">
        <v>18253</v>
      </c>
      <c r="B18254" t="s">
        <v>0</v>
      </c>
      <c r="C18254">
        <v>115</v>
      </c>
      <c r="D18254">
        <v>3513</v>
      </c>
      <c r="E18254">
        <v>80818029</v>
      </c>
    </row>
    <row r="18255" spans="1:6" x14ac:dyDescent="0.25">
      <c r="A18255">
        <v>18254</v>
      </c>
      <c r="B18255">
        <v>10</v>
      </c>
      <c r="C18255">
        <v>1</v>
      </c>
      <c r="D18255">
        <v>0</v>
      </c>
      <c r="E18255">
        <v>0</v>
      </c>
      <c r="F18255">
        <v>5290</v>
      </c>
    </row>
    <row r="18256" spans="1:6" x14ac:dyDescent="0.25">
      <c r="A18256">
        <v>18255</v>
      </c>
      <c r="B18256" t="s">
        <v>0</v>
      </c>
      <c r="C18256">
        <v>116</v>
      </c>
      <c r="D18256">
        <v>3513</v>
      </c>
      <c r="E18256">
        <v>80818162</v>
      </c>
    </row>
    <row r="18257" spans="1:6" x14ac:dyDescent="0.25">
      <c r="A18257">
        <v>18256</v>
      </c>
      <c r="B18257">
        <v>41</v>
      </c>
      <c r="C18257">
        <v>0</v>
      </c>
      <c r="D18257">
        <v>0</v>
      </c>
      <c r="E18257">
        <v>0</v>
      </c>
      <c r="F18257">
        <v>1</v>
      </c>
    </row>
    <row r="18258" spans="1:6" x14ac:dyDescent="0.25">
      <c r="A18258">
        <v>18257</v>
      </c>
      <c r="B18258" t="s">
        <v>0</v>
      </c>
      <c r="C18258">
        <v>117</v>
      </c>
      <c r="D18258">
        <v>3513</v>
      </c>
      <c r="E18258">
        <v>80818295</v>
      </c>
    </row>
    <row r="18259" spans="1:6" x14ac:dyDescent="0.25">
      <c r="A18259">
        <v>18258</v>
      </c>
      <c r="B18259">
        <v>43</v>
      </c>
      <c r="C18259">
        <v>0</v>
      </c>
      <c r="D18259">
        <v>0</v>
      </c>
      <c r="E18259">
        <v>0</v>
      </c>
      <c r="F18259">
        <v>0</v>
      </c>
    </row>
    <row r="18260" spans="1:6" x14ac:dyDescent="0.25">
      <c r="A18260">
        <v>18259</v>
      </c>
      <c r="B18260" t="s">
        <v>0</v>
      </c>
      <c r="C18260">
        <v>118</v>
      </c>
      <c r="D18260">
        <v>3513</v>
      </c>
      <c r="E18260">
        <v>80818428</v>
      </c>
    </row>
    <row r="18261" spans="1:6" x14ac:dyDescent="0.25">
      <c r="A18261">
        <v>18260</v>
      </c>
      <c r="B18261">
        <v>45</v>
      </c>
      <c r="C18261">
        <v>0</v>
      </c>
      <c r="D18261">
        <v>0</v>
      </c>
      <c r="E18261">
        <v>0</v>
      </c>
      <c r="F18261">
        <v>537.11599999999999</v>
      </c>
    </row>
    <row r="18262" spans="1:6" x14ac:dyDescent="0.25">
      <c r="A18262">
        <v>18261</v>
      </c>
      <c r="B18262" t="s">
        <v>0</v>
      </c>
      <c r="C18262">
        <v>119</v>
      </c>
      <c r="D18262">
        <v>3513</v>
      </c>
      <c r="E18262">
        <v>80818561</v>
      </c>
    </row>
    <row r="18263" spans="1:6" x14ac:dyDescent="0.25">
      <c r="A18263">
        <v>18262</v>
      </c>
      <c r="B18263">
        <v>2</v>
      </c>
      <c r="C18263">
        <v>0</v>
      </c>
      <c r="D18263">
        <v>0</v>
      </c>
      <c r="E18263">
        <v>0</v>
      </c>
      <c r="F18263">
        <v>248.923</v>
      </c>
    </row>
    <row r="18264" spans="1:6" x14ac:dyDescent="0.25">
      <c r="A18264">
        <v>18263</v>
      </c>
      <c r="B18264" t="s">
        <v>0</v>
      </c>
      <c r="C18264">
        <v>120</v>
      </c>
      <c r="D18264">
        <v>3513</v>
      </c>
      <c r="E18264">
        <v>80818694</v>
      </c>
    </row>
    <row r="18265" spans="1:6" x14ac:dyDescent="0.25">
      <c r="A18265">
        <v>18264</v>
      </c>
      <c r="B18265">
        <v>13</v>
      </c>
      <c r="C18265">
        <v>0</v>
      </c>
      <c r="D18265">
        <v>0</v>
      </c>
      <c r="E18265">
        <v>0</v>
      </c>
      <c r="F18265">
        <v>1617</v>
      </c>
    </row>
    <row r="18266" spans="1:6" x14ac:dyDescent="0.25">
      <c r="A18266">
        <v>18265</v>
      </c>
      <c r="B18266" t="s">
        <v>0</v>
      </c>
      <c r="C18266">
        <v>121</v>
      </c>
      <c r="D18266">
        <v>3513</v>
      </c>
      <c r="E18266">
        <v>80818827</v>
      </c>
    </row>
    <row r="18267" spans="1:6" x14ac:dyDescent="0.25">
      <c r="A18267">
        <v>18266</v>
      </c>
      <c r="B18267">
        <v>42</v>
      </c>
      <c r="C18267">
        <v>0</v>
      </c>
      <c r="D18267">
        <v>0</v>
      </c>
      <c r="E18267">
        <v>0</v>
      </c>
      <c r="F18267">
        <v>0.2</v>
      </c>
    </row>
    <row r="18268" spans="1:6" x14ac:dyDescent="0.25">
      <c r="A18268">
        <v>18267</v>
      </c>
      <c r="B18268" t="s">
        <v>0</v>
      </c>
      <c r="C18268">
        <v>122</v>
      </c>
      <c r="D18268">
        <v>3513</v>
      </c>
      <c r="E18268">
        <v>80818960</v>
      </c>
    </row>
    <row r="18269" spans="1:6" x14ac:dyDescent="0.25">
      <c r="A18269">
        <v>18268</v>
      </c>
      <c r="B18269">
        <v>44</v>
      </c>
      <c r="C18269">
        <v>0</v>
      </c>
      <c r="D18269">
        <v>0</v>
      </c>
      <c r="E18269">
        <v>0</v>
      </c>
      <c r="F18269">
        <v>51.067399999999999</v>
      </c>
    </row>
    <row r="18270" spans="1:6" x14ac:dyDescent="0.25">
      <c r="A18270">
        <v>18269</v>
      </c>
      <c r="B18270" t="s">
        <v>0</v>
      </c>
      <c r="C18270">
        <v>123</v>
      </c>
      <c r="D18270">
        <v>3513</v>
      </c>
      <c r="E18270">
        <v>80819093</v>
      </c>
    </row>
    <row r="18271" spans="1:6" x14ac:dyDescent="0.25">
      <c r="A18271">
        <v>18270</v>
      </c>
      <c r="B18271">
        <v>46</v>
      </c>
      <c r="C18271">
        <v>0</v>
      </c>
      <c r="D18271">
        <v>0</v>
      </c>
      <c r="E18271">
        <v>0</v>
      </c>
      <c r="F18271">
        <v>0</v>
      </c>
    </row>
    <row r="18272" spans="1:6" x14ac:dyDescent="0.25">
      <c r="A18272">
        <v>18271</v>
      </c>
      <c r="B18272" t="s">
        <v>0</v>
      </c>
      <c r="C18272">
        <v>124</v>
      </c>
      <c r="D18272">
        <v>3513</v>
      </c>
      <c r="E18272">
        <v>80819227</v>
      </c>
    </row>
    <row r="18273" spans="1:6" x14ac:dyDescent="0.25">
      <c r="A18273">
        <v>18272</v>
      </c>
      <c r="B18273">
        <v>10</v>
      </c>
      <c r="C18273">
        <v>1</v>
      </c>
      <c r="D18273">
        <v>0</v>
      </c>
      <c r="E18273">
        <v>0</v>
      </c>
      <c r="F18273">
        <v>5290</v>
      </c>
    </row>
    <row r="18274" spans="1:6" x14ac:dyDescent="0.25">
      <c r="A18274">
        <v>18273</v>
      </c>
      <c r="B18274" t="s">
        <v>0</v>
      </c>
      <c r="C18274">
        <v>125</v>
      </c>
      <c r="D18274">
        <v>3513</v>
      </c>
      <c r="E18274">
        <v>80819361</v>
      </c>
    </row>
    <row r="18275" spans="1:6" x14ac:dyDescent="0.25">
      <c r="A18275">
        <v>18274</v>
      </c>
      <c r="B18275">
        <v>41</v>
      </c>
      <c r="C18275">
        <v>0</v>
      </c>
      <c r="D18275">
        <v>0</v>
      </c>
      <c r="E18275">
        <v>0</v>
      </c>
      <c r="F18275">
        <v>1</v>
      </c>
    </row>
    <row r="18276" spans="1:6" x14ac:dyDescent="0.25">
      <c r="A18276">
        <v>18275</v>
      </c>
      <c r="B18276" t="s">
        <v>0</v>
      </c>
      <c r="C18276">
        <v>126</v>
      </c>
      <c r="D18276">
        <v>3513</v>
      </c>
      <c r="E18276">
        <v>80819495</v>
      </c>
    </row>
    <row r="18277" spans="1:6" x14ac:dyDescent="0.25">
      <c r="A18277">
        <v>18276</v>
      </c>
      <c r="B18277">
        <v>43</v>
      </c>
      <c r="C18277">
        <v>0</v>
      </c>
      <c r="D18277">
        <v>0</v>
      </c>
      <c r="E18277">
        <v>0</v>
      </c>
      <c r="F18277">
        <v>0</v>
      </c>
    </row>
    <row r="18278" spans="1:6" x14ac:dyDescent="0.25">
      <c r="A18278">
        <v>18277</v>
      </c>
      <c r="B18278" t="s">
        <v>0</v>
      </c>
      <c r="C18278">
        <v>127</v>
      </c>
      <c r="D18278">
        <v>3513</v>
      </c>
      <c r="E18278">
        <v>80819629</v>
      </c>
    </row>
    <row r="18279" spans="1:6" x14ac:dyDescent="0.25">
      <c r="A18279">
        <v>18278</v>
      </c>
      <c r="B18279">
        <v>45</v>
      </c>
      <c r="C18279">
        <v>0</v>
      </c>
      <c r="D18279">
        <v>0</v>
      </c>
      <c r="E18279">
        <v>0</v>
      </c>
      <c r="F18279">
        <v>537.23900000000003</v>
      </c>
    </row>
    <row r="18280" spans="1:6" x14ac:dyDescent="0.25">
      <c r="A18280">
        <v>18279</v>
      </c>
      <c r="B18280" t="s">
        <v>0</v>
      </c>
      <c r="C18280">
        <v>128</v>
      </c>
      <c r="D18280">
        <v>3513</v>
      </c>
      <c r="E18280">
        <v>80819763</v>
      </c>
    </row>
    <row r="18281" spans="1:6" x14ac:dyDescent="0.25">
      <c r="A18281">
        <v>18280</v>
      </c>
      <c r="B18281">
        <v>2</v>
      </c>
      <c r="C18281">
        <v>0</v>
      </c>
      <c r="D18281">
        <v>0</v>
      </c>
      <c r="E18281">
        <v>0</v>
      </c>
      <c r="F18281">
        <v>248.94800000000001</v>
      </c>
    </row>
    <row r="18282" spans="1:6" x14ac:dyDescent="0.25">
      <c r="A18282">
        <v>18281</v>
      </c>
      <c r="B18282" t="s">
        <v>0</v>
      </c>
      <c r="C18282">
        <v>129</v>
      </c>
      <c r="D18282">
        <v>3513</v>
      </c>
      <c r="E18282">
        <v>80819897</v>
      </c>
    </row>
    <row r="18283" spans="1:6" x14ac:dyDescent="0.25">
      <c r="A18283">
        <v>18282</v>
      </c>
      <c r="B18283">
        <v>13</v>
      </c>
      <c r="C18283">
        <v>0</v>
      </c>
      <c r="D18283">
        <v>0</v>
      </c>
      <c r="E18283">
        <v>0</v>
      </c>
      <c r="F18283">
        <v>1617</v>
      </c>
    </row>
    <row r="18284" spans="1:6" x14ac:dyDescent="0.25">
      <c r="A18284">
        <v>18283</v>
      </c>
      <c r="B18284" t="s">
        <v>0</v>
      </c>
      <c r="C18284">
        <v>130</v>
      </c>
      <c r="D18284">
        <v>3513</v>
      </c>
      <c r="E18284">
        <v>80820030</v>
      </c>
    </row>
    <row r="18285" spans="1:6" x14ac:dyDescent="0.25">
      <c r="A18285">
        <v>18284</v>
      </c>
      <c r="B18285">
        <v>42</v>
      </c>
      <c r="C18285">
        <v>0</v>
      </c>
      <c r="D18285">
        <v>0</v>
      </c>
      <c r="E18285">
        <v>0</v>
      </c>
      <c r="F18285">
        <v>0.2</v>
      </c>
    </row>
    <row r="18286" spans="1:6" x14ac:dyDescent="0.25">
      <c r="A18286">
        <v>18285</v>
      </c>
      <c r="B18286" t="s">
        <v>0</v>
      </c>
      <c r="C18286">
        <v>131</v>
      </c>
      <c r="D18286">
        <v>3513</v>
      </c>
      <c r="E18286">
        <v>80820163</v>
      </c>
    </row>
    <row r="18287" spans="1:6" x14ac:dyDescent="0.25">
      <c r="A18287">
        <v>18286</v>
      </c>
      <c r="B18287">
        <v>44</v>
      </c>
      <c r="C18287">
        <v>0</v>
      </c>
      <c r="D18287">
        <v>0</v>
      </c>
      <c r="E18287">
        <v>0</v>
      </c>
      <c r="F18287">
        <v>51.045999999999999</v>
      </c>
    </row>
    <row r="18288" spans="1:6" x14ac:dyDescent="0.25">
      <c r="A18288">
        <v>18287</v>
      </c>
      <c r="B18288" t="s">
        <v>0</v>
      </c>
      <c r="C18288">
        <v>132</v>
      </c>
      <c r="D18288">
        <v>3513</v>
      </c>
      <c r="E18288">
        <v>80820296</v>
      </c>
    </row>
    <row r="18289" spans="1:6" x14ac:dyDescent="0.25">
      <c r="A18289">
        <v>18288</v>
      </c>
      <c r="B18289">
        <v>46</v>
      </c>
      <c r="C18289">
        <v>0</v>
      </c>
      <c r="D18289">
        <v>0</v>
      </c>
      <c r="E18289">
        <v>0</v>
      </c>
      <c r="F18289">
        <v>0</v>
      </c>
    </row>
    <row r="18290" spans="1:6" x14ac:dyDescent="0.25">
      <c r="A18290">
        <v>18289</v>
      </c>
      <c r="B18290" t="s">
        <v>0</v>
      </c>
      <c r="C18290">
        <v>133</v>
      </c>
      <c r="D18290">
        <v>3513</v>
      </c>
      <c r="E18290">
        <v>80820429</v>
      </c>
    </row>
    <row r="18291" spans="1:6" x14ac:dyDescent="0.25">
      <c r="A18291">
        <v>18290</v>
      </c>
      <c r="B18291">
        <v>10</v>
      </c>
      <c r="C18291">
        <v>1</v>
      </c>
      <c r="D18291">
        <v>0</v>
      </c>
      <c r="E18291">
        <v>0</v>
      </c>
      <c r="F18291">
        <v>5290</v>
      </c>
    </row>
    <row r="18292" spans="1:6" x14ac:dyDescent="0.25">
      <c r="A18292">
        <v>18291</v>
      </c>
      <c r="B18292" t="s">
        <v>0</v>
      </c>
      <c r="C18292">
        <v>134</v>
      </c>
      <c r="D18292">
        <v>3513</v>
      </c>
      <c r="E18292">
        <v>80820562</v>
      </c>
    </row>
    <row r="18293" spans="1:6" x14ac:dyDescent="0.25">
      <c r="A18293">
        <v>18292</v>
      </c>
      <c r="B18293">
        <v>41</v>
      </c>
      <c r="C18293">
        <v>0</v>
      </c>
      <c r="D18293">
        <v>0</v>
      </c>
      <c r="E18293">
        <v>0</v>
      </c>
      <c r="F18293">
        <v>1</v>
      </c>
    </row>
    <row r="18294" spans="1:6" x14ac:dyDescent="0.25">
      <c r="A18294">
        <v>18293</v>
      </c>
      <c r="B18294" t="s">
        <v>0</v>
      </c>
      <c r="C18294">
        <v>135</v>
      </c>
      <c r="D18294">
        <v>3513</v>
      </c>
      <c r="E18294">
        <v>80820695</v>
      </c>
    </row>
    <row r="18295" spans="1:6" x14ac:dyDescent="0.25">
      <c r="A18295">
        <v>18294</v>
      </c>
      <c r="B18295">
        <v>43</v>
      </c>
      <c r="C18295">
        <v>0</v>
      </c>
      <c r="D18295">
        <v>0</v>
      </c>
      <c r="E18295">
        <v>0</v>
      </c>
      <c r="F18295">
        <v>0</v>
      </c>
    </row>
    <row r="18296" spans="1:6" x14ac:dyDescent="0.25">
      <c r="A18296">
        <v>18295</v>
      </c>
      <c r="B18296" t="s">
        <v>0</v>
      </c>
      <c r="C18296">
        <v>136</v>
      </c>
      <c r="D18296">
        <v>3513</v>
      </c>
      <c r="E18296">
        <v>80820828</v>
      </c>
    </row>
    <row r="18297" spans="1:6" x14ac:dyDescent="0.25">
      <c r="A18297">
        <v>18296</v>
      </c>
      <c r="B18297">
        <v>45</v>
      </c>
      <c r="C18297">
        <v>0</v>
      </c>
      <c r="D18297">
        <v>0</v>
      </c>
      <c r="E18297">
        <v>0</v>
      </c>
      <c r="F18297">
        <v>537.36199999999997</v>
      </c>
    </row>
    <row r="18298" spans="1:6" x14ac:dyDescent="0.25">
      <c r="A18298">
        <v>18297</v>
      </c>
      <c r="B18298" t="s">
        <v>0</v>
      </c>
      <c r="C18298">
        <v>137</v>
      </c>
      <c r="D18298">
        <v>3513</v>
      </c>
      <c r="E18298">
        <v>80820961</v>
      </c>
    </row>
    <row r="18299" spans="1:6" x14ac:dyDescent="0.25">
      <c r="A18299">
        <v>18298</v>
      </c>
      <c r="B18299">
        <v>2</v>
      </c>
      <c r="C18299">
        <v>0</v>
      </c>
      <c r="D18299">
        <v>0</v>
      </c>
      <c r="E18299">
        <v>0</v>
      </c>
      <c r="F18299">
        <v>249.00800000000001</v>
      </c>
    </row>
    <row r="18300" spans="1:6" x14ac:dyDescent="0.25">
      <c r="A18300">
        <v>18299</v>
      </c>
      <c r="B18300" t="s">
        <v>0</v>
      </c>
      <c r="C18300">
        <v>138</v>
      </c>
      <c r="D18300">
        <v>3513</v>
      </c>
      <c r="E18300">
        <v>80821094</v>
      </c>
    </row>
    <row r="18301" spans="1:6" x14ac:dyDescent="0.25">
      <c r="A18301">
        <v>18300</v>
      </c>
      <c r="B18301">
        <v>13</v>
      </c>
      <c r="C18301">
        <v>0</v>
      </c>
      <c r="D18301">
        <v>0</v>
      </c>
      <c r="E18301">
        <v>0</v>
      </c>
      <c r="F18301">
        <v>1617</v>
      </c>
    </row>
    <row r="18302" spans="1:6" x14ac:dyDescent="0.25">
      <c r="A18302">
        <v>18301</v>
      </c>
      <c r="B18302" t="s">
        <v>0</v>
      </c>
      <c r="C18302">
        <v>139</v>
      </c>
      <c r="D18302">
        <v>3513</v>
      </c>
      <c r="E18302">
        <v>80821227</v>
      </c>
    </row>
    <row r="18303" spans="1:6" x14ac:dyDescent="0.25">
      <c r="A18303">
        <v>18302</v>
      </c>
      <c r="B18303">
        <v>42</v>
      </c>
      <c r="C18303">
        <v>0</v>
      </c>
      <c r="D18303">
        <v>0</v>
      </c>
      <c r="E18303">
        <v>0</v>
      </c>
      <c r="F18303">
        <v>0.2</v>
      </c>
    </row>
    <row r="18304" spans="1:6" x14ac:dyDescent="0.25">
      <c r="A18304">
        <v>18303</v>
      </c>
      <c r="B18304" t="s">
        <v>0</v>
      </c>
      <c r="C18304">
        <v>140</v>
      </c>
      <c r="D18304">
        <v>3513</v>
      </c>
      <c r="E18304">
        <v>80821361</v>
      </c>
    </row>
    <row r="18305" spans="1:6" x14ac:dyDescent="0.25">
      <c r="A18305">
        <v>18304</v>
      </c>
      <c r="B18305">
        <v>44</v>
      </c>
      <c r="C18305">
        <v>0</v>
      </c>
      <c r="D18305">
        <v>0</v>
      </c>
      <c r="E18305">
        <v>0</v>
      </c>
      <c r="F18305">
        <v>50.941200000000002</v>
      </c>
    </row>
    <row r="18306" spans="1:6" x14ac:dyDescent="0.25">
      <c r="A18306">
        <v>18305</v>
      </c>
      <c r="B18306" t="s">
        <v>0</v>
      </c>
      <c r="C18306">
        <v>141</v>
      </c>
      <c r="D18306">
        <v>3513</v>
      </c>
      <c r="E18306">
        <v>80821494</v>
      </c>
    </row>
    <row r="18307" spans="1:6" x14ac:dyDescent="0.25">
      <c r="A18307">
        <v>18306</v>
      </c>
      <c r="B18307">
        <v>46</v>
      </c>
      <c r="C18307">
        <v>0</v>
      </c>
      <c r="D18307">
        <v>0</v>
      </c>
      <c r="E18307">
        <v>0</v>
      </c>
      <c r="F18307">
        <v>0</v>
      </c>
    </row>
    <row r="18308" spans="1:6" x14ac:dyDescent="0.25">
      <c r="A18308">
        <v>18307</v>
      </c>
      <c r="B18308" t="s">
        <v>0</v>
      </c>
      <c r="C18308">
        <v>142</v>
      </c>
      <c r="D18308">
        <v>3513</v>
      </c>
      <c r="E18308">
        <v>80821627</v>
      </c>
    </row>
    <row r="18309" spans="1:6" x14ac:dyDescent="0.25">
      <c r="A18309">
        <v>18308</v>
      </c>
      <c r="B18309">
        <v>10</v>
      </c>
      <c r="C18309">
        <v>1</v>
      </c>
      <c r="D18309">
        <v>0</v>
      </c>
      <c r="E18309">
        <v>0</v>
      </c>
      <c r="F18309">
        <v>5287</v>
      </c>
    </row>
    <row r="18310" spans="1:6" x14ac:dyDescent="0.25">
      <c r="A18310">
        <v>18309</v>
      </c>
      <c r="B18310" t="s">
        <v>0</v>
      </c>
      <c r="C18310">
        <v>143</v>
      </c>
      <c r="D18310">
        <v>3513</v>
      </c>
      <c r="E18310">
        <v>80821760</v>
      </c>
    </row>
    <row r="18311" spans="1:6" x14ac:dyDescent="0.25">
      <c r="A18311">
        <v>18310</v>
      </c>
      <c r="B18311">
        <v>41</v>
      </c>
      <c r="C18311">
        <v>0</v>
      </c>
      <c r="D18311">
        <v>0</v>
      </c>
      <c r="E18311">
        <v>0</v>
      </c>
      <c r="F18311">
        <v>1</v>
      </c>
    </row>
    <row r="18312" spans="1:6" x14ac:dyDescent="0.25">
      <c r="A18312">
        <v>18311</v>
      </c>
      <c r="B18312" t="s">
        <v>0</v>
      </c>
      <c r="C18312">
        <v>144</v>
      </c>
      <c r="D18312">
        <v>3513</v>
      </c>
      <c r="E18312">
        <v>80821893</v>
      </c>
    </row>
    <row r="18313" spans="1:6" x14ac:dyDescent="0.25">
      <c r="A18313">
        <v>18312</v>
      </c>
      <c r="B18313">
        <v>43</v>
      </c>
      <c r="C18313">
        <v>0</v>
      </c>
      <c r="D18313">
        <v>0</v>
      </c>
      <c r="E18313">
        <v>0</v>
      </c>
      <c r="F18313">
        <v>0</v>
      </c>
    </row>
    <row r="18314" spans="1:6" x14ac:dyDescent="0.25">
      <c r="A18314">
        <v>18313</v>
      </c>
      <c r="B18314" t="s">
        <v>0</v>
      </c>
      <c r="C18314">
        <v>145</v>
      </c>
      <c r="D18314">
        <v>3513</v>
      </c>
      <c r="E18314">
        <v>80822026</v>
      </c>
    </row>
    <row r="18315" spans="1:6" x14ac:dyDescent="0.25">
      <c r="A18315">
        <v>18314</v>
      </c>
      <c r="B18315">
        <v>45</v>
      </c>
      <c r="C18315">
        <v>0</v>
      </c>
      <c r="D18315">
        <v>0</v>
      </c>
      <c r="E18315">
        <v>0</v>
      </c>
      <c r="F18315">
        <v>537.48500000000001</v>
      </c>
    </row>
    <row r="18316" spans="1:6" x14ac:dyDescent="0.25">
      <c r="A18316">
        <v>18315</v>
      </c>
      <c r="B18316" t="s">
        <v>0</v>
      </c>
      <c r="C18316">
        <v>146</v>
      </c>
      <c r="D18316">
        <v>3513</v>
      </c>
      <c r="E18316">
        <v>80822159</v>
      </c>
    </row>
    <row r="18317" spans="1:6" x14ac:dyDescent="0.25">
      <c r="A18317">
        <v>18316</v>
      </c>
      <c r="B18317">
        <v>2</v>
      </c>
      <c r="C18317">
        <v>0</v>
      </c>
      <c r="D18317">
        <v>0</v>
      </c>
      <c r="E18317">
        <v>0</v>
      </c>
      <c r="F18317">
        <v>249.13900000000001</v>
      </c>
    </row>
    <row r="18318" spans="1:6" x14ac:dyDescent="0.25">
      <c r="A18318">
        <v>18317</v>
      </c>
      <c r="B18318" t="s">
        <v>0</v>
      </c>
      <c r="C18318">
        <v>147</v>
      </c>
      <c r="D18318">
        <v>3513</v>
      </c>
      <c r="E18318">
        <v>80822292</v>
      </c>
    </row>
    <row r="18319" spans="1:6" x14ac:dyDescent="0.25">
      <c r="A18319">
        <v>18318</v>
      </c>
      <c r="B18319">
        <v>13</v>
      </c>
      <c r="C18319">
        <v>0</v>
      </c>
      <c r="D18319">
        <v>0</v>
      </c>
      <c r="E18319">
        <v>0</v>
      </c>
      <c r="F18319">
        <v>1617</v>
      </c>
    </row>
    <row r="18320" spans="1:6" x14ac:dyDescent="0.25">
      <c r="A18320">
        <v>18319</v>
      </c>
      <c r="B18320" t="s">
        <v>0</v>
      </c>
      <c r="C18320">
        <v>148</v>
      </c>
      <c r="D18320">
        <v>3513</v>
      </c>
      <c r="E18320">
        <v>80822426</v>
      </c>
    </row>
    <row r="18321" spans="1:6" x14ac:dyDescent="0.25">
      <c r="A18321">
        <v>18320</v>
      </c>
      <c r="B18321">
        <v>42</v>
      </c>
      <c r="C18321">
        <v>0</v>
      </c>
      <c r="D18321">
        <v>0</v>
      </c>
      <c r="E18321">
        <v>0</v>
      </c>
      <c r="F18321">
        <v>0.2</v>
      </c>
    </row>
    <row r="18322" spans="1:6" x14ac:dyDescent="0.25">
      <c r="A18322">
        <v>18321</v>
      </c>
      <c r="B18322" t="s">
        <v>0</v>
      </c>
      <c r="C18322">
        <v>149</v>
      </c>
      <c r="D18322">
        <v>3513</v>
      </c>
      <c r="E18322">
        <v>80822559</v>
      </c>
    </row>
    <row r="18323" spans="1:6" x14ac:dyDescent="0.25">
      <c r="A18323">
        <v>18322</v>
      </c>
      <c r="B18323">
        <v>44</v>
      </c>
      <c r="C18323">
        <v>0</v>
      </c>
      <c r="D18323">
        <v>0</v>
      </c>
      <c r="E18323">
        <v>0</v>
      </c>
      <c r="F18323">
        <v>50.828699999999998</v>
      </c>
    </row>
    <row r="18324" spans="1:6" x14ac:dyDescent="0.25">
      <c r="A18324">
        <v>18323</v>
      </c>
      <c r="B18324" t="s">
        <v>0</v>
      </c>
      <c r="C18324">
        <v>150</v>
      </c>
      <c r="D18324">
        <v>3513</v>
      </c>
      <c r="E18324">
        <v>80822692</v>
      </c>
    </row>
    <row r="18325" spans="1:6" x14ac:dyDescent="0.25">
      <c r="A18325">
        <v>18324</v>
      </c>
      <c r="B18325">
        <v>46</v>
      </c>
      <c r="C18325">
        <v>0</v>
      </c>
      <c r="D18325">
        <v>0</v>
      </c>
      <c r="E18325">
        <v>0</v>
      </c>
      <c r="F18325">
        <v>0</v>
      </c>
    </row>
    <row r="18326" spans="1:6" x14ac:dyDescent="0.25">
      <c r="A18326">
        <v>18325</v>
      </c>
      <c r="B18326" t="s">
        <v>0</v>
      </c>
      <c r="C18326">
        <v>151</v>
      </c>
      <c r="D18326">
        <v>3513</v>
      </c>
      <c r="E18326">
        <v>80822825</v>
      </c>
    </row>
    <row r="18327" spans="1:6" x14ac:dyDescent="0.25">
      <c r="A18327">
        <v>18326</v>
      </c>
      <c r="B18327">
        <v>10</v>
      </c>
      <c r="C18327">
        <v>1</v>
      </c>
      <c r="D18327">
        <v>0</v>
      </c>
      <c r="E18327">
        <v>0</v>
      </c>
      <c r="F18327">
        <v>5285</v>
      </c>
    </row>
    <row r="18328" spans="1:6" x14ac:dyDescent="0.25">
      <c r="A18328">
        <v>18327</v>
      </c>
      <c r="B18328" t="s">
        <v>0</v>
      </c>
      <c r="C18328">
        <v>152</v>
      </c>
      <c r="D18328">
        <v>3513</v>
      </c>
      <c r="E18328">
        <v>80822958</v>
      </c>
    </row>
    <row r="18329" spans="1:6" x14ac:dyDescent="0.25">
      <c r="A18329">
        <v>18328</v>
      </c>
      <c r="B18329">
        <v>41</v>
      </c>
      <c r="C18329">
        <v>0</v>
      </c>
      <c r="D18329">
        <v>0</v>
      </c>
      <c r="E18329">
        <v>0</v>
      </c>
      <c r="F18329">
        <v>1</v>
      </c>
    </row>
    <row r="18330" spans="1:6" x14ac:dyDescent="0.25">
      <c r="A18330">
        <v>18329</v>
      </c>
      <c r="B18330" t="s">
        <v>0</v>
      </c>
      <c r="C18330">
        <v>153</v>
      </c>
      <c r="D18330">
        <v>3513</v>
      </c>
      <c r="E18330">
        <v>80823091</v>
      </c>
    </row>
    <row r="18331" spans="1:6" x14ac:dyDescent="0.25">
      <c r="A18331">
        <v>18330</v>
      </c>
      <c r="B18331">
        <v>43</v>
      </c>
      <c r="C18331">
        <v>0</v>
      </c>
      <c r="D18331">
        <v>0</v>
      </c>
      <c r="E18331">
        <v>0</v>
      </c>
      <c r="F18331">
        <v>0</v>
      </c>
    </row>
    <row r="18332" spans="1:6" x14ac:dyDescent="0.25">
      <c r="A18332">
        <v>18331</v>
      </c>
      <c r="B18332" t="s">
        <v>0</v>
      </c>
      <c r="C18332">
        <v>154</v>
      </c>
      <c r="D18332">
        <v>3513</v>
      </c>
      <c r="E18332">
        <v>80823224</v>
      </c>
    </row>
    <row r="18333" spans="1:6" x14ac:dyDescent="0.25">
      <c r="A18333">
        <v>18332</v>
      </c>
      <c r="B18333">
        <v>45</v>
      </c>
      <c r="C18333">
        <v>0</v>
      </c>
      <c r="D18333">
        <v>0</v>
      </c>
      <c r="E18333">
        <v>0</v>
      </c>
      <c r="F18333">
        <v>537.60699999999997</v>
      </c>
    </row>
    <row r="18334" spans="1:6" x14ac:dyDescent="0.25">
      <c r="A18334">
        <v>18333</v>
      </c>
      <c r="B18334" t="s">
        <v>0</v>
      </c>
      <c r="C18334">
        <v>155</v>
      </c>
      <c r="D18334">
        <v>3513</v>
      </c>
      <c r="E18334">
        <v>80823358</v>
      </c>
    </row>
    <row r="18335" spans="1:6" x14ac:dyDescent="0.25">
      <c r="A18335">
        <v>18334</v>
      </c>
      <c r="B18335">
        <v>2</v>
      </c>
      <c r="C18335">
        <v>0</v>
      </c>
      <c r="D18335">
        <v>0</v>
      </c>
      <c r="E18335">
        <v>0</v>
      </c>
      <c r="F18335">
        <v>249.22200000000001</v>
      </c>
    </row>
    <row r="18336" spans="1:6" x14ac:dyDescent="0.25">
      <c r="A18336">
        <v>18335</v>
      </c>
      <c r="B18336" t="s">
        <v>0</v>
      </c>
      <c r="C18336">
        <v>156</v>
      </c>
      <c r="D18336">
        <v>3513</v>
      </c>
      <c r="E18336">
        <v>80823491</v>
      </c>
    </row>
    <row r="18337" spans="1:6" x14ac:dyDescent="0.25">
      <c r="A18337">
        <v>18336</v>
      </c>
      <c r="B18337">
        <v>13</v>
      </c>
      <c r="C18337">
        <v>0</v>
      </c>
      <c r="D18337">
        <v>0</v>
      </c>
      <c r="E18337">
        <v>0</v>
      </c>
      <c r="F18337">
        <v>1617</v>
      </c>
    </row>
    <row r="18338" spans="1:6" x14ac:dyDescent="0.25">
      <c r="A18338">
        <v>18337</v>
      </c>
      <c r="B18338" t="s">
        <v>0</v>
      </c>
      <c r="C18338">
        <v>157</v>
      </c>
      <c r="D18338">
        <v>3513</v>
      </c>
      <c r="E18338">
        <v>80823624</v>
      </c>
    </row>
    <row r="18339" spans="1:6" x14ac:dyDescent="0.25">
      <c r="A18339">
        <v>18338</v>
      </c>
      <c r="B18339">
        <v>42</v>
      </c>
      <c r="C18339">
        <v>0</v>
      </c>
      <c r="D18339">
        <v>0</v>
      </c>
      <c r="E18339">
        <v>0</v>
      </c>
      <c r="F18339">
        <v>0.2</v>
      </c>
    </row>
    <row r="18340" spans="1:6" x14ac:dyDescent="0.25">
      <c r="A18340">
        <v>18339</v>
      </c>
      <c r="B18340" t="s">
        <v>0</v>
      </c>
      <c r="C18340">
        <v>158</v>
      </c>
      <c r="D18340">
        <v>3513</v>
      </c>
      <c r="E18340">
        <v>80823757</v>
      </c>
    </row>
    <row r="18341" spans="1:6" x14ac:dyDescent="0.25">
      <c r="A18341">
        <v>18340</v>
      </c>
      <c r="B18341">
        <v>44</v>
      </c>
      <c r="C18341">
        <v>0</v>
      </c>
      <c r="D18341">
        <v>0</v>
      </c>
      <c r="E18341">
        <v>0</v>
      </c>
      <c r="F18341">
        <v>50.758000000000003</v>
      </c>
    </row>
    <row r="18342" spans="1:6" x14ac:dyDescent="0.25">
      <c r="A18342">
        <v>18341</v>
      </c>
      <c r="B18342" t="s">
        <v>1</v>
      </c>
      <c r="C18342">
        <v>158</v>
      </c>
      <c r="D18342">
        <v>3513</v>
      </c>
      <c r="E18342">
        <v>80823890</v>
      </c>
    </row>
    <row r="18343" spans="1:6" x14ac:dyDescent="0.25">
      <c r="A18343">
        <v>18342</v>
      </c>
      <c r="B18343">
        <v>46</v>
      </c>
      <c r="C18343">
        <v>0</v>
      </c>
      <c r="D18343">
        <v>0</v>
      </c>
      <c r="E18343">
        <v>0</v>
      </c>
      <c r="F18343">
        <v>0</v>
      </c>
    </row>
    <row r="18344" spans="1:6" x14ac:dyDescent="0.25">
      <c r="A18344">
        <v>18343</v>
      </c>
      <c r="B18344" t="s">
        <v>0</v>
      </c>
      <c r="C18344">
        <v>160</v>
      </c>
      <c r="D18344">
        <v>3513</v>
      </c>
      <c r="E18344">
        <v>80824023</v>
      </c>
    </row>
    <row r="18345" spans="1:6" x14ac:dyDescent="0.25">
      <c r="A18345">
        <v>18344</v>
      </c>
      <c r="B18345">
        <v>10</v>
      </c>
      <c r="C18345">
        <v>1</v>
      </c>
      <c r="D18345">
        <v>0</v>
      </c>
      <c r="E18345">
        <v>0</v>
      </c>
      <c r="F18345">
        <v>5284</v>
      </c>
    </row>
    <row r="18346" spans="1:6" x14ac:dyDescent="0.25">
      <c r="A18346">
        <v>18345</v>
      </c>
      <c r="B18346" t="s">
        <v>0</v>
      </c>
      <c r="C18346">
        <v>161</v>
      </c>
      <c r="D18346">
        <v>3513</v>
      </c>
      <c r="E18346">
        <v>80824156</v>
      </c>
    </row>
    <row r="18347" spans="1:6" x14ac:dyDescent="0.25">
      <c r="A18347">
        <v>18346</v>
      </c>
      <c r="B18347">
        <v>41</v>
      </c>
      <c r="C18347">
        <v>0</v>
      </c>
      <c r="D18347">
        <v>0</v>
      </c>
      <c r="E18347">
        <v>0</v>
      </c>
      <c r="F18347">
        <v>1</v>
      </c>
    </row>
    <row r="18348" spans="1:6" x14ac:dyDescent="0.25">
      <c r="A18348">
        <v>18347</v>
      </c>
      <c r="B18348" t="s">
        <v>0</v>
      </c>
      <c r="C18348">
        <v>162</v>
      </c>
      <c r="D18348">
        <v>3513</v>
      </c>
      <c r="E18348">
        <v>80824289</v>
      </c>
    </row>
    <row r="18349" spans="1:6" x14ac:dyDescent="0.25">
      <c r="A18349">
        <v>18348</v>
      </c>
      <c r="B18349">
        <v>43</v>
      </c>
      <c r="C18349">
        <v>0</v>
      </c>
      <c r="D18349">
        <v>0</v>
      </c>
      <c r="E18349">
        <v>0</v>
      </c>
      <c r="F18349">
        <v>0</v>
      </c>
    </row>
    <row r="18350" spans="1:6" x14ac:dyDescent="0.25">
      <c r="A18350">
        <v>18349</v>
      </c>
      <c r="B18350" t="s">
        <v>0</v>
      </c>
      <c r="C18350">
        <v>163</v>
      </c>
      <c r="D18350">
        <v>3513</v>
      </c>
      <c r="E18350">
        <v>80824423</v>
      </c>
    </row>
    <row r="18351" spans="1:6" x14ac:dyDescent="0.25">
      <c r="A18351">
        <v>18350</v>
      </c>
      <c r="B18351">
        <v>45</v>
      </c>
      <c r="C18351">
        <v>0</v>
      </c>
      <c r="D18351">
        <v>0</v>
      </c>
      <c r="E18351">
        <v>0</v>
      </c>
      <c r="F18351">
        <v>537.72900000000004</v>
      </c>
    </row>
    <row r="18352" spans="1:6" x14ac:dyDescent="0.25">
      <c r="A18352">
        <v>18351</v>
      </c>
      <c r="B18352" t="s">
        <v>0</v>
      </c>
      <c r="C18352">
        <v>164</v>
      </c>
      <c r="D18352">
        <v>3513</v>
      </c>
      <c r="E18352">
        <v>80824556</v>
      </c>
    </row>
    <row r="18353" spans="1:6" x14ac:dyDescent="0.25">
      <c r="A18353">
        <v>18352</v>
      </c>
      <c r="B18353">
        <v>2</v>
      </c>
      <c r="C18353">
        <v>0</v>
      </c>
      <c r="D18353">
        <v>0</v>
      </c>
      <c r="E18353">
        <v>0</v>
      </c>
      <c r="F18353">
        <v>249.27799999999999</v>
      </c>
    </row>
    <row r="18354" spans="1:6" x14ac:dyDescent="0.25">
      <c r="A18354">
        <v>18353</v>
      </c>
      <c r="B18354" t="s">
        <v>0</v>
      </c>
      <c r="C18354">
        <v>165</v>
      </c>
      <c r="D18354">
        <v>3513</v>
      </c>
      <c r="E18354">
        <v>80824689</v>
      </c>
    </row>
    <row r="18355" spans="1:6" x14ac:dyDescent="0.25">
      <c r="A18355">
        <v>18354</v>
      </c>
      <c r="B18355">
        <v>13</v>
      </c>
      <c r="C18355">
        <v>0</v>
      </c>
      <c r="D18355">
        <v>0</v>
      </c>
      <c r="E18355">
        <v>0</v>
      </c>
      <c r="F18355">
        <v>1618</v>
      </c>
    </row>
    <row r="18356" spans="1:6" x14ac:dyDescent="0.25">
      <c r="A18356">
        <v>18355</v>
      </c>
      <c r="B18356" t="s">
        <v>0</v>
      </c>
      <c r="C18356">
        <v>166</v>
      </c>
      <c r="D18356">
        <v>3513</v>
      </c>
      <c r="E18356">
        <v>80824822</v>
      </c>
    </row>
    <row r="18357" spans="1:6" x14ac:dyDescent="0.25">
      <c r="A18357">
        <v>18356</v>
      </c>
      <c r="B18357">
        <v>42</v>
      </c>
      <c r="C18357">
        <v>0</v>
      </c>
      <c r="D18357">
        <v>0</v>
      </c>
      <c r="E18357">
        <v>0</v>
      </c>
      <c r="F18357">
        <v>0.2</v>
      </c>
    </row>
    <row r="18358" spans="1:6" x14ac:dyDescent="0.25">
      <c r="A18358">
        <v>18357</v>
      </c>
      <c r="B18358" t="s">
        <v>0</v>
      </c>
      <c r="C18358">
        <v>167</v>
      </c>
      <c r="D18358">
        <v>3513</v>
      </c>
      <c r="E18358">
        <v>80824955</v>
      </c>
    </row>
    <row r="18359" spans="1:6" x14ac:dyDescent="0.25">
      <c r="A18359">
        <v>18358</v>
      </c>
      <c r="B18359">
        <v>44</v>
      </c>
      <c r="C18359">
        <v>0</v>
      </c>
      <c r="D18359">
        <v>0</v>
      </c>
      <c r="E18359">
        <v>0</v>
      </c>
      <c r="F18359">
        <v>50.710099999999997</v>
      </c>
    </row>
    <row r="18360" spans="1:6" x14ac:dyDescent="0.25">
      <c r="A18360">
        <v>18359</v>
      </c>
      <c r="B18360" t="s">
        <v>0</v>
      </c>
      <c r="C18360">
        <v>168</v>
      </c>
      <c r="D18360">
        <v>3513</v>
      </c>
      <c r="E18360">
        <v>80825088</v>
      </c>
    </row>
    <row r="18361" spans="1:6" x14ac:dyDescent="0.25">
      <c r="A18361">
        <v>18360</v>
      </c>
      <c r="B18361">
        <v>46</v>
      </c>
      <c r="C18361">
        <v>0</v>
      </c>
      <c r="D18361">
        <v>0</v>
      </c>
      <c r="E18361">
        <v>0</v>
      </c>
      <c r="F18361">
        <v>0</v>
      </c>
    </row>
    <row r="18362" spans="1:6" x14ac:dyDescent="0.25">
      <c r="A18362">
        <v>18361</v>
      </c>
      <c r="B18362" t="s">
        <v>0</v>
      </c>
      <c r="C18362">
        <v>169</v>
      </c>
      <c r="D18362">
        <v>3513</v>
      </c>
      <c r="E18362">
        <v>80825221</v>
      </c>
    </row>
    <row r="18363" spans="1:6" x14ac:dyDescent="0.25">
      <c r="A18363">
        <v>18362</v>
      </c>
      <c r="B18363">
        <v>10</v>
      </c>
      <c r="C18363">
        <v>1</v>
      </c>
      <c r="D18363">
        <v>0</v>
      </c>
      <c r="E18363">
        <v>0</v>
      </c>
      <c r="F18363">
        <v>5284</v>
      </c>
    </row>
    <row r="18364" spans="1:6" x14ac:dyDescent="0.25">
      <c r="A18364">
        <v>18363</v>
      </c>
      <c r="B18364" t="s">
        <v>0</v>
      </c>
      <c r="C18364">
        <v>170</v>
      </c>
      <c r="D18364">
        <v>3513</v>
      </c>
      <c r="E18364">
        <v>80825355</v>
      </c>
    </row>
    <row r="18365" spans="1:6" x14ac:dyDescent="0.25">
      <c r="A18365">
        <v>18364</v>
      </c>
      <c r="B18365">
        <v>41</v>
      </c>
      <c r="C18365">
        <v>0</v>
      </c>
      <c r="D18365">
        <v>0</v>
      </c>
      <c r="E18365">
        <v>0</v>
      </c>
      <c r="F18365">
        <v>1</v>
      </c>
    </row>
    <row r="18366" spans="1:6" x14ac:dyDescent="0.25">
      <c r="A18366">
        <v>18365</v>
      </c>
      <c r="B18366" t="s">
        <v>0</v>
      </c>
      <c r="C18366">
        <v>171</v>
      </c>
      <c r="D18366">
        <v>3513</v>
      </c>
      <c r="E18366">
        <v>80825488</v>
      </c>
    </row>
    <row r="18367" spans="1:6" x14ac:dyDescent="0.25">
      <c r="A18367">
        <v>18366</v>
      </c>
      <c r="B18367">
        <v>43</v>
      </c>
      <c r="C18367">
        <v>0</v>
      </c>
      <c r="D18367">
        <v>0</v>
      </c>
      <c r="E18367">
        <v>0</v>
      </c>
      <c r="F18367">
        <v>0</v>
      </c>
    </row>
    <row r="18368" spans="1:6" x14ac:dyDescent="0.25">
      <c r="A18368">
        <v>18367</v>
      </c>
      <c r="B18368" t="s">
        <v>0</v>
      </c>
      <c r="C18368">
        <v>172</v>
      </c>
      <c r="D18368">
        <v>3513</v>
      </c>
      <c r="E18368">
        <v>80825621</v>
      </c>
    </row>
    <row r="18369" spans="1:6" x14ac:dyDescent="0.25">
      <c r="A18369">
        <v>18368</v>
      </c>
      <c r="B18369">
        <v>45</v>
      </c>
      <c r="C18369">
        <v>0</v>
      </c>
      <c r="D18369">
        <v>0</v>
      </c>
      <c r="E18369">
        <v>0</v>
      </c>
      <c r="F18369">
        <v>537.851</v>
      </c>
    </row>
    <row r="18370" spans="1:6" x14ac:dyDescent="0.25">
      <c r="A18370">
        <v>18369</v>
      </c>
      <c r="B18370" t="s">
        <v>0</v>
      </c>
      <c r="C18370">
        <v>173</v>
      </c>
      <c r="D18370">
        <v>3513</v>
      </c>
      <c r="E18370">
        <v>80825754</v>
      </c>
    </row>
    <row r="18371" spans="1:6" x14ac:dyDescent="0.25">
      <c r="A18371">
        <v>18370</v>
      </c>
      <c r="B18371">
        <v>2</v>
      </c>
      <c r="C18371">
        <v>0</v>
      </c>
      <c r="D18371">
        <v>0</v>
      </c>
      <c r="E18371">
        <v>0</v>
      </c>
      <c r="F18371">
        <v>249.309</v>
      </c>
    </row>
    <row r="18372" spans="1:6" x14ac:dyDescent="0.25">
      <c r="A18372">
        <v>18371</v>
      </c>
      <c r="B18372" t="s">
        <v>0</v>
      </c>
      <c r="C18372">
        <v>174</v>
      </c>
      <c r="D18372">
        <v>3513</v>
      </c>
      <c r="E18372">
        <v>80825888</v>
      </c>
    </row>
    <row r="18373" spans="1:6" x14ac:dyDescent="0.25">
      <c r="A18373">
        <v>18372</v>
      </c>
      <c r="B18373">
        <v>13</v>
      </c>
      <c r="C18373">
        <v>0</v>
      </c>
      <c r="D18373">
        <v>0</v>
      </c>
      <c r="E18373">
        <v>0</v>
      </c>
      <c r="F18373">
        <v>1618</v>
      </c>
    </row>
    <row r="18374" spans="1:6" x14ac:dyDescent="0.25">
      <c r="A18374">
        <v>18373</v>
      </c>
      <c r="B18374" t="s">
        <v>0</v>
      </c>
      <c r="C18374">
        <v>175</v>
      </c>
      <c r="D18374">
        <v>3513</v>
      </c>
      <c r="E18374">
        <v>80826021</v>
      </c>
    </row>
    <row r="18375" spans="1:6" x14ac:dyDescent="0.25">
      <c r="A18375">
        <v>18374</v>
      </c>
      <c r="B18375">
        <v>42</v>
      </c>
      <c r="C18375">
        <v>0</v>
      </c>
      <c r="D18375">
        <v>0</v>
      </c>
      <c r="E18375">
        <v>0</v>
      </c>
      <c r="F18375">
        <v>0.2</v>
      </c>
    </row>
    <row r="18376" spans="1:6" x14ac:dyDescent="0.25">
      <c r="A18376">
        <v>18375</v>
      </c>
      <c r="B18376" t="s">
        <v>0</v>
      </c>
      <c r="C18376">
        <v>176</v>
      </c>
      <c r="D18376">
        <v>3513</v>
      </c>
      <c r="E18376">
        <v>80826154</v>
      </c>
    </row>
    <row r="18377" spans="1:6" x14ac:dyDescent="0.25">
      <c r="A18377">
        <v>18376</v>
      </c>
      <c r="B18377">
        <v>44</v>
      </c>
      <c r="C18377">
        <v>0</v>
      </c>
      <c r="D18377">
        <v>0</v>
      </c>
      <c r="E18377">
        <v>0</v>
      </c>
      <c r="F18377">
        <v>50.683199999999999</v>
      </c>
    </row>
    <row r="18378" spans="1:6" x14ac:dyDescent="0.25">
      <c r="A18378">
        <v>18377</v>
      </c>
      <c r="B18378" t="s">
        <v>0</v>
      </c>
      <c r="C18378">
        <v>177</v>
      </c>
      <c r="D18378">
        <v>3513</v>
      </c>
      <c r="E18378">
        <v>80826287</v>
      </c>
    </row>
    <row r="18379" spans="1:6" x14ac:dyDescent="0.25">
      <c r="A18379">
        <v>18378</v>
      </c>
      <c r="B18379">
        <v>46</v>
      </c>
      <c r="C18379">
        <v>0</v>
      </c>
      <c r="D18379">
        <v>0</v>
      </c>
      <c r="E18379">
        <v>0</v>
      </c>
      <c r="F18379">
        <v>0</v>
      </c>
    </row>
    <row r="18380" spans="1:6" x14ac:dyDescent="0.25">
      <c r="A18380">
        <v>18379</v>
      </c>
      <c r="B18380" t="s">
        <v>0</v>
      </c>
      <c r="C18380">
        <v>178</v>
      </c>
      <c r="D18380">
        <v>3513</v>
      </c>
      <c r="E18380">
        <v>80826420</v>
      </c>
    </row>
    <row r="18381" spans="1:6" x14ac:dyDescent="0.25">
      <c r="A18381">
        <v>18380</v>
      </c>
      <c r="B18381">
        <v>10</v>
      </c>
      <c r="C18381">
        <v>1</v>
      </c>
      <c r="D18381">
        <v>0</v>
      </c>
      <c r="E18381">
        <v>0</v>
      </c>
      <c r="F18381">
        <v>5284</v>
      </c>
    </row>
    <row r="18382" spans="1:6" x14ac:dyDescent="0.25">
      <c r="A18382">
        <v>18381</v>
      </c>
      <c r="B18382">
        <v>13</v>
      </c>
      <c r="C18382">
        <v>0</v>
      </c>
      <c r="D18382">
        <v>0</v>
      </c>
      <c r="E18382">
        <v>0</v>
      </c>
      <c r="F18382">
        <v>1618</v>
      </c>
    </row>
    <row r="18383" spans="1:6" x14ac:dyDescent="0.25">
      <c r="A18383">
        <v>18382</v>
      </c>
      <c r="B18383">
        <v>41</v>
      </c>
      <c r="C18383">
        <v>0</v>
      </c>
      <c r="D18383">
        <v>0</v>
      </c>
      <c r="E18383">
        <v>0</v>
      </c>
      <c r="F18383">
        <v>1</v>
      </c>
    </row>
    <row r="18384" spans="1:6" x14ac:dyDescent="0.25">
      <c r="A18384">
        <v>18383</v>
      </c>
      <c r="B18384" t="s">
        <v>0</v>
      </c>
      <c r="C18384">
        <v>0</v>
      </c>
      <c r="D18384">
        <v>3514</v>
      </c>
      <c r="E18384">
        <v>80826687</v>
      </c>
    </row>
    <row r="18385" spans="1:6" x14ac:dyDescent="0.25">
      <c r="A18385">
        <v>18384</v>
      </c>
      <c r="B18385">
        <v>43</v>
      </c>
      <c r="C18385">
        <v>0</v>
      </c>
      <c r="D18385">
        <v>0</v>
      </c>
      <c r="E18385">
        <v>0</v>
      </c>
      <c r="F18385">
        <v>0</v>
      </c>
    </row>
    <row r="18386" spans="1:6" x14ac:dyDescent="0.25">
      <c r="A18386">
        <v>18385</v>
      </c>
      <c r="B18386" t="s">
        <v>0</v>
      </c>
      <c r="C18386">
        <v>1</v>
      </c>
      <c r="D18386">
        <v>3514</v>
      </c>
      <c r="E18386">
        <v>80826821</v>
      </c>
    </row>
    <row r="18387" spans="1:6" x14ac:dyDescent="0.25">
      <c r="A18387">
        <v>18386</v>
      </c>
      <c r="B18387">
        <v>45</v>
      </c>
      <c r="C18387">
        <v>0</v>
      </c>
      <c r="D18387">
        <v>0</v>
      </c>
      <c r="E18387">
        <v>0</v>
      </c>
      <c r="F18387">
        <v>537.94600000000003</v>
      </c>
    </row>
    <row r="18388" spans="1:6" x14ac:dyDescent="0.25">
      <c r="A18388">
        <v>18387</v>
      </c>
      <c r="B18388" t="s">
        <v>0</v>
      </c>
      <c r="C18388">
        <v>2</v>
      </c>
      <c r="D18388">
        <v>3514</v>
      </c>
      <c r="E18388">
        <v>80826954</v>
      </c>
    </row>
    <row r="18389" spans="1:6" x14ac:dyDescent="0.25">
      <c r="A18389">
        <v>18388</v>
      </c>
      <c r="B18389">
        <v>2</v>
      </c>
      <c r="C18389">
        <v>0</v>
      </c>
      <c r="D18389">
        <v>0</v>
      </c>
      <c r="E18389">
        <v>0</v>
      </c>
      <c r="F18389">
        <v>249.327</v>
      </c>
    </row>
    <row r="18390" spans="1:6" x14ac:dyDescent="0.25">
      <c r="A18390">
        <v>18389</v>
      </c>
      <c r="B18390" t="s">
        <v>0</v>
      </c>
      <c r="C18390">
        <v>3</v>
      </c>
      <c r="D18390">
        <v>3514</v>
      </c>
      <c r="E18390">
        <v>80827087</v>
      </c>
    </row>
    <row r="18391" spans="1:6" x14ac:dyDescent="0.25">
      <c r="A18391">
        <v>18390</v>
      </c>
      <c r="B18391">
        <v>13</v>
      </c>
      <c r="C18391">
        <v>0</v>
      </c>
      <c r="D18391">
        <v>0</v>
      </c>
      <c r="E18391">
        <v>0</v>
      </c>
      <c r="F18391">
        <v>1618</v>
      </c>
    </row>
    <row r="18392" spans="1:6" x14ac:dyDescent="0.25">
      <c r="A18392">
        <v>18391</v>
      </c>
      <c r="B18392" t="s">
        <v>0</v>
      </c>
      <c r="C18392">
        <v>4</v>
      </c>
      <c r="D18392">
        <v>3514</v>
      </c>
      <c r="E18392">
        <v>80827220</v>
      </c>
    </row>
    <row r="18393" spans="1:6" x14ac:dyDescent="0.25">
      <c r="A18393">
        <v>18392</v>
      </c>
      <c r="B18393">
        <v>42</v>
      </c>
      <c r="C18393">
        <v>0</v>
      </c>
      <c r="D18393">
        <v>0</v>
      </c>
      <c r="E18393">
        <v>0</v>
      </c>
      <c r="F18393">
        <v>0.2</v>
      </c>
    </row>
    <row r="18394" spans="1:6" x14ac:dyDescent="0.25">
      <c r="A18394">
        <v>18393</v>
      </c>
      <c r="B18394" t="s">
        <v>0</v>
      </c>
      <c r="C18394">
        <v>5</v>
      </c>
      <c r="D18394">
        <v>3514</v>
      </c>
      <c r="E18394">
        <v>80827354</v>
      </c>
    </row>
    <row r="18395" spans="1:6" x14ac:dyDescent="0.25">
      <c r="A18395">
        <v>18394</v>
      </c>
      <c r="B18395">
        <v>44</v>
      </c>
      <c r="C18395">
        <v>0</v>
      </c>
      <c r="D18395">
        <v>0</v>
      </c>
      <c r="E18395">
        <v>0</v>
      </c>
      <c r="F18395">
        <v>50.668199999999999</v>
      </c>
    </row>
    <row r="18396" spans="1:6" x14ac:dyDescent="0.25">
      <c r="A18396">
        <v>18395</v>
      </c>
      <c r="B18396" t="s">
        <v>0</v>
      </c>
      <c r="C18396">
        <v>6</v>
      </c>
      <c r="D18396">
        <v>3514</v>
      </c>
      <c r="E18396">
        <v>80827487</v>
      </c>
    </row>
    <row r="18397" spans="1:6" x14ac:dyDescent="0.25">
      <c r="A18397">
        <v>18396</v>
      </c>
      <c r="B18397">
        <v>46</v>
      </c>
      <c r="C18397">
        <v>0</v>
      </c>
      <c r="D18397">
        <v>0</v>
      </c>
      <c r="E18397">
        <v>0</v>
      </c>
      <c r="F18397">
        <v>0</v>
      </c>
    </row>
    <row r="18398" spans="1:6" x14ac:dyDescent="0.25">
      <c r="A18398">
        <v>18397</v>
      </c>
      <c r="B18398" t="s">
        <v>0</v>
      </c>
      <c r="C18398">
        <v>7</v>
      </c>
      <c r="D18398">
        <v>3514</v>
      </c>
      <c r="E18398">
        <v>80827620</v>
      </c>
    </row>
    <row r="18399" spans="1:6" x14ac:dyDescent="0.25">
      <c r="A18399">
        <v>18398</v>
      </c>
      <c r="B18399">
        <v>10</v>
      </c>
      <c r="C18399">
        <v>1</v>
      </c>
      <c r="D18399">
        <v>0</v>
      </c>
      <c r="E18399">
        <v>0</v>
      </c>
      <c r="F18399">
        <v>5284</v>
      </c>
    </row>
    <row r="18400" spans="1:6" x14ac:dyDescent="0.25">
      <c r="A18400">
        <v>18399</v>
      </c>
      <c r="B18400" t="s">
        <v>0</v>
      </c>
      <c r="C18400">
        <v>8</v>
      </c>
      <c r="D18400">
        <v>3514</v>
      </c>
      <c r="E18400">
        <v>80827753</v>
      </c>
    </row>
    <row r="18401" spans="1:6" x14ac:dyDescent="0.25">
      <c r="A18401">
        <v>18400</v>
      </c>
      <c r="B18401">
        <v>41</v>
      </c>
      <c r="C18401">
        <v>0</v>
      </c>
      <c r="D18401">
        <v>0</v>
      </c>
      <c r="E18401">
        <v>0</v>
      </c>
      <c r="F18401">
        <v>1</v>
      </c>
    </row>
    <row r="18402" spans="1:6" x14ac:dyDescent="0.25">
      <c r="A18402">
        <v>18401</v>
      </c>
      <c r="B18402" t="s">
        <v>0</v>
      </c>
      <c r="C18402">
        <v>9</v>
      </c>
      <c r="D18402">
        <v>3514</v>
      </c>
      <c r="E18402">
        <v>80827886</v>
      </c>
    </row>
    <row r="18403" spans="1:6" x14ac:dyDescent="0.25">
      <c r="A18403">
        <v>18402</v>
      </c>
      <c r="B18403">
        <v>43</v>
      </c>
      <c r="C18403">
        <v>0</v>
      </c>
      <c r="D18403">
        <v>0</v>
      </c>
      <c r="E18403">
        <v>0</v>
      </c>
      <c r="F18403">
        <v>0</v>
      </c>
    </row>
    <row r="18404" spans="1:6" x14ac:dyDescent="0.25">
      <c r="A18404">
        <v>18403</v>
      </c>
      <c r="B18404" t="s">
        <v>0</v>
      </c>
      <c r="C18404">
        <v>10</v>
      </c>
      <c r="D18404">
        <v>3514</v>
      </c>
      <c r="E18404">
        <v>80828019</v>
      </c>
    </row>
    <row r="18405" spans="1:6" x14ac:dyDescent="0.25">
      <c r="A18405">
        <v>18404</v>
      </c>
      <c r="B18405">
        <v>45</v>
      </c>
      <c r="C18405">
        <v>0</v>
      </c>
      <c r="D18405">
        <v>0</v>
      </c>
      <c r="E18405">
        <v>0</v>
      </c>
      <c r="F18405">
        <v>538.06799999999998</v>
      </c>
    </row>
    <row r="18406" spans="1:6" x14ac:dyDescent="0.25">
      <c r="A18406">
        <v>18405</v>
      </c>
      <c r="B18406" t="s">
        <v>0</v>
      </c>
      <c r="C18406">
        <v>11</v>
      </c>
      <c r="D18406">
        <v>3514</v>
      </c>
      <c r="E18406">
        <v>80828152</v>
      </c>
    </row>
    <row r="18407" spans="1:6" x14ac:dyDescent="0.25">
      <c r="A18407">
        <v>18406</v>
      </c>
      <c r="B18407">
        <v>2</v>
      </c>
      <c r="C18407">
        <v>0</v>
      </c>
      <c r="D18407">
        <v>0</v>
      </c>
      <c r="E18407">
        <v>0</v>
      </c>
      <c r="F18407">
        <v>249.393</v>
      </c>
    </row>
    <row r="18408" spans="1:6" x14ac:dyDescent="0.25">
      <c r="A18408">
        <v>18407</v>
      </c>
      <c r="B18408" t="s">
        <v>0</v>
      </c>
      <c r="C18408">
        <v>12</v>
      </c>
      <c r="D18408">
        <v>3514</v>
      </c>
      <c r="E18408">
        <v>80828285</v>
      </c>
    </row>
    <row r="18409" spans="1:6" x14ac:dyDescent="0.25">
      <c r="A18409">
        <v>18408</v>
      </c>
      <c r="B18409">
        <v>13</v>
      </c>
      <c r="C18409">
        <v>0</v>
      </c>
      <c r="D18409">
        <v>0</v>
      </c>
      <c r="E18409">
        <v>0</v>
      </c>
      <c r="F18409">
        <v>1618</v>
      </c>
    </row>
    <row r="18410" spans="1:6" x14ac:dyDescent="0.25">
      <c r="A18410">
        <v>18409</v>
      </c>
      <c r="B18410" t="s">
        <v>0</v>
      </c>
      <c r="C18410">
        <v>13</v>
      </c>
      <c r="D18410">
        <v>3514</v>
      </c>
      <c r="E18410">
        <v>80828418</v>
      </c>
    </row>
    <row r="18411" spans="1:6" x14ac:dyDescent="0.25">
      <c r="A18411">
        <v>18410</v>
      </c>
      <c r="B18411">
        <v>42</v>
      </c>
      <c r="C18411">
        <v>0</v>
      </c>
      <c r="D18411">
        <v>0</v>
      </c>
      <c r="E18411">
        <v>0</v>
      </c>
      <c r="F18411">
        <v>0.2</v>
      </c>
    </row>
    <row r="18412" spans="1:6" x14ac:dyDescent="0.25">
      <c r="A18412">
        <v>18411</v>
      </c>
      <c r="B18412" t="s">
        <v>0</v>
      </c>
      <c r="C18412">
        <v>14</v>
      </c>
      <c r="D18412">
        <v>3514</v>
      </c>
      <c r="E18412">
        <v>80828551</v>
      </c>
    </row>
    <row r="18413" spans="1:6" x14ac:dyDescent="0.25">
      <c r="A18413">
        <v>18412</v>
      </c>
      <c r="B18413">
        <v>44</v>
      </c>
      <c r="C18413">
        <v>0</v>
      </c>
      <c r="D18413">
        <v>0</v>
      </c>
      <c r="E18413">
        <v>0</v>
      </c>
      <c r="F18413">
        <v>50.5578</v>
      </c>
    </row>
    <row r="18414" spans="1:6" x14ac:dyDescent="0.25">
      <c r="A18414">
        <v>18413</v>
      </c>
      <c r="B18414" t="s">
        <v>0</v>
      </c>
      <c r="C18414">
        <v>15</v>
      </c>
      <c r="D18414">
        <v>3514</v>
      </c>
      <c r="E18414">
        <v>80828684</v>
      </c>
    </row>
    <row r="18415" spans="1:6" x14ac:dyDescent="0.25">
      <c r="A18415">
        <v>18414</v>
      </c>
      <c r="B18415">
        <v>46</v>
      </c>
      <c r="C18415">
        <v>0</v>
      </c>
      <c r="D18415">
        <v>0</v>
      </c>
      <c r="E18415">
        <v>0</v>
      </c>
      <c r="F18415">
        <v>0</v>
      </c>
    </row>
    <row r="18416" spans="1:6" x14ac:dyDescent="0.25">
      <c r="A18416">
        <v>18415</v>
      </c>
      <c r="B18416" t="s">
        <v>0</v>
      </c>
      <c r="C18416">
        <v>16</v>
      </c>
      <c r="D18416">
        <v>3514</v>
      </c>
      <c r="E18416">
        <v>80828817</v>
      </c>
    </row>
    <row r="18417" spans="1:6" x14ac:dyDescent="0.25">
      <c r="A18417">
        <v>18416</v>
      </c>
      <c r="B18417">
        <v>10</v>
      </c>
      <c r="C18417">
        <v>1</v>
      </c>
      <c r="D18417">
        <v>0</v>
      </c>
      <c r="E18417">
        <v>0</v>
      </c>
      <c r="F18417">
        <v>5281</v>
      </c>
    </row>
    <row r="18418" spans="1:6" x14ac:dyDescent="0.25">
      <c r="A18418">
        <v>18417</v>
      </c>
      <c r="B18418" t="s">
        <v>0</v>
      </c>
      <c r="C18418">
        <v>17</v>
      </c>
      <c r="D18418">
        <v>3514</v>
      </c>
      <c r="E18418">
        <v>80828950</v>
      </c>
    </row>
    <row r="18419" spans="1:6" x14ac:dyDescent="0.25">
      <c r="A18419">
        <v>18418</v>
      </c>
      <c r="B18419">
        <v>41</v>
      </c>
      <c r="C18419">
        <v>0</v>
      </c>
      <c r="D18419">
        <v>0</v>
      </c>
      <c r="E18419">
        <v>0</v>
      </c>
      <c r="F18419">
        <v>1</v>
      </c>
    </row>
    <row r="18420" spans="1:6" x14ac:dyDescent="0.25">
      <c r="A18420">
        <v>18419</v>
      </c>
      <c r="B18420" t="s">
        <v>0</v>
      </c>
      <c r="C18420">
        <v>18</v>
      </c>
      <c r="D18420">
        <v>3514</v>
      </c>
      <c r="E18420">
        <v>80829083</v>
      </c>
    </row>
    <row r="18421" spans="1:6" x14ac:dyDescent="0.25">
      <c r="A18421">
        <v>18420</v>
      </c>
      <c r="B18421">
        <v>43</v>
      </c>
      <c r="C18421">
        <v>0</v>
      </c>
      <c r="D18421">
        <v>0</v>
      </c>
      <c r="E18421">
        <v>0</v>
      </c>
      <c r="F18421">
        <v>0</v>
      </c>
    </row>
    <row r="18422" spans="1:6" x14ac:dyDescent="0.25">
      <c r="A18422">
        <v>18421</v>
      </c>
      <c r="B18422" t="s">
        <v>0</v>
      </c>
      <c r="C18422">
        <v>19</v>
      </c>
      <c r="D18422">
        <v>3514</v>
      </c>
      <c r="E18422">
        <v>80829216</v>
      </c>
    </row>
    <row r="18423" spans="1:6" x14ac:dyDescent="0.25">
      <c r="A18423">
        <v>18422</v>
      </c>
      <c r="B18423">
        <v>45</v>
      </c>
      <c r="C18423">
        <v>0</v>
      </c>
      <c r="D18423">
        <v>0</v>
      </c>
      <c r="E18423">
        <v>0</v>
      </c>
      <c r="F18423">
        <v>538.18899999999996</v>
      </c>
    </row>
    <row r="18424" spans="1:6" x14ac:dyDescent="0.25">
      <c r="A18424">
        <v>18423</v>
      </c>
      <c r="B18424" t="s">
        <v>0</v>
      </c>
      <c r="C18424">
        <v>20</v>
      </c>
      <c r="D18424">
        <v>3514</v>
      </c>
      <c r="E18424">
        <v>80829349</v>
      </c>
    </row>
    <row r="18425" spans="1:6" x14ac:dyDescent="0.25">
      <c r="A18425">
        <v>18424</v>
      </c>
      <c r="B18425">
        <v>2</v>
      </c>
      <c r="C18425">
        <v>0</v>
      </c>
      <c r="D18425">
        <v>0</v>
      </c>
      <c r="E18425">
        <v>0</v>
      </c>
      <c r="F18425">
        <v>249.52</v>
      </c>
    </row>
    <row r="18426" spans="1:6" x14ac:dyDescent="0.25">
      <c r="A18426">
        <v>18425</v>
      </c>
      <c r="B18426" t="s">
        <v>0</v>
      </c>
      <c r="C18426">
        <v>21</v>
      </c>
      <c r="D18426">
        <v>3514</v>
      </c>
      <c r="E18426">
        <v>80829482</v>
      </c>
    </row>
    <row r="18427" spans="1:6" x14ac:dyDescent="0.25">
      <c r="A18427">
        <v>18426</v>
      </c>
      <c r="B18427">
        <v>13</v>
      </c>
      <c r="C18427">
        <v>0</v>
      </c>
      <c r="D18427">
        <v>0</v>
      </c>
      <c r="E18427">
        <v>0</v>
      </c>
      <c r="F18427">
        <v>1618</v>
      </c>
    </row>
    <row r="18428" spans="1:6" x14ac:dyDescent="0.25">
      <c r="A18428">
        <v>18427</v>
      </c>
      <c r="B18428" t="s">
        <v>0</v>
      </c>
      <c r="C18428">
        <v>22</v>
      </c>
      <c r="D18428">
        <v>3514</v>
      </c>
      <c r="E18428">
        <v>80829615</v>
      </c>
    </row>
    <row r="18429" spans="1:6" x14ac:dyDescent="0.25">
      <c r="A18429">
        <v>18428</v>
      </c>
      <c r="B18429">
        <v>42</v>
      </c>
      <c r="C18429">
        <v>0</v>
      </c>
      <c r="D18429">
        <v>0</v>
      </c>
      <c r="E18429">
        <v>0</v>
      </c>
      <c r="F18429">
        <v>0.2</v>
      </c>
    </row>
    <row r="18430" spans="1:6" x14ac:dyDescent="0.25">
      <c r="A18430">
        <v>18429</v>
      </c>
      <c r="B18430" t="s">
        <v>0</v>
      </c>
      <c r="C18430">
        <v>23</v>
      </c>
      <c r="D18430">
        <v>3514</v>
      </c>
      <c r="E18430">
        <v>80829748</v>
      </c>
    </row>
    <row r="18431" spans="1:6" x14ac:dyDescent="0.25">
      <c r="A18431">
        <v>18430</v>
      </c>
      <c r="B18431">
        <v>44</v>
      </c>
      <c r="C18431">
        <v>0</v>
      </c>
      <c r="D18431">
        <v>0</v>
      </c>
      <c r="E18431">
        <v>0</v>
      </c>
      <c r="F18431">
        <v>50.449100000000001</v>
      </c>
    </row>
    <row r="18432" spans="1:6" x14ac:dyDescent="0.25">
      <c r="A18432">
        <v>18431</v>
      </c>
      <c r="B18432" t="s">
        <v>0</v>
      </c>
      <c r="C18432">
        <v>24</v>
      </c>
      <c r="D18432">
        <v>3514</v>
      </c>
      <c r="E18432">
        <v>80829881</v>
      </c>
    </row>
    <row r="18433" spans="1:6" x14ac:dyDescent="0.25">
      <c r="A18433">
        <v>18432</v>
      </c>
      <c r="B18433">
        <v>46</v>
      </c>
      <c r="C18433">
        <v>0</v>
      </c>
      <c r="D18433">
        <v>0</v>
      </c>
      <c r="E18433">
        <v>0</v>
      </c>
      <c r="F18433">
        <v>0</v>
      </c>
    </row>
    <row r="18434" spans="1:6" x14ac:dyDescent="0.25">
      <c r="A18434">
        <v>18433</v>
      </c>
      <c r="B18434" t="s">
        <v>0</v>
      </c>
      <c r="C18434">
        <v>25</v>
      </c>
      <c r="D18434">
        <v>3514</v>
      </c>
      <c r="E18434">
        <v>80830014</v>
      </c>
    </row>
    <row r="18435" spans="1:6" x14ac:dyDescent="0.25">
      <c r="A18435">
        <v>18434</v>
      </c>
      <c r="B18435">
        <v>10</v>
      </c>
      <c r="C18435">
        <v>1</v>
      </c>
      <c r="D18435">
        <v>0</v>
      </c>
      <c r="E18435">
        <v>0</v>
      </c>
      <c r="F18435">
        <v>5279</v>
      </c>
    </row>
    <row r="18436" spans="1:6" x14ac:dyDescent="0.25">
      <c r="A18436">
        <v>18435</v>
      </c>
      <c r="B18436" t="s">
        <v>0</v>
      </c>
      <c r="C18436">
        <v>26</v>
      </c>
      <c r="D18436">
        <v>3514</v>
      </c>
      <c r="E18436">
        <v>80830147</v>
      </c>
    </row>
    <row r="18437" spans="1:6" x14ac:dyDescent="0.25">
      <c r="A18437">
        <v>18436</v>
      </c>
      <c r="B18437">
        <v>41</v>
      </c>
      <c r="C18437">
        <v>0</v>
      </c>
      <c r="D18437">
        <v>0</v>
      </c>
      <c r="E18437">
        <v>0</v>
      </c>
      <c r="F18437">
        <v>1</v>
      </c>
    </row>
    <row r="18438" spans="1:6" x14ac:dyDescent="0.25">
      <c r="A18438">
        <v>18437</v>
      </c>
      <c r="B18438" t="s">
        <v>0</v>
      </c>
      <c r="C18438">
        <v>27</v>
      </c>
      <c r="D18438">
        <v>3514</v>
      </c>
      <c r="E18438">
        <v>80830280</v>
      </c>
    </row>
    <row r="18439" spans="1:6" x14ac:dyDescent="0.25">
      <c r="A18439">
        <v>18438</v>
      </c>
      <c r="B18439">
        <v>43</v>
      </c>
      <c r="C18439">
        <v>0</v>
      </c>
      <c r="D18439">
        <v>0</v>
      </c>
      <c r="E18439">
        <v>0</v>
      </c>
      <c r="F18439">
        <v>0</v>
      </c>
    </row>
    <row r="18440" spans="1:6" x14ac:dyDescent="0.25">
      <c r="A18440">
        <v>18439</v>
      </c>
      <c r="B18440" t="s">
        <v>0</v>
      </c>
      <c r="C18440">
        <v>28</v>
      </c>
      <c r="D18440">
        <v>3514</v>
      </c>
      <c r="E18440">
        <v>80830412</v>
      </c>
    </row>
    <row r="18441" spans="1:6" x14ac:dyDescent="0.25">
      <c r="A18441">
        <v>18440</v>
      </c>
      <c r="B18441">
        <v>45</v>
      </c>
      <c r="C18441">
        <v>0</v>
      </c>
      <c r="D18441">
        <v>0</v>
      </c>
      <c r="E18441">
        <v>0</v>
      </c>
      <c r="F18441">
        <v>538.30999999999995</v>
      </c>
    </row>
    <row r="18442" spans="1:6" x14ac:dyDescent="0.25">
      <c r="A18442">
        <v>18441</v>
      </c>
      <c r="B18442" t="s">
        <v>0</v>
      </c>
      <c r="C18442">
        <v>29</v>
      </c>
      <c r="D18442">
        <v>3514</v>
      </c>
      <c r="E18442">
        <v>80830545</v>
      </c>
    </row>
    <row r="18443" spans="1:6" x14ac:dyDescent="0.25">
      <c r="A18443">
        <v>18442</v>
      </c>
      <c r="B18443">
        <v>2</v>
      </c>
      <c r="C18443">
        <v>0</v>
      </c>
      <c r="D18443">
        <v>0</v>
      </c>
      <c r="E18443">
        <v>0</v>
      </c>
      <c r="F18443">
        <v>249.6</v>
      </c>
    </row>
    <row r="18444" spans="1:6" x14ac:dyDescent="0.25">
      <c r="A18444">
        <v>18443</v>
      </c>
      <c r="B18444" t="s">
        <v>0</v>
      </c>
      <c r="C18444">
        <v>30</v>
      </c>
      <c r="D18444">
        <v>3514</v>
      </c>
      <c r="E18444">
        <v>80830678</v>
      </c>
    </row>
    <row r="18445" spans="1:6" x14ac:dyDescent="0.25">
      <c r="A18445">
        <v>18444</v>
      </c>
      <c r="B18445">
        <v>13</v>
      </c>
      <c r="C18445">
        <v>0</v>
      </c>
      <c r="D18445">
        <v>0</v>
      </c>
      <c r="E18445">
        <v>0</v>
      </c>
      <c r="F18445">
        <v>1618</v>
      </c>
    </row>
    <row r="18446" spans="1:6" x14ac:dyDescent="0.25">
      <c r="A18446">
        <v>18445</v>
      </c>
      <c r="B18446" t="s">
        <v>0</v>
      </c>
      <c r="C18446">
        <v>31</v>
      </c>
      <c r="D18446">
        <v>3514</v>
      </c>
      <c r="E18446">
        <v>80830811</v>
      </c>
    </row>
    <row r="18447" spans="1:6" x14ac:dyDescent="0.25">
      <c r="A18447">
        <v>18446</v>
      </c>
      <c r="B18447">
        <v>42</v>
      </c>
      <c r="C18447">
        <v>0</v>
      </c>
      <c r="D18447">
        <v>0</v>
      </c>
      <c r="E18447">
        <v>0</v>
      </c>
      <c r="F18447">
        <v>0.2</v>
      </c>
    </row>
    <row r="18448" spans="1:6" x14ac:dyDescent="0.25">
      <c r="A18448">
        <v>18447</v>
      </c>
      <c r="B18448" t="s">
        <v>0</v>
      </c>
      <c r="C18448">
        <v>32</v>
      </c>
      <c r="D18448">
        <v>3514</v>
      </c>
      <c r="E18448">
        <v>80830944</v>
      </c>
    </row>
    <row r="18449" spans="1:6" x14ac:dyDescent="0.25">
      <c r="A18449">
        <v>18448</v>
      </c>
      <c r="B18449">
        <v>44</v>
      </c>
      <c r="C18449">
        <v>0</v>
      </c>
      <c r="D18449">
        <v>0</v>
      </c>
      <c r="E18449">
        <v>0</v>
      </c>
      <c r="F18449">
        <v>50.380299999999998</v>
      </c>
    </row>
    <row r="18450" spans="1:6" x14ac:dyDescent="0.25">
      <c r="A18450">
        <v>18449</v>
      </c>
      <c r="B18450" t="s">
        <v>0</v>
      </c>
      <c r="C18450">
        <v>33</v>
      </c>
      <c r="D18450">
        <v>3514</v>
      </c>
      <c r="E18450">
        <v>80831077</v>
      </c>
    </row>
    <row r="18451" spans="1:6" x14ac:dyDescent="0.25">
      <c r="A18451">
        <v>18450</v>
      </c>
      <c r="B18451">
        <v>46</v>
      </c>
      <c r="C18451">
        <v>0</v>
      </c>
      <c r="D18451">
        <v>0</v>
      </c>
      <c r="E18451">
        <v>0</v>
      </c>
      <c r="F18451">
        <v>0</v>
      </c>
    </row>
    <row r="18452" spans="1:6" x14ac:dyDescent="0.25">
      <c r="A18452">
        <v>18451</v>
      </c>
      <c r="B18452" t="s">
        <v>0</v>
      </c>
      <c r="C18452">
        <v>34</v>
      </c>
      <c r="D18452">
        <v>3514</v>
      </c>
      <c r="E18452">
        <v>80831210</v>
      </c>
    </row>
    <row r="18453" spans="1:6" x14ac:dyDescent="0.25">
      <c r="A18453">
        <v>18452</v>
      </c>
      <c r="B18453">
        <v>10</v>
      </c>
      <c r="C18453">
        <v>1</v>
      </c>
      <c r="D18453">
        <v>0</v>
      </c>
      <c r="E18453">
        <v>0</v>
      </c>
      <c r="F18453">
        <v>5278</v>
      </c>
    </row>
    <row r="18454" spans="1:6" x14ac:dyDescent="0.25">
      <c r="A18454">
        <v>18453</v>
      </c>
      <c r="B18454" t="s">
        <v>0</v>
      </c>
      <c r="C18454">
        <v>35</v>
      </c>
      <c r="D18454">
        <v>3514</v>
      </c>
      <c r="E18454">
        <v>80831343</v>
      </c>
    </row>
    <row r="18455" spans="1:6" x14ac:dyDescent="0.25">
      <c r="A18455">
        <v>18454</v>
      </c>
      <c r="B18455">
        <v>41</v>
      </c>
      <c r="C18455">
        <v>0</v>
      </c>
      <c r="D18455">
        <v>0</v>
      </c>
      <c r="E18455">
        <v>0</v>
      </c>
      <c r="F18455">
        <v>1</v>
      </c>
    </row>
    <row r="18456" spans="1:6" x14ac:dyDescent="0.25">
      <c r="A18456">
        <v>18455</v>
      </c>
      <c r="B18456" t="s">
        <v>0</v>
      </c>
      <c r="C18456">
        <v>36</v>
      </c>
      <c r="D18456">
        <v>3514</v>
      </c>
      <c r="E18456">
        <v>80831476</v>
      </c>
    </row>
    <row r="18457" spans="1:6" x14ac:dyDescent="0.25">
      <c r="A18457">
        <v>18456</v>
      </c>
      <c r="B18457">
        <v>43</v>
      </c>
      <c r="C18457">
        <v>0</v>
      </c>
      <c r="D18457">
        <v>0</v>
      </c>
      <c r="E18457">
        <v>0</v>
      </c>
      <c r="F18457">
        <v>0</v>
      </c>
    </row>
    <row r="18458" spans="1:6" x14ac:dyDescent="0.25">
      <c r="A18458">
        <v>18457</v>
      </c>
      <c r="B18458" t="s">
        <v>0</v>
      </c>
      <c r="C18458">
        <v>37</v>
      </c>
      <c r="D18458">
        <v>3514</v>
      </c>
      <c r="E18458">
        <v>80831609</v>
      </c>
    </row>
    <row r="18459" spans="1:6" x14ac:dyDescent="0.25">
      <c r="A18459">
        <v>18458</v>
      </c>
      <c r="B18459">
        <v>45</v>
      </c>
      <c r="C18459">
        <v>0</v>
      </c>
      <c r="D18459">
        <v>0</v>
      </c>
      <c r="E18459">
        <v>0</v>
      </c>
      <c r="F18459">
        <v>538.43100000000004</v>
      </c>
    </row>
    <row r="18460" spans="1:6" x14ac:dyDescent="0.25">
      <c r="A18460">
        <v>18459</v>
      </c>
      <c r="B18460" t="s">
        <v>0</v>
      </c>
      <c r="C18460">
        <v>38</v>
      </c>
      <c r="D18460">
        <v>3514</v>
      </c>
      <c r="E18460">
        <v>80831742</v>
      </c>
    </row>
    <row r="18461" spans="1:6" x14ac:dyDescent="0.25">
      <c r="A18461">
        <v>18460</v>
      </c>
      <c r="B18461">
        <v>2</v>
      </c>
      <c r="C18461">
        <v>0</v>
      </c>
      <c r="D18461">
        <v>0</v>
      </c>
      <c r="E18461">
        <v>0</v>
      </c>
      <c r="F18461">
        <v>249.65100000000001</v>
      </c>
    </row>
    <row r="18462" spans="1:6" x14ac:dyDescent="0.25">
      <c r="A18462">
        <v>18461</v>
      </c>
      <c r="B18462" t="s">
        <v>0</v>
      </c>
      <c r="C18462">
        <v>39</v>
      </c>
      <c r="D18462">
        <v>3514</v>
      </c>
      <c r="E18462">
        <v>80831875</v>
      </c>
    </row>
    <row r="18463" spans="1:6" x14ac:dyDescent="0.25">
      <c r="A18463">
        <v>18462</v>
      </c>
      <c r="B18463">
        <v>13</v>
      </c>
      <c r="C18463">
        <v>0</v>
      </c>
      <c r="D18463">
        <v>0</v>
      </c>
      <c r="E18463">
        <v>0</v>
      </c>
      <c r="F18463">
        <v>1618</v>
      </c>
    </row>
    <row r="18464" spans="1:6" x14ac:dyDescent="0.25">
      <c r="A18464">
        <v>18463</v>
      </c>
      <c r="B18464" t="s">
        <v>0</v>
      </c>
      <c r="C18464">
        <v>40</v>
      </c>
      <c r="D18464">
        <v>3514</v>
      </c>
      <c r="E18464">
        <v>80832008</v>
      </c>
    </row>
    <row r="18465" spans="1:6" x14ac:dyDescent="0.25">
      <c r="A18465">
        <v>18464</v>
      </c>
      <c r="B18465">
        <v>42</v>
      </c>
      <c r="C18465">
        <v>0</v>
      </c>
      <c r="D18465">
        <v>0</v>
      </c>
      <c r="E18465">
        <v>0</v>
      </c>
      <c r="F18465">
        <v>0.2</v>
      </c>
    </row>
    <row r="18466" spans="1:6" x14ac:dyDescent="0.25">
      <c r="A18466">
        <v>18465</v>
      </c>
      <c r="B18466" t="s">
        <v>0</v>
      </c>
      <c r="C18466">
        <v>41</v>
      </c>
      <c r="D18466">
        <v>3514</v>
      </c>
      <c r="E18466">
        <v>80832141</v>
      </c>
    </row>
    <row r="18467" spans="1:6" x14ac:dyDescent="0.25">
      <c r="A18467">
        <v>18466</v>
      </c>
      <c r="B18467">
        <v>44</v>
      </c>
      <c r="C18467">
        <v>0</v>
      </c>
      <c r="D18467">
        <v>0</v>
      </c>
      <c r="E18467">
        <v>0</v>
      </c>
      <c r="F18467">
        <v>50.337000000000003</v>
      </c>
    </row>
    <row r="18468" spans="1:6" x14ac:dyDescent="0.25">
      <c r="A18468">
        <v>18467</v>
      </c>
      <c r="B18468" t="s">
        <v>0</v>
      </c>
      <c r="C18468">
        <v>42</v>
      </c>
      <c r="D18468">
        <v>3514</v>
      </c>
      <c r="E18468">
        <v>80832274</v>
      </c>
    </row>
    <row r="18469" spans="1:6" x14ac:dyDescent="0.25">
      <c r="A18469">
        <v>18468</v>
      </c>
      <c r="B18469">
        <v>46</v>
      </c>
      <c r="C18469">
        <v>0</v>
      </c>
      <c r="D18469">
        <v>0</v>
      </c>
      <c r="E18469">
        <v>0</v>
      </c>
      <c r="F18469">
        <v>0</v>
      </c>
    </row>
    <row r="18470" spans="1:6" x14ac:dyDescent="0.25">
      <c r="A18470">
        <v>18469</v>
      </c>
      <c r="B18470" t="s">
        <v>0</v>
      </c>
      <c r="C18470">
        <v>43</v>
      </c>
      <c r="D18470">
        <v>3514</v>
      </c>
      <c r="E18470">
        <v>80832407</v>
      </c>
    </row>
    <row r="18471" spans="1:6" x14ac:dyDescent="0.25">
      <c r="A18471">
        <v>18470</v>
      </c>
      <c r="B18471">
        <v>10</v>
      </c>
      <c r="C18471">
        <v>1</v>
      </c>
      <c r="D18471">
        <v>0</v>
      </c>
      <c r="E18471">
        <v>0</v>
      </c>
      <c r="F18471">
        <v>5278</v>
      </c>
    </row>
    <row r="18472" spans="1:6" x14ac:dyDescent="0.25">
      <c r="A18472">
        <v>18471</v>
      </c>
      <c r="B18472" t="s">
        <v>0</v>
      </c>
      <c r="C18472">
        <v>44</v>
      </c>
      <c r="D18472">
        <v>3514</v>
      </c>
      <c r="E18472">
        <v>80832540</v>
      </c>
    </row>
    <row r="18473" spans="1:6" x14ac:dyDescent="0.25">
      <c r="A18473">
        <v>18472</v>
      </c>
      <c r="B18473">
        <v>41</v>
      </c>
      <c r="C18473">
        <v>0</v>
      </c>
      <c r="D18473">
        <v>0</v>
      </c>
      <c r="E18473">
        <v>0</v>
      </c>
      <c r="F18473">
        <v>1</v>
      </c>
    </row>
    <row r="18474" spans="1:6" x14ac:dyDescent="0.25">
      <c r="A18474">
        <v>18473</v>
      </c>
      <c r="B18474" t="s">
        <v>0</v>
      </c>
      <c r="C18474">
        <v>45</v>
      </c>
      <c r="D18474">
        <v>3514</v>
      </c>
      <c r="E18474">
        <v>80832673</v>
      </c>
    </row>
    <row r="18475" spans="1:6" x14ac:dyDescent="0.25">
      <c r="A18475">
        <v>18474</v>
      </c>
      <c r="B18475">
        <v>43</v>
      </c>
      <c r="C18475">
        <v>0</v>
      </c>
      <c r="D18475">
        <v>0</v>
      </c>
      <c r="E18475">
        <v>0</v>
      </c>
      <c r="F18475">
        <v>0</v>
      </c>
    </row>
    <row r="18476" spans="1:6" x14ac:dyDescent="0.25">
      <c r="A18476">
        <v>18475</v>
      </c>
      <c r="B18476" t="s">
        <v>0</v>
      </c>
      <c r="C18476">
        <v>46</v>
      </c>
      <c r="D18476">
        <v>3514</v>
      </c>
      <c r="E18476">
        <v>80832806</v>
      </c>
    </row>
    <row r="18477" spans="1:6" x14ac:dyDescent="0.25">
      <c r="A18477">
        <v>18476</v>
      </c>
      <c r="B18477">
        <v>45</v>
      </c>
      <c r="C18477">
        <v>0</v>
      </c>
      <c r="D18477">
        <v>0</v>
      </c>
      <c r="E18477">
        <v>0</v>
      </c>
      <c r="F18477">
        <v>538.55200000000002</v>
      </c>
    </row>
    <row r="18478" spans="1:6" x14ac:dyDescent="0.25">
      <c r="A18478">
        <v>18477</v>
      </c>
      <c r="B18478" t="s">
        <v>0</v>
      </c>
      <c r="C18478">
        <v>47</v>
      </c>
      <c r="D18478">
        <v>3514</v>
      </c>
      <c r="E18478">
        <v>80832939</v>
      </c>
    </row>
    <row r="18479" spans="1:6" x14ac:dyDescent="0.25">
      <c r="A18479">
        <v>18478</v>
      </c>
      <c r="B18479">
        <v>2</v>
      </c>
      <c r="C18479">
        <v>0</v>
      </c>
      <c r="D18479">
        <v>0</v>
      </c>
      <c r="E18479">
        <v>0</v>
      </c>
      <c r="F18479">
        <v>249.68299999999999</v>
      </c>
    </row>
    <row r="18480" spans="1:6" x14ac:dyDescent="0.25">
      <c r="A18480">
        <v>18479</v>
      </c>
      <c r="B18480" t="s">
        <v>0</v>
      </c>
      <c r="C18480">
        <v>48</v>
      </c>
      <c r="D18480">
        <v>3514</v>
      </c>
      <c r="E18480">
        <v>80833072</v>
      </c>
    </row>
    <row r="18481" spans="1:6" x14ac:dyDescent="0.25">
      <c r="A18481">
        <v>18480</v>
      </c>
      <c r="B18481">
        <v>13</v>
      </c>
      <c r="C18481">
        <v>0</v>
      </c>
      <c r="D18481">
        <v>0</v>
      </c>
      <c r="E18481">
        <v>0</v>
      </c>
      <c r="F18481">
        <v>1618</v>
      </c>
    </row>
    <row r="18482" spans="1:6" x14ac:dyDescent="0.25">
      <c r="A18482">
        <v>18481</v>
      </c>
      <c r="B18482" t="s">
        <v>0</v>
      </c>
      <c r="C18482">
        <v>49</v>
      </c>
      <c r="D18482">
        <v>3514</v>
      </c>
      <c r="E18482">
        <v>80833205</v>
      </c>
    </row>
    <row r="18483" spans="1:6" x14ac:dyDescent="0.25">
      <c r="A18483">
        <v>18482</v>
      </c>
      <c r="B18483">
        <v>42</v>
      </c>
      <c r="C18483">
        <v>0</v>
      </c>
      <c r="D18483">
        <v>0</v>
      </c>
      <c r="E18483">
        <v>0</v>
      </c>
      <c r="F18483">
        <v>0.2</v>
      </c>
    </row>
    <row r="18484" spans="1:6" x14ac:dyDescent="0.25">
      <c r="A18484">
        <v>18483</v>
      </c>
      <c r="B18484" t="s">
        <v>0</v>
      </c>
      <c r="C18484">
        <v>50</v>
      </c>
      <c r="D18484">
        <v>3514</v>
      </c>
      <c r="E18484">
        <v>80833338</v>
      </c>
    </row>
    <row r="18485" spans="1:6" x14ac:dyDescent="0.25">
      <c r="A18485">
        <v>18484</v>
      </c>
      <c r="B18485">
        <v>44</v>
      </c>
      <c r="C18485">
        <v>0</v>
      </c>
      <c r="D18485">
        <v>0</v>
      </c>
      <c r="E18485">
        <v>0</v>
      </c>
      <c r="F18485">
        <v>50.309899999999999</v>
      </c>
    </row>
    <row r="18486" spans="1:6" x14ac:dyDescent="0.25">
      <c r="A18486">
        <v>18485</v>
      </c>
      <c r="B18486" t="s">
        <v>0</v>
      </c>
      <c r="C18486">
        <v>51</v>
      </c>
      <c r="D18486">
        <v>3514</v>
      </c>
      <c r="E18486">
        <v>80833471</v>
      </c>
    </row>
    <row r="18487" spans="1:6" x14ac:dyDescent="0.25">
      <c r="A18487">
        <v>18486</v>
      </c>
      <c r="B18487">
        <v>46</v>
      </c>
      <c r="C18487">
        <v>0</v>
      </c>
      <c r="D18487">
        <v>0</v>
      </c>
      <c r="E18487">
        <v>0</v>
      </c>
      <c r="F18487">
        <v>0</v>
      </c>
    </row>
    <row r="18488" spans="1:6" x14ac:dyDescent="0.25">
      <c r="A18488">
        <v>18487</v>
      </c>
      <c r="B18488" t="s">
        <v>0</v>
      </c>
      <c r="C18488">
        <v>52</v>
      </c>
      <c r="D18488">
        <v>3514</v>
      </c>
      <c r="E18488">
        <v>80833604</v>
      </c>
    </row>
    <row r="18489" spans="1:6" x14ac:dyDescent="0.25">
      <c r="A18489">
        <v>18488</v>
      </c>
      <c r="B18489">
        <v>10</v>
      </c>
      <c r="C18489">
        <v>1</v>
      </c>
      <c r="D18489">
        <v>0</v>
      </c>
      <c r="E18489">
        <v>0</v>
      </c>
      <c r="F18489">
        <v>5278</v>
      </c>
    </row>
    <row r="18490" spans="1:6" x14ac:dyDescent="0.25">
      <c r="A18490">
        <v>18489</v>
      </c>
      <c r="B18490" t="s">
        <v>0</v>
      </c>
      <c r="C18490">
        <v>53</v>
      </c>
      <c r="D18490">
        <v>3514</v>
      </c>
      <c r="E18490">
        <v>80833737</v>
      </c>
    </row>
    <row r="18491" spans="1:6" x14ac:dyDescent="0.25">
      <c r="A18491">
        <v>18490</v>
      </c>
      <c r="B18491">
        <v>41</v>
      </c>
      <c r="C18491">
        <v>0</v>
      </c>
      <c r="D18491">
        <v>0</v>
      </c>
      <c r="E18491">
        <v>0</v>
      </c>
      <c r="F18491">
        <v>1</v>
      </c>
    </row>
    <row r="18492" spans="1:6" x14ac:dyDescent="0.25">
      <c r="A18492">
        <v>18491</v>
      </c>
      <c r="B18492" t="s">
        <v>0</v>
      </c>
      <c r="C18492">
        <v>54</v>
      </c>
      <c r="D18492">
        <v>3514</v>
      </c>
      <c r="E18492">
        <v>80833870</v>
      </c>
    </row>
    <row r="18493" spans="1:6" x14ac:dyDescent="0.25">
      <c r="A18493">
        <v>18492</v>
      </c>
      <c r="B18493">
        <v>43</v>
      </c>
      <c r="C18493">
        <v>0</v>
      </c>
      <c r="D18493">
        <v>0</v>
      </c>
      <c r="E18493">
        <v>0</v>
      </c>
      <c r="F18493">
        <v>0</v>
      </c>
    </row>
    <row r="18494" spans="1:6" x14ac:dyDescent="0.25">
      <c r="A18494">
        <v>18493</v>
      </c>
      <c r="B18494" t="s">
        <v>0</v>
      </c>
      <c r="C18494">
        <v>55</v>
      </c>
      <c r="D18494">
        <v>3514</v>
      </c>
      <c r="E18494">
        <v>80834003</v>
      </c>
    </row>
    <row r="18495" spans="1:6" x14ac:dyDescent="0.25">
      <c r="A18495">
        <v>18494</v>
      </c>
      <c r="B18495">
        <v>45</v>
      </c>
      <c r="C18495">
        <v>0</v>
      </c>
      <c r="D18495">
        <v>0</v>
      </c>
      <c r="E18495">
        <v>0</v>
      </c>
      <c r="F18495">
        <v>538.673</v>
      </c>
    </row>
    <row r="18496" spans="1:6" x14ac:dyDescent="0.25">
      <c r="A18496">
        <v>18495</v>
      </c>
      <c r="B18496" t="s">
        <v>0</v>
      </c>
      <c r="C18496">
        <v>56</v>
      </c>
      <c r="D18496">
        <v>3514</v>
      </c>
      <c r="E18496">
        <v>80834135</v>
      </c>
    </row>
    <row r="18497" spans="1:6" x14ac:dyDescent="0.25">
      <c r="A18497">
        <v>18496</v>
      </c>
      <c r="B18497">
        <v>2</v>
      </c>
      <c r="C18497">
        <v>0</v>
      </c>
      <c r="D18497">
        <v>0</v>
      </c>
      <c r="E18497">
        <v>0</v>
      </c>
      <c r="F18497">
        <v>249.702</v>
      </c>
    </row>
    <row r="18498" spans="1:6" x14ac:dyDescent="0.25">
      <c r="A18498">
        <v>18497</v>
      </c>
      <c r="B18498" t="s">
        <v>0</v>
      </c>
      <c r="C18498">
        <v>57</v>
      </c>
      <c r="D18498">
        <v>3514</v>
      </c>
      <c r="E18498">
        <v>80834268</v>
      </c>
    </row>
    <row r="18499" spans="1:6" x14ac:dyDescent="0.25">
      <c r="A18499">
        <v>18498</v>
      </c>
      <c r="B18499">
        <v>13</v>
      </c>
      <c r="C18499">
        <v>0</v>
      </c>
      <c r="D18499">
        <v>0</v>
      </c>
      <c r="E18499">
        <v>0</v>
      </c>
      <c r="F18499">
        <v>1618</v>
      </c>
    </row>
    <row r="18500" spans="1:6" x14ac:dyDescent="0.25">
      <c r="A18500">
        <v>18499</v>
      </c>
      <c r="B18500" t="s">
        <v>0</v>
      </c>
      <c r="C18500">
        <v>58</v>
      </c>
      <c r="D18500">
        <v>3514</v>
      </c>
      <c r="E18500">
        <v>80834401</v>
      </c>
    </row>
    <row r="18501" spans="1:6" x14ac:dyDescent="0.25">
      <c r="A18501">
        <v>18500</v>
      </c>
      <c r="B18501">
        <v>42</v>
      </c>
      <c r="C18501">
        <v>0</v>
      </c>
      <c r="D18501">
        <v>0</v>
      </c>
      <c r="E18501">
        <v>0</v>
      </c>
      <c r="F18501">
        <v>0.2</v>
      </c>
    </row>
    <row r="18502" spans="1:6" x14ac:dyDescent="0.25">
      <c r="A18502">
        <v>18501</v>
      </c>
      <c r="B18502" t="s">
        <v>0</v>
      </c>
      <c r="C18502">
        <v>59</v>
      </c>
      <c r="D18502">
        <v>3514</v>
      </c>
      <c r="E18502">
        <v>80834534</v>
      </c>
    </row>
    <row r="18503" spans="1:6" x14ac:dyDescent="0.25">
      <c r="A18503">
        <v>18502</v>
      </c>
      <c r="B18503">
        <v>44</v>
      </c>
      <c r="C18503">
        <v>0</v>
      </c>
      <c r="D18503">
        <v>0</v>
      </c>
      <c r="E18503">
        <v>0</v>
      </c>
      <c r="F18503">
        <v>50.2928</v>
      </c>
    </row>
    <row r="18504" spans="1:6" x14ac:dyDescent="0.25">
      <c r="A18504">
        <v>18503</v>
      </c>
      <c r="B18504" t="s">
        <v>0</v>
      </c>
      <c r="C18504">
        <v>60</v>
      </c>
      <c r="D18504">
        <v>3514</v>
      </c>
      <c r="E18504">
        <v>80834668</v>
      </c>
    </row>
    <row r="18505" spans="1:6" x14ac:dyDescent="0.25">
      <c r="A18505">
        <v>18504</v>
      </c>
      <c r="B18505">
        <v>46</v>
      </c>
      <c r="C18505">
        <v>0</v>
      </c>
      <c r="D18505">
        <v>0</v>
      </c>
      <c r="E18505">
        <v>0</v>
      </c>
      <c r="F18505">
        <v>0</v>
      </c>
    </row>
    <row r="18506" spans="1:6" x14ac:dyDescent="0.25">
      <c r="A18506">
        <v>18505</v>
      </c>
      <c r="B18506" t="s">
        <v>0</v>
      </c>
      <c r="C18506">
        <v>61</v>
      </c>
      <c r="D18506">
        <v>3514</v>
      </c>
      <c r="E18506">
        <v>80834801</v>
      </c>
    </row>
    <row r="18507" spans="1:6" x14ac:dyDescent="0.25">
      <c r="A18507">
        <v>18506</v>
      </c>
      <c r="B18507">
        <v>10</v>
      </c>
      <c r="C18507">
        <v>1</v>
      </c>
      <c r="D18507">
        <v>0</v>
      </c>
      <c r="E18507">
        <v>0</v>
      </c>
      <c r="F18507">
        <v>5278</v>
      </c>
    </row>
    <row r="18508" spans="1:6" x14ac:dyDescent="0.25">
      <c r="A18508">
        <v>18507</v>
      </c>
      <c r="B18508" t="s">
        <v>0</v>
      </c>
      <c r="C18508">
        <v>62</v>
      </c>
      <c r="D18508">
        <v>3514</v>
      </c>
      <c r="E18508">
        <v>80834934</v>
      </c>
    </row>
    <row r="18509" spans="1:6" x14ac:dyDescent="0.25">
      <c r="A18509">
        <v>18508</v>
      </c>
      <c r="B18509">
        <v>41</v>
      </c>
      <c r="C18509">
        <v>0</v>
      </c>
      <c r="D18509">
        <v>0</v>
      </c>
      <c r="E18509">
        <v>0</v>
      </c>
      <c r="F18509">
        <v>1</v>
      </c>
    </row>
    <row r="18510" spans="1:6" x14ac:dyDescent="0.25">
      <c r="A18510">
        <v>18509</v>
      </c>
      <c r="B18510" t="s">
        <v>0</v>
      </c>
      <c r="C18510">
        <v>63</v>
      </c>
      <c r="D18510">
        <v>3514</v>
      </c>
      <c r="E18510">
        <v>80835067</v>
      </c>
    </row>
    <row r="18511" spans="1:6" x14ac:dyDescent="0.25">
      <c r="A18511">
        <v>18510</v>
      </c>
      <c r="B18511">
        <v>43</v>
      </c>
      <c r="C18511">
        <v>0</v>
      </c>
      <c r="D18511">
        <v>0</v>
      </c>
      <c r="E18511">
        <v>0</v>
      </c>
      <c r="F18511">
        <v>0</v>
      </c>
    </row>
    <row r="18512" spans="1:6" x14ac:dyDescent="0.25">
      <c r="A18512">
        <v>18511</v>
      </c>
      <c r="B18512" t="s">
        <v>0</v>
      </c>
      <c r="C18512">
        <v>64</v>
      </c>
      <c r="D18512">
        <v>3514</v>
      </c>
      <c r="E18512">
        <v>80835200</v>
      </c>
    </row>
    <row r="18513" spans="1:6" x14ac:dyDescent="0.25">
      <c r="A18513">
        <v>18512</v>
      </c>
      <c r="B18513">
        <v>45</v>
      </c>
      <c r="C18513">
        <v>0</v>
      </c>
      <c r="D18513">
        <v>0</v>
      </c>
      <c r="E18513">
        <v>0</v>
      </c>
      <c r="F18513">
        <v>538.79399999999998</v>
      </c>
    </row>
    <row r="18514" spans="1:6" x14ac:dyDescent="0.25">
      <c r="A18514">
        <v>18513</v>
      </c>
      <c r="B18514" t="s">
        <v>0</v>
      </c>
      <c r="C18514">
        <v>65</v>
      </c>
      <c r="D18514">
        <v>3514</v>
      </c>
      <c r="E18514">
        <v>80835333</v>
      </c>
    </row>
    <row r="18515" spans="1:6" x14ac:dyDescent="0.25">
      <c r="A18515">
        <v>18514</v>
      </c>
      <c r="B18515">
        <v>2</v>
      </c>
      <c r="C18515">
        <v>0</v>
      </c>
      <c r="D18515">
        <v>0</v>
      </c>
      <c r="E18515">
        <v>0</v>
      </c>
      <c r="F18515">
        <v>249.715</v>
      </c>
    </row>
    <row r="18516" spans="1:6" x14ac:dyDescent="0.25">
      <c r="A18516">
        <v>18515</v>
      </c>
      <c r="B18516" t="s">
        <v>0</v>
      </c>
      <c r="C18516">
        <v>66</v>
      </c>
      <c r="D18516">
        <v>3514</v>
      </c>
      <c r="E18516">
        <v>80835466</v>
      </c>
    </row>
    <row r="18517" spans="1:6" x14ac:dyDescent="0.25">
      <c r="A18517">
        <v>18516</v>
      </c>
      <c r="B18517">
        <v>13</v>
      </c>
      <c r="C18517">
        <v>0</v>
      </c>
      <c r="D18517">
        <v>0</v>
      </c>
      <c r="E18517">
        <v>0</v>
      </c>
      <c r="F18517">
        <v>1618</v>
      </c>
    </row>
    <row r="18518" spans="1:6" x14ac:dyDescent="0.25">
      <c r="A18518">
        <v>18517</v>
      </c>
      <c r="B18518" t="s">
        <v>0</v>
      </c>
      <c r="C18518">
        <v>67</v>
      </c>
      <c r="D18518">
        <v>3514</v>
      </c>
      <c r="E18518">
        <v>80835599</v>
      </c>
    </row>
    <row r="18519" spans="1:6" x14ac:dyDescent="0.25">
      <c r="A18519">
        <v>18518</v>
      </c>
      <c r="B18519">
        <v>42</v>
      </c>
      <c r="C18519">
        <v>0</v>
      </c>
      <c r="D18519">
        <v>0</v>
      </c>
      <c r="E18519">
        <v>0</v>
      </c>
      <c r="F18519">
        <v>0.2</v>
      </c>
    </row>
    <row r="18520" spans="1:6" x14ac:dyDescent="0.25">
      <c r="A18520">
        <v>18519</v>
      </c>
      <c r="B18520" t="s">
        <v>0</v>
      </c>
      <c r="C18520">
        <v>68</v>
      </c>
      <c r="D18520">
        <v>3514</v>
      </c>
      <c r="E18520">
        <v>80835732</v>
      </c>
    </row>
    <row r="18521" spans="1:6" x14ac:dyDescent="0.25">
      <c r="A18521">
        <v>18520</v>
      </c>
      <c r="B18521">
        <v>44</v>
      </c>
      <c r="C18521">
        <v>0</v>
      </c>
      <c r="D18521">
        <v>0</v>
      </c>
      <c r="E18521">
        <v>0</v>
      </c>
      <c r="F18521">
        <v>50.281700000000001</v>
      </c>
    </row>
    <row r="18522" spans="1:6" x14ac:dyDescent="0.25">
      <c r="A18522">
        <v>18521</v>
      </c>
      <c r="B18522" t="s">
        <v>0</v>
      </c>
      <c r="C18522">
        <v>69</v>
      </c>
      <c r="D18522">
        <v>3514</v>
      </c>
      <c r="E18522">
        <v>80835865</v>
      </c>
    </row>
    <row r="18523" spans="1:6" x14ac:dyDescent="0.25">
      <c r="A18523">
        <v>18522</v>
      </c>
      <c r="B18523">
        <v>46</v>
      </c>
      <c r="C18523">
        <v>0</v>
      </c>
      <c r="D18523">
        <v>0</v>
      </c>
      <c r="E18523">
        <v>0</v>
      </c>
      <c r="F18523">
        <v>0</v>
      </c>
    </row>
    <row r="18524" spans="1:6" x14ac:dyDescent="0.25">
      <c r="A18524">
        <v>18523</v>
      </c>
      <c r="B18524" t="s">
        <v>0</v>
      </c>
      <c r="C18524">
        <v>70</v>
      </c>
      <c r="D18524">
        <v>3514</v>
      </c>
      <c r="E18524">
        <v>80835998</v>
      </c>
    </row>
    <row r="18525" spans="1:6" x14ac:dyDescent="0.25">
      <c r="A18525">
        <v>18524</v>
      </c>
      <c r="B18525">
        <v>10</v>
      </c>
      <c r="C18525">
        <v>1</v>
      </c>
      <c r="D18525">
        <v>0</v>
      </c>
      <c r="E18525">
        <v>0</v>
      </c>
      <c r="F18525">
        <v>5278</v>
      </c>
    </row>
    <row r="18526" spans="1:6" x14ac:dyDescent="0.25">
      <c r="A18526">
        <v>18525</v>
      </c>
      <c r="B18526" t="s">
        <v>0</v>
      </c>
      <c r="C18526">
        <v>71</v>
      </c>
      <c r="D18526">
        <v>3514</v>
      </c>
      <c r="E18526">
        <v>80836131</v>
      </c>
    </row>
    <row r="18527" spans="1:6" x14ac:dyDescent="0.25">
      <c r="A18527">
        <v>18526</v>
      </c>
      <c r="B18527">
        <v>41</v>
      </c>
      <c r="C18527">
        <v>0</v>
      </c>
      <c r="D18527">
        <v>0</v>
      </c>
      <c r="E18527">
        <v>0</v>
      </c>
      <c r="F18527">
        <v>1</v>
      </c>
    </row>
    <row r="18528" spans="1:6" x14ac:dyDescent="0.25">
      <c r="A18528">
        <v>18527</v>
      </c>
      <c r="B18528" t="s">
        <v>0</v>
      </c>
      <c r="C18528">
        <v>72</v>
      </c>
      <c r="D18528">
        <v>3514</v>
      </c>
      <c r="E18528">
        <v>80836264</v>
      </c>
    </row>
    <row r="18529" spans="1:6" x14ac:dyDescent="0.25">
      <c r="A18529">
        <v>18528</v>
      </c>
      <c r="B18529">
        <v>43</v>
      </c>
      <c r="C18529">
        <v>0</v>
      </c>
      <c r="D18529">
        <v>0</v>
      </c>
      <c r="E18529">
        <v>0</v>
      </c>
      <c r="F18529">
        <v>0</v>
      </c>
    </row>
    <row r="18530" spans="1:6" x14ac:dyDescent="0.25">
      <c r="A18530">
        <v>18529</v>
      </c>
      <c r="B18530" t="s">
        <v>0</v>
      </c>
      <c r="C18530">
        <v>73</v>
      </c>
      <c r="D18530">
        <v>3514</v>
      </c>
      <c r="E18530">
        <v>80836397</v>
      </c>
    </row>
    <row r="18531" spans="1:6" x14ac:dyDescent="0.25">
      <c r="A18531">
        <v>18530</v>
      </c>
      <c r="B18531">
        <v>45</v>
      </c>
      <c r="C18531">
        <v>0</v>
      </c>
      <c r="D18531">
        <v>0</v>
      </c>
      <c r="E18531">
        <v>0</v>
      </c>
      <c r="F18531">
        <v>538.91499999999996</v>
      </c>
    </row>
    <row r="18532" spans="1:6" x14ac:dyDescent="0.25">
      <c r="A18532">
        <v>18531</v>
      </c>
      <c r="B18532" t="s">
        <v>0</v>
      </c>
      <c r="C18532">
        <v>74</v>
      </c>
      <c r="D18532">
        <v>3514</v>
      </c>
      <c r="E18532">
        <v>80836529</v>
      </c>
    </row>
    <row r="18533" spans="1:6" x14ac:dyDescent="0.25">
      <c r="A18533">
        <v>18532</v>
      </c>
      <c r="B18533">
        <v>2</v>
      </c>
      <c r="C18533">
        <v>0</v>
      </c>
      <c r="D18533">
        <v>0</v>
      </c>
      <c r="E18533">
        <v>0</v>
      </c>
      <c r="F18533">
        <v>249.77699999999999</v>
      </c>
    </row>
    <row r="18534" spans="1:6" x14ac:dyDescent="0.25">
      <c r="A18534">
        <v>18533</v>
      </c>
      <c r="B18534" t="s">
        <v>0</v>
      </c>
      <c r="C18534">
        <v>75</v>
      </c>
      <c r="D18534">
        <v>3514</v>
      </c>
      <c r="E18534">
        <v>80836662</v>
      </c>
    </row>
    <row r="18535" spans="1:6" x14ac:dyDescent="0.25">
      <c r="A18535">
        <v>18534</v>
      </c>
      <c r="B18535">
        <v>13</v>
      </c>
      <c r="C18535">
        <v>0</v>
      </c>
      <c r="D18535">
        <v>0</v>
      </c>
      <c r="E18535">
        <v>0</v>
      </c>
      <c r="F18535">
        <v>1618</v>
      </c>
    </row>
    <row r="18536" spans="1:6" x14ac:dyDescent="0.25">
      <c r="A18536">
        <v>18535</v>
      </c>
      <c r="B18536" t="s">
        <v>0</v>
      </c>
      <c r="C18536">
        <v>76</v>
      </c>
      <c r="D18536">
        <v>3514</v>
      </c>
      <c r="E18536">
        <v>80836795</v>
      </c>
    </row>
    <row r="18537" spans="1:6" x14ac:dyDescent="0.25">
      <c r="A18537">
        <v>18536</v>
      </c>
      <c r="B18537">
        <v>42</v>
      </c>
      <c r="C18537">
        <v>0</v>
      </c>
      <c r="D18537">
        <v>0</v>
      </c>
      <c r="E18537">
        <v>0</v>
      </c>
      <c r="F18537">
        <v>0.2</v>
      </c>
    </row>
    <row r="18538" spans="1:6" x14ac:dyDescent="0.25">
      <c r="A18538">
        <v>18537</v>
      </c>
      <c r="B18538" t="s">
        <v>0</v>
      </c>
      <c r="C18538">
        <v>77</v>
      </c>
      <c r="D18538">
        <v>3514</v>
      </c>
      <c r="E18538">
        <v>80836927</v>
      </c>
    </row>
    <row r="18539" spans="1:6" x14ac:dyDescent="0.25">
      <c r="A18539">
        <v>18538</v>
      </c>
      <c r="B18539">
        <v>44</v>
      </c>
      <c r="C18539">
        <v>0</v>
      </c>
      <c r="D18539">
        <v>0</v>
      </c>
      <c r="E18539">
        <v>0</v>
      </c>
      <c r="F18539">
        <v>50.174900000000001</v>
      </c>
    </row>
    <row r="18540" spans="1:6" x14ac:dyDescent="0.25">
      <c r="A18540">
        <v>18539</v>
      </c>
      <c r="B18540" t="s">
        <v>0</v>
      </c>
      <c r="C18540">
        <v>78</v>
      </c>
      <c r="D18540">
        <v>3514</v>
      </c>
      <c r="E18540">
        <v>80837060</v>
      </c>
    </row>
    <row r="18541" spans="1:6" x14ac:dyDescent="0.25">
      <c r="A18541">
        <v>18540</v>
      </c>
      <c r="B18541">
        <v>46</v>
      </c>
      <c r="C18541">
        <v>0</v>
      </c>
      <c r="D18541">
        <v>0</v>
      </c>
      <c r="E18541">
        <v>0</v>
      </c>
      <c r="F18541">
        <v>0</v>
      </c>
    </row>
    <row r="18542" spans="1:6" x14ac:dyDescent="0.25">
      <c r="A18542">
        <v>18541</v>
      </c>
      <c r="B18542" t="s">
        <v>0</v>
      </c>
      <c r="C18542">
        <v>79</v>
      </c>
      <c r="D18542">
        <v>3514</v>
      </c>
      <c r="E18542">
        <v>80837193</v>
      </c>
    </row>
    <row r="18543" spans="1:6" x14ac:dyDescent="0.25">
      <c r="A18543">
        <v>18542</v>
      </c>
      <c r="B18543">
        <v>10</v>
      </c>
      <c r="C18543">
        <v>1</v>
      </c>
      <c r="D18543">
        <v>0</v>
      </c>
      <c r="E18543">
        <v>0</v>
      </c>
      <c r="F18543">
        <v>5276</v>
      </c>
    </row>
    <row r="18544" spans="1:6" x14ac:dyDescent="0.25">
      <c r="A18544">
        <v>18543</v>
      </c>
      <c r="B18544" t="s">
        <v>0</v>
      </c>
      <c r="C18544">
        <v>80</v>
      </c>
      <c r="D18544">
        <v>3514</v>
      </c>
      <c r="E18544">
        <v>80837325</v>
      </c>
    </row>
    <row r="18545" spans="1:6" x14ac:dyDescent="0.25">
      <c r="A18545">
        <v>18544</v>
      </c>
      <c r="B18545">
        <v>41</v>
      </c>
      <c r="C18545">
        <v>0</v>
      </c>
      <c r="D18545">
        <v>0</v>
      </c>
      <c r="E18545">
        <v>0</v>
      </c>
      <c r="F18545">
        <v>1</v>
      </c>
    </row>
    <row r="18546" spans="1:6" x14ac:dyDescent="0.25">
      <c r="A18546">
        <v>18545</v>
      </c>
      <c r="B18546" t="s">
        <v>0</v>
      </c>
      <c r="C18546">
        <v>81</v>
      </c>
      <c r="D18546">
        <v>3514</v>
      </c>
      <c r="E18546">
        <v>80837458</v>
      </c>
    </row>
    <row r="18547" spans="1:6" x14ac:dyDescent="0.25">
      <c r="A18547">
        <v>18546</v>
      </c>
      <c r="B18547">
        <v>43</v>
      </c>
      <c r="C18547">
        <v>0</v>
      </c>
      <c r="D18547">
        <v>0</v>
      </c>
      <c r="E18547">
        <v>0</v>
      </c>
      <c r="F18547">
        <v>0</v>
      </c>
    </row>
    <row r="18548" spans="1:6" x14ac:dyDescent="0.25">
      <c r="A18548">
        <v>18547</v>
      </c>
      <c r="B18548" t="s">
        <v>0</v>
      </c>
      <c r="C18548">
        <v>82</v>
      </c>
      <c r="D18548">
        <v>3514</v>
      </c>
      <c r="E18548">
        <v>80837591</v>
      </c>
    </row>
    <row r="18549" spans="1:6" x14ac:dyDescent="0.25">
      <c r="A18549">
        <v>18548</v>
      </c>
      <c r="B18549">
        <v>45</v>
      </c>
      <c r="C18549">
        <v>0</v>
      </c>
      <c r="D18549">
        <v>0</v>
      </c>
      <c r="E18549">
        <v>0</v>
      </c>
      <c r="F18549">
        <v>539.03499999999997</v>
      </c>
    </row>
    <row r="18550" spans="1:6" x14ac:dyDescent="0.25">
      <c r="A18550">
        <v>18549</v>
      </c>
      <c r="B18550" t="s">
        <v>0</v>
      </c>
      <c r="C18550">
        <v>83</v>
      </c>
      <c r="D18550">
        <v>3514</v>
      </c>
      <c r="E18550">
        <v>80837723</v>
      </c>
    </row>
    <row r="18551" spans="1:6" x14ac:dyDescent="0.25">
      <c r="A18551">
        <v>18550</v>
      </c>
      <c r="B18551">
        <v>2</v>
      </c>
      <c r="C18551">
        <v>0</v>
      </c>
      <c r="D18551">
        <v>0</v>
      </c>
      <c r="E18551">
        <v>0</v>
      </c>
      <c r="F18551">
        <v>249.90100000000001</v>
      </c>
    </row>
    <row r="18552" spans="1:6" x14ac:dyDescent="0.25">
      <c r="A18552">
        <v>18551</v>
      </c>
      <c r="B18552" t="s">
        <v>0</v>
      </c>
      <c r="C18552">
        <v>84</v>
      </c>
      <c r="D18552">
        <v>3514</v>
      </c>
      <c r="E18552">
        <v>80837856</v>
      </c>
    </row>
    <row r="18553" spans="1:6" x14ac:dyDescent="0.25">
      <c r="A18553">
        <v>18552</v>
      </c>
      <c r="B18553">
        <v>13</v>
      </c>
      <c r="C18553">
        <v>0</v>
      </c>
      <c r="D18553">
        <v>0</v>
      </c>
      <c r="E18553">
        <v>0</v>
      </c>
      <c r="F18553">
        <v>1618</v>
      </c>
    </row>
    <row r="18554" spans="1:6" x14ac:dyDescent="0.25">
      <c r="A18554">
        <v>18553</v>
      </c>
      <c r="B18554" t="s">
        <v>0</v>
      </c>
      <c r="C18554">
        <v>85</v>
      </c>
      <c r="D18554">
        <v>3514</v>
      </c>
      <c r="E18554">
        <v>80837989</v>
      </c>
    </row>
    <row r="18555" spans="1:6" x14ac:dyDescent="0.25">
      <c r="A18555">
        <v>18554</v>
      </c>
      <c r="B18555">
        <v>42</v>
      </c>
      <c r="C18555">
        <v>0</v>
      </c>
      <c r="D18555">
        <v>0</v>
      </c>
      <c r="E18555">
        <v>0</v>
      </c>
      <c r="F18555">
        <v>0.2</v>
      </c>
    </row>
    <row r="18556" spans="1:6" x14ac:dyDescent="0.25">
      <c r="A18556">
        <v>18555</v>
      </c>
      <c r="B18556" t="s">
        <v>0</v>
      </c>
      <c r="C18556">
        <v>86</v>
      </c>
      <c r="D18556">
        <v>3514</v>
      </c>
      <c r="E18556">
        <v>80838121</v>
      </c>
    </row>
    <row r="18557" spans="1:6" x14ac:dyDescent="0.25">
      <c r="A18557">
        <v>18556</v>
      </c>
      <c r="B18557">
        <v>44</v>
      </c>
      <c r="C18557">
        <v>0</v>
      </c>
      <c r="D18557">
        <v>0</v>
      </c>
      <c r="E18557">
        <v>0</v>
      </c>
      <c r="F18557">
        <v>50.069099999999999</v>
      </c>
    </row>
    <row r="18558" spans="1:6" x14ac:dyDescent="0.25">
      <c r="A18558">
        <v>18557</v>
      </c>
      <c r="B18558" t="s">
        <v>0</v>
      </c>
      <c r="C18558">
        <v>87</v>
      </c>
      <c r="D18558">
        <v>3514</v>
      </c>
      <c r="E18558">
        <v>80838254</v>
      </c>
    </row>
    <row r="18559" spans="1:6" x14ac:dyDescent="0.25">
      <c r="A18559">
        <v>18558</v>
      </c>
      <c r="B18559">
        <v>46</v>
      </c>
      <c r="C18559">
        <v>0</v>
      </c>
      <c r="D18559">
        <v>0</v>
      </c>
      <c r="E18559">
        <v>0</v>
      </c>
      <c r="F18559">
        <v>0</v>
      </c>
    </row>
    <row r="18560" spans="1:6" x14ac:dyDescent="0.25">
      <c r="A18560">
        <v>18559</v>
      </c>
      <c r="B18560" t="s">
        <v>0</v>
      </c>
      <c r="C18560">
        <v>88</v>
      </c>
      <c r="D18560">
        <v>3514</v>
      </c>
      <c r="E18560">
        <v>80838387</v>
      </c>
    </row>
    <row r="18561" spans="1:6" x14ac:dyDescent="0.25">
      <c r="A18561">
        <v>18560</v>
      </c>
      <c r="B18561">
        <v>10</v>
      </c>
      <c r="C18561">
        <v>1</v>
      </c>
      <c r="D18561">
        <v>0</v>
      </c>
      <c r="E18561">
        <v>0</v>
      </c>
      <c r="F18561">
        <v>5274</v>
      </c>
    </row>
    <row r="18562" spans="1:6" x14ac:dyDescent="0.25">
      <c r="A18562">
        <v>18561</v>
      </c>
      <c r="B18562" t="s">
        <v>0</v>
      </c>
      <c r="C18562">
        <v>89</v>
      </c>
      <c r="D18562">
        <v>3514</v>
      </c>
      <c r="E18562">
        <v>80838519</v>
      </c>
    </row>
    <row r="18563" spans="1:6" x14ac:dyDescent="0.25">
      <c r="A18563">
        <v>18562</v>
      </c>
      <c r="B18563">
        <v>41</v>
      </c>
      <c r="C18563">
        <v>0</v>
      </c>
      <c r="D18563">
        <v>0</v>
      </c>
      <c r="E18563">
        <v>0</v>
      </c>
      <c r="F18563">
        <v>1</v>
      </c>
    </row>
    <row r="18564" spans="1:6" x14ac:dyDescent="0.25">
      <c r="A18564">
        <v>18563</v>
      </c>
      <c r="B18564" t="s">
        <v>0</v>
      </c>
      <c r="C18564">
        <v>90</v>
      </c>
      <c r="D18564">
        <v>3514</v>
      </c>
      <c r="E18564">
        <v>80838652</v>
      </c>
    </row>
    <row r="18565" spans="1:6" x14ac:dyDescent="0.25">
      <c r="A18565">
        <v>18564</v>
      </c>
      <c r="B18565">
        <v>43</v>
      </c>
      <c r="C18565">
        <v>0</v>
      </c>
      <c r="D18565">
        <v>0</v>
      </c>
      <c r="E18565">
        <v>0</v>
      </c>
      <c r="F18565">
        <v>0</v>
      </c>
    </row>
    <row r="18566" spans="1:6" x14ac:dyDescent="0.25">
      <c r="A18566">
        <v>18565</v>
      </c>
      <c r="B18566" t="s">
        <v>0</v>
      </c>
      <c r="C18566">
        <v>91</v>
      </c>
      <c r="D18566">
        <v>3514</v>
      </c>
      <c r="E18566">
        <v>80838785</v>
      </c>
    </row>
    <row r="18567" spans="1:6" x14ac:dyDescent="0.25">
      <c r="A18567">
        <v>18566</v>
      </c>
      <c r="B18567">
        <v>45</v>
      </c>
      <c r="C18567">
        <v>0</v>
      </c>
      <c r="D18567">
        <v>0</v>
      </c>
      <c r="E18567">
        <v>0</v>
      </c>
      <c r="F18567">
        <v>539.15499999999997</v>
      </c>
    </row>
    <row r="18568" spans="1:6" x14ac:dyDescent="0.25">
      <c r="A18568">
        <v>18567</v>
      </c>
      <c r="B18568" t="s">
        <v>0</v>
      </c>
      <c r="C18568">
        <v>92</v>
      </c>
      <c r="D18568">
        <v>3514</v>
      </c>
      <c r="E18568">
        <v>80838917</v>
      </c>
    </row>
    <row r="18569" spans="1:6" x14ac:dyDescent="0.25">
      <c r="A18569">
        <v>18568</v>
      </c>
      <c r="B18569">
        <v>2</v>
      </c>
      <c r="C18569">
        <v>0</v>
      </c>
      <c r="D18569">
        <v>0</v>
      </c>
      <c r="E18569">
        <v>0</v>
      </c>
      <c r="F18569">
        <v>249.97900000000001</v>
      </c>
    </row>
    <row r="18570" spans="1:6" x14ac:dyDescent="0.25">
      <c r="A18570">
        <v>18569</v>
      </c>
      <c r="B18570" t="s">
        <v>0</v>
      </c>
      <c r="C18570">
        <v>93</v>
      </c>
      <c r="D18570">
        <v>3514</v>
      </c>
      <c r="E18570">
        <v>80839050</v>
      </c>
    </row>
    <row r="18571" spans="1:6" x14ac:dyDescent="0.25">
      <c r="A18571">
        <v>18570</v>
      </c>
      <c r="B18571">
        <v>13</v>
      </c>
      <c r="C18571">
        <v>0</v>
      </c>
      <c r="D18571">
        <v>0</v>
      </c>
      <c r="E18571">
        <v>0</v>
      </c>
      <c r="F18571">
        <v>1618</v>
      </c>
    </row>
    <row r="18572" spans="1:6" x14ac:dyDescent="0.25">
      <c r="A18572">
        <v>18571</v>
      </c>
      <c r="B18572" t="s">
        <v>0</v>
      </c>
      <c r="C18572">
        <v>94</v>
      </c>
      <c r="D18572">
        <v>3514</v>
      </c>
      <c r="E18572">
        <v>80839183</v>
      </c>
    </row>
    <row r="18573" spans="1:6" x14ac:dyDescent="0.25">
      <c r="A18573">
        <v>18572</v>
      </c>
      <c r="B18573">
        <v>42</v>
      </c>
      <c r="C18573">
        <v>0</v>
      </c>
      <c r="D18573">
        <v>0</v>
      </c>
      <c r="E18573">
        <v>0</v>
      </c>
      <c r="F18573">
        <v>0.2</v>
      </c>
    </row>
    <row r="18574" spans="1:6" x14ac:dyDescent="0.25">
      <c r="A18574">
        <v>18573</v>
      </c>
      <c r="B18574" t="s">
        <v>0</v>
      </c>
      <c r="C18574">
        <v>95</v>
      </c>
      <c r="D18574">
        <v>3514</v>
      </c>
      <c r="E18574">
        <v>80839315</v>
      </c>
    </row>
    <row r="18575" spans="1:6" x14ac:dyDescent="0.25">
      <c r="A18575">
        <v>18574</v>
      </c>
      <c r="B18575">
        <v>44</v>
      </c>
      <c r="C18575">
        <v>0</v>
      </c>
      <c r="D18575">
        <v>0</v>
      </c>
      <c r="E18575">
        <v>0</v>
      </c>
      <c r="F18575">
        <v>50.002400000000002</v>
      </c>
    </row>
    <row r="18576" spans="1:6" x14ac:dyDescent="0.25">
      <c r="A18576">
        <v>18575</v>
      </c>
      <c r="B18576" t="s">
        <v>0</v>
      </c>
      <c r="C18576">
        <v>96</v>
      </c>
      <c r="D18576">
        <v>3514</v>
      </c>
      <c r="E18576">
        <v>80839448</v>
      </c>
    </row>
    <row r="18577" spans="1:6" x14ac:dyDescent="0.25">
      <c r="A18577">
        <v>18576</v>
      </c>
      <c r="B18577">
        <v>46</v>
      </c>
      <c r="C18577">
        <v>0</v>
      </c>
      <c r="D18577">
        <v>0</v>
      </c>
      <c r="E18577">
        <v>0</v>
      </c>
      <c r="F18577">
        <v>0</v>
      </c>
    </row>
    <row r="18578" spans="1:6" x14ac:dyDescent="0.25">
      <c r="A18578">
        <v>18577</v>
      </c>
      <c r="B18578" t="s">
        <v>0</v>
      </c>
      <c r="C18578">
        <v>97</v>
      </c>
      <c r="D18578">
        <v>3514</v>
      </c>
      <c r="E18578">
        <v>80839581</v>
      </c>
    </row>
    <row r="18579" spans="1:6" x14ac:dyDescent="0.25">
      <c r="A18579">
        <v>18578</v>
      </c>
      <c r="B18579">
        <v>10</v>
      </c>
      <c r="C18579">
        <v>1</v>
      </c>
      <c r="D18579">
        <v>0</v>
      </c>
      <c r="E18579">
        <v>0</v>
      </c>
      <c r="F18579">
        <v>5273</v>
      </c>
    </row>
    <row r="18580" spans="1:6" x14ac:dyDescent="0.25">
      <c r="A18580">
        <v>18579</v>
      </c>
      <c r="B18580" t="s">
        <v>0</v>
      </c>
      <c r="C18580">
        <v>98</v>
      </c>
      <c r="D18580">
        <v>3514</v>
      </c>
      <c r="E18580">
        <v>80839713</v>
      </c>
    </row>
    <row r="18581" spans="1:6" x14ac:dyDescent="0.25">
      <c r="A18581">
        <v>18580</v>
      </c>
      <c r="B18581">
        <v>41</v>
      </c>
      <c r="C18581">
        <v>0</v>
      </c>
      <c r="D18581">
        <v>0</v>
      </c>
      <c r="E18581">
        <v>0</v>
      </c>
      <c r="F18581">
        <v>1</v>
      </c>
    </row>
    <row r="18582" spans="1:6" x14ac:dyDescent="0.25">
      <c r="A18582">
        <v>18581</v>
      </c>
      <c r="B18582" t="s">
        <v>0</v>
      </c>
      <c r="C18582">
        <v>99</v>
      </c>
      <c r="D18582">
        <v>3514</v>
      </c>
      <c r="E18582">
        <v>80839846</v>
      </c>
    </row>
    <row r="18583" spans="1:6" x14ac:dyDescent="0.25">
      <c r="A18583">
        <v>18582</v>
      </c>
      <c r="B18583">
        <v>43</v>
      </c>
      <c r="C18583">
        <v>0</v>
      </c>
      <c r="D18583">
        <v>0</v>
      </c>
      <c r="E18583">
        <v>0</v>
      </c>
      <c r="F18583">
        <v>0</v>
      </c>
    </row>
    <row r="18584" spans="1:6" x14ac:dyDescent="0.25">
      <c r="A18584">
        <v>18583</v>
      </c>
      <c r="B18584" t="s">
        <v>0</v>
      </c>
      <c r="C18584">
        <v>100</v>
      </c>
      <c r="D18584">
        <v>3514</v>
      </c>
      <c r="E18584">
        <v>80839979</v>
      </c>
    </row>
    <row r="18585" spans="1:6" x14ac:dyDescent="0.25">
      <c r="A18585">
        <v>18584</v>
      </c>
      <c r="B18585">
        <v>45</v>
      </c>
      <c r="C18585">
        <v>0</v>
      </c>
      <c r="D18585">
        <v>0</v>
      </c>
      <c r="E18585">
        <v>0</v>
      </c>
      <c r="F18585">
        <v>539.27499999999998</v>
      </c>
    </row>
    <row r="18586" spans="1:6" x14ac:dyDescent="0.25">
      <c r="A18586">
        <v>18585</v>
      </c>
      <c r="B18586" t="s">
        <v>0</v>
      </c>
      <c r="C18586">
        <v>101</v>
      </c>
      <c r="D18586">
        <v>3514</v>
      </c>
      <c r="E18586">
        <v>80840111</v>
      </c>
    </row>
    <row r="18587" spans="1:6" x14ac:dyDescent="0.25">
      <c r="A18587">
        <v>18586</v>
      </c>
      <c r="B18587">
        <v>2</v>
      </c>
      <c r="C18587">
        <v>0</v>
      </c>
      <c r="D18587">
        <v>0</v>
      </c>
      <c r="E18587">
        <v>0</v>
      </c>
      <c r="F18587">
        <v>250.02799999999999</v>
      </c>
    </row>
    <row r="18588" spans="1:6" x14ac:dyDescent="0.25">
      <c r="A18588">
        <v>18587</v>
      </c>
      <c r="B18588" t="s">
        <v>0</v>
      </c>
      <c r="C18588">
        <v>102</v>
      </c>
      <c r="D18588">
        <v>3514</v>
      </c>
      <c r="E18588">
        <v>80840244</v>
      </c>
    </row>
    <row r="18589" spans="1:6" x14ac:dyDescent="0.25">
      <c r="A18589">
        <v>18588</v>
      </c>
      <c r="B18589">
        <v>13</v>
      </c>
      <c r="C18589">
        <v>0</v>
      </c>
      <c r="D18589">
        <v>0</v>
      </c>
      <c r="E18589">
        <v>0</v>
      </c>
      <c r="F18589">
        <v>1618</v>
      </c>
    </row>
    <row r="18590" spans="1:6" x14ac:dyDescent="0.25">
      <c r="A18590">
        <v>18589</v>
      </c>
      <c r="B18590" t="s">
        <v>0</v>
      </c>
      <c r="C18590">
        <v>103</v>
      </c>
      <c r="D18590">
        <v>3514</v>
      </c>
      <c r="E18590">
        <v>80840377</v>
      </c>
    </row>
    <row r="18591" spans="1:6" x14ac:dyDescent="0.25">
      <c r="A18591">
        <v>18590</v>
      </c>
      <c r="B18591">
        <v>42</v>
      </c>
      <c r="C18591">
        <v>0</v>
      </c>
      <c r="D18591">
        <v>0</v>
      </c>
      <c r="E18591">
        <v>0</v>
      </c>
      <c r="F18591">
        <v>0.2</v>
      </c>
    </row>
    <row r="18592" spans="1:6" x14ac:dyDescent="0.25">
      <c r="A18592">
        <v>18591</v>
      </c>
      <c r="B18592" t="s">
        <v>0</v>
      </c>
      <c r="C18592">
        <v>104</v>
      </c>
      <c r="D18592">
        <v>3514</v>
      </c>
      <c r="E18592">
        <v>80840509</v>
      </c>
    </row>
    <row r="18593" spans="1:6" x14ac:dyDescent="0.25">
      <c r="A18593">
        <v>18592</v>
      </c>
      <c r="B18593">
        <v>44</v>
      </c>
      <c r="C18593">
        <v>0</v>
      </c>
      <c r="D18593">
        <v>0</v>
      </c>
      <c r="E18593">
        <v>0</v>
      </c>
      <c r="F18593">
        <v>49.9604</v>
      </c>
    </row>
    <row r="18594" spans="1:6" x14ac:dyDescent="0.25">
      <c r="A18594">
        <v>18593</v>
      </c>
      <c r="B18594" t="s">
        <v>0</v>
      </c>
      <c r="C18594">
        <v>105</v>
      </c>
      <c r="D18594">
        <v>3514</v>
      </c>
      <c r="E18594">
        <v>80840642</v>
      </c>
    </row>
    <row r="18595" spans="1:6" x14ac:dyDescent="0.25">
      <c r="A18595">
        <v>18594</v>
      </c>
      <c r="B18595">
        <v>46</v>
      </c>
      <c r="C18595">
        <v>0</v>
      </c>
      <c r="D18595">
        <v>0</v>
      </c>
      <c r="E18595">
        <v>0</v>
      </c>
      <c r="F18595">
        <v>0</v>
      </c>
    </row>
    <row r="18596" spans="1:6" x14ac:dyDescent="0.25">
      <c r="A18596">
        <v>18595</v>
      </c>
      <c r="B18596" t="s">
        <v>0</v>
      </c>
      <c r="C18596">
        <v>106</v>
      </c>
      <c r="D18596">
        <v>3514</v>
      </c>
      <c r="E18596">
        <v>80840775</v>
      </c>
    </row>
    <row r="18597" spans="1:6" x14ac:dyDescent="0.25">
      <c r="A18597">
        <v>18596</v>
      </c>
      <c r="B18597">
        <v>10</v>
      </c>
      <c r="C18597">
        <v>1</v>
      </c>
      <c r="D18597">
        <v>0</v>
      </c>
      <c r="E18597">
        <v>0</v>
      </c>
      <c r="F18597">
        <v>5272</v>
      </c>
    </row>
    <row r="18598" spans="1:6" x14ac:dyDescent="0.25">
      <c r="A18598">
        <v>18597</v>
      </c>
      <c r="B18598" t="s">
        <v>0</v>
      </c>
      <c r="C18598">
        <v>107</v>
      </c>
      <c r="D18598">
        <v>3514</v>
      </c>
      <c r="E18598">
        <v>80840907</v>
      </c>
    </row>
    <row r="18599" spans="1:6" x14ac:dyDescent="0.25">
      <c r="A18599">
        <v>18598</v>
      </c>
      <c r="B18599">
        <v>41</v>
      </c>
      <c r="C18599">
        <v>0</v>
      </c>
      <c r="D18599">
        <v>0</v>
      </c>
      <c r="E18599">
        <v>0</v>
      </c>
      <c r="F18599">
        <v>1</v>
      </c>
    </row>
    <row r="18600" spans="1:6" x14ac:dyDescent="0.25">
      <c r="A18600">
        <v>18599</v>
      </c>
      <c r="B18600" t="s">
        <v>0</v>
      </c>
      <c r="C18600">
        <v>108</v>
      </c>
      <c r="D18600">
        <v>3514</v>
      </c>
      <c r="E18600">
        <v>80841040</v>
      </c>
    </row>
    <row r="18601" spans="1:6" x14ac:dyDescent="0.25">
      <c r="A18601">
        <v>18600</v>
      </c>
      <c r="B18601">
        <v>43</v>
      </c>
      <c r="C18601">
        <v>0</v>
      </c>
      <c r="D18601">
        <v>0</v>
      </c>
      <c r="E18601">
        <v>0</v>
      </c>
      <c r="F18601">
        <v>0</v>
      </c>
    </row>
    <row r="18602" spans="1:6" x14ac:dyDescent="0.25">
      <c r="A18602">
        <v>18601</v>
      </c>
      <c r="B18602" t="s">
        <v>0</v>
      </c>
      <c r="C18602">
        <v>109</v>
      </c>
      <c r="D18602">
        <v>3514</v>
      </c>
      <c r="E18602">
        <v>80841173</v>
      </c>
    </row>
    <row r="18603" spans="1:6" x14ac:dyDescent="0.25">
      <c r="A18603">
        <v>18602</v>
      </c>
      <c r="B18603">
        <v>45</v>
      </c>
      <c r="C18603">
        <v>0</v>
      </c>
      <c r="D18603">
        <v>0</v>
      </c>
      <c r="E18603">
        <v>0</v>
      </c>
      <c r="F18603">
        <v>539.39499999999998</v>
      </c>
    </row>
    <row r="18604" spans="1:6" x14ac:dyDescent="0.25">
      <c r="A18604">
        <v>18603</v>
      </c>
      <c r="B18604" t="s">
        <v>0</v>
      </c>
      <c r="C18604">
        <v>110</v>
      </c>
      <c r="D18604">
        <v>3514</v>
      </c>
      <c r="E18604">
        <v>80841305</v>
      </c>
    </row>
    <row r="18605" spans="1:6" x14ac:dyDescent="0.25">
      <c r="A18605">
        <v>18604</v>
      </c>
      <c r="B18605">
        <v>2</v>
      </c>
      <c r="C18605">
        <v>0</v>
      </c>
      <c r="D18605">
        <v>0</v>
      </c>
      <c r="E18605">
        <v>0</v>
      </c>
      <c r="F18605">
        <v>250.059</v>
      </c>
    </row>
    <row r="18606" spans="1:6" x14ac:dyDescent="0.25">
      <c r="A18606">
        <v>18605</v>
      </c>
      <c r="B18606" t="s">
        <v>0</v>
      </c>
      <c r="C18606">
        <v>111</v>
      </c>
      <c r="D18606">
        <v>3514</v>
      </c>
      <c r="E18606">
        <v>80841438</v>
      </c>
    </row>
    <row r="18607" spans="1:6" x14ac:dyDescent="0.25">
      <c r="A18607">
        <v>18606</v>
      </c>
      <c r="B18607">
        <v>13</v>
      </c>
      <c r="C18607">
        <v>0</v>
      </c>
      <c r="D18607">
        <v>0</v>
      </c>
      <c r="E18607">
        <v>0</v>
      </c>
      <c r="F18607">
        <v>1618</v>
      </c>
    </row>
    <row r="18608" spans="1:6" x14ac:dyDescent="0.25">
      <c r="A18608">
        <v>18607</v>
      </c>
      <c r="B18608" t="s">
        <v>0</v>
      </c>
      <c r="C18608">
        <v>112</v>
      </c>
      <c r="D18608">
        <v>3514</v>
      </c>
      <c r="E18608">
        <v>80841571</v>
      </c>
    </row>
    <row r="18609" spans="1:6" x14ac:dyDescent="0.25">
      <c r="A18609">
        <v>18608</v>
      </c>
      <c r="B18609">
        <v>42</v>
      </c>
      <c r="C18609">
        <v>0</v>
      </c>
      <c r="D18609">
        <v>0</v>
      </c>
      <c r="E18609">
        <v>0</v>
      </c>
      <c r="F18609">
        <v>0.2</v>
      </c>
    </row>
    <row r="18610" spans="1:6" x14ac:dyDescent="0.25">
      <c r="A18610">
        <v>18609</v>
      </c>
      <c r="B18610" t="s">
        <v>0</v>
      </c>
      <c r="C18610">
        <v>113</v>
      </c>
      <c r="D18610">
        <v>3514</v>
      </c>
      <c r="E18610">
        <v>80841703</v>
      </c>
    </row>
    <row r="18611" spans="1:6" x14ac:dyDescent="0.25">
      <c r="A18611">
        <v>18610</v>
      </c>
      <c r="B18611">
        <v>44</v>
      </c>
      <c r="C18611">
        <v>0</v>
      </c>
      <c r="D18611">
        <v>0</v>
      </c>
      <c r="E18611">
        <v>0</v>
      </c>
      <c r="F18611">
        <v>49.933900000000001</v>
      </c>
    </row>
    <row r="18612" spans="1:6" x14ac:dyDescent="0.25">
      <c r="A18612">
        <v>18611</v>
      </c>
      <c r="B18612" t="s">
        <v>0</v>
      </c>
      <c r="C18612">
        <v>114</v>
      </c>
      <c r="D18612">
        <v>3514</v>
      </c>
      <c r="E18612">
        <v>80841836</v>
      </c>
    </row>
    <row r="18613" spans="1:6" x14ac:dyDescent="0.25">
      <c r="A18613">
        <v>18612</v>
      </c>
      <c r="B18613">
        <v>46</v>
      </c>
      <c r="C18613">
        <v>0</v>
      </c>
      <c r="D18613">
        <v>0</v>
      </c>
      <c r="E18613">
        <v>0</v>
      </c>
      <c r="F18613">
        <v>0</v>
      </c>
    </row>
    <row r="18614" spans="1:6" x14ac:dyDescent="0.25">
      <c r="A18614">
        <v>18613</v>
      </c>
      <c r="B18614" t="s">
        <v>0</v>
      </c>
      <c r="C18614">
        <v>115</v>
      </c>
      <c r="D18614">
        <v>3514</v>
      </c>
      <c r="E18614">
        <v>80841969</v>
      </c>
    </row>
    <row r="18615" spans="1:6" x14ac:dyDescent="0.25">
      <c r="A18615">
        <v>18614</v>
      </c>
      <c r="B18615">
        <v>10</v>
      </c>
      <c r="C18615">
        <v>1</v>
      </c>
      <c r="D18615">
        <v>0</v>
      </c>
      <c r="E18615">
        <v>0</v>
      </c>
      <c r="F18615">
        <v>5272</v>
      </c>
    </row>
    <row r="18616" spans="1:6" x14ac:dyDescent="0.25">
      <c r="A18616">
        <v>18615</v>
      </c>
      <c r="B18616" t="s">
        <v>0</v>
      </c>
      <c r="C18616">
        <v>116</v>
      </c>
      <c r="D18616">
        <v>3514</v>
      </c>
      <c r="E18616">
        <v>80842101</v>
      </c>
    </row>
    <row r="18617" spans="1:6" x14ac:dyDescent="0.25">
      <c r="A18617">
        <v>18616</v>
      </c>
      <c r="B18617">
        <v>41</v>
      </c>
      <c r="C18617">
        <v>0</v>
      </c>
      <c r="D18617">
        <v>0</v>
      </c>
      <c r="E18617">
        <v>0</v>
      </c>
      <c r="F18617">
        <v>1</v>
      </c>
    </row>
    <row r="18618" spans="1:6" x14ac:dyDescent="0.25">
      <c r="A18618">
        <v>18617</v>
      </c>
      <c r="B18618" t="s">
        <v>0</v>
      </c>
      <c r="C18618">
        <v>117</v>
      </c>
      <c r="D18618">
        <v>3514</v>
      </c>
      <c r="E18618">
        <v>80842234</v>
      </c>
    </row>
    <row r="18619" spans="1:6" x14ac:dyDescent="0.25">
      <c r="A18619">
        <v>18618</v>
      </c>
      <c r="B18619">
        <v>43</v>
      </c>
      <c r="C18619">
        <v>0</v>
      </c>
      <c r="D18619">
        <v>0</v>
      </c>
      <c r="E18619">
        <v>0</v>
      </c>
      <c r="F18619">
        <v>0</v>
      </c>
    </row>
    <row r="18620" spans="1:6" x14ac:dyDescent="0.25">
      <c r="A18620">
        <v>18619</v>
      </c>
      <c r="B18620" t="s">
        <v>0</v>
      </c>
      <c r="C18620">
        <v>118</v>
      </c>
      <c r="D18620">
        <v>3514</v>
      </c>
      <c r="E18620">
        <v>80842367</v>
      </c>
    </row>
    <row r="18621" spans="1:6" x14ac:dyDescent="0.25">
      <c r="A18621">
        <v>18620</v>
      </c>
      <c r="B18621">
        <v>45</v>
      </c>
      <c r="C18621">
        <v>0</v>
      </c>
      <c r="D18621">
        <v>0</v>
      </c>
      <c r="E18621">
        <v>0</v>
      </c>
      <c r="F18621">
        <v>539.51499999999999</v>
      </c>
    </row>
    <row r="18622" spans="1:6" x14ac:dyDescent="0.25">
      <c r="A18622">
        <v>18621</v>
      </c>
      <c r="B18622" t="s">
        <v>0</v>
      </c>
      <c r="C18622">
        <v>119</v>
      </c>
      <c r="D18622">
        <v>3514</v>
      </c>
      <c r="E18622">
        <v>80842499</v>
      </c>
    </row>
    <row r="18623" spans="1:6" x14ac:dyDescent="0.25">
      <c r="A18623">
        <v>18622</v>
      </c>
      <c r="B18623">
        <v>2</v>
      </c>
      <c r="C18623">
        <v>0</v>
      </c>
      <c r="D18623">
        <v>0</v>
      </c>
      <c r="E18623">
        <v>0</v>
      </c>
      <c r="F18623">
        <v>250.078</v>
      </c>
    </row>
    <row r="18624" spans="1:6" x14ac:dyDescent="0.25">
      <c r="A18624">
        <v>18623</v>
      </c>
      <c r="B18624" t="s">
        <v>0</v>
      </c>
      <c r="C18624">
        <v>120</v>
      </c>
      <c r="D18624">
        <v>3514</v>
      </c>
      <c r="E18624">
        <v>80842632</v>
      </c>
    </row>
    <row r="18625" spans="1:6" x14ac:dyDescent="0.25">
      <c r="A18625">
        <v>18624</v>
      </c>
      <c r="B18625">
        <v>13</v>
      </c>
      <c r="C18625">
        <v>0</v>
      </c>
      <c r="D18625">
        <v>0</v>
      </c>
      <c r="E18625">
        <v>0</v>
      </c>
      <c r="F18625">
        <v>1618</v>
      </c>
    </row>
    <row r="18626" spans="1:6" x14ac:dyDescent="0.25">
      <c r="A18626">
        <v>18625</v>
      </c>
      <c r="B18626" t="s">
        <v>0</v>
      </c>
      <c r="C18626">
        <v>121</v>
      </c>
      <c r="D18626">
        <v>3514</v>
      </c>
      <c r="E18626">
        <v>80842765</v>
      </c>
    </row>
    <row r="18627" spans="1:6" x14ac:dyDescent="0.25">
      <c r="A18627">
        <v>18626</v>
      </c>
      <c r="B18627">
        <v>42</v>
      </c>
      <c r="C18627">
        <v>0</v>
      </c>
      <c r="D18627">
        <v>0</v>
      </c>
      <c r="E18627">
        <v>0</v>
      </c>
      <c r="F18627">
        <v>0.2</v>
      </c>
    </row>
    <row r="18628" spans="1:6" x14ac:dyDescent="0.25">
      <c r="A18628">
        <v>18627</v>
      </c>
      <c r="B18628" t="s">
        <v>0</v>
      </c>
      <c r="C18628">
        <v>122</v>
      </c>
      <c r="D18628">
        <v>3514</v>
      </c>
      <c r="E18628">
        <v>80842897</v>
      </c>
    </row>
    <row r="18629" spans="1:6" x14ac:dyDescent="0.25">
      <c r="A18629">
        <v>18628</v>
      </c>
      <c r="B18629">
        <v>44</v>
      </c>
      <c r="C18629">
        <v>0</v>
      </c>
      <c r="D18629">
        <v>0</v>
      </c>
      <c r="E18629">
        <v>0</v>
      </c>
      <c r="F18629">
        <v>49.917299999999997</v>
      </c>
    </row>
    <row r="18630" spans="1:6" x14ac:dyDescent="0.25">
      <c r="A18630">
        <v>18629</v>
      </c>
      <c r="B18630" t="s">
        <v>0</v>
      </c>
      <c r="C18630">
        <v>123</v>
      </c>
      <c r="D18630">
        <v>3514</v>
      </c>
      <c r="E18630">
        <v>80843030</v>
      </c>
    </row>
    <row r="18631" spans="1:6" x14ac:dyDescent="0.25">
      <c r="A18631">
        <v>18630</v>
      </c>
      <c r="B18631">
        <v>46</v>
      </c>
      <c r="C18631">
        <v>0</v>
      </c>
      <c r="D18631">
        <v>0</v>
      </c>
      <c r="E18631">
        <v>0</v>
      </c>
      <c r="F18631">
        <v>0</v>
      </c>
    </row>
    <row r="18632" spans="1:6" x14ac:dyDescent="0.25">
      <c r="A18632">
        <v>18631</v>
      </c>
      <c r="B18632" t="s">
        <v>0</v>
      </c>
      <c r="C18632">
        <v>124</v>
      </c>
      <c r="D18632">
        <v>3514</v>
      </c>
      <c r="E18632">
        <v>80843163</v>
      </c>
    </row>
    <row r="18633" spans="1:6" x14ac:dyDescent="0.25">
      <c r="A18633">
        <v>18632</v>
      </c>
      <c r="B18633">
        <v>10</v>
      </c>
      <c r="C18633">
        <v>1</v>
      </c>
      <c r="D18633">
        <v>0</v>
      </c>
      <c r="E18633">
        <v>0</v>
      </c>
      <c r="F18633">
        <v>5273</v>
      </c>
    </row>
    <row r="18634" spans="1:6" x14ac:dyDescent="0.25">
      <c r="A18634">
        <v>18633</v>
      </c>
      <c r="B18634" t="s">
        <v>0</v>
      </c>
      <c r="C18634">
        <v>125</v>
      </c>
      <c r="D18634">
        <v>3514</v>
      </c>
      <c r="E18634">
        <v>80843295</v>
      </c>
    </row>
    <row r="18635" spans="1:6" x14ac:dyDescent="0.25">
      <c r="A18635">
        <v>18634</v>
      </c>
      <c r="B18635">
        <v>41</v>
      </c>
      <c r="C18635">
        <v>0</v>
      </c>
      <c r="D18635">
        <v>0</v>
      </c>
      <c r="E18635">
        <v>0</v>
      </c>
      <c r="F18635">
        <v>1</v>
      </c>
    </row>
    <row r="18636" spans="1:6" x14ac:dyDescent="0.25">
      <c r="A18636">
        <v>18635</v>
      </c>
      <c r="B18636" t="s">
        <v>0</v>
      </c>
      <c r="C18636">
        <v>126</v>
      </c>
      <c r="D18636">
        <v>3514</v>
      </c>
      <c r="E18636">
        <v>80843428</v>
      </c>
    </row>
    <row r="18637" spans="1:6" x14ac:dyDescent="0.25">
      <c r="A18637">
        <v>18636</v>
      </c>
      <c r="B18637">
        <v>43</v>
      </c>
      <c r="C18637">
        <v>0</v>
      </c>
      <c r="D18637">
        <v>0</v>
      </c>
      <c r="E18637">
        <v>0</v>
      </c>
      <c r="F18637">
        <v>0</v>
      </c>
    </row>
    <row r="18638" spans="1:6" x14ac:dyDescent="0.25">
      <c r="A18638">
        <v>18637</v>
      </c>
      <c r="B18638" t="s">
        <v>0</v>
      </c>
      <c r="C18638">
        <v>127</v>
      </c>
      <c r="D18638">
        <v>3514</v>
      </c>
      <c r="E18638">
        <v>80843561</v>
      </c>
    </row>
    <row r="18639" spans="1:6" x14ac:dyDescent="0.25">
      <c r="A18639">
        <v>18638</v>
      </c>
      <c r="B18639">
        <v>45</v>
      </c>
      <c r="C18639">
        <v>0</v>
      </c>
      <c r="D18639">
        <v>0</v>
      </c>
      <c r="E18639">
        <v>0</v>
      </c>
      <c r="F18639">
        <v>539.63499999999999</v>
      </c>
    </row>
    <row r="18640" spans="1:6" x14ac:dyDescent="0.25">
      <c r="A18640">
        <v>18639</v>
      </c>
      <c r="B18640" t="s">
        <v>0</v>
      </c>
      <c r="C18640">
        <v>128</v>
      </c>
      <c r="D18640">
        <v>3514</v>
      </c>
      <c r="E18640">
        <v>80843693</v>
      </c>
    </row>
    <row r="18641" spans="1:6" x14ac:dyDescent="0.25">
      <c r="A18641">
        <v>18640</v>
      </c>
      <c r="B18641">
        <v>2</v>
      </c>
      <c r="C18641">
        <v>0</v>
      </c>
      <c r="D18641">
        <v>0</v>
      </c>
      <c r="E18641">
        <v>0</v>
      </c>
      <c r="F18641">
        <v>250.09</v>
      </c>
    </row>
    <row r="18642" spans="1:6" x14ac:dyDescent="0.25">
      <c r="A18642">
        <v>18641</v>
      </c>
      <c r="B18642" t="s">
        <v>0</v>
      </c>
      <c r="C18642">
        <v>129</v>
      </c>
      <c r="D18642">
        <v>3514</v>
      </c>
      <c r="E18642">
        <v>80843826</v>
      </c>
    </row>
    <row r="18643" spans="1:6" x14ac:dyDescent="0.25">
      <c r="A18643">
        <v>18642</v>
      </c>
      <c r="B18643">
        <v>13</v>
      </c>
      <c r="C18643">
        <v>0</v>
      </c>
      <c r="D18643">
        <v>0</v>
      </c>
      <c r="E18643">
        <v>0</v>
      </c>
      <c r="F18643">
        <v>1618</v>
      </c>
    </row>
    <row r="18644" spans="1:6" x14ac:dyDescent="0.25">
      <c r="A18644">
        <v>18643</v>
      </c>
      <c r="B18644" t="s">
        <v>0</v>
      </c>
      <c r="C18644">
        <v>130</v>
      </c>
      <c r="D18644">
        <v>3514</v>
      </c>
      <c r="E18644">
        <v>80843959</v>
      </c>
    </row>
    <row r="18645" spans="1:6" x14ac:dyDescent="0.25">
      <c r="A18645">
        <v>18644</v>
      </c>
      <c r="B18645">
        <v>42</v>
      </c>
      <c r="C18645">
        <v>0</v>
      </c>
      <c r="D18645">
        <v>0</v>
      </c>
      <c r="E18645">
        <v>0</v>
      </c>
      <c r="F18645">
        <v>0.2</v>
      </c>
    </row>
    <row r="18646" spans="1:6" x14ac:dyDescent="0.25">
      <c r="A18646">
        <v>18645</v>
      </c>
      <c r="B18646" t="s">
        <v>0</v>
      </c>
      <c r="C18646">
        <v>131</v>
      </c>
      <c r="D18646">
        <v>3514</v>
      </c>
      <c r="E18646">
        <v>80844092</v>
      </c>
    </row>
    <row r="18647" spans="1:6" x14ac:dyDescent="0.25">
      <c r="A18647">
        <v>18646</v>
      </c>
      <c r="B18647">
        <v>44</v>
      </c>
      <c r="C18647">
        <v>0</v>
      </c>
      <c r="D18647">
        <v>0</v>
      </c>
      <c r="E18647">
        <v>0</v>
      </c>
      <c r="F18647">
        <v>49.907699999999998</v>
      </c>
    </row>
    <row r="18648" spans="1:6" x14ac:dyDescent="0.25">
      <c r="A18648">
        <v>18647</v>
      </c>
      <c r="B18648" t="s">
        <v>0</v>
      </c>
      <c r="C18648">
        <v>132</v>
      </c>
      <c r="D18648">
        <v>3514</v>
      </c>
      <c r="E18648">
        <v>80844225</v>
      </c>
    </row>
    <row r="18649" spans="1:6" x14ac:dyDescent="0.25">
      <c r="A18649">
        <v>18648</v>
      </c>
      <c r="B18649">
        <v>46</v>
      </c>
      <c r="C18649">
        <v>0</v>
      </c>
      <c r="D18649">
        <v>0</v>
      </c>
      <c r="E18649">
        <v>0</v>
      </c>
      <c r="F18649">
        <v>0</v>
      </c>
    </row>
    <row r="18650" spans="1:6" x14ac:dyDescent="0.25">
      <c r="A18650">
        <v>18649</v>
      </c>
      <c r="B18650" t="s">
        <v>0</v>
      </c>
      <c r="C18650">
        <v>133</v>
      </c>
      <c r="D18650">
        <v>3514</v>
      </c>
      <c r="E18650">
        <v>80844358</v>
      </c>
    </row>
    <row r="18651" spans="1:6" x14ac:dyDescent="0.25">
      <c r="A18651">
        <v>18650</v>
      </c>
      <c r="B18651">
        <v>10</v>
      </c>
      <c r="C18651">
        <v>1</v>
      </c>
      <c r="D18651">
        <v>0</v>
      </c>
      <c r="E18651">
        <v>0</v>
      </c>
      <c r="F18651">
        <v>5273</v>
      </c>
    </row>
    <row r="18652" spans="1:6" x14ac:dyDescent="0.25">
      <c r="A18652">
        <v>18651</v>
      </c>
      <c r="B18652" t="s">
        <v>0</v>
      </c>
      <c r="C18652">
        <v>134</v>
      </c>
      <c r="D18652">
        <v>3514</v>
      </c>
      <c r="E18652">
        <v>80844491</v>
      </c>
    </row>
    <row r="18653" spans="1:6" x14ac:dyDescent="0.25">
      <c r="A18653">
        <v>18652</v>
      </c>
      <c r="B18653">
        <v>41</v>
      </c>
      <c r="C18653">
        <v>0</v>
      </c>
      <c r="D18653">
        <v>0</v>
      </c>
      <c r="E18653">
        <v>0</v>
      </c>
      <c r="F18653">
        <v>1</v>
      </c>
    </row>
    <row r="18654" spans="1:6" x14ac:dyDescent="0.25">
      <c r="A18654">
        <v>18653</v>
      </c>
      <c r="B18654" t="s">
        <v>0</v>
      </c>
      <c r="C18654">
        <v>135</v>
      </c>
      <c r="D18654">
        <v>3514</v>
      </c>
      <c r="E18654">
        <v>80844624</v>
      </c>
    </row>
    <row r="18655" spans="1:6" x14ac:dyDescent="0.25">
      <c r="A18655">
        <v>18654</v>
      </c>
      <c r="B18655">
        <v>43</v>
      </c>
      <c r="C18655">
        <v>0</v>
      </c>
      <c r="D18655">
        <v>0</v>
      </c>
      <c r="E18655">
        <v>0</v>
      </c>
      <c r="F18655">
        <v>0</v>
      </c>
    </row>
    <row r="18656" spans="1:6" x14ac:dyDescent="0.25">
      <c r="A18656">
        <v>18655</v>
      </c>
      <c r="B18656" t="s">
        <v>0</v>
      </c>
      <c r="C18656">
        <v>136</v>
      </c>
      <c r="D18656">
        <v>3514</v>
      </c>
      <c r="E18656">
        <v>80844757</v>
      </c>
    </row>
    <row r="18657" spans="1:6" x14ac:dyDescent="0.25">
      <c r="A18657">
        <v>18656</v>
      </c>
      <c r="B18657">
        <v>45</v>
      </c>
      <c r="C18657">
        <v>0</v>
      </c>
      <c r="D18657">
        <v>0</v>
      </c>
      <c r="E18657">
        <v>0</v>
      </c>
      <c r="F18657">
        <v>539.75400000000002</v>
      </c>
    </row>
    <row r="18658" spans="1:6" x14ac:dyDescent="0.25">
      <c r="A18658">
        <v>18657</v>
      </c>
      <c r="B18658" t="s">
        <v>0</v>
      </c>
      <c r="C18658">
        <v>137</v>
      </c>
      <c r="D18658">
        <v>3514</v>
      </c>
      <c r="E18658">
        <v>80844890</v>
      </c>
    </row>
    <row r="18659" spans="1:6" x14ac:dyDescent="0.25">
      <c r="A18659">
        <v>18658</v>
      </c>
      <c r="B18659">
        <v>2</v>
      </c>
      <c r="C18659">
        <v>0</v>
      </c>
      <c r="D18659">
        <v>0</v>
      </c>
      <c r="E18659">
        <v>0</v>
      </c>
      <c r="F18659">
        <v>250.11699999999999</v>
      </c>
    </row>
    <row r="18660" spans="1:6" x14ac:dyDescent="0.25">
      <c r="A18660">
        <v>18659</v>
      </c>
      <c r="B18660" t="s">
        <v>0</v>
      </c>
      <c r="C18660">
        <v>138</v>
      </c>
      <c r="D18660">
        <v>3514</v>
      </c>
      <c r="E18660">
        <v>80845022</v>
      </c>
    </row>
    <row r="18661" spans="1:6" x14ac:dyDescent="0.25">
      <c r="A18661">
        <v>18660</v>
      </c>
      <c r="B18661">
        <v>13</v>
      </c>
      <c r="C18661">
        <v>0</v>
      </c>
      <c r="D18661">
        <v>0</v>
      </c>
      <c r="E18661">
        <v>0</v>
      </c>
      <c r="F18661">
        <v>1618</v>
      </c>
    </row>
    <row r="18662" spans="1:6" x14ac:dyDescent="0.25">
      <c r="A18662">
        <v>18661</v>
      </c>
      <c r="B18662" t="s">
        <v>0</v>
      </c>
      <c r="C18662">
        <v>139</v>
      </c>
      <c r="D18662">
        <v>3514</v>
      </c>
      <c r="E18662">
        <v>80845154</v>
      </c>
    </row>
    <row r="18663" spans="1:6" x14ac:dyDescent="0.25">
      <c r="A18663">
        <v>18662</v>
      </c>
      <c r="B18663">
        <v>42</v>
      </c>
      <c r="C18663">
        <v>0</v>
      </c>
      <c r="D18663">
        <v>0</v>
      </c>
      <c r="E18663">
        <v>0</v>
      </c>
      <c r="F18663">
        <v>0.2</v>
      </c>
    </row>
    <row r="18664" spans="1:6" x14ac:dyDescent="0.25">
      <c r="A18664">
        <v>18663</v>
      </c>
      <c r="B18664" t="s">
        <v>0</v>
      </c>
      <c r="C18664">
        <v>140</v>
      </c>
      <c r="D18664">
        <v>3514</v>
      </c>
      <c r="E18664">
        <v>80845286</v>
      </c>
    </row>
    <row r="18665" spans="1:6" x14ac:dyDescent="0.25">
      <c r="A18665">
        <v>18664</v>
      </c>
      <c r="B18665">
        <v>44</v>
      </c>
      <c r="C18665">
        <v>0</v>
      </c>
      <c r="D18665">
        <v>0</v>
      </c>
      <c r="E18665">
        <v>0</v>
      </c>
      <c r="F18665">
        <v>49.830399999999997</v>
      </c>
    </row>
    <row r="18666" spans="1:6" x14ac:dyDescent="0.25">
      <c r="A18666">
        <v>18665</v>
      </c>
      <c r="B18666" t="s">
        <v>0</v>
      </c>
      <c r="C18666">
        <v>141</v>
      </c>
      <c r="D18666">
        <v>3514</v>
      </c>
      <c r="E18666">
        <v>80845419</v>
      </c>
    </row>
    <row r="18667" spans="1:6" x14ac:dyDescent="0.25">
      <c r="A18667">
        <v>18666</v>
      </c>
      <c r="B18667">
        <v>46</v>
      </c>
      <c r="C18667">
        <v>0</v>
      </c>
      <c r="D18667">
        <v>0</v>
      </c>
      <c r="E18667">
        <v>0</v>
      </c>
      <c r="F18667">
        <v>0</v>
      </c>
    </row>
    <row r="18668" spans="1:6" x14ac:dyDescent="0.25">
      <c r="A18668">
        <v>18667</v>
      </c>
      <c r="B18668" t="s">
        <v>0</v>
      </c>
      <c r="C18668">
        <v>142</v>
      </c>
      <c r="D18668">
        <v>3514</v>
      </c>
      <c r="E18668">
        <v>80845552</v>
      </c>
    </row>
    <row r="18669" spans="1:6" x14ac:dyDescent="0.25">
      <c r="A18669">
        <v>18668</v>
      </c>
      <c r="B18669">
        <v>10</v>
      </c>
      <c r="C18669">
        <v>1</v>
      </c>
      <c r="D18669">
        <v>0</v>
      </c>
      <c r="E18669">
        <v>0</v>
      </c>
      <c r="F18669">
        <v>5271</v>
      </c>
    </row>
    <row r="18670" spans="1:6" x14ac:dyDescent="0.25">
      <c r="A18670">
        <v>18669</v>
      </c>
      <c r="B18670" t="s">
        <v>0</v>
      </c>
      <c r="C18670">
        <v>143</v>
      </c>
      <c r="D18670">
        <v>3514</v>
      </c>
      <c r="E18670">
        <v>80845685</v>
      </c>
    </row>
    <row r="18671" spans="1:6" x14ac:dyDescent="0.25">
      <c r="A18671">
        <v>18670</v>
      </c>
      <c r="B18671">
        <v>41</v>
      </c>
      <c r="C18671">
        <v>0</v>
      </c>
      <c r="D18671">
        <v>0</v>
      </c>
      <c r="E18671">
        <v>0</v>
      </c>
      <c r="F18671">
        <v>1</v>
      </c>
    </row>
    <row r="18672" spans="1:6" x14ac:dyDescent="0.25">
      <c r="A18672">
        <v>18671</v>
      </c>
      <c r="B18672" t="s">
        <v>0</v>
      </c>
      <c r="C18672">
        <v>144</v>
      </c>
      <c r="D18672">
        <v>3514</v>
      </c>
      <c r="E18672">
        <v>80845817</v>
      </c>
    </row>
    <row r="18673" spans="1:6" x14ac:dyDescent="0.25">
      <c r="A18673">
        <v>18672</v>
      </c>
      <c r="B18673">
        <v>43</v>
      </c>
      <c r="C18673">
        <v>0</v>
      </c>
      <c r="D18673">
        <v>0</v>
      </c>
      <c r="E18673">
        <v>0</v>
      </c>
      <c r="F18673">
        <v>0</v>
      </c>
    </row>
    <row r="18674" spans="1:6" x14ac:dyDescent="0.25">
      <c r="A18674">
        <v>18673</v>
      </c>
      <c r="B18674" t="s">
        <v>0</v>
      </c>
      <c r="C18674">
        <v>145</v>
      </c>
      <c r="D18674">
        <v>3514</v>
      </c>
      <c r="E18674">
        <v>80845949</v>
      </c>
    </row>
    <row r="18675" spans="1:6" x14ac:dyDescent="0.25">
      <c r="A18675">
        <v>18674</v>
      </c>
      <c r="B18675">
        <v>45</v>
      </c>
      <c r="C18675">
        <v>0</v>
      </c>
      <c r="D18675">
        <v>0</v>
      </c>
      <c r="E18675">
        <v>0</v>
      </c>
      <c r="F18675">
        <v>539.87300000000005</v>
      </c>
    </row>
    <row r="18676" spans="1:6" x14ac:dyDescent="0.25">
      <c r="A18676">
        <v>18675</v>
      </c>
      <c r="B18676" t="s">
        <v>0</v>
      </c>
      <c r="C18676">
        <v>146</v>
      </c>
      <c r="D18676">
        <v>3514</v>
      </c>
      <c r="E18676">
        <v>80846081</v>
      </c>
    </row>
    <row r="18677" spans="1:6" x14ac:dyDescent="0.25">
      <c r="A18677">
        <v>18676</v>
      </c>
      <c r="B18677">
        <v>2</v>
      </c>
      <c r="C18677">
        <v>0</v>
      </c>
      <c r="D18677">
        <v>0</v>
      </c>
      <c r="E18677">
        <v>0</v>
      </c>
      <c r="F18677">
        <v>250.25399999999999</v>
      </c>
    </row>
    <row r="18678" spans="1:6" x14ac:dyDescent="0.25">
      <c r="A18678">
        <v>18677</v>
      </c>
      <c r="B18678" t="s">
        <v>0</v>
      </c>
      <c r="C18678">
        <v>147</v>
      </c>
      <c r="D18678">
        <v>3514</v>
      </c>
      <c r="E18678">
        <v>80846213</v>
      </c>
    </row>
    <row r="18679" spans="1:6" x14ac:dyDescent="0.25">
      <c r="A18679">
        <v>18678</v>
      </c>
      <c r="B18679">
        <v>13</v>
      </c>
      <c r="C18679">
        <v>0</v>
      </c>
      <c r="D18679">
        <v>0</v>
      </c>
      <c r="E18679">
        <v>0</v>
      </c>
      <c r="F18679">
        <v>1618</v>
      </c>
    </row>
    <row r="18680" spans="1:6" x14ac:dyDescent="0.25">
      <c r="A18680">
        <v>18679</v>
      </c>
      <c r="B18680" t="s">
        <v>0</v>
      </c>
      <c r="C18680">
        <v>148</v>
      </c>
      <c r="D18680">
        <v>3514</v>
      </c>
      <c r="E18680">
        <v>80846346</v>
      </c>
    </row>
    <row r="18681" spans="1:6" x14ac:dyDescent="0.25">
      <c r="A18681">
        <v>18680</v>
      </c>
      <c r="B18681">
        <v>42</v>
      </c>
      <c r="C18681">
        <v>0</v>
      </c>
      <c r="D18681">
        <v>0</v>
      </c>
      <c r="E18681">
        <v>0</v>
      </c>
      <c r="F18681">
        <v>0.2</v>
      </c>
    </row>
    <row r="18682" spans="1:6" x14ac:dyDescent="0.25">
      <c r="A18682">
        <v>18681</v>
      </c>
      <c r="B18682" t="s">
        <v>0</v>
      </c>
      <c r="C18682">
        <v>149</v>
      </c>
      <c r="D18682">
        <v>3514</v>
      </c>
      <c r="E18682">
        <v>80846479</v>
      </c>
    </row>
    <row r="18683" spans="1:6" x14ac:dyDescent="0.25">
      <c r="A18683">
        <v>18682</v>
      </c>
      <c r="B18683">
        <v>44</v>
      </c>
      <c r="C18683">
        <v>0</v>
      </c>
      <c r="D18683">
        <v>0</v>
      </c>
      <c r="E18683">
        <v>0</v>
      </c>
      <c r="F18683">
        <v>49.712899999999998</v>
      </c>
    </row>
    <row r="18684" spans="1:6" x14ac:dyDescent="0.25">
      <c r="A18684">
        <v>18683</v>
      </c>
      <c r="B18684" t="s">
        <v>0</v>
      </c>
      <c r="C18684">
        <v>150</v>
      </c>
      <c r="D18684">
        <v>3514</v>
      </c>
      <c r="E18684">
        <v>80846612</v>
      </c>
    </row>
    <row r="18685" spans="1:6" x14ac:dyDescent="0.25">
      <c r="A18685">
        <v>18684</v>
      </c>
      <c r="B18685">
        <v>46</v>
      </c>
      <c r="C18685">
        <v>0</v>
      </c>
      <c r="D18685">
        <v>0</v>
      </c>
      <c r="E18685">
        <v>0</v>
      </c>
      <c r="F18685">
        <v>0</v>
      </c>
    </row>
    <row r="18686" spans="1:6" x14ac:dyDescent="0.25">
      <c r="A18686">
        <v>18685</v>
      </c>
      <c r="B18686" t="s">
        <v>0</v>
      </c>
      <c r="C18686">
        <v>151</v>
      </c>
      <c r="D18686">
        <v>3514</v>
      </c>
      <c r="E18686">
        <v>80846745</v>
      </c>
    </row>
    <row r="18687" spans="1:6" x14ac:dyDescent="0.25">
      <c r="A18687">
        <v>18686</v>
      </c>
      <c r="B18687">
        <v>10</v>
      </c>
      <c r="C18687">
        <v>1</v>
      </c>
      <c r="D18687">
        <v>0</v>
      </c>
      <c r="E18687">
        <v>0</v>
      </c>
      <c r="F18687">
        <v>5269</v>
      </c>
    </row>
    <row r="18688" spans="1:6" x14ac:dyDescent="0.25">
      <c r="A18688">
        <v>18687</v>
      </c>
      <c r="B18688" t="s">
        <v>0</v>
      </c>
      <c r="C18688">
        <v>152</v>
      </c>
      <c r="D18688">
        <v>3514</v>
      </c>
      <c r="E18688">
        <v>80846878</v>
      </c>
    </row>
    <row r="18689" spans="1:6" x14ac:dyDescent="0.25">
      <c r="A18689">
        <v>18688</v>
      </c>
      <c r="B18689">
        <v>41</v>
      </c>
      <c r="C18689">
        <v>0</v>
      </c>
      <c r="D18689">
        <v>0</v>
      </c>
      <c r="E18689">
        <v>0</v>
      </c>
      <c r="F18689">
        <v>1</v>
      </c>
    </row>
    <row r="18690" spans="1:6" x14ac:dyDescent="0.25">
      <c r="A18690">
        <v>18689</v>
      </c>
      <c r="B18690" t="s">
        <v>0</v>
      </c>
      <c r="C18690">
        <v>153</v>
      </c>
      <c r="D18690">
        <v>3514</v>
      </c>
      <c r="E18690">
        <v>80847010</v>
      </c>
    </row>
    <row r="18691" spans="1:6" x14ac:dyDescent="0.25">
      <c r="A18691">
        <v>18690</v>
      </c>
      <c r="B18691">
        <v>43</v>
      </c>
      <c r="C18691">
        <v>0</v>
      </c>
      <c r="D18691">
        <v>0</v>
      </c>
      <c r="E18691">
        <v>0</v>
      </c>
      <c r="F18691">
        <v>0</v>
      </c>
    </row>
    <row r="18692" spans="1:6" x14ac:dyDescent="0.25">
      <c r="A18692">
        <v>18691</v>
      </c>
      <c r="B18692" t="s">
        <v>0</v>
      </c>
      <c r="C18692">
        <v>154</v>
      </c>
      <c r="D18692">
        <v>3514</v>
      </c>
      <c r="E18692">
        <v>80847142</v>
      </c>
    </row>
    <row r="18693" spans="1:6" x14ac:dyDescent="0.25">
      <c r="A18693">
        <v>18692</v>
      </c>
      <c r="B18693">
        <v>45</v>
      </c>
      <c r="C18693">
        <v>0</v>
      </c>
      <c r="D18693">
        <v>0</v>
      </c>
      <c r="E18693">
        <v>0</v>
      </c>
      <c r="F18693">
        <v>539.99300000000005</v>
      </c>
    </row>
    <row r="18694" spans="1:6" x14ac:dyDescent="0.25">
      <c r="A18694">
        <v>18693</v>
      </c>
      <c r="B18694" t="s">
        <v>0</v>
      </c>
      <c r="C18694">
        <v>155</v>
      </c>
      <c r="D18694">
        <v>3514</v>
      </c>
      <c r="E18694">
        <v>80847274</v>
      </c>
    </row>
    <row r="18695" spans="1:6" x14ac:dyDescent="0.25">
      <c r="A18695">
        <v>18694</v>
      </c>
      <c r="B18695">
        <v>2</v>
      </c>
      <c r="C18695">
        <v>0</v>
      </c>
      <c r="D18695">
        <v>0</v>
      </c>
      <c r="E18695">
        <v>0</v>
      </c>
      <c r="F18695">
        <v>250.34</v>
      </c>
    </row>
    <row r="18696" spans="1:6" x14ac:dyDescent="0.25">
      <c r="A18696">
        <v>18695</v>
      </c>
      <c r="B18696" t="s">
        <v>0</v>
      </c>
      <c r="C18696">
        <v>156</v>
      </c>
      <c r="D18696">
        <v>3514</v>
      </c>
      <c r="E18696">
        <v>80847407</v>
      </c>
    </row>
    <row r="18697" spans="1:6" x14ac:dyDescent="0.25">
      <c r="A18697">
        <v>18696</v>
      </c>
      <c r="B18697">
        <v>13</v>
      </c>
      <c r="C18697">
        <v>0</v>
      </c>
      <c r="D18697">
        <v>0</v>
      </c>
      <c r="E18697">
        <v>0</v>
      </c>
      <c r="F18697">
        <v>1618</v>
      </c>
    </row>
    <row r="18698" spans="1:6" x14ac:dyDescent="0.25">
      <c r="A18698">
        <v>18697</v>
      </c>
      <c r="B18698" t="s">
        <v>0</v>
      </c>
      <c r="C18698">
        <v>157</v>
      </c>
      <c r="D18698">
        <v>3514</v>
      </c>
      <c r="E18698">
        <v>80847540</v>
      </c>
    </row>
    <row r="18699" spans="1:6" x14ac:dyDescent="0.25">
      <c r="A18699">
        <v>18698</v>
      </c>
      <c r="B18699">
        <v>42</v>
      </c>
      <c r="C18699">
        <v>0</v>
      </c>
      <c r="D18699">
        <v>0</v>
      </c>
      <c r="E18699">
        <v>0</v>
      </c>
      <c r="F18699">
        <v>0.2</v>
      </c>
    </row>
    <row r="18700" spans="1:6" x14ac:dyDescent="0.25">
      <c r="A18700">
        <v>18699</v>
      </c>
      <c r="B18700" t="s">
        <v>0</v>
      </c>
      <c r="C18700">
        <v>158</v>
      </c>
      <c r="D18700">
        <v>3514</v>
      </c>
      <c r="E18700">
        <v>80847673</v>
      </c>
    </row>
    <row r="18701" spans="1:6" x14ac:dyDescent="0.25">
      <c r="A18701">
        <v>18700</v>
      </c>
      <c r="B18701">
        <v>44</v>
      </c>
      <c r="C18701">
        <v>0</v>
      </c>
      <c r="D18701">
        <v>0</v>
      </c>
      <c r="E18701">
        <v>0</v>
      </c>
      <c r="F18701">
        <v>49.639000000000003</v>
      </c>
    </row>
    <row r="18702" spans="1:6" x14ac:dyDescent="0.25">
      <c r="A18702">
        <v>18701</v>
      </c>
      <c r="B18702" t="s">
        <v>0</v>
      </c>
      <c r="C18702">
        <v>159</v>
      </c>
      <c r="D18702">
        <v>3514</v>
      </c>
      <c r="E18702">
        <v>80847806</v>
      </c>
    </row>
    <row r="18703" spans="1:6" x14ac:dyDescent="0.25">
      <c r="A18703">
        <v>18702</v>
      </c>
      <c r="B18703">
        <v>46</v>
      </c>
      <c r="C18703">
        <v>0</v>
      </c>
      <c r="D18703">
        <v>0</v>
      </c>
      <c r="E18703">
        <v>0</v>
      </c>
      <c r="F18703">
        <v>0</v>
      </c>
    </row>
    <row r="18704" spans="1:6" x14ac:dyDescent="0.25">
      <c r="A18704">
        <v>18703</v>
      </c>
      <c r="B18704" t="s">
        <v>0</v>
      </c>
      <c r="C18704">
        <v>160</v>
      </c>
      <c r="D18704">
        <v>3514</v>
      </c>
      <c r="E18704">
        <v>80847938</v>
      </c>
    </row>
    <row r="18705" spans="1:6" x14ac:dyDescent="0.25">
      <c r="A18705">
        <v>18704</v>
      </c>
      <c r="B18705">
        <v>10</v>
      </c>
      <c r="C18705">
        <v>1</v>
      </c>
      <c r="D18705">
        <v>0</v>
      </c>
      <c r="E18705">
        <v>0</v>
      </c>
      <c r="F18705">
        <v>5268</v>
      </c>
    </row>
    <row r="18706" spans="1:6" x14ac:dyDescent="0.25">
      <c r="A18706">
        <v>18705</v>
      </c>
      <c r="B18706" t="s">
        <v>0</v>
      </c>
      <c r="C18706">
        <v>161</v>
      </c>
      <c r="D18706">
        <v>3514</v>
      </c>
      <c r="E18706">
        <v>80848070</v>
      </c>
    </row>
    <row r="18707" spans="1:6" x14ac:dyDescent="0.25">
      <c r="A18707">
        <v>18706</v>
      </c>
      <c r="B18707">
        <v>41</v>
      </c>
      <c r="C18707">
        <v>0</v>
      </c>
      <c r="D18707">
        <v>0</v>
      </c>
      <c r="E18707">
        <v>0</v>
      </c>
      <c r="F18707">
        <v>1</v>
      </c>
    </row>
    <row r="18708" spans="1:6" x14ac:dyDescent="0.25">
      <c r="A18708">
        <v>18707</v>
      </c>
      <c r="B18708" t="s">
        <v>0</v>
      </c>
      <c r="C18708">
        <v>162</v>
      </c>
      <c r="D18708">
        <v>3514</v>
      </c>
      <c r="E18708">
        <v>80848202</v>
      </c>
    </row>
    <row r="18709" spans="1:6" x14ac:dyDescent="0.25">
      <c r="A18709">
        <v>18708</v>
      </c>
      <c r="B18709">
        <v>43</v>
      </c>
      <c r="C18709">
        <v>0</v>
      </c>
      <c r="D18709">
        <v>0</v>
      </c>
      <c r="E18709">
        <v>0</v>
      </c>
      <c r="F18709">
        <v>0</v>
      </c>
    </row>
    <row r="18710" spans="1:6" x14ac:dyDescent="0.25">
      <c r="A18710">
        <v>18709</v>
      </c>
      <c r="B18710" t="s">
        <v>0</v>
      </c>
      <c r="C18710">
        <v>163</v>
      </c>
      <c r="D18710">
        <v>3514</v>
      </c>
      <c r="E18710">
        <v>80848335</v>
      </c>
    </row>
    <row r="18711" spans="1:6" x14ac:dyDescent="0.25">
      <c r="A18711">
        <v>18710</v>
      </c>
      <c r="B18711">
        <v>45</v>
      </c>
      <c r="C18711">
        <v>0</v>
      </c>
      <c r="D18711">
        <v>0</v>
      </c>
      <c r="E18711">
        <v>0</v>
      </c>
      <c r="F18711">
        <v>540.11199999999997</v>
      </c>
    </row>
    <row r="18712" spans="1:6" x14ac:dyDescent="0.25">
      <c r="A18712">
        <v>18711</v>
      </c>
      <c r="B18712" t="s">
        <v>0</v>
      </c>
      <c r="C18712">
        <v>164</v>
      </c>
      <c r="D18712">
        <v>3514</v>
      </c>
      <c r="E18712">
        <v>80848468</v>
      </c>
    </row>
    <row r="18713" spans="1:6" x14ac:dyDescent="0.25">
      <c r="A18713">
        <v>18712</v>
      </c>
      <c r="B18713">
        <v>2</v>
      </c>
      <c r="C18713">
        <v>0</v>
      </c>
      <c r="D18713">
        <v>0</v>
      </c>
      <c r="E18713">
        <v>0</v>
      </c>
      <c r="F18713">
        <v>250.39500000000001</v>
      </c>
    </row>
    <row r="18714" spans="1:6" x14ac:dyDescent="0.25">
      <c r="A18714">
        <v>18713</v>
      </c>
      <c r="B18714" t="s">
        <v>0</v>
      </c>
      <c r="C18714">
        <v>165</v>
      </c>
      <c r="D18714">
        <v>3514</v>
      </c>
      <c r="E18714">
        <v>80848601</v>
      </c>
    </row>
    <row r="18715" spans="1:6" x14ac:dyDescent="0.25">
      <c r="A18715">
        <v>18714</v>
      </c>
      <c r="B18715">
        <v>13</v>
      </c>
      <c r="C18715">
        <v>0</v>
      </c>
      <c r="D18715">
        <v>0</v>
      </c>
      <c r="E18715">
        <v>0</v>
      </c>
      <c r="F18715">
        <v>1618</v>
      </c>
    </row>
    <row r="18716" spans="1:6" x14ac:dyDescent="0.25">
      <c r="A18716">
        <v>18715</v>
      </c>
      <c r="B18716" t="s">
        <v>0</v>
      </c>
      <c r="C18716">
        <v>166</v>
      </c>
      <c r="D18716">
        <v>3514</v>
      </c>
      <c r="E18716">
        <v>80848733</v>
      </c>
    </row>
    <row r="18717" spans="1:6" x14ac:dyDescent="0.25">
      <c r="A18717">
        <v>18716</v>
      </c>
      <c r="B18717">
        <v>42</v>
      </c>
      <c r="C18717">
        <v>0</v>
      </c>
      <c r="D18717">
        <v>0</v>
      </c>
      <c r="E18717">
        <v>0</v>
      </c>
      <c r="F18717">
        <v>0.2</v>
      </c>
    </row>
    <row r="18718" spans="1:6" x14ac:dyDescent="0.25">
      <c r="A18718">
        <v>18717</v>
      </c>
      <c r="B18718" t="s">
        <v>0</v>
      </c>
      <c r="C18718">
        <v>167</v>
      </c>
      <c r="D18718">
        <v>3514</v>
      </c>
      <c r="E18718">
        <v>80848866</v>
      </c>
    </row>
    <row r="18719" spans="1:6" x14ac:dyDescent="0.25">
      <c r="A18719">
        <v>18718</v>
      </c>
      <c r="B18719">
        <v>44</v>
      </c>
      <c r="C18719">
        <v>0</v>
      </c>
      <c r="D18719">
        <v>0</v>
      </c>
      <c r="E18719">
        <v>0</v>
      </c>
      <c r="F18719">
        <v>49.592100000000002</v>
      </c>
    </row>
    <row r="18720" spans="1:6" x14ac:dyDescent="0.25">
      <c r="A18720">
        <v>18719</v>
      </c>
      <c r="B18720" t="s">
        <v>0</v>
      </c>
      <c r="C18720">
        <v>168</v>
      </c>
      <c r="D18720">
        <v>3514</v>
      </c>
      <c r="E18720">
        <v>80848998</v>
      </c>
    </row>
    <row r="18721" spans="1:6" x14ac:dyDescent="0.25">
      <c r="A18721">
        <v>18720</v>
      </c>
      <c r="B18721">
        <v>46</v>
      </c>
      <c r="C18721">
        <v>0</v>
      </c>
      <c r="D18721">
        <v>0</v>
      </c>
      <c r="E18721">
        <v>0</v>
      </c>
      <c r="F18721">
        <v>0</v>
      </c>
    </row>
    <row r="18722" spans="1:6" x14ac:dyDescent="0.25">
      <c r="A18722">
        <v>18721</v>
      </c>
      <c r="B18722" t="s">
        <v>0</v>
      </c>
      <c r="C18722">
        <v>169</v>
      </c>
      <c r="D18722">
        <v>3514</v>
      </c>
      <c r="E18722">
        <v>80849130</v>
      </c>
    </row>
    <row r="18723" spans="1:6" x14ac:dyDescent="0.25">
      <c r="A18723">
        <v>18722</v>
      </c>
      <c r="B18723">
        <v>10</v>
      </c>
      <c r="C18723">
        <v>1</v>
      </c>
      <c r="D18723">
        <v>0</v>
      </c>
      <c r="E18723">
        <v>0</v>
      </c>
      <c r="F18723">
        <v>5267</v>
      </c>
    </row>
    <row r="18724" spans="1:6" x14ac:dyDescent="0.25">
      <c r="A18724">
        <v>18723</v>
      </c>
      <c r="B18724" t="s">
        <v>0</v>
      </c>
      <c r="C18724">
        <v>170</v>
      </c>
      <c r="D18724">
        <v>3514</v>
      </c>
      <c r="E18724">
        <v>80849262</v>
      </c>
    </row>
    <row r="18725" spans="1:6" x14ac:dyDescent="0.25">
      <c r="A18725">
        <v>18724</v>
      </c>
      <c r="B18725">
        <v>41</v>
      </c>
      <c r="C18725">
        <v>0</v>
      </c>
      <c r="D18725">
        <v>0</v>
      </c>
      <c r="E18725">
        <v>0</v>
      </c>
      <c r="F18725">
        <v>1</v>
      </c>
    </row>
    <row r="18726" spans="1:6" x14ac:dyDescent="0.25">
      <c r="A18726">
        <v>18725</v>
      </c>
      <c r="B18726" t="s">
        <v>0</v>
      </c>
      <c r="C18726">
        <v>171</v>
      </c>
      <c r="D18726">
        <v>3514</v>
      </c>
      <c r="E18726">
        <v>80849395</v>
      </c>
    </row>
    <row r="18727" spans="1:6" x14ac:dyDescent="0.25">
      <c r="A18727">
        <v>18726</v>
      </c>
      <c r="B18727">
        <v>43</v>
      </c>
      <c r="C18727">
        <v>0</v>
      </c>
      <c r="D18727">
        <v>0</v>
      </c>
      <c r="E18727">
        <v>0</v>
      </c>
      <c r="F18727">
        <v>0</v>
      </c>
    </row>
    <row r="18728" spans="1:6" x14ac:dyDescent="0.25">
      <c r="A18728">
        <v>18727</v>
      </c>
      <c r="B18728" t="s">
        <v>0</v>
      </c>
      <c r="C18728">
        <v>172</v>
      </c>
      <c r="D18728">
        <v>3514</v>
      </c>
      <c r="E18728">
        <v>80849528</v>
      </c>
    </row>
    <row r="18729" spans="1:6" x14ac:dyDescent="0.25">
      <c r="A18729">
        <v>18728</v>
      </c>
      <c r="B18729">
        <v>45</v>
      </c>
      <c r="C18729">
        <v>0</v>
      </c>
      <c r="D18729">
        <v>0</v>
      </c>
      <c r="E18729">
        <v>0</v>
      </c>
      <c r="F18729">
        <v>540.23</v>
      </c>
    </row>
    <row r="18730" spans="1:6" x14ac:dyDescent="0.25">
      <c r="A18730">
        <v>18729</v>
      </c>
      <c r="B18730" t="s">
        <v>0</v>
      </c>
      <c r="C18730">
        <v>173</v>
      </c>
      <c r="D18730">
        <v>3514</v>
      </c>
      <c r="E18730">
        <v>80849661</v>
      </c>
    </row>
    <row r="18731" spans="1:6" x14ac:dyDescent="0.25">
      <c r="A18731">
        <v>18730</v>
      </c>
      <c r="B18731">
        <v>2</v>
      </c>
      <c r="C18731">
        <v>0</v>
      </c>
      <c r="D18731">
        <v>0</v>
      </c>
      <c r="E18731">
        <v>0</v>
      </c>
      <c r="F18731">
        <v>250.429</v>
      </c>
    </row>
    <row r="18732" spans="1:6" x14ac:dyDescent="0.25">
      <c r="A18732">
        <v>18731</v>
      </c>
      <c r="B18732" t="s">
        <v>0</v>
      </c>
      <c r="C18732">
        <v>174</v>
      </c>
      <c r="D18732">
        <v>3514</v>
      </c>
      <c r="E18732">
        <v>80849794</v>
      </c>
    </row>
    <row r="18733" spans="1:6" x14ac:dyDescent="0.25">
      <c r="A18733">
        <v>18732</v>
      </c>
      <c r="B18733">
        <v>13</v>
      </c>
      <c r="C18733">
        <v>0</v>
      </c>
      <c r="D18733">
        <v>0</v>
      </c>
      <c r="E18733">
        <v>0</v>
      </c>
      <c r="F18733">
        <v>1618</v>
      </c>
    </row>
    <row r="18734" spans="1:6" x14ac:dyDescent="0.25">
      <c r="A18734">
        <v>18733</v>
      </c>
      <c r="B18734" t="s">
        <v>0</v>
      </c>
      <c r="C18734">
        <v>175</v>
      </c>
      <c r="D18734">
        <v>3514</v>
      </c>
      <c r="E18734">
        <v>80849926</v>
      </c>
    </row>
    <row r="18735" spans="1:6" x14ac:dyDescent="0.25">
      <c r="A18735">
        <v>18734</v>
      </c>
      <c r="B18735">
        <v>42</v>
      </c>
      <c r="C18735">
        <v>0</v>
      </c>
      <c r="D18735">
        <v>0</v>
      </c>
      <c r="E18735">
        <v>0</v>
      </c>
      <c r="F18735">
        <v>0.2</v>
      </c>
    </row>
    <row r="18736" spans="1:6" x14ac:dyDescent="0.25">
      <c r="A18736">
        <v>18735</v>
      </c>
      <c r="B18736" t="s">
        <v>0</v>
      </c>
      <c r="C18736">
        <v>176</v>
      </c>
      <c r="D18736">
        <v>3514</v>
      </c>
      <c r="E18736">
        <v>80850058</v>
      </c>
    </row>
    <row r="18737" spans="1:6" x14ac:dyDescent="0.25">
      <c r="A18737">
        <v>18736</v>
      </c>
      <c r="B18737">
        <v>44</v>
      </c>
      <c r="C18737">
        <v>0</v>
      </c>
      <c r="D18737">
        <v>0</v>
      </c>
      <c r="E18737">
        <v>0</v>
      </c>
      <c r="F18737">
        <v>49.563000000000002</v>
      </c>
    </row>
    <row r="18738" spans="1:6" x14ac:dyDescent="0.25">
      <c r="A18738">
        <v>18737</v>
      </c>
      <c r="B18738" t="s">
        <v>0</v>
      </c>
      <c r="C18738">
        <v>177</v>
      </c>
      <c r="D18738">
        <v>3514</v>
      </c>
      <c r="E18738">
        <v>80850190</v>
      </c>
    </row>
    <row r="18739" spans="1:6" x14ac:dyDescent="0.25">
      <c r="A18739">
        <v>18738</v>
      </c>
      <c r="B18739">
        <v>46</v>
      </c>
      <c r="C18739">
        <v>0</v>
      </c>
      <c r="D18739">
        <v>0</v>
      </c>
      <c r="E18739">
        <v>0</v>
      </c>
      <c r="F18739">
        <v>0</v>
      </c>
    </row>
    <row r="18740" spans="1:6" x14ac:dyDescent="0.25">
      <c r="A18740">
        <v>18739</v>
      </c>
      <c r="B18740" t="s">
        <v>0</v>
      </c>
      <c r="C18740">
        <v>178</v>
      </c>
      <c r="D18740">
        <v>3514</v>
      </c>
      <c r="E18740">
        <v>80850323</v>
      </c>
    </row>
    <row r="18741" spans="1:6" x14ac:dyDescent="0.25">
      <c r="A18741">
        <v>18740</v>
      </c>
      <c r="B18741">
        <v>10</v>
      </c>
      <c r="C18741">
        <v>1</v>
      </c>
      <c r="D18741">
        <v>0</v>
      </c>
      <c r="E18741">
        <v>0</v>
      </c>
      <c r="F18741">
        <v>5267</v>
      </c>
    </row>
    <row r="18742" spans="1:6" x14ac:dyDescent="0.25">
      <c r="A18742">
        <v>18741</v>
      </c>
      <c r="B18742">
        <v>13</v>
      </c>
      <c r="C18742">
        <v>0</v>
      </c>
      <c r="D18742">
        <v>0</v>
      </c>
      <c r="E18742">
        <v>0</v>
      </c>
      <c r="F18742">
        <v>1618</v>
      </c>
    </row>
    <row r="18743" spans="1:6" x14ac:dyDescent="0.25">
      <c r="A18743">
        <v>18742</v>
      </c>
      <c r="B18743">
        <v>41</v>
      </c>
      <c r="C18743">
        <v>0</v>
      </c>
      <c r="D18743">
        <v>0</v>
      </c>
      <c r="E18743">
        <v>0</v>
      </c>
      <c r="F18743">
        <v>1</v>
      </c>
    </row>
    <row r="18744" spans="1:6" x14ac:dyDescent="0.25">
      <c r="A18744">
        <v>18743</v>
      </c>
      <c r="B18744" t="s">
        <v>0</v>
      </c>
      <c r="C18744">
        <v>0</v>
      </c>
      <c r="D18744">
        <v>3515</v>
      </c>
      <c r="E18744">
        <v>80850589</v>
      </c>
    </row>
    <row r="18745" spans="1:6" x14ac:dyDescent="0.25">
      <c r="A18745">
        <v>18744</v>
      </c>
      <c r="B18745">
        <v>43</v>
      </c>
      <c r="C18745">
        <v>0</v>
      </c>
      <c r="D18745">
        <v>0</v>
      </c>
      <c r="E18745">
        <v>0</v>
      </c>
      <c r="F18745">
        <v>0</v>
      </c>
    </row>
    <row r="18746" spans="1:6" x14ac:dyDescent="0.25">
      <c r="A18746">
        <v>18745</v>
      </c>
      <c r="B18746" t="s">
        <v>0</v>
      </c>
      <c r="C18746">
        <v>1</v>
      </c>
      <c r="D18746">
        <v>3515</v>
      </c>
      <c r="E18746">
        <v>80850722</v>
      </c>
    </row>
    <row r="18747" spans="1:6" x14ac:dyDescent="0.25">
      <c r="A18747">
        <v>18746</v>
      </c>
      <c r="B18747">
        <v>45</v>
      </c>
      <c r="C18747">
        <v>0</v>
      </c>
      <c r="D18747">
        <v>0</v>
      </c>
      <c r="E18747">
        <v>0</v>
      </c>
      <c r="F18747">
        <v>540.32299999999998</v>
      </c>
    </row>
    <row r="18748" spans="1:6" x14ac:dyDescent="0.25">
      <c r="A18748">
        <v>18747</v>
      </c>
      <c r="B18748" t="s">
        <v>0</v>
      </c>
      <c r="C18748">
        <v>2</v>
      </c>
      <c r="D18748">
        <v>3515</v>
      </c>
      <c r="E18748">
        <v>80850855</v>
      </c>
    </row>
    <row r="18749" spans="1:6" x14ac:dyDescent="0.25">
      <c r="A18749">
        <v>18748</v>
      </c>
      <c r="B18749">
        <v>2</v>
      </c>
      <c r="C18749">
        <v>0</v>
      </c>
      <c r="D18749">
        <v>0</v>
      </c>
      <c r="E18749">
        <v>0</v>
      </c>
      <c r="F18749">
        <v>250.44399999999999</v>
      </c>
    </row>
    <row r="18750" spans="1:6" x14ac:dyDescent="0.25">
      <c r="A18750">
        <v>18749</v>
      </c>
      <c r="B18750" t="s">
        <v>0</v>
      </c>
      <c r="C18750">
        <v>3</v>
      </c>
      <c r="D18750">
        <v>3515</v>
      </c>
      <c r="E18750">
        <v>80850987</v>
      </c>
    </row>
    <row r="18751" spans="1:6" x14ac:dyDescent="0.25">
      <c r="A18751">
        <v>18750</v>
      </c>
      <c r="B18751">
        <v>13</v>
      </c>
      <c r="C18751">
        <v>0</v>
      </c>
      <c r="D18751">
        <v>0</v>
      </c>
      <c r="E18751">
        <v>0</v>
      </c>
      <c r="F18751">
        <v>1618</v>
      </c>
    </row>
    <row r="18752" spans="1:6" x14ac:dyDescent="0.25">
      <c r="A18752">
        <v>18751</v>
      </c>
      <c r="B18752" t="s">
        <v>0</v>
      </c>
      <c r="C18752">
        <v>4</v>
      </c>
      <c r="D18752">
        <v>3515</v>
      </c>
      <c r="E18752">
        <v>80851119</v>
      </c>
    </row>
    <row r="18753" spans="1:6" x14ac:dyDescent="0.25">
      <c r="A18753">
        <v>18752</v>
      </c>
      <c r="B18753">
        <v>42</v>
      </c>
      <c r="C18753">
        <v>0</v>
      </c>
      <c r="D18753">
        <v>0</v>
      </c>
      <c r="E18753">
        <v>0</v>
      </c>
      <c r="F18753">
        <v>0.2</v>
      </c>
    </row>
    <row r="18754" spans="1:6" x14ac:dyDescent="0.25">
      <c r="A18754">
        <v>18753</v>
      </c>
      <c r="B18754" t="s">
        <v>0</v>
      </c>
      <c r="C18754">
        <v>5</v>
      </c>
      <c r="D18754">
        <v>3515</v>
      </c>
      <c r="E18754">
        <v>80851251</v>
      </c>
    </row>
    <row r="18755" spans="1:6" x14ac:dyDescent="0.25">
      <c r="A18755">
        <v>18754</v>
      </c>
      <c r="B18755">
        <v>44</v>
      </c>
      <c r="C18755">
        <v>0</v>
      </c>
      <c r="D18755">
        <v>0</v>
      </c>
      <c r="E18755">
        <v>0</v>
      </c>
      <c r="F18755">
        <v>49.549700000000001</v>
      </c>
    </row>
    <row r="18756" spans="1:6" x14ac:dyDescent="0.25">
      <c r="A18756">
        <v>18755</v>
      </c>
      <c r="B18756" t="s">
        <v>0</v>
      </c>
      <c r="C18756">
        <v>6</v>
      </c>
      <c r="D18756">
        <v>3515</v>
      </c>
      <c r="E18756">
        <v>80851384</v>
      </c>
    </row>
    <row r="18757" spans="1:6" x14ac:dyDescent="0.25">
      <c r="A18757">
        <v>18756</v>
      </c>
      <c r="B18757">
        <v>46</v>
      </c>
      <c r="C18757">
        <v>0</v>
      </c>
      <c r="D18757">
        <v>0</v>
      </c>
      <c r="E18757">
        <v>0</v>
      </c>
      <c r="F18757">
        <v>0</v>
      </c>
    </row>
    <row r="18758" spans="1:6" x14ac:dyDescent="0.25">
      <c r="A18758">
        <v>18757</v>
      </c>
      <c r="B18758" t="s">
        <v>0</v>
      </c>
      <c r="C18758">
        <v>7</v>
      </c>
      <c r="D18758">
        <v>3515</v>
      </c>
      <c r="E18758">
        <v>80851517</v>
      </c>
    </row>
    <row r="18759" spans="1:6" x14ac:dyDescent="0.25">
      <c r="A18759">
        <v>18758</v>
      </c>
      <c r="B18759">
        <v>10</v>
      </c>
      <c r="C18759">
        <v>1</v>
      </c>
      <c r="D18759">
        <v>0</v>
      </c>
      <c r="E18759">
        <v>0</v>
      </c>
      <c r="F18759">
        <v>5267</v>
      </c>
    </row>
    <row r="18760" spans="1:6" x14ac:dyDescent="0.25">
      <c r="A18760">
        <v>18759</v>
      </c>
      <c r="B18760" t="s">
        <v>0</v>
      </c>
      <c r="C18760">
        <v>8</v>
      </c>
      <c r="D18760">
        <v>3515</v>
      </c>
      <c r="E18760">
        <v>80851650</v>
      </c>
    </row>
    <row r="18761" spans="1:6" x14ac:dyDescent="0.25">
      <c r="A18761">
        <v>18760</v>
      </c>
      <c r="B18761">
        <v>41</v>
      </c>
      <c r="C18761">
        <v>0</v>
      </c>
      <c r="D18761">
        <v>0</v>
      </c>
      <c r="E18761">
        <v>0</v>
      </c>
      <c r="F18761">
        <v>1</v>
      </c>
    </row>
    <row r="18762" spans="1:6" x14ac:dyDescent="0.25">
      <c r="A18762">
        <v>18761</v>
      </c>
      <c r="B18762" t="s">
        <v>0</v>
      </c>
      <c r="C18762">
        <v>9</v>
      </c>
      <c r="D18762">
        <v>3515</v>
      </c>
      <c r="E18762">
        <v>80851783</v>
      </c>
    </row>
    <row r="18763" spans="1:6" x14ac:dyDescent="0.25">
      <c r="A18763">
        <v>18762</v>
      </c>
      <c r="B18763">
        <v>43</v>
      </c>
      <c r="C18763">
        <v>0</v>
      </c>
      <c r="D18763">
        <v>0</v>
      </c>
      <c r="E18763">
        <v>0</v>
      </c>
      <c r="F18763">
        <v>0</v>
      </c>
    </row>
    <row r="18764" spans="1:6" x14ac:dyDescent="0.25">
      <c r="A18764">
        <v>18763</v>
      </c>
      <c r="B18764" t="s">
        <v>0</v>
      </c>
      <c r="C18764">
        <v>10</v>
      </c>
      <c r="D18764">
        <v>3515</v>
      </c>
      <c r="E18764">
        <v>80851915</v>
      </c>
    </row>
    <row r="18765" spans="1:6" x14ac:dyDescent="0.25">
      <c r="A18765">
        <v>18764</v>
      </c>
      <c r="B18765">
        <v>45</v>
      </c>
      <c r="C18765">
        <v>0</v>
      </c>
      <c r="D18765">
        <v>0</v>
      </c>
      <c r="E18765">
        <v>0</v>
      </c>
      <c r="F18765">
        <v>540.44100000000003</v>
      </c>
    </row>
    <row r="18766" spans="1:6" x14ac:dyDescent="0.25">
      <c r="A18766">
        <v>18765</v>
      </c>
      <c r="B18766" t="s">
        <v>0</v>
      </c>
      <c r="C18766">
        <v>11</v>
      </c>
      <c r="D18766">
        <v>3515</v>
      </c>
      <c r="E18766">
        <v>80852047</v>
      </c>
    </row>
    <row r="18767" spans="1:6" x14ac:dyDescent="0.25">
      <c r="A18767">
        <v>18766</v>
      </c>
      <c r="B18767">
        <v>2</v>
      </c>
      <c r="C18767">
        <v>0</v>
      </c>
      <c r="D18767">
        <v>0</v>
      </c>
      <c r="E18767">
        <v>0</v>
      </c>
      <c r="F18767">
        <v>250.46</v>
      </c>
    </row>
    <row r="18768" spans="1:6" x14ac:dyDescent="0.25">
      <c r="A18768">
        <v>18767</v>
      </c>
      <c r="B18768" t="s">
        <v>0</v>
      </c>
      <c r="C18768">
        <v>12</v>
      </c>
      <c r="D18768">
        <v>3515</v>
      </c>
      <c r="E18768">
        <v>80852179</v>
      </c>
    </row>
    <row r="18769" spans="1:6" x14ac:dyDescent="0.25">
      <c r="A18769">
        <v>18768</v>
      </c>
      <c r="B18769">
        <v>13</v>
      </c>
      <c r="C18769">
        <v>0</v>
      </c>
      <c r="D18769">
        <v>0</v>
      </c>
      <c r="E18769">
        <v>0</v>
      </c>
      <c r="F18769">
        <v>1618</v>
      </c>
    </row>
    <row r="18770" spans="1:6" x14ac:dyDescent="0.25">
      <c r="A18770">
        <v>18769</v>
      </c>
      <c r="B18770" t="s">
        <v>0</v>
      </c>
      <c r="C18770">
        <v>13</v>
      </c>
      <c r="D18770">
        <v>3515</v>
      </c>
      <c r="E18770">
        <v>80852312</v>
      </c>
    </row>
    <row r="18771" spans="1:6" x14ac:dyDescent="0.25">
      <c r="A18771">
        <v>18770</v>
      </c>
      <c r="B18771">
        <v>42</v>
      </c>
      <c r="C18771">
        <v>0</v>
      </c>
      <c r="D18771">
        <v>0</v>
      </c>
      <c r="E18771">
        <v>0</v>
      </c>
      <c r="F18771">
        <v>0.2</v>
      </c>
    </row>
    <row r="18772" spans="1:6" x14ac:dyDescent="0.25">
      <c r="A18772">
        <v>18771</v>
      </c>
      <c r="B18772" t="s">
        <v>0</v>
      </c>
      <c r="C18772">
        <v>14</v>
      </c>
      <c r="D18772">
        <v>3515</v>
      </c>
      <c r="E18772">
        <v>80852445</v>
      </c>
    </row>
    <row r="18773" spans="1:6" x14ac:dyDescent="0.25">
      <c r="A18773">
        <v>18772</v>
      </c>
      <c r="B18773">
        <v>44</v>
      </c>
      <c r="C18773">
        <v>0</v>
      </c>
      <c r="D18773">
        <v>0</v>
      </c>
      <c r="E18773">
        <v>0</v>
      </c>
      <c r="F18773">
        <v>49.536000000000001</v>
      </c>
    </row>
    <row r="18774" spans="1:6" x14ac:dyDescent="0.25">
      <c r="A18774">
        <v>18773</v>
      </c>
      <c r="B18774" t="s">
        <v>0</v>
      </c>
      <c r="C18774">
        <v>15</v>
      </c>
      <c r="D18774">
        <v>3515</v>
      </c>
      <c r="E18774">
        <v>80852578</v>
      </c>
    </row>
    <row r="18775" spans="1:6" x14ac:dyDescent="0.25">
      <c r="A18775">
        <v>18774</v>
      </c>
      <c r="B18775">
        <v>46</v>
      </c>
      <c r="C18775">
        <v>0</v>
      </c>
      <c r="D18775">
        <v>0</v>
      </c>
      <c r="E18775">
        <v>0</v>
      </c>
      <c r="F18775">
        <v>0</v>
      </c>
    </row>
    <row r="18776" spans="1:6" x14ac:dyDescent="0.25">
      <c r="A18776">
        <v>18775</v>
      </c>
      <c r="B18776" t="s">
        <v>0</v>
      </c>
      <c r="C18776">
        <v>16</v>
      </c>
      <c r="D18776">
        <v>3515</v>
      </c>
      <c r="E18776">
        <v>80852711</v>
      </c>
    </row>
    <row r="18777" spans="1:6" x14ac:dyDescent="0.25">
      <c r="A18777">
        <v>18776</v>
      </c>
      <c r="B18777">
        <v>10</v>
      </c>
      <c r="C18777">
        <v>1</v>
      </c>
      <c r="D18777">
        <v>0</v>
      </c>
      <c r="E18777">
        <v>0</v>
      </c>
      <c r="F18777">
        <v>5268</v>
      </c>
    </row>
    <row r="18778" spans="1:6" x14ac:dyDescent="0.25">
      <c r="A18778">
        <v>18777</v>
      </c>
      <c r="B18778" t="s">
        <v>0</v>
      </c>
      <c r="C18778">
        <v>17</v>
      </c>
      <c r="D18778">
        <v>3515</v>
      </c>
      <c r="E18778">
        <v>80852843</v>
      </c>
    </row>
    <row r="18779" spans="1:6" x14ac:dyDescent="0.25">
      <c r="A18779">
        <v>18778</v>
      </c>
      <c r="B18779">
        <v>41</v>
      </c>
      <c r="C18779">
        <v>0</v>
      </c>
      <c r="D18779">
        <v>0</v>
      </c>
      <c r="E18779">
        <v>0</v>
      </c>
      <c r="F18779">
        <v>1</v>
      </c>
    </row>
    <row r="18780" spans="1:6" x14ac:dyDescent="0.25">
      <c r="A18780">
        <v>18779</v>
      </c>
      <c r="B18780" t="s">
        <v>0</v>
      </c>
      <c r="C18780">
        <v>18</v>
      </c>
      <c r="D18780">
        <v>3515</v>
      </c>
      <c r="E18780">
        <v>80852975</v>
      </c>
    </row>
    <row r="18781" spans="1:6" x14ac:dyDescent="0.25">
      <c r="A18781">
        <v>18780</v>
      </c>
      <c r="B18781">
        <v>43</v>
      </c>
      <c r="C18781">
        <v>0</v>
      </c>
      <c r="D18781">
        <v>0</v>
      </c>
      <c r="E18781">
        <v>0</v>
      </c>
      <c r="F18781">
        <v>0</v>
      </c>
    </row>
    <row r="18782" spans="1:6" x14ac:dyDescent="0.25">
      <c r="A18782">
        <v>18781</v>
      </c>
      <c r="B18782" t="s">
        <v>0</v>
      </c>
      <c r="C18782">
        <v>19</v>
      </c>
      <c r="D18782">
        <v>3515</v>
      </c>
      <c r="E18782">
        <v>80853107</v>
      </c>
    </row>
    <row r="18783" spans="1:6" x14ac:dyDescent="0.25">
      <c r="A18783">
        <v>18782</v>
      </c>
      <c r="B18783">
        <v>45</v>
      </c>
      <c r="C18783">
        <v>0</v>
      </c>
      <c r="D18783">
        <v>0</v>
      </c>
      <c r="E18783">
        <v>0</v>
      </c>
      <c r="F18783">
        <v>540.55999999999995</v>
      </c>
    </row>
    <row r="18784" spans="1:6" x14ac:dyDescent="0.25">
      <c r="A18784">
        <v>18783</v>
      </c>
      <c r="B18784" t="s">
        <v>0</v>
      </c>
      <c r="C18784">
        <v>20</v>
      </c>
      <c r="D18784">
        <v>3515</v>
      </c>
      <c r="E18784">
        <v>80853239</v>
      </c>
    </row>
    <row r="18785" spans="1:6" x14ac:dyDescent="0.25">
      <c r="A18785">
        <v>18784</v>
      </c>
      <c r="B18785">
        <v>2</v>
      </c>
      <c r="C18785">
        <v>0</v>
      </c>
      <c r="D18785">
        <v>0</v>
      </c>
      <c r="E18785">
        <v>0</v>
      </c>
      <c r="F18785">
        <v>250.47</v>
      </c>
    </row>
    <row r="18786" spans="1:6" x14ac:dyDescent="0.25">
      <c r="A18786">
        <v>18785</v>
      </c>
      <c r="B18786" t="s">
        <v>0</v>
      </c>
      <c r="C18786">
        <v>21</v>
      </c>
      <c r="D18786">
        <v>3515</v>
      </c>
      <c r="E18786">
        <v>80853372</v>
      </c>
    </row>
    <row r="18787" spans="1:6" x14ac:dyDescent="0.25">
      <c r="A18787">
        <v>18786</v>
      </c>
      <c r="B18787">
        <v>13</v>
      </c>
      <c r="C18787">
        <v>0</v>
      </c>
      <c r="D18787">
        <v>0</v>
      </c>
      <c r="E18787">
        <v>0</v>
      </c>
      <c r="F18787">
        <v>1618</v>
      </c>
    </row>
    <row r="18788" spans="1:6" x14ac:dyDescent="0.25">
      <c r="A18788">
        <v>18787</v>
      </c>
      <c r="B18788" t="s">
        <v>0</v>
      </c>
      <c r="C18788">
        <v>22</v>
      </c>
      <c r="D18788">
        <v>3515</v>
      </c>
      <c r="E18788">
        <v>80853505</v>
      </c>
    </row>
    <row r="18789" spans="1:6" x14ac:dyDescent="0.25">
      <c r="A18789">
        <v>18788</v>
      </c>
      <c r="B18789">
        <v>42</v>
      </c>
      <c r="C18789">
        <v>0</v>
      </c>
      <c r="D18789">
        <v>0</v>
      </c>
      <c r="E18789">
        <v>0</v>
      </c>
      <c r="F18789">
        <v>0.2</v>
      </c>
    </row>
    <row r="18790" spans="1:6" x14ac:dyDescent="0.25">
      <c r="A18790">
        <v>18789</v>
      </c>
      <c r="B18790" t="s">
        <v>0</v>
      </c>
      <c r="C18790">
        <v>23</v>
      </c>
      <c r="D18790">
        <v>3515</v>
      </c>
      <c r="E18790">
        <v>80853638</v>
      </c>
    </row>
    <row r="18791" spans="1:6" x14ac:dyDescent="0.25">
      <c r="A18791">
        <v>18790</v>
      </c>
      <c r="B18791">
        <v>44</v>
      </c>
      <c r="C18791">
        <v>0</v>
      </c>
      <c r="D18791">
        <v>0</v>
      </c>
      <c r="E18791">
        <v>0</v>
      </c>
      <c r="F18791">
        <v>49.5274</v>
      </c>
    </row>
    <row r="18792" spans="1:6" x14ac:dyDescent="0.25">
      <c r="A18792">
        <v>18791</v>
      </c>
      <c r="B18792" t="s">
        <v>0</v>
      </c>
      <c r="C18792">
        <v>24</v>
      </c>
      <c r="D18792">
        <v>3515</v>
      </c>
      <c r="E18792">
        <v>80853771</v>
      </c>
    </row>
    <row r="18793" spans="1:6" x14ac:dyDescent="0.25">
      <c r="A18793">
        <v>18792</v>
      </c>
      <c r="B18793">
        <v>46</v>
      </c>
      <c r="C18793">
        <v>0</v>
      </c>
      <c r="D18793">
        <v>0</v>
      </c>
      <c r="E18793">
        <v>0</v>
      </c>
      <c r="F18793">
        <v>0</v>
      </c>
    </row>
    <row r="18794" spans="1:6" x14ac:dyDescent="0.25">
      <c r="A18794">
        <v>18793</v>
      </c>
      <c r="B18794" t="s">
        <v>0</v>
      </c>
      <c r="C18794">
        <v>25</v>
      </c>
      <c r="D18794">
        <v>3515</v>
      </c>
      <c r="E18794">
        <v>80853903</v>
      </c>
    </row>
    <row r="18795" spans="1:6" x14ac:dyDescent="0.25">
      <c r="A18795">
        <v>18794</v>
      </c>
      <c r="B18795">
        <v>10</v>
      </c>
      <c r="C18795">
        <v>1</v>
      </c>
      <c r="D18795">
        <v>0</v>
      </c>
      <c r="E18795">
        <v>0</v>
      </c>
      <c r="F18795">
        <v>5268</v>
      </c>
    </row>
    <row r="18796" spans="1:6" x14ac:dyDescent="0.25">
      <c r="A18796">
        <v>18795</v>
      </c>
      <c r="B18796" t="s">
        <v>0</v>
      </c>
      <c r="C18796">
        <v>26</v>
      </c>
      <c r="D18796">
        <v>3515</v>
      </c>
      <c r="E18796">
        <v>80854036</v>
      </c>
    </row>
    <row r="18797" spans="1:6" x14ac:dyDescent="0.25">
      <c r="A18797">
        <v>18796</v>
      </c>
      <c r="B18797">
        <v>41</v>
      </c>
      <c r="C18797">
        <v>0</v>
      </c>
      <c r="D18797">
        <v>0</v>
      </c>
      <c r="E18797">
        <v>0</v>
      </c>
      <c r="F18797">
        <v>1</v>
      </c>
    </row>
    <row r="18798" spans="1:6" x14ac:dyDescent="0.25">
      <c r="A18798">
        <v>18797</v>
      </c>
      <c r="B18798" t="s">
        <v>0</v>
      </c>
      <c r="C18798">
        <v>27</v>
      </c>
      <c r="D18798">
        <v>3515</v>
      </c>
      <c r="E18798">
        <v>80854169</v>
      </c>
    </row>
    <row r="18799" spans="1:6" x14ac:dyDescent="0.25">
      <c r="A18799">
        <v>18798</v>
      </c>
      <c r="B18799">
        <v>43</v>
      </c>
      <c r="C18799">
        <v>0</v>
      </c>
      <c r="D18799">
        <v>0</v>
      </c>
      <c r="E18799">
        <v>0</v>
      </c>
      <c r="F18799">
        <v>0</v>
      </c>
    </row>
    <row r="18800" spans="1:6" x14ac:dyDescent="0.25">
      <c r="A18800">
        <v>18799</v>
      </c>
      <c r="B18800" t="s">
        <v>0</v>
      </c>
      <c r="C18800">
        <v>28</v>
      </c>
      <c r="D18800">
        <v>3515</v>
      </c>
      <c r="E18800">
        <v>80854302</v>
      </c>
    </row>
    <row r="18801" spans="1:6" x14ac:dyDescent="0.25">
      <c r="A18801">
        <v>18800</v>
      </c>
      <c r="B18801">
        <v>45</v>
      </c>
      <c r="C18801">
        <v>0</v>
      </c>
      <c r="D18801">
        <v>0</v>
      </c>
      <c r="E18801">
        <v>0</v>
      </c>
      <c r="F18801">
        <v>540.678</v>
      </c>
    </row>
    <row r="18802" spans="1:6" x14ac:dyDescent="0.25">
      <c r="A18802">
        <v>18801</v>
      </c>
      <c r="B18802" t="s">
        <v>0</v>
      </c>
      <c r="C18802">
        <v>29</v>
      </c>
      <c r="D18802">
        <v>3515</v>
      </c>
      <c r="E18802">
        <v>80854435</v>
      </c>
    </row>
    <row r="18803" spans="1:6" x14ac:dyDescent="0.25">
      <c r="A18803">
        <v>18802</v>
      </c>
      <c r="B18803">
        <v>2</v>
      </c>
      <c r="C18803">
        <v>0</v>
      </c>
      <c r="D18803">
        <v>0</v>
      </c>
      <c r="E18803">
        <v>0</v>
      </c>
      <c r="F18803">
        <v>250.56200000000001</v>
      </c>
    </row>
    <row r="18804" spans="1:6" x14ac:dyDescent="0.25">
      <c r="A18804">
        <v>18803</v>
      </c>
      <c r="B18804" t="s">
        <v>0</v>
      </c>
      <c r="C18804">
        <v>30</v>
      </c>
      <c r="D18804">
        <v>3515</v>
      </c>
      <c r="E18804">
        <v>80854568</v>
      </c>
    </row>
    <row r="18805" spans="1:6" x14ac:dyDescent="0.25">
      <c r="A18805">
        <v>18804</v>
      </c>
      <c r="B18805">
        <v>13</v>
      </c>
      <c r="C18805">
        <v>0</v>
      </c>
      <c r="D18805">
        <v>0</v>
      </c>
      <c r="E18805">
        <v>0</v>
      </c>
      <c r="F18805">
        <v>1618</v>
      </c>
    </row>
    <row r="18806" spans="1:6" x14ac:dyDescent="0.25">
      <c r="A18806">
        <v>18805</v>
      </c>
      <c r="B18806" t="s">
        <v>0</v>
      </c>
      <c r="C18806">
        <v>31</v>
      </c>
      <c r="D18806">
        <v>3515</v>
      </c>
      <c r="E18806">
        <v>80854701</v>
      </c>
    </row>
    <row r="18807" spans="1:6" x14ac:dyDescent="0.25">
      <c r="A18807">
        <v>18806</v>
      </c>
      <c r="B18807">
        <v>42</v>
      </c>
      <c r="C18807">
        <v>0</v>
      </c>
      <c r="D18807">
        <v>0</v>
      </c>
      <c r="E18807">
        <v>0</v>
      </c>
      <c r="F18807">
        <v>0.2</v>
      </c>
    </row>
    <row r="18808" spans="1:6" x14ac:dyDescent="0.25">
      <c r="A18808">
        <v>18807</v>
      </c>
      <c r="B18808" t="s">
        <v>0</v>
      </c>
      <c r="C18808">
        <v>32</v>
      </c>
      <c r="D18808">
        <v>3515</v>
      </c>
      <c r="E18808">
        <v>80854833</v>
      </c>
    </row>
    <row r="18809" spans="1:6" x14ac:dyDescent="0.25">
      <c r="A18809">
        <v>18808</v>
      </c>
      <c r="B18809">
        <v>44</v>
      </c>
      <c r="C18809">
        <v>0</v>
      </c>
      <c r="D18809">
        <v>0</v>
      </c>
      <c r="E18809">
        <v>0</v>
      </c>
      <c r="F18809">
        <v>49.3949</v>
      </c>
    </row>
    <row r="18810" spans="1:6" x14ac:dyDescent="0.25">
      <c r="A18810">
        <v>18809</v>
      </c>
      <c r="B18810" t="s">
        <v>0</v>
      </c>
      <c r="C18810">
        <v>33</v>
      </c>
      <c r="D18810">
        <v>3515</v>
      </c>
      <c r="E18810">
        <v>80854965</v>
      </c>
    </row>
    <row r="18811" spans="1:6" x14ac:dyDescent="0.25">
      <c r="A18811">
        <v>18810</v>
      </c>
      <c r="B18811">
        <v>46</v>
      </c>
      <c r="C18811">
        <v>0</v>
      </c>
      <c r="D18811">
        <v>0</v>
      </c>
      <c r="E18811">
        <v>0</v>
      </c>
      <c r="F18811">
        <v>0</v>
      </c>
    </row>
    <row r="18812" spans="1:6" x14ac:dyDescent="0.25">
      <c r="A18812">
        <v>18811</v>
      </c>
      <c r="B18812" t="s">
        <v>0</v>
      </c>
      <c r="C18812">
        <v>34</v>
      </c>
      <c r="D18812">
        <v>3515</v>
      </c>
      <c r="E18812">
        <v>80855097</v>
      </c>
    </row>
    <row r="18813" spans="1:6" x14ac:dyDescent="0.25">
      <c r="A18813">
        <v>18812</v>
      </c>
      <c r="B18813">
        <v>10</v>
      </c>
      <c r="C18813">
        <v>1</v>
      </c>
      <c r="D18813">
        <v>0</v>
      </c>
      <c r="E18813">
        <v>0</v>
      </c>
      <c r="F18813">
        <v>5265</v>
      </c>
    </row>
    <row r="18814" spans="1:6" x14ac:dyDescent="0.25">
      <c r="A18814">
        <v>18813</v>
      </c>
      <c r="B18814" t="s">
        <v>0</v>
      </c>
      <c r="C18814">
        <v>35</v>
      </c>
      <c r="D18814">
        <v>3515</v>
      </c>
      <c r="E18814">
        <v>80855229</v>
      </c>
    </row>
    <row r="18815" spans="1:6" x14ac:dyDescent="0.25">
      <c r="A18815">
        <v>18814</v>
      </c>
      <c r="B18815">
        <v>41</v>
      </c>
      <c r="C18815">
        <v>0</v>
      </c>
      <c r="D18815">
        <v>0</v>
      </c>
      <c r="E18815">
        <v>0</v>
      </c>
      <c r="F18815">
        <v>1</v>
      </c>
    </row>
    <row r="18816" spans="1:6" x14ac:dyDescent="0.25">
      <c r="A18816">
        <v>18815</v>
      </c>
      <c r="B18816" t="s">
        <v>0</v>
      </c>
      <c r="C18816">
        <v>36</v>
      </c>
      <c r="D18816">
        <v>3515</v>
      </c>
      <c r="E18816">
        <v>80855361</v>
      </c>
    </row>
    <row r="18817" spans="1:6" x14ac:dyDescent="0.25">
      <c r="A18817">
        <v>18816</v>
      </c>
      <c r="B18817">
        <v>43</v>
      </c>
      <c r="C18817">
        <v>0</v>
      </c>
      <c r="D18817">
        <v>0</v>
      </c>
      <c r="E18817">
        <v>0</v>
      </c>
      <c r="F18817">
        <v>0</v>
      </c>
    </row>
    <row r="18818" spans="1:6" x14ac:dyDescent="0.25">
      <c r="A18818">
        <v>18817</v>
      </c>
      <c r="B18818" t="s">
        <v>0</v>
      </c>
      <c r="C18818">
        <v>37</v>
      </c>
      <c r="D18818">
        <v>3515</v>
      </c>
      <c r="E18818">
        <v>80855493</v>
      </c>
    </row>
    <row r="18819" spans="1:6" x14ac:dyDescent="0.25">
      <c r="A18819">
        <v>18818</v>
      </c>
      <c r="B18819">
        <v>45</v>
      </c>
      <c r="C18819">
        <v>0</v>
      </c>
      <c r="D18819">
        <v>0</v>
      </c>
      <c r="E18819">
        <v>0</v>
      </c>
      <c r="F18819">
        <v>540.79600000000005</v>
      </c>
    </row>
    <row r="18820" spans="1:6" x14ac:dyDescent="0.25">
      <c r="A18820">
        <v>18819</v>
      </c>
      <c r="B18820" t="s">
        <v>0</v>
      </c>
      <c r="C18820">
        <v>38</v>
      </c>
      <c r="D18820">
        <v>3515</v>
      </c>
      <c r="E18820">
        <v>80855625</v>
      </c>
    </row>
    <row r="18821" spans="1:6" x14ac:dyDescent="0.25">
      <c r="A18821">
        <v>18820</v>
      </c>
      <c r="B18821">
        <v>2</v>
      </c>
      <c r="C18821">
        <v>0</v>
      </c>
      <c r="D18821">
        <v>0</v>
      </c>
      <c r="E18821">
        <v>0</v>
      </c>
      <c r="F18821">
        <v>250.67400000000001</v>
      </c>
    </row>
    <row r="18822" spans="1:6" x14ac:dyDescent="0.25">
      <c r="A18822">
        <v>18821</v>
      </c>
      <c r="B18822" t="s">
        <v>0</v>
      </c>
      <c r="C18822">
        <v>39</v>
      </c>
      <c r="D18822">
        <v>3515</v>
      </c>
      <c r="E18822">
        <v>80855757</v>
      </c>
    </row>
    <row r="18823" spans="1:6" x14ac:dyDescent="0.25">
      <c r="A18823">
        <v>18822</v>
      </c>
      <c r="B18823">
        <v>13</v>
      </c>
      <c r="C18823">
        <v>0</v>
      </c>
      <c r="D18823">
        <v>0</v>
      </c>
      <c r="E18823">
        <v>0</v>
      </c>
      <c r="F18823">
        <v>1618</v>
      </c>
    </row>
    <row r="18824" spans="1:6" x14ac:dyDescent="0.25">
      <c r="A18824">
        <v>18823</v>
      </c>
      <c r="B18824" t="s">
        <v>0</v>
      </c>
      <c r="C18824">
        <v>40</v>
      </c>
      <c r="D18824">
        <v>3515</v>
      </c>
      <c r="E18824">
        <v>80855889</v>
      </c>
    </row>
    <row r="18825" spans="1:6" x14ac:dyDescent="0.25">
      <c r="A18825">
        <v>18824</v>
      </c>
      <c r="B18825">
        <v>42</v>
      </c>
      <c r="C18825">
        <v>0</v>
      </c>
      <c r="D18825">
        <v>0</v>
      </c>
      <c r="E18825">
        <v>0</v>
      </c>
      <c r="F18825">
        <v>0.2</v>
      </c>
    </row>
    <row r="18826" spans="1:6" x14ac:dyDescent="0.25">
      <c r="A18826">
        <v>18825</v>
      </c>
      <c r="B18826" t="s">
        <v>0</v>
      </c>
      <c r="C18826">
        <v>41</v>
      </c>
      <c r="D18826">
        <v>3515</v>
      </c>
      <c r="E18826">
        <v>80856022</v>
      </c>
    </row>
    <row r="18827" spans="1:6" x14ac:dyDescent="0.25">
      <c r="A18827">
        <v>18826</v>
      </c>
      <c r="B18827">
        <v>44</v>
      </c>
      <c r="C18827">
        <v>0</v>
      </c>
      <c r="D18827">
        <v>0</v>
      </c>
      <c r="E18827">
        <v>0</v>
      </c>
      <c r="F18827">
        <v>49.298900000000003</v>
      </c>
    </row>
    <row r="18828" spans="1:6" x14ac:dyDescent="0.25">
      <c r="A18828">
        <v>18827</v>
      </c>
      <c r="B18828" t="s">
        <v>0</v>
      </c>
      <c r="C18828">
        <v>42</v>
      </c>
      <c r="D18828">
        <v>3515</v>
      </c>
      <c r="E18828">
        <v>80856155</v>
      </c>
    </row>
    <row r="18829" spans="1:6" x14ac:dyDescent="0.25">
      <c r="A18829">
        <v>18828</v>
      </c>
      <c r="B18829">
        <v>46</v>
      </c>
      <c r="C18829">
        <v>0</v>
      </c>
      <c r="D18829">
        <v>0</v>
      </c>
      <c r="E18829">
        <v>0</v>
      </c>
      <c r="F18829">
        <v>0</v>
      </c>
    </row>
    <row r="18830" spans="1:6" x14ac:dyDescent="0.25">
      <c r="A18830">
        <v>18829</v>
      </c>
      <c r="B18830" t="s">
        <v>0</v>
      </c>
      <c r="C18830">
        <v>43</v>
      </c>
      <c r="D18830">
        <v>3515</v>
      </c>
      <c r="E18830">
        <v>80856288</v>
      </c>
    </row>
    <row r="18831" spans="1:6" x14ac:dyDescent="0.25">
      <c r="A18831">
        <v>18830</v>
      </c>
      <c r="B18831">
        <v>10</v>
      </c>
      <c r="C18831">
        <v>1</v>
      </c>
      <c r="D18831">
        <v>0</v>
      </c>
      <c r="E18831">
        <v>0</v>
      </c>
      <c r="F18831">
        <v>5263</v>
      </c>
    </row>
    <row r="18832" spans="1:6" x14ac:dyDescent="0.25">
      <c r="A18832">
        <v>18831</v>
      </c>
      <c r="B18832" t="s">
        <v>0</v>
      </c>
      <c r="C18832">
        <v>44</v>
      </c>
      <c r="D18832">
        <v>3515</v>
      </c>
      <c r="E18832">
        <v>80856421</v>
      </c>
    </row>
    <row r="18833" spans="1:6" x14ac:dyDescent="0.25">
      <c r="A18833">
        <v>18832</v>
      </c>
      <c r="B18833">
        <v>41</v>
      </c>
      <c r="C18833">
        <v>0</v>
      </c>
      <c r="D18833">
        <v>0</v>
      </c>
      <c r="E18833">
        <v>0</v>
      </c>
      <c r="F18833">
        <v>1</v>
      </c>
    </row>
    <row r="18834" spans="1:6" x14ac:dyDescent="0.25">
      <c r="A18834">
        <v>18833</v>
      </c>
      <c r="B18834" t="s">
        <v>0</v>
      </c>
      <c r="C18834">
        <v>45</v>
      </c>
      <c r="D18834">
        <v>3515</v>
      </c>
      <c r="E18834">
        <v>80856554</v>
      </c>
    </row>
    <row r="18835" spans="1:6" x14ac:dyDescent="0.25">
      <c r="A18835">
        <v>18834</v>
      </c>
      <c r="B18835">
        <v>43</v>
      </c>
      <c r="C18835">
        <v>0</v>
      </c>
      <c r="D18835">
        <v>0</v>
      </c>
      <c r="E18835">
        <v>0</v>
      </c>
      <c r="F18835">
        <v>0</v>
      </c>
    </row>
    <row r="18836" spans="1:6" x14ac:dyDescent="0.25">
      <c r="A18836">
        <v>18835</v>
      </c>
      <c r="B18836" t="s">
        <v>0</v>
      </c>
      <c r="C18836">
        <v>46</v>
      </c>
      <c r="D18836">
        <v>3515</v>
      </c>
      <c r="E18836">
        <v>80856686</v>
      </c>
    </row>
    <row r="18837" spans="1:6" x14ac:dyDescent="0.25">
      <c r="A18837">
        <v>18836</v>
      </c>
      <c r="B18837">
        <v>45</v>
      </c>
      <c r="C18837">
        <v>0</v>
      </c>
      <c r="D18837">
        <v>0</v>
      </c>
      <c r="E18837">
        <v>0</v>
      </c>
      <c r="F18837">
        <v>540.91399999999999</v>
      </c>
    </row>
    <row r="18838" spans="1:6" x14ac:dyDescent="0.25">
      <c r="A18838">
        <v>18837</v>
      </c>
      <c r="B18838" t="s">
        <v>0</v>
      </c>
      <c r="C18838">
        <v>47</v>
      </c>
      <c r="D18838">
        <v>3515</v>
      </c>
      <c r="E18838">
        <v>80856818</v>
      </c>
    </row>
    <row r="18839" spans="1:6" x14ac:dyDescent="0.25">
      <c r="A18839">
        <v>18838</v>
      </c>
      <c r="B18839">
        <v>2</v>
      </c>
      <c r="C18839">
        <v>0</v>
      </c>
      <c r="D18839">
        <v>0</v>
      </c>
      <c r="E18839">
        <v>0</v>
      </c>
      <c r="F18839">
        <v>250.745</v>
      </c>
    </row>
    <row r="18840" spans="1:6" x14ac:dyDescent="0.25">
      <c r="A18840">
        <v>18839</v>
      </c>
      <c r="B18840" t="s">
        <v>0</v>
      </c>
      <c r="C18840">
        <v>48</v>
      </c>
      <c r="D18840">
        <v>3515</v>
      </c>
      <c r="E18840">
        <v>80856950</v>
      </c>
    </row>
    <row r="18841" spans="1:6" x14ac:dyDescent="0.25">
      <c r="A18841">
        <v>18840</v>
      </c>
      <c r="B18841">
        <v>13</v>
      </c>
      <c r="C18841">
        <v>0</v>
      </c>
      <c r="D18841">
        <v>0</v>
      </c>
      <c r="E18841">
        <v>0</v>
      </c>
      <c r="F18841">
        <v>1618</v>
      </c>
    </row>
    <row r="18842" spans="1:6" x14ac:dyDescent="0.25">
      <c r="A18842">
        <v>18841</v>
      </c>
      <c r="B18842" t="s">
        <v>0</v>
      </c>
      <c r="C18842">
        <v>49</v>
      </c>
      <c r="D18842">
        <v>3515</v>
      </c>
      <c r="E18842">
        <v>80857082</v>
      </c>
    </row>
    <row r="18843" spans="1:6" x14ac:dyDescent="0.25">
      <c r="A18843">
        <v>18842</v>
      </c>
      <c r="B18843">
        <v>42</v>
      </c>
      <c r="C18843">
        <v>0</v>
      </c>
      <c r="D18843">
        <v>0</v>
      </c>
      <c r="E18843">
        <v>0</v>
      </c>
      <c r="F18843">
        <v>0.2</v>
      </c>
    </row>
    <row r="18844" spans="1:6" x14ac:dyDescent="0.25">
      <c r="A18844">
        <v>18843</v>
      </c>
      <c r="B18844" t="s">
        <v>0</v>
      </c>
      <c r="C18844">
        <v>50</v>
      </c>
      <c r="D18844">
        <v>3515</v>
      </c>
      <c r="E18844">
        <v>80857214</v>
      </c>
    </row>
    <row r="18845" spans="1:6" x14ac:dyDescent="0.25">
      <c r="A18845">
        <v>18844</v>
      </c>
      <c r="B18845">
        <v>44</v>
      </c>
      <c r="C18845">
        <v>0</v>
      </c>
      <c r="D18845">
        <v>0</v>
      </c>
      <c r="E18845">
        <v>0</v>
      </c>
      <c r="F18845">
        <v>49.238100000000003</v>
      </c>
    </row>
    <row r="18846" spans="1:6" x14ac:dyDescent="0.25">
      <c r="A18846">
        <v>18845</v>
      </c>
      <c r="B18846" t="s">
        <v>0</v>
      </c>
      <c r="C18846">
        <v>51</v>
      </c>
      <c r="D18846">
        <v>3515</v>
      </c>
      <c r="E18846">
        <v>80857346</v>
      </c>
    </row>
    <row r="18847" spans="1:6" x14ac:dyDescent="0.25">
      <c r="A18847">
        <v>18846</v>
      </c>
      <c r="B18847">
        <v>46</v>
      </c>
      <c r="C18847">
        <v>0</v>
      </c>
      <c r="D18847">
        <v>0</v>
      </c>
      <c r="E18847">
        <v>0</v>
      </c>
      <c r="F18847">
        <v>0</v>
      </c>
    </row>
    <row r="18848" spans="1:6" x14ac:dyDescent="0.25">
      <c r="A18848">
        <v>18847</v>
      </c>
      <c r="B18848" t="s">
        <v>0</v>
      </c>
      <c r="C18848">
        <v>52</v>
      </c>
      <c r="D18848">
        <v>3515</v>
      </c>
      <c r="E18848">
        <v>80857478</v>
      </c>
    </row>
    <row r="18849" spans="1:6" x14ac:dyDescent="0.25">
      <c r="A18849">
        <v>18848</v>
      </c>
      <c r="B18849">
        <v>10</v>
      </c>
      <c r="C18849">
        <v>1</v>
      </c>
      <c r="D18849">
        <v>0</v>
      </c>
      <c r="E18849">
        <v>0</v>
      </c>
      <c r="F18849">
        <v>5262</v>
      </c>
    </row>
    <row r="18850" spans="1:6" x14ac:dyDescent="0.25">
      <c r="A18850">
        <v>18849</v>
      </c>
      <c r="B18850" t="s">
        <v>0</v>
      </c>
      <c r="C18850">
        <v>53</v>
      </c>
      <c r="D18850">
        <v>3515</v>
      </c>
      <c r="E18850">
        <v>80857610</v>
      </c>
    </row>
    <row r="18851" spans="1:6" x14ac:dyDescent="0.25">
      <c r="A18851">
        <v>18850</v>
      </c>
      <c r="B18851">
        <v>41</v>
      </c>
      <c r="C18851">
        <v>0</v>
      </c>
      <c r="D18851">
        <v>0</v>
      </c>
      <c r="E18851">
        <v>0</v>
      </c>
      <c r="F18851">
        <v>1</v>
      </c>
    </row>
    <row r="18852" spans="1:6" x14ac:dyDescent="0.25">
      <c r="A18852">
        <v>18851</v>
      </c>
      <c r="B18852" t="s">
        <v>0</v>
      </c>
      <c r="C18852">
        <v>54</v>
      </c>
      <c r="D18852">
        <v>3515</v>
      </c>
      <c r="E18852">
        <v>80857742</v>
      </c>
    </row>
    <row r="18853" spans="1:6" x14ac:dyDescent="0.25">
      <c r="A18853">
        <v>18852</v>
      </c>
      <c r="B18853">
        <v>43</v>
      </c>
      <c r="C18853">
        <v>0</v>
      </c>
      <c r="D18853">
        <v>0</v>
      </c>
      <c r="E18853">
        <v>0</v>
      </c>
      <c r="F18853">
        <v>0</v>
      </c>
    </row>
    <row r="18854" spans="1:6" x14ac:dyDescent="0.25">
      <c r="A18854">
        <v>18853</v>
      </c>
      <c r="B18854" t="s">
        <v>0</v>
      </c>
      <c r="C18854">
        <v>55</v>
      </c>
      <c r="D18854">
        <v>3515</v>
      </c>
      <c r="E18854">
        <v>80857875</v>
      </c>
    </row>
    <row r="18855" spans="1:6" x14ac:dyDescent="0.25">
      <c r="A18855">
        <v>18854</v>
      </c>
      <c r="B18855">
        <v>45</v>
      </c>
      <c r="C18855">
        <v>0</v>
      </c>
      <c r="D18855">
        <v>0</v>
      </c>
      <c r="E18855">
        <v>0</v>
      </c>
      <c r="F18855">
        <v>541.03200000000004</v>
      </c>
    </row>
    <row r="18856" spans="1:6" x14ac:dyDescent="0.25">
      <c r="A18856">
        <v>18855</v>
      </c>
      <c r="B18856" t="s">
        <v>0</v>
      </c>
      <c r="C18856">
        <v>56</v>
      </c>
      <c r="D18856">
        <v>3515</v>
      </c>
      <c r="E18856">
        <v>80858008</v>
      </c>
    </row>
    <row r="18857" spans="1:6" x14ac:dyDescent="0.25">
      <c r="A18857">
        <v>18856</v>
      </c>
      <c r="B18857">
        <v>2</v>
      </c>
      <c r="C18857">
        <v>0</v>
      </c>
      <c r="D18857">
        <v>0</v>
      </c>
      <c r="E18857">
        <v>0</v>
      </c>
      <c r="F18857">
        <v>250.78899999999999</v>
      </c>
    </row>
    <row r="18858" spans="1:6" x14ac:dyDescent="0.25">
      <c r="A18858">
        <v>18857</v>
      </c>
      <c r="B18858" t="s">
        <v>0</v>
      </c>
      <c r="C18858">
        <v>57</v>
      </c>
      <c r="D18858">
        <v>3515</v>
      </c>
      <c r="E18858">
        <v>80858140</v>
      </c>
    </row>
    <row r="18859" spans="1:6" x14ac:dyDescent="0.25">
      <c r="A18859">
        <v>18858</v>
      </c>
      <c r="B18859">
        <v>13</v>
      </c>
      <c r="C18859">
        <v>0</v>
      </c>
      <c r="D18859">
        <v>0</v>
      </c>
      <c r="E18859">
        <v>0</v>
      </c>
      <c r="F18859">
        <v>1618</v>
      </c>
    </row>
    <row r="18860" spans="1:6" x14ac:dyDescent="0.25">
      <c r="A18860">
        <v>18859</v>
      </c>
      <c r="B18860" t="s">
        <v>0</v>
      </c>
      <c r="C18860">
        <v>58</v>
      </c>
      <c r="D18860">
        <v>3515</v>
      </c>
      <c r="E18860">
        <v>80858273</v>
      </c>
    </row>
    <row r="18861" spans="1:6" x14ac:dyDescent="0.25">
      <c r="A18861">
        <v>18860</v>
      </c>
      <c r="B18861">
        <v>42</v>
      </c>
      <c r="C18861">
        <v>0</v>
      </c>
      <c r="D18861">
        <v>0</v>
      </c>
      <c r="E18861">
        <v>0</v>
      </c>
      <c r="F18861">
        <v>0.2</v>
      </c>
    </row>
    <row r="18862" spans="1:6" x14ac:dyDescent="0.25">
      <c r="A18862">
        <v>18861</v>
      </c>
      <c r="B18862" t="s">
        <v>0</v>
      </c>
      <c r="C18862">
        <v>59</v>
      </c>
      <c r="D18862">
        <v>3515</v>
      </c>
      <c r="E18862">
        <v>80858406</v>
      </c>
    </row>
    <row r="18863" spans="1:6" x14ac:dyDescent="0.25">
      <c r="A18863">
        <v>18862</v>
      </c>
      <c r="B18863">
        <v>44</v>
      </c>
      <c r="C18863">
        <v>0</v>
      </c>
      <c r="D18863">
        <v>0</v>
      </c>
      <c r="E18863">
        <v>0</v>
      </c>
      <c r="F18863">
        <v>49.200499999999998</v>
      </c>
    </row>
    <row r="18864" spans="1:6" x14ac:dyDescent="0.25">
      <c r="A18864">
        <v>18863</v>
      </c>
      <c r="B18864" t="s">
        <v>0</v>
      </c>
      <c r="C18864">
        <v>60</v>
      </c>
      <c r="D18864">
        <v>3515</v>
      </c>
      <c r="E18864">
        <v>80858539</v>
      </c>
    </row>
    <row r="18865" spans="1:6" x14ac:dyDescent="0.25">
      <c r="A18865">
        <v>18864</v>
      </c>
      <c r="B18865">
        <v>46</v>
      </c>
      <c r="C18865">
        <v>0</v>
      </c>
      <c r="D18865">
        <v>0</v>
      </c>
      <c r="E18865">
        <v>0</v>
      </c>
      <c r="F18865">
        <v>0</v>
      </c>
    </row>
    <row r="18866" spans="1:6" x14ac:dyDescent="0.25">
      <c r="A18866">
        <v>18865</v>
      </c>
      <c r="B18866" t="s">
        <v>0</v>
      </c>
      <c r="C18866">
        <v>61</v>
      </c>
      <c r="D18866">
        <v>3515</v>
      </c>
      <c r="E18866">
        <v>80858671</v>
      </c>
    </row>
    <row r="18867" spans="1:6" x14ac:dyDescent="0.25">
      <c r="A18867">
        <v>18866</v>
      </c>
      <c r="B18867">
        <v>10</v>
      </c>
      <c r="C18867">
        <v>1</v>
      </c>
      <c r="D18867">
        <v>0</v>
      </c>
      <c r="E18867">
        <v>0</v>
      </c>
      <c r="F18867">
        <v>5262</v>
      </c>
    </row>
    <row r="18868" spans="1:6" x14ac:dyDescent="0.25">
      <c r="A18868">
        <v>18867</v>
      </c>
      <c r="B18868" t="s">
        <v>0</v>
      </c>
      <c r="C18868">
        <v>62</v>
      </c>
      <c r="D18868">
        <v>3515</v>
      </c>
      <c r="E18868">
        <v>80858803</v>
      </c>
    </row>
    <row r="18869" spans="1:6" x14ac:dyDescent="0.25">
      <c r="A18869">
        <v>18868</v>
      </c>
      <c r="B18869">
        <v>41</v>
      </c>
      <c r="C18869">
        <v>0</v>
      </c>
      <c r="D18869">
        <v>0</v>
      </c>
      <c r="E18869">
        <v>0</v>
      </c>
      <c r="F18869">
        <v>1</v>
      </c>
    </row>
    <row r="18870" spans="1:6" x14ac:dyDescent="0.25">
      <c r="A18870">
        <v>18869</v>
      </c>
      <c r="B18870" t="s">
        <v>0</v>
      </c>
      <c r="C18870">
        <v>63</v>
      </c>
      <c r="D18870">
        <v>3515</v>
      </c>
      <c r="E18870">
        <v>80858935</v>
      </c>
    </row>
    <row r="18871" spans="1:6" x14ac:dyDescent="0.25">
      <c r="A18871">
        <v>18870</v>
      </c>
      <c r="B18871">
        <v>43</v>
      </c>
      <c r="C18871">
        <v>0</v>
      </c>
      <c r="D18871">
        <v>0</v>
      </c>
      <c r="E18871">
        <v>0</v>
      </c>
      <c r="F18871">
        <v>0</v>
      </c>
    </row>
    <row r="18872" spans="1:6" x14ac:dyDescent="0.25">
      <c r="A18872">
        <v>18871</v>
      </c>
      <c r="B18872" t="s">
        <v>0</v>
      </c>
      <c r="C18872">
        <v>64</v>
      </c>
      <c r="D18872">
        <v>3515</v>
      </c>
      <c r="E18872">
        <v>80859067</v>
      </c>
    </row>
    <row r="18873" spans="1:6" x14ac:dyDescent="0.25">
      <c r="A18873">
        <v>18872</v>
      </c>
      <c r="B18873">
        <v>45</v>
      </c>
      <c r="C18873">
        <v>0</v>
      </c>
      <c r="D18873">
        <v>0</v>
      </c>
      <c r="E18873">
        <v>0</v>
      </c>
      <c r="F18873">
        <v>541.15</v>
      </c>
    </row>
    <row r="18874" spans="1:6" x14ac:dyDescent="0.25">
      <c r="A18874">
        <v>18873</v>
      </c>
      <c r="B18874" t="s">
        <v>0</v>
      </c>
      <c r="C18874">
        <v>65</v>
      </c>
      <c r="D18874">
        <v>3515</v>
      </c>
      <c r="E18874">
        <v>80859199</v>
      </c>
    </row>
    <row r="18875" spans="1:6" x14ac:dyDescent="0.25">
      <c r="A18875">
        <v>18874</v>
      </c>
      <c r="B18875">
        <v>2</v>
      </c>
      <c r="C18875">
        <v>0</v>
      </c>
      <c r="D18875">
        <v>0</v>
      </c>
      <c r="E18875">
        <v>0</v>
      </c>
      <c r="F18875">
        <v>250.81700000000001</v>
      </c>
    </row>
    <row r="18876" spans="1:6" x14ac:dyDescent="0.25">
      <c r="A18876">
        <v>18875</v>
      </c>
      <c r="B18876" t="s">
        <v>0</v>
      </c>
      <c r="C18876">
        <v>66</v>
      </c>
      <c r="D18876">
        <v>3515</v>
      </c>
      <c r="E18876">
        <v>80859331</v>
      </c>
    </row>
    <row r="18877" spans="1:6" x14ac:dyDescent="0.25">
      <c r="A18877">
        <v>18876</v>
      </c>
      <c r="B18877">
        <v>13</v>
      </c>
      <c r="C18877">
        <v>0</v>
      </c>
      <c r="D18877">
        <v>0</v>
      </c>
      <c r="E18877">
        <v>0</v>
      </c>
      <c r="F18877">
        <v>1618</v>
      </c>
    </row>
    <row r="18878" spans="1:6" x14ac:dyDescent="0.25">
      <c r="A18878">
        <v>18877</v>
      </c>
      <c r="B18878" t="s">
        <v>0</v>
      </c>
      <c r="C18878">
        <v>67</v>
      </c>
      <c r="D18878">
        <v>3515</v>
      </c>
      <c r="E18878">
        <v>80859463</v>
      </c>
    </row>
    <row r="18879" spans="1:6" x14ac:dyDescent="0.25">
      <c r="A18879">
        <v>18878</v>
      </c>
      <c r="B18879">
        <v>42</v>
      </c>
      <c r="C18879">
        <v>0</v>
      </c>
      <c r="D18879">
        <v>0</v>
      </c>
      <c r="E18879">
        <v>0</v>
      </c>
      <c r="F18879">
        <v>0.2</v>
      </c>
    </row>
    <row r="18880" spans="1:6" x14ac:dyDescent="0.25">
      <c r="A18880">
        <v>18879</v>
      </c>
      <c r="B18880" t="s">
        <v>0</v>
      </c>
      <c r="C18880">
        <v>68</v>
      </c>
      <c r="D18880">
        <v>3515</v>
      </c>
      <c r="E18880">
        <v>80859595</v>
      </c>
    </row>
    <row r="18881" spans="1:6" x14ac:dyDescent="0.25">
      <c r="A18881">
        <v>18880</v>
      </c>
      <c r="B18881">
        <v>44</v>
      </c>
      <c r="C18881">
        <v>0</v>
      </c>
      <c r="D18881">
        <v>0</v>
      </c>
      <c r="E18881">
        <v>0</v>
      </c>
      <c r="F18881">
        <v>49.176600000000001</v>
      </c>
    </row>
    <row r="18882" spans="1:6" x14ac:dyDescent="0.25">
      <c r="A18882">
        <v>18881</v>
      </c>
      <c r="B18882" t="s">
        <v>0</v>
      </c>
      <c r="C18882">
        <v>69</v>
      </c>
      <c r="D18882">
        <v>3515</v>
      </c>
      <c r="E18882">
        <v>80859727</v>
      </c>
    </row>
    <row r="18883" spans="1:6" x14ac:dyDescent="0.25">
      <c r="A18883">
        <v>18882</v>
      </c>
      <c r="B18883">
        <v>46</v>
      </c>
      <c r="C18883">
        <v>0</v>
      </c>
      <c r="D18883">
        <v>0</v>
      </c>
      <c r="E18883">
        <v>0</v>
      </c>
      <c r="F18883">
        <v>0</v>
      </c>
    </row>
    <row r="18884" spans="1:6" x14ac:dyDescent="0.25">
      <c r="A18884">
        <v>18883</v>
      </c>
      <c r="B18884" t="s">
        <v>0</v>
      </c>
      <c r="C18884">
        <v>70</v>
      </c>
      <c r="D18884">
        <v>3515</v>
      </c>
      <c r="E18884">
        <v>80859859</v>
      </c>
    </row>
    <row r="18885" spans="1:6" x14ac:dyDescent="0.25">
      <c r="A18885">
        <v>18884</v>
      </c>
      <c r="B18885">
        <v>10</v>
      </c>
      <c r="C18885">
        <v>1</v>
      </c>
      <c r="D18885">
        <v>0</v>
      </c>
      <c r="E18885">
        <v>0</v>
      </c>
      <c r="F18885">
        <v>5262</v>
      </c>
    </row>
    <row r="18886" spans="1:6" x14ac:dyDescent="0.25">
      <c r="A18886">
        <v>18885</v>
      </c>
      <c r="B18886" t="s">
        <v>0</v>
      </c>
      <c r="C18886">
        <v>71</v>
      </c>
      <c r="D18886">
        <v>3515</v>
      </c>
      <c r="E18886">
        <v>80859992</v>
      </c>
    </row>
    <row r="18887" spans="1:6" x14ac:dyDescent="0.25">
      <c r="A18887">
        <v>18886</v>
      </c>
      <c r="B18887">
        <v>41</v>
      </c>
      <c r="C18887">
        <v>0</v>
      </c>
      <c r="D18887">
        <v>0</v>
      </c>
      <c r="E18887">
        <v>0</v>
      </c>
      <c r="F18887">
        <v>1</v>
      </c>
    </row>
    <row r="18888" spans="1:6" x14ac:dyDescent="0.25">
      <c r="A18888">
        <v>18887</v>
      </c>
      <c r="B18888" t="s">
        <v>0</v>
      </c>
      <c r="C18888">
        <v>72</v>
      </c>
      <c r="D18888">
        <v>3515</v>
      </c>
      <c r="E18888">
        <v>80860125</v>
      </c>
    </row>
    <row r="18889" spans="1:6" x14ac:dyDescent="0.25">
      <c r="A18889">
        <v>18888</v>
      </c>
      <c r="B18889">
        <v>43</v>
      </c>
      <c r="C18889">
        <v>0</v>
      </c>
      <c r="D18889">
        <v>0</v>
      </c>
      <c r="E18889">
        <v>0</v>
      </c>
      <c r="F18889">
        <v>0</v>
      </c>
    </row>
    <row r="18890" spans="1:6" x14ac:dyDescent="0.25">
      <c r="A18890">
        <v>18889</v>
      </c>
      <c r="B18890" t="s">
        <v>0</v>
      </c>
      <c r="C18890">
        <v>73</v>
      </c>
      <c r="D18890">
        <v>3515</v>
      </c>
      <c r="E18890">
        <v>80860258</v>
      </c>
    </row>
    <row r="18891" spans="1:6" x14ac:dyDescent="0.25">
      <c r="A18891">
        <v>18890</v>
      </c>
      <c r="B18891">
        <v>45</v>
      </c>
      <c r="C18891">
        <v>0</v>
      </c>
      <c r="D18891">
        <v>0</v>
      </c>
      <c r="E18891">
        <v>0</v>
      </c>
      <c r="F18891">
        <v>541.26800000000003</v>
      </c>
    </row>
    <row r="18892" spans="1:6" x14ac:dyDescent="0.25">
      <c r="A18892">
        <v>18891</v>
      </c>
      <c r="B18892" t="s">
        <v>0</v>
      </c>
      <c r="C18892">
        <v>74</v>
      </c>
      <c r="D18892">
        <v>3515</v>
      </c>
      <c r="E18892">
        <v>80860391</v>
      </c>
    </row>
    <row r="18893" spans="1:6" x14ac:dyDescent="0.25">
      <c r="A18893">
        <v>18892</v>
      </c>
      <c r="B18893">
        <v>2</v>
      </c>
      <c r="C18893">
        <v>0</v>
      </c>
      <c r="D18893">
        <v>0</v>
      </c>
      <c r="E18893">
        <v>0</v>
      </c>
      <c r="F18893">
        <v>250.834</v>
      </c>
    </row>
    <row r="18894" spans="1:6" x14ac:dyDescent="0.25">
      <c r="A18894">
        <v>18893</v>
      </c>
      <c r="B18894" t="s">
        <v>0</v>
      </c>
      <c r="C18894">
        <v>75</v>
      </c>
      <c r="D18894">
        <v>3515</v>
      </c>
      <c r="E18894">
        <v>80860524</v>
      </c>
    </row>
    <row r="18895" spans="1:6" x14ac:dyDescent="0.25">
      <c r="A18895">
        <v>18894</v>
      </c>
      <c r="B18895">
        <v>13</v>
      </c>
      <c r="C18895">
        <v>0</v>
      </c>
      <c r="D18895">
        <v>0</v>
      </c>
      <c r="E18895">
        <v>0</v>
      </c>
      <c r="F18895">
        <v>1618</v>
      </c>
    </row>
    <row r="18896" spans="1:6" x14ac:dyDescent="0.25">
      <c r="A18896">
        <v>18895</v>
      </c>
      <c r="B18896" t="s">
        <v>0</v>
      </c>
      <c r="C18896">
        <v>76</v>
      </c>
      <c r="D18896">
        <v>3515</v>
      </c>
      <c r="E18896">
        <v>80860656</v>
      </c>
    </row>
    <row r="18897" spans="1:6" x14ac:dyDescent="0.25">
      <c r="A18897">
        <v>18896</v>
      </c>
      <c r="B18897">
        <v>42</v>
      </c>
      <c r="C18897">
        <v>0</v>
      </c>
      <c r="D18897">
        <v>0</v>
      </c>
      <c r="E18897">
        <v>0</v>
      </c>
      <c r="F18897">
        <v>0.2</v>
      </c>
    </row>
    <row r="18898" spans="1:6" x14ac:dyDescent="0.25">
      <c r="A18898">
        <v>18897</v>
      </c>
      <c r="B18898" t="s">
        <v>0</v>
      </c>
      <c r="C18898">
        <v>77</v>
      </c>
      <c r="D18898">
        <v>3515</v>
      </c>
      <c r="E18898">
        <v>80860788</v>
      </c>
    </row>
    <row r="18899" spans="1:6" x14ac:dyDescent="0.25">
      <c r="A18899">
        <v>18898</v>
      </c>
      <c r="B18899">
        <v>44</v>
      </c>
      <c r="C18899">
        <v>0</v>
      </c>
      <c r="D18899">
        <v>0</v>
      </c>
      <c r="E18899">
        <v>0</v>
      </c>
      <c r="F18899">
        <v>49.161499999999997</v>
      </c>
    </row>
    <row r="18900" spans="1:6" x14ac:dyDescent="0.25">
      <c r="A18900">
        <v>18899</v>
      </c>
      <c r="B18900" t="s">
        <v>0</v>
      </c>
      <c r="C18900">
        <v>78</v>
      </c>
      <c r="D18900">
        <v>3515</v>
      </c>
      <c r="E18900">
        <v>80860920</v>
      </c>
    </row>
    <row r="18901" spans="1:6" x14ac:dyDescent="0.25">
      <c r="A18901">
        <v>18900</v>
      </c>
      <c r="B18901">
        <v>46</v>
      </c>
      <c r="C18901">
        <v>0</v>
      </c>
      <c r="D18901">
        <v>0</v>
      </c>
      <c r="E18901">
        <v>0</v>
      </c>
      <c r="F18901">
        <v>0</v>
      </c>
    </row>
    <row r="18902" spans="1:6" x14ac:dyDescent="0.25">
      <c r="A18902">
        <v>18901</v>
      </c>
      <c r="B18902" t="s">
        <v>0</v>
      </c>
      <c r="C18902">
        <v>79</v>
      </c>
      <c r="D18902">
        <v>3515</v>
      </c>
      <c r="E18902">
        <v>80861052</v>
      </c>
    </row>
    <row r="18903" spans="1:6" x14ac:dyDescent="0.25">
      <c r="A18903">
        <v>18902</v>
      </c>
      <c r="B18903">
        <v>10</v>
      </c>
      <c r="C18903">
        <v>1</v>
      </c>
      <c r="D18903">
        <v>0</v>
      </c>
      <c r="E18903">
        <v>0</v>
      </c>
      <c r="F18903">
        <v>5262</v>
      </c>
    </row>
    <row r="18904" spans="1:6" x14ac:dyDescent="0.25">
      <c r="A18904">
        <v>18903</v>
      </c>
      <c r="B18904" t="s">
        <v>0</v>
      </c>
      <c r="C18904">
        <v>80</v>
      </c>
      <c r="D18904">
        <v>3515</v>
      </c>
      <c r="E18904">
        <v>80861184</v>
      </c>
    </row>
    <row r="18905" spans="1:6" x14ac:dyDescent="0.25">
      <c r="A18905">
        <v>18904</v>
      </c>
      <c r="B18905">
        <v>41</v>
      </c>
      <c r="C18905">
        <v>0</v>
      </c>
      <c r="D18905">
        <v>0</v>
      </c>
      <c r="E18905">
        <v>0</v>
      </c>
      <c r="F18905">
        <v>1</v>
      </c>
    </row>
    <row r="18906" spans="1:6" x14ac:dyDescent="0.25">
      <c r="A18906">
        <v>18905</v>
      </c>
      <c r="B18906" t="s">
        <v>0</v>
      </c>
      <c r="C18906">
        <v>81</v>
      </c>
      <c r="D18906">
        <v>3515</v>
      </c>
      <c r="E18906">
        <v>80861316</v>
      </c>
    </row>
    <row r="18907" spans="1:6" x14ac:dyDescent="0.25">
      <c r="A18907">
        <v>18906</v>
      </c>
      <c r="B18907">
        <v>43</v>
      </c>
      <c r="C18907">
        <v>0</v>
      </c>
      <c r="D18907">
        <v>0</v>
      </c>
      <c r="E18907">
        <v>0</v>
      </c>
      <c r="F18907">
        <v>0</v>
      </c>
    </row>
    <row r="18908" spans="1:6" x14ac:dyDescent="0.25">
      <c r="A18908">
        <v>18907</v>
      </c>
      <c r="B18908" t="s">
        <v>0</v>
      </c>
      <c r="C18908">
        <v>82</v>
      </c>
      <c r="D18908">
        <v>3515</v>
      </c>
      <c r="E18908">
        <v>80861448</v>
      </c>
    </row>
    <row r="18909" spans="1:6" x14ac:dyDescent="0.25">
      <c r="A18909">
        <v>18908</v>
      </c>
      <c r="B18909">
        <v>45</v>
      </c>
      <c r="C18909">
        <v>0</v>
      </c>
      <c r="D18909">
        <v>0</v>
      </c>
      <c r="E18909">
        <v>0</v>
      </c>
      <c r="F18909">
        <v>541.38499999999999</v>
      </c>
    </row>
    <row r="18910" spans="1:6" x14ac:dyDescent="0.25">
      <c r="A18910">
        <v>18909</v>
      </c>
      <c r="B18910" t="s">
        <v>0</v>
      </c>
      <c r="C18910">
        <v>83</v>
      </c>
      <c r="D18910">
        <v>3515</v>
      </c>
      <c r="E18910">
        <v>80861580</v>
      </c>
    </row>
    <row r="18911" spans="1:6" x14ac:dyDescent="0.25">
      <c r="A18911">
        <v>18910</v>
      </c>
      <c r="B18911">
        <v>2</v>
      </c>
      <c r="C18911">
        <v>0</v>
      </c>
      <c r="D18911">
        <v>0</v>
      </c>
      <c r="E18911">
        <v>0</v>
      </c>
      <c r="F18911">
        <v>250.845</v>
      </c>
    </row>
    <row r="18912" spans="1:6" x14ac:dyDescent="0.25">
      <c r="A18912">
        <v>18911</v>
      </c>
      <c r="B18912" t="s">
        <v>0</v>
      </c>
      <c r="C18912">
        <v>84</v>
      </c>
      <c r="D18912">
        <v>3515</v>
      </c>
      <c r="E18912">
        <v>80861712</v>
      </c>
    </row>
    <row r="18913" spans="1:6" x14ac:dyDescent="0.25">
      <c r="A18913">
        <v>18912</v>
      </c>
      <c r="B18913">
        <v>13</v>
      </c>
      <c r="C18913">
        <v>0</v>
      </c>
      <c r="D18913">
        <v>0</v>
      </c>
      <c r="E18913">
        <v>0</v>
      </c>
      <c r="F18913">
        <v>1618</v>
      </c>
    </row>
    <row r="18914" spans="1:6" x14ac:dyDescent="0.25">
      <c r="A18914">
        <v>18913</v>
      </c>
      <c r="B18914" t="s">
        <v>0</v>
      </c>
      <c r="C18914">
        <v>85</v>
      </c>
      <c r="D18914">
        <v>3515</v>
      </c>
      <c r="E18914">
        <v>80861845</v>
      </c>
    </row>
    <row r="18915" spans="1:6" x14ac:dyDescent="0.25">
      <c r="A18915">
        <v>18914</v>
      </c>
      <c r="B18915">
        <v>42</v>
      </c>
      <c r="C18915">
        <v>0</v>
      </c>
      <c r="D18915">
        <v>0</v>
      </c>
      <c r="E18915">
        <v>0</v>
      </c>
      <c r="F18915">
        <v>0.2</v>
      </c>
    </row>
    <row r="18916" spans="1:6" x14ac:dyDescent="0.25">
      <c r="A18916">
        <v>18915</v>
      </c>
      <c r="B18916" t="s">
        <v>0</v>
      </c>
      <c r="C18916">
        <v>86</v>
      </c>
      <c r="D18916">
        <v>3515</v>
      </c>
      <c r="E18916">
        <v>80861978</v>
      </c>
    </row>
    <row r="18917" spans="1:6" x14ac:dyDescent="0.25">
      <c r="A18917">
        <v>18916</v>
      </c>
      <c r="B18917">
        <v>44</v>
      </c>
      <c r="C18917">
        <v>0</v>
      </c>
      <c r="D18917">
        <v>0</v>
      </c>
      <c r="E18917">
        <v>0</v>
      </c>
      <c r="F18917">
        <v>49.152000000000001</v>
      </c>
    </row>
    <row r="18918" spans="1:6" x14ac:dyDescent="0.25">
      <c r="A18918">
        <v>18917</v>
      </c>
      <c r="B18918" t="s">
        <v>0</v>
      </c>
      <c r="C18918">
        <v>87</v>
      </c>
      <c r="D18918">
        <v>3515</v>
      </c>
      <c r="E18918">
        <v>80862110</v>
      </c>
    </row>
    <row r="18919" spans="1:6" x14ac:dyDescent="0.25">
      <c r="A18919">
        <v>18918</v>
      </c>
      <c r="B18919">
        <v>46</v>
      </c>
      <c r="C18919">
        <v>0</v>
      </c>
      <c r="D18919">
        <v>0</v>
      </c>
      <c r="E18919">
        <v>0</v>
      </c>
      <c r="F18919">
        <v>0</v>
      </c>
    </row>
    <row r="18920" spans="1:6" x14ac:dyDescent="0.25">
      <c r="A18920">
        <v>18919</v>
      </c>
      <c r="B18920" t="s">
        <v>0</v>
      </c>
      <c r="C18920">
        <v>88</v>
      </c>
      <c r="D18920">
        <v>3515</v>
      </c>
      <c r="E18920">
        <v>80862243</v>
      </c>
    </row>
    <row r="18921" spans="1:6" x14ac:dyDescent="0.25">
      <c r="A18921">
        <v>18920</v>
      </c>
      <c r="B18921">
        <v>10</v>
      </c>
      <c r="C18921">
        <v>1</v>
      </c>
      <c r="D18921">
        <v>0</v>
      </c>
      <c r="E18921">
        <v>0</v>
      </c>
      <c r="F18921">
        <v>5263</v>
      </c>
    </row>
    <row r="18922" spans="1:6" x14ac:dyDescent="0.25">
      <c r="A18922">
        <v>18921</v>
      </c>
      <c r="B18922" t="s">
        <v>0</v>
      </c>
      <c r="C18922">
        <v>89</v>
      </c>
      <c r="D18922">
        <v>3515</v>
      </c>
      <c r="E18922">
        <v>80862376</v>
      </c>
    </row>
    <row r="18923" spans="1:6" x14ac:dyDescent="0.25">
      <c r="A18923">
        <v>18922</v>
      </c>
      <c r="B18923">
        <v>41</v>
      </c>
      <c r="C18923">
        <v>0</v>
      </c>
      <c r="D18923">
        <v>0</v>
      </c>
      <c r="E18923">
        <v>0</v>
      </c>
      <c r="F18923">
        <v>1</v>
      </c>
    </row>
    <row r="18924" spans="1:6" x14ac:dyDescent="0.25">
      <c r="A18924">
        <v>18923</v>
      </c>
      <c r="B18924" t="s">
        <v>0</v>
      </c>
      <c r="C18924">
        <v>90</v>
      </c>
      <c r="D18924">
        <v>3515</v>
      </c>
      <c r="E18924">
        <v>80862509</v>
      </c>
    </row>
    <row r="18925" spans="1:6" x14ac:dyDescent="0.25">
      <c r="A18925">
        <v>18924</v>
      </c>
      <c r="B18925">
        <v>43</v>
      </c>
      <c r="C18925">
        <v>0</v>
      </c>
      <c r="D18925">
        <v>0</v>
      </c>
      <c r="E18925">
        <v>0</v>
      </c>
      <c r="F18925">
        <v>0</v>
      </c>
    </row>
    <row r="18926" spans="1:6" x14ac:dyDescent="0.25">
      <c r="A18926">
        <v>18925</v>
      </c>
      <c r="B18926" t="s">
        <v>0</v>
      </c>
      <c r="C18926">
        <v>91</v>
      </c>
      <c r="D18926">
        <v>3515</v>
      </c>
      <c r="E18926">
        <v>80862641</v>
      </c>
    </row>
    <row r="18927" spans="1:6" x14ac:dyDescent="0.25">
      <c r="A18927">
        <v>18926</v>
      </c>
      <c r="B18927">
        <v>45</v>
      </c>
      <c r="C18927">
        <v>0</v>
      </c>
      <c r="D18927">
        <v>0</v>
      </c>
      <c r="E18927">
        <v>0</v>
      </c>
      <c r="F18927">
        <v>541.50300000000004</v>
      </c>
    </row>
    <row r="18928" spans="1:6" x14ac:dyDescent="0.25">
      <c r="A18928">
        <v>18927</v>
      </c>
      <c r="B18928" t="s">
        <v>0</v>
      </c>
      <c r="C18928">
        <v>92</v>
      </c>
      <c r="D18928">
        <v>3515</v>
      </c>
      <c r="E18928">
        <v>80862773</v>
      </c>
    </row>
    <row r="18929" spans="1:6" x14ac:dyDescent="0.25">
      <c r="A18929">
        <v>18928</v>
      </c>
      <c r="B18929">
        <v>2</v>
      </c>
      <c r="C18929">
        <v>0</v>
      </c>
      <c r="D18929">
        <v>0</v>
      </c>
      <c r="E18929">
        <v>0</v>
      </c>
      <c r="F18929">
        <v>250.852</v>
      </c>
    </row>
    <row r="18930" spans="1:6" x14ac:dyDescent="0.25">
      <c r="A18930">
        <v>18929</v>
      </c>
      <c r="B18930" t="s">
        <v>0</v>
      </c>
      <c r="C18930">
        <v>93</v>
      </c>
      <c r="D18930">
        <v>3515</v>
      </c>
      <c r="E18930">
        <v>80862905</v>
      </c>
    </row>
    <row r="18931" spans="1:6" x14ac:dyDescent="0.25">
      <c r="A18931">
        <v>18930</v>
      </c>
      <c r="B18931">
        <v>13</v>
      </c>
      <c r="C18931">
        <v>0</v>
      </c>
      <c r="D18931">
        <v>0</v>
      </c>
      <c r="E18931">
        <v>0</v>
      </c>
      <c r="F18931">
        <v>1618</v>
      </c>
    </row>
    <row r="18932" spans="1:6" x14ac:dyDescent="0.25">
      <c r="A18932">
        <v>18931</v>
      </c>
      <c r="B18932" t="s">
        <v>0</v>
      </c>
      <c r="C18932">
        <v>94</v>
      </c>
      <c r="D18932">
        <v>3515</v>
      </c>
      <c r="E18932">
        <v>80863037</v>
      </c>
    </row>
    <row r="18933" spans="1:6" x14ac:dyDescent="0.25">
      <c r="A18933">
        <v>18932</v>
      </c>
      <c r="B18933">
        <v>42</v>
      </c>
      <c r="C18933">
        <v>0</v>
      </c>
      <c r="D18933">
        <v>0</v>
      </c>
      <c r="E18933">
        <v>0</v>
      </c>
      <c r="F18933">
        <v>0.2</v>
      </c>
    </row>
    <row r="18934" spans="1:6" x14ac:dyDescent="0.25">
      <c r="A18934">
        <v>18933</v>
      </c>
      <c r="B18934" t="s">
        <v>0</v>
      </c>
      <c r="C18934">
        <v>95</v>
      </c>
      <c r="D18934">
        <v>3515</v>
      </c>
      <c r="E18934">
        <v>80863169</v>
      </c>
    </row>
    <row r="18935" spans="1:6" x14ac:dyDescent="0.25">
      <c r="A18935">
        <v>18934</v>
      </c>
      <c r="B18935">
        <v>44</v>
      </c>
      <c r="C18935">
        <v>0</v>
      </c>
      <c r="D18935">
        <v>0</v>
      </c>
      <c r="E18935">
        <v>0</v>
      </c>
      <c r="F18935">
        <v>49.146000000000001</v>
      </c>
    </row>
    <row r="18936" spans="1:6" x14ac:dyDescent="0.25">
      <c r="A18936">
        <v>18935</v>
      </c>
      <c r="B18936" t="s">
        <v>0</v>
      </c>
      <c r="C18936">
        <v>96</v>
      </c>
      <c r="D18936">
        <v>3515</v>
      </c>
      <c r="E18936">
        <v>80863301</v>
      </c>
    </row>
    <row r="18937" spans="1:6" x14ac:dyDescent="0.25">
      <c r="A18937">
        <v>18936</v>
      </c>
      <c r="B18937">
        <v>46</v>
      </c>
      <c r="C18937">
        <v>0</v>
      </c>
      <c r="D18937">
        <v>0</v>
      </c>
      <c r="E18937">
        <v>0</v>
      </c>
      <c r="F18937">
        <v>0</v>
      </c>
    </row>
    <row r="18938" spans="1:6" x14ac:dyDescent="0.25">
      <c r="A18938">
        <v>18937</v>
      </c>
      <c r="B18938" t="s">
        <v>0</v>
      </c>
      <c r="C18938">
        <v>97</v>
      </c>
      <c r="D18938">
        <v>3515</v>
      </c>
      <c r="E18938">
        <v>80863433</v>
      </c>
    </row>
    <row r="18939" spans="1:6" x14ac:dyDescent="0.25">
      <c r="A18939">
        <v>18938</v>
      </c>
      <c r="B18939">
        <v>10</v>
      </c>
      <c r="C18939">
        <v>1</v>
      </c>
      <c r="D18939">
        <v>0</v>
      </c>
      <c r="E18939">
        <v>0</v>
      </c>
      <c r="F18939">
        <v>5262</v>
      </c>
    </row>
    <row r="18940" spans="1:6" x14ac:dyDescent="0.25">
      <c r="A18940">
        <v>18939</v>
      </c>
      <c r="B18940" t="s">
        <v>0</v>
      </c>
      <c r="C18940">
        <v>98</v>
      </c>
      <c r="D18940">
        <v>3515</v>
      </c>
      <c r="E18940">
        <v>80863565</v>
      </c>
    </row>
    <row r="18941" spans="1:6" x14ac:dyDescent="0.25">
      <c r="A18941">
        <v>18940</v>
      </c>
      <c r="B18941">
        <v>41</v>
      </c>
      <c r="C18941">
        <v>0</v>
      </c>
      <c r="D18941">
        <v>0</v>
      </c>
      <c r="E18941">
        <v>0</v>
      </c>
      <c r="F18941">
        <v>1</v>
      </c>
    </row>
    <row r="18942" spans="1:6" x14ac:dyDescent="0.25">
      <c r="A18942">
        <v>18941</v>
      </c>
      <c r="B18942" t="s">
        <v>0</v>
      </c>
      <c r="C18942">
        <v>99</v>
      </c>
      <c r="D18942">
        <v>3515</v>
      </c>
      <c r="E18942">
        <v>80863697</v>
      </c>
    </row>
    <row r="18943" spans="1:6" x14ac:dyDescent="0.25">
      <c r="A18943">
        <v>18942</v>
      </c>
      <c r="B18943">
        <v>43</v>
      </c>
      <c r="C18943">
        <v>0</v>
      </c>
      <c r="D18943">
        <v>0</v>
      </c>
      <c r="E18943">
        <v>0</v>
      </c>
      <c r="F18943">
        <v>0</v>
      </c>
    </row>
    <row r="18944" spans="1:6" x14ac:dyDescent="0.25">
      <c r="A18944">
        <v>18943</v>
      </c>
      <c r="B18944" t="s">
        <v>0</v>
      </c>
      <c r="C18944">
        <v>100</v>
      </c>
      <c r="D18944">
        <v>3515</v>
      </c>
      <c r="E18944">
        <v>80863829</v>
      </c>
    </row>
    <row r="18945" spans="1:6" x14ac:dyDescent="0.25">
      <c r="A18945">
        <v>18944</v>
      </c>
      <c r="B18945">
        <v>45</v>
      </c>
      <c r="C18945">
        <v>0</v>
      </c>
      <c r="D18945">
        <v>0</v>
      </c>
      <c r="E18945">
        <v>0</v>
      </c>
      <c r="F18945">
        <v>541.62</v>
      </c>
    </row>
    <row r="18946" spans="1:6" x14ac:dyDescent="0.25">
      <c r="A18946">
        <v>18945</v>
      </c>
      <c r="B18946" t="s">
        <v>0</v>
      </c>
      <c r="C18946">
        <v>101</v>
      </c>
      <c r="D18946">
        <v>3515</v>
      </c>
      <c r="E18946">
        <v>80863962</v>
      </c>
    </row>
    <row r="18947" spans="1:6" x14ac:dyDescent="0.25">
      <c r="A18947">
        <v>18946</v>
      </c>
      <c r="B18947">
        <v>2</v>
      </c>
      <c r="C18947">
        <v>0</v>
      </c>
      <c r="D18947">
        <v>0</v>
      </c>
      <c r="E18947">
        <v>0</v>
      </c>
      <c r="F18947">
        <v>250.95699999999999</v>
      </c>
    </row>
    <row r="18948" spans="1:6" x14ac:dyDescent="0.25">
      <c r="A18948">
        <v>18947</v>
      </c>
      <c r="B18948" t="s">
        <v>0</v>
      </c>
      <c r="C18948">
        <v>102</v>
      </c>
      <c r="D18948">
        <v>3515</v>
      </c>
      <c r="E18948">
        <v>80864094</v>
      </c>
    </row>
    <row r="18949" spans="1:6" x14ac:dyDescent="0.25">
      <c r="A18949">
        <v>18948</v>
      </c>
      <c r="B18949">
        <v>13</v>
      </c>
      <c r="C18949">
        <v>0</v>
      </c>
      <c r="D18949">
        <v>0</v>
      </c>
      <c r="E18949">
        <v>0</v>
      </c>
      <c r="F18949">
        <v>1618</v>
      </c>
    </row>
    <row r="18950" spans="1:6" x14ac:dyDescent="0.25">
      <c r="A18950">
        <v>18949</v>
      </c>
      <c r="B18950" t="s">
        <v>0</v>
      </c>
      <c r="C18950">
        <v>103</v>
      </c>
      <c r="D18950">
        <v>3515</v>
      </c>
      <c r="E18950">
        <v>80864226</v>
      </c>
    </row>
    <row r="18951" spans="1:6" x14ac:dyDescent="0.25">
      <c r="A18951">
        <v>18950</v>
      </c>
      <c r="B18951">
        <v>42</v>
      </c>
      <c r="C18951">
        <v>0</v>
      </c>
      <c r="D18951">
        <v>0</v>
      </c>
      <c r="E18951">
        <v>0</v>
      </c>
      <c r="F18951">
        <v>0.2</v>
      </c>
    </row>
    <row r="18952" spans="1:6" x14ac:dyDescent="0.25">
      <c r="A18952">
        <v>18951</v>
      </c>
      <c r="B18952" t="s">
        <v>0</v>
      </c>
      <c r="C18952">
        <v>104</v>
      </c>
      <c r="D18952">
        <v>3515</v>
      </c>
      <c r="E18952">
        <v>80864358</v>
      </c>
    </row>
    <row r="18953" spans="1:6" x14ac:dyDescent="0.25">
      <c r="A18953">
        <v>18952</v>
      </c>
      <c r="B18953">
        <v>44</v>
      </c>
      <c r="C18953">
        <v>0</v>
      </c>
      <c r="D18953">
        <v>0</v>
      </c>
      <c r="E18953">
        <v>0</v>
      </c>
      <c r="F18953">
        <v>49.002499999999998</v>
      </c>
    </row>
    <row r="18954" spans="1:6" x14ac:dyDescent="0.25">
      <c r="A18954">
        <v>18953</v>
      </c>
      <c r="B18954" t="s">
        <v>0</v>
      </c>
      <c r="C18954">
        <v>105</v>
      </c>
      <c r="D18954">
        <v>3515</v>
      </c>
      <c r="E18954">
        <v>80864491</v>
      </c>
    </row>
    <row r="18955" spans="1:6" x14ac:dyDescent="0.25">
      <c r="A18955">
        <v>18954</v>
      </c>
      <c r="B18955">
        <v>46</v>
      </c>
      <c r="C18955">
        <v>0</v>
      </c>
      <c r="D18955">
        <v>0</v>
      </c>
      <c r="E18955">
        <v>0</v>
      </c>
      <c r="F18955">
        <v>0</v>
      </c>
    </row>
    <row r="18956" spans="1:6" x14ac:dyDescent="0.25">
      <c r="A18956">
        <v>18955</v>
      </c>
      <c r="B18956" t="s">
        <v>0</v>
      </c>
      <c r="C18956">
        <v>106</v>
      </c>
      <c r="D18956">
        <v>3515</v>
      </c>
      <c r="E18956">
        <v>80864623</v>
      </c>
    </row>
    <row r="18957" spans="1:6" x14ac:dyDescent="0.25">
      <c r="A18957">
        <v>18956</v>
      </c>
      <c r="B18957">
        <v>10</v>
      </c>
      <c r="C18957">
        <v>1</v>
      </c>
      <c r="D18957">
        <v>0</v>
      </c>
      <c r="E18957">
        <v>0</v>
      </c>
      <c r="F18957">
        <v>5260</v>
      </c>
    </row>
    <row r="18958" spans="1:6" x14ac:dyDescent="0.25">
      <c r="A18958">
        <v>18957</v>
      </c>
      <c r="B18958" t="s">
        <v>0</v>
      </c>
      <c r="C18958">
        <v>107</v>
      </c>
      <c r="D18958">
        <v>3515</v>
      </c>
      <c r="E18958">
        <v>80864755</v>
      </c>
    </row>
    <row r="18959" spans="1:6" x14ac:dyDescent="0.25">
      <c r="A18959">
        <v>18958</v>
      </c>
      <c r="B18959">
        <v>41</v>
      </c>
      <c r="C18959">
        <v>0</v>
      </c>
      <c r="D18959">
        <v>0</v>
      </c>
      <c r="E18959">
        <v>0</v>
      </c>
      <c r="F18959">
        <v>1</v>
      </c>
    </row>
    <row r="18960" spans="1:6" x14ac:dyDescent="0.25">
      <c r="A18960">
        <v>18959</v>
      </c>
      <c r="B18960" t="s">
        <v>0</v>
      </c>
      <c r="C18960">
        <v>108</v>
      </c>
      <c r="D18960">
        <v>3515</v>
      </c>
      <c r="E18960">
        <v>80864887</v>
      </c>
    </row>
    <row r="18961" spans="1:6" x14ac:dyDescent="0.25">
      <c r="A18961">
        <v>18960</v>
      </c>
      <c r="B18961">
        <v>43</v>
      </c>
      <c r="C18961">
        <v>0</v>
      </c>
      <c r="D18961">
        <v>0</v>
      </c>
      <c r="E18961">
        <v>0</v>
      </c>
      <c r="F18961">
        <v>0</v>
      </c>
    </row>
    <row r="18962" spans="1:6" x14ac:dyDescent="0.25">
      <c r="A18962">
        <v>18961</v>
      </c>
      <c r="B18962" t="s">
        <v>0</v>
      </c>
      <c r="C18962">
        <v>109</v>
      </c>
      <c r="D18962">
        <v>3515</v>
      </c>
      <c r="E18962">
        <v>80865019</v>
      </c>
    </row>
    <row r="18963" spans="1:6" x14ac:dyDescent="0.25">
      <c r="A18963">
        <v>18962</v>
      </c>
      <c r="B18963">
        <v>45</v>
      </c>
      <c r="C18963">
        <v>0</v>
      </c>
      <c r="D18963">
        <v>0</v>
      </c>
      <c r="E18963">
        <v>0</v>
      </c>
      <c r="F18963">
        <v>541.73699999999997</v>
      </c>
    </row>
    <row r="18964" spans="1:6" x14ac:dyDescent="0.25">
      <c r="A18964">
        <v>18963</v>
      </c>
      <c r="B18964" t="s">
        <v>0</v>
      </c>
      <c r="C18964">
        <v>110</v>
      </c>
      <c r="D18964">
        <v>3515</v>
      </c>
      <c r="E18964">
        <v>80865151</v>
      </c>
    </row>
    <row r="18965" spans="1:6" x14ac:dyDescent="0.25">
      <c r="A18965">
        <v>18964</v>
      </c>
      <c r="B18965">
        <v>2</v>
      </c>
      <c r="C18965">
        <v>0</v>
      </c>
      <c r="D18965">
        <v>0</v>
      </c>
      <c r="E18965">
        <v>0</v>
      </c>
      <c r="F18965">
        <v>251.06200000000001</v>
      </c>
    </row>
    <row r="18966" spans="1:6" x14ac:dyDescent="0.25">
      <c r="A18966">
        <v>18965</v>
      </c>
      <c r="B18966" t="s">
        <v>0</v>
      </c>
      <c r="C18966">
        <v>111</v>
      </c>
      <c r="D18966">
        <v>3515</v>
      </c>
      <c r="E18966">
        <v>80865283</v>
      </c>
    </row>
    <row r="18967" spans="1:6" x14ac:dyDescent="0.25">
      <c r="A18967">
        <v>18966</v>
      </c>
      <c r="B18967">
        <v>13</v>
      </c>
      <c r="C18967">
        <v>0</v>
      </c>
      <c r="D18967">
        <v>0</v>
      </c>
      <c r="E18967">
        <v>0</v>
      </c>
      <c r="F18967">
        <v>1618</v>
      </c>
    </row>
    <row r="18968" spans="1:6" x14ac:dyDescent="0.25">
      <c r="A18968">
        <v>18967</v>
      </c>
      <c r="B18968" t="s">
        <v>0</v>
      </c>
      <c r="C18968">
        <v>112</v>
      </c>
      <c r="D18968">
        <v>3515</v>
      </c>
      <c r="E18968">
        <v>80865416</v>
      </c>
    </row>
    <row r="18969" spans="1:6" x14ac:dyDescent="0.25">
      <c r="A18969">
        <v>18968</v>
      </c>
      <c r="B18969">
        <v>42</v>
      </c>
      <c r="C18969">
        <v>0</v>
      </c>
      <c r="D18969">
        <v>0</v>
      </c>
      <c r="E18969">
        <v>0</v>
      </c>
      <c r="F18969">
        <v>0.2</v>
      </c>
    </row>
    <row r="18970" spans="1:6" x14ac:dyDescent="0.25">
      <c r="A18970">
        <v>18969</v>
      </c>
      <c r="B18970" t="s">
        <v>0</v>
      </c>
      <c r="C18970">
        <v>113</v>
      </c>
      <c r="D18970">
        <v>3515</v>
      </c>
      <c r="E18970">
        <v>80865548</v>
      </c>
    </row>
    <row r="18971" spans="1:6" x14ac:dyDescent="0.25">
      <c r="A18971">
        <v>18970</v>
      </c>
      <c r="B18971">
        <v>44</v>
      </c>
      <c r="C18971">
        <v>0</v>
      </c>
      <c r="D18971">
        <v>0</v>
      </c>
      <c r="E18971">
        <v>0</v>
      </c>
      <c r="F18971">
        <v>48.911799999999999</v>
      </c>
    </row>
    <row r="18972" spans="1:6" x14ac:dyDescent="0.25">
      <c r="A18972">
        <v>18971</v>
      </c>
      <c r="B18972" t="s">
        <v>0</v>
      </c>
      <c r="C18972">
        <v>114</v>
      </c>
      <c r="D18972">
        <v>3515</v>
      </c>
      <c r="E18972">
        <v>80865680</v>
      </c>
    </row>
    <row r="18973" spans="1:6" x14ac:dyDescent="0.25">
      <c r="A18973">
        <v>18972</v>
      </c>
      <c r="B18973">
        <v>46</v>
      </c>
      <c r="C18973">
        <v>0</v>
      </c>
      <c r="D18973">
        <v>0</v>
      </c>
      <c r="E18973">
        <v>0</v>
      </c>
      <c r="F18973">
        <v>0</v>
      </c>
    </row>
    <row r="18974" spans="1:6" x14ac:dyDescent="0.25">
      <c r="A18974">
        <v>18973</v>
      </c>
      <c r="B18974" t="s">
        <v>0</v>
      </c>
      <c r="C18974">
        <v>115</v>
      </c>
      <c r="D18974">
        <v>3515</v>
      </c>
      <c r="E18974">
        <v>80865812</v>
      </c>
    </row>
    <row r="18975" spans="1:6" x14ac:dyDescent="0.25">
      <c r="A18975">
        <v>18974</v>
      </c>
      <c r="B18975">
        <v>10</v>
      </c>
      <c r="C18975">
        <v>1</v>
      </c>
      <c r="D18975">
        <v>0</v>
      </c>
      <c r="E18975">
        <v>0</v>
      </c>
      <c r="F18975">
        <v>5258</v>
      </c>
    </row>
    <row r="18976" spans="1:6" x14ac:dyDescent="0.25">
      <c r="A18976">
        <v>18975</v>
      </c>
      <c r="B18976" t="s">
        <v>0</v>
      </c>
      <c r="C18976">
        <v>116</v>
      </c>
      <c r="D18976">
        <v>3515</v>
      </c>
      <c r="E18976">
        <v>80865945</v>
      </c>
    </row>
    <row r="18977" spans="1:6" x14ac:dyDescent="0.25">
      <c r="A18977">
        <v>18976</v>
      </c>
      <c r="B18977">
        <v>41</v>
      </c>
      <c r="C18977">
        <v>0</v>
      </c>
      <c r="D18977">
        <v>0</v>
      </c>
      <c r="E18977">
        <v>0</v>
      </c>
      <c r="F18977">
        <v>1</v>
      </c>
    </row>
    <row r="18978" spans="1:6" x14ac:dyDescent="0.25">
      <c r="A18978">
        <v>18977</v>
      </c>
      <c r="B18978" t="s">
        <v>0</v>
      </c>
      <c r="C18978">
        <v>117</v>
      </c>
      <c r="D18978">
        <v>3515</v>
      </c>
      <c r="E18978">
        <v>80866077</v>
      </c>
    </row>
    <row r="18979" spans="1:6" x14ac:dyDescent="0.25">
      <c r="A18979">
        <v>18978</v>
      </c>
      <c r="B18979">
        <v>43</v>
      </c>
      <c r="C18979">
        <v>0</v>
      </c>
      <c r="D18979">
        <v>0</v>
      </c>
      <c r="E18979">
        <v>0</v>
      </c>
      <c r="F18979">
        <v>0</v>
      </c>
    </row>
    <row r="18980" spans="1:6" x14ac:dyDescent="0.25">
      <c r="A18980">
        <v>18979</v>
      </c>
      <c r="B18980" t="s">
        <v>0</v>
      </c>
      <c r="C18980">
        <v>118</v>
      </c>
      <c r="D18980">
        <v>3515</v>
      </c>
      <c r="E18980">
        <v>80866209</v>
      </c>
    </row>
    <row r="18981" spans="1:6" x14ac:dyDescent="0.25">
      <c r="A18981">
        <v>18980</v>
      </c>
      <c r="B18981">
        <v>45</v>
      </c>
      <c r="C18981">
        <v>0</v>
      </c>
      <c r="D18981">
        <v>0</v>
      </c>
      <c r="E18981">
        <v>0</v>
      </c>
      <c r="F18981">
        <v>541.85400000000004</v>
      </c>
    </row>
    <row r="18982" spans="1:6" x14ac:dyDescent="0.25">
      <c r="A18982">
        <v>18981</v>
      </c>
      <c r="B18982" t="s">
        <v>0</v>
      </c>
      <c r="C18982">
        <v>119</v>
      </c>
      <c r="D18982">
        <v>3515</v>
      </c>
      <c r="E18982">
        <v>80866341</v>
      </c>
    </row>
    <row r="18983" spans="1:6" x14ac:dyDescent="0.25">
      <c r="A18983">
        <v>18982</v>
      </c>
      <c r="B18983">
        <v>2</v>
      </c>
      <c r="C18983">
        <v>0</v>
      </c>
      <c r="D18983">
        <v>0</v>
      </c>
      <c r="E18983">
        <v>0</v>
      </c>
      <c r="F18983">
        <v>251.12899999999999</v>
      </c>
    </row>
    <row r="18984" spans="1:6" x14ac:dyDescent="0.25">
      <c r="A18984">
        <v>18983</v>
      </c>
      <c r="B18984" t="s">
        <v>0</v>
      </c>
      <c r="C18984">
        <v>120</v>
      </c>
      <c r="D18984">
        <v>3515</v>
      </c>
      <c r="E18984">
        <v>80866474</v>
      </c>
    </row>
    <row r="18985" spans="1:6" x14ac:dyDescent="0.25">
      <c r="A18985">
        <v>18984</v>
      </c>
      <c r="B18985">
        <v>13</v>
      </c>
      <c r="C18985">
        <v>0</v>
      </c>
      <c r="D18985">
        <v>0</v>
      </c>
      <c r="E18985">
        <v>0</v>
      </c>
      <c r="F18985">
        <v>1618</v>
      </c>
    </row>
    <row r="18986" spans="1:6" x14ac:dyDescent="0.25">
      <c r="A18986">
        <v>18985</v>
      </c>
      <c r="B18986" t="s">
        <v>0</v>
      </c>
      <c r="C18986">
        <v>121</v>
      </c>
      <c r="D18986">
        <v>3515</v>
      </c>
      <c r="E18986">
        <v>80866606</v>
      </c>
    </row>
    <row r="18987" spans="1:6" x14ac:dyDescent="0.25">
      <c r="A18987">
        <v>18986</v>
      </c>
      <c r="B18987">
        <v>42</v>
      </c>
      <c r="C18987">
        <v>0</v>
      </c>
      <c r="D18987">
        <v>0</v>
      </c>
      <c r="E18987">
        <v>0</v>
      </c>
      <c r="F18987">
        <v>0.2</v>
      </c>
    </row>
    <row r="18988" spans="1:6" x14ac:dyDescent="0.25">
      <c r="A18988">
        <v>18987</v>
      </c>
      <c r="B18988" t="s">
        <v>0</v>
      </c>
      <c r="C18988">
        <v>122</v>
      </c>
      <c r="D18988">
        <v>3515</v>
      </c>
      <c r="E18988">
        <v>80866738</v>
      </c>
    </row>
    <row r="18989" spans="1:6" x14ac:dyDescent="0.25">
      <c r="A18989">
        <v>18988</v>
      </c>
      <c r="B18989">
        <v>44</v>
      </c>
      <c r="C18989">
        <v>0</v>
      </c>
      <c r="D18989">
        <v>0</v>
      </c>
      <c r="E18989">
        <v>0</v>
      </c>
      <c r="F18989">
        <v>48.854700000000001</v>
      </c>
    </row>
    <row r="18990" spans="1:6" x14ac:dyDescent="0.25">
      <c r="A18990">
        <v>18989</v>
      </c>
      <c r="B18990" t="s">
        <v>0</v>
      </c>
      <c r="C18990">
        <v>123</v>
      </c>
      <c r="D18990">
        <v>3515</v>
      </c>
      <c r="E18990">
        <v>80866870</v>
      </c>
    </row>
    <row r="18991" spans="1:6" x14ac:dyDescent="0.25">
      <c r="A18991">
        <v>18990</v>
      </c>
      <c r="B18991">
        <v>46</v>
      </c>
      <c r="C18991">
        <v>0</v>
      </c>
      <c r="D18991">
        <v>0</v>
      </c>
      <c r="E18991">
        <v>0</v>
      </c>
      <c r="F18991">
        <v>0</v>
      </c>
    </row>
    <row r="18992" spans="1:6" x14ac:dyDescent="0.25">
      <c r="A18992">
        <v>18991</v>
      </c>
      <c r="B18992" t="s">
        <v>0</v>
      </c>
      <c r="C18992">
        <v>124</v>
      </c>
      <c r="D18992">
        <v>3515</v>
      </c>
      <c r="E18992">
        <v>80867002</v>
      </c>
    </row>
    <row r="18993" spans="1:6" x14ac:dyDescent="0.25">
      <c r="A18993">
        <v>18992</v>
      </c>
      <c r="B18993">
        <v>10</v>
      </c>
      <c r="C18993">
        <v>1</v>
      </c>
      <c r="D18993">
        <v>0</v>
      </c>
      <c r="E18993">
        <v>0</v>
      </c>
      <c r="F18993">
        <v>5257</v>
      </c>
    </row>
    <row r="18994" spans="1:6" x14ac:dyDescent="0.25">
      <c r="A18994">
        <v>18993</v>
      </c>
      <c r="B18994" t="s">
        <v>0</v>
      </c>
      <c r="C18994">
        <v>125</v>
      </c>
      <c r="D18994">
        <v>3515</v>
      </c>
      <c r="E18994">
        <v>80867134</v>
      </c>
    </row>
    <row r="18995" spans="1:6" x14ac:dyDescent="0.25">
      <c r="A18995">
        <v>18994</v>
      </c>
      <c r="B18995">
        <v>41</v>
      </c>
      <c r="C18995">
        <v>0</v>
      </c>
      <c r="D18995">
        <v>0</v>
      </c>
      <c r="E18995">
        <v>0</v>
      </c>
      <c r="F18995">
        <v>1</v>
      </c>
    </row>
    <row r="18996" spans="1:6" x14ac:dyDescent="0.25">
      <c r="A18996">
        <v>18995</v>
      </c>
      <c r="B18996" t="s">
        <v>0</v>
      </c>
      <c r="C18996">
        <v>126</v>
      </c>
      <c r="D18996">
        <v>3515</v>
      </c>
      <c r="E18996">
        <v>80867266</v>
      </c>
    </row>
    <row r="18997" spans="1:6" x14ac:dyDescent="0.25">
      <c r="A18997">
        <v>18996</v>
      </c>
      <c r="B18997">
        <v>43</v>
      </c>
      <c r="C18997">
        <v>0</v>
      </c>
      <c r="D18997">
        <v>0</v>
      </c>
      <c r="E18997">
        <v>0</v>
      </c>
      <c r="F18997">
        <v>0</v>
      </c>
    </row>
    <row r="18998" spans="1:6" x14ac:dyDescent="0.25">
      <c r="A18998">
        <v>18997</v>
      </c>
      <c r="B18998" t="s">
        <v>0</v>
      </c>
      <c r="C18998">
        <v>127</v>
      </c>
      <c r="D18998">
        <v>3515</v>
      </c>
      <c r="E18998">
        <v>80867399</v>
      </c>
    </row>
    <row r="18999" spans="1:6" x14ac:dyDescent="0.25">
      <c r="A18999">
        <v>18998</v>
      </c>
      <c r="B18999">
        <v>45</v>
      </c>
      <c r="C18999">
        <v>0</v>
      </c>
      <c r="D18999">
        <v>0</v>
      </c>
      <c r="E18999">
        <v>0</v>
      </c>
      <c r="F18999">
        <v>541.971</v>
      </c>
    </row>
    <row r="19000" spans="1:6" x14ac:dyDescent="0.25">
      <c r="A19000">
        <v>18999</v>
      </c>
      <c r="B19000" t="s">
        <v>0</v>
      </c>
      <c r="C19000">
        <v>128</v>
      </c>
      <c r="D19000">
        <v>3515</v>
      </c>
      <c r="E19000">
        <v>80867531</v>
      </c>
    </row>
    <row r="19001" spans="1:6" x14ac:dyDescent="0.25">
      <c r="A19001">
        <v>19000</v>
      </c>
      <c r="B19001">
        <v>2</v>
      </c>
      <c r="C19001">
        <v>0</v>
      </c>
      <c r="D19001">
        <v>0</v>
      </c>
      <c r="E19001">
        <v>0</v>
      </c>
      <c r="F19001">
        <v>251.17099999999999</v>
      </c>
    </row>
    <row r="19002" spans="1:6" x14ac:dyDescent="0.25">
      <c r="A19002">
        <v>19001</v>
      </c>
      <c r="B19002" t="s">
        <v>0</v>
      </c>
      <c r="C19002">
        <v>129</v>
      </c>
      <c r="D19002">
        <v>3515</v>
      </c>
      <c r="E19002">
        <v>80867663</v>
      </c>
    </row>
    <row r="19003" spans="1:6" x14ac:dyDescent="0.25">
      <c r="A19003">
        <v>19002</v>
      </c>
      <c r="B19003">
        <v>13</v>
      </c>
      <c r="C19003">
        <v>0</v>
      </c>
      <c r="D19003">
        <v>0</v>
      </c>
      <c r="E19003">
        <v>0</v>
      </c>
      <c r="F19003">
        <v>1618</v>
      </c>
    </row>
    <row r="19004" spans="1:6" x14ac:dyDescent="0.25">
      <c r="A19004">
        <v>19003</v>
      </c>
      <c r="B19004" t="s">
        <v>0</v>
      </c>
      <c r="C19004">
        <v>130</v>
      </c>
      <c r="D19004">
        <v>3515</v>
      </c>
      <c r="E19004">
        <v>80867795</v>
      </c>
    </row>
    <row r="19005" spans="1:6" x14ac:dyDescent="0.25">
      <c r="A19005">
        <v>19004</v>
      </c>
      <c r="B19005">
        <v>42</v>
      </c>
      <c r="C19005">
        <v>0</v>
      </c>
      <c r="D19005">
        <v>0</v>
      </c>
      <c r="E19005">
        <v>0</v>
      </c>
      <c r="F19005">
        <v>0.2</v>
      </c>
    </row>
    <row r="19006" spans="1:6" x14ac:dyDescent="0.25">
      <c r="A19006">
        <v>19005</v>
      </c>
      <c r="B19006" t="s">
        <v>0</v>
      </c>
      <c r="C19006">
        <v>131</v>
      </c>
      <c r="D19006">
        <v>3515</v>
      </c>
      <c r="E19006">
        <v>80867928</v>
      </c>
    </row>
    <row r="19007" spans="1:6" x14ac:dyDescent="0.25">
      <c r="A19007">
        <v>19006</v>
      </c>
      <c r="B19007">
        <v>44</v>
      </c>
      <c r="C19007">
        <v>0</v>
      </c>
      <c r="D19007">
        <v>0</v>
      </c>
      <c r="E19007">
        <v>0</v>
      </c>
      <c r="F19007">
        <v>48.818899999999999</v>
      </c>
    </row>
    <row r="19008" spans="1:6" x14ac:dyDescent="0.25">
      <c r="A19008">
        <v>19007</v>
      </c>
      <c r="B19008" t="s">
        <v>0</v>
      </c>
      <c r="C19008">
        <v>132</v>
      </c>
      <c r="D19008">
        <v>3515</v>
      </c>
      <c r="E19008">
        <v>80868060</v>
      </c>
    </row>
    <row r="19009" spans="1:6" x14ac:dyDescent="0.25">
      <c r="A19009">
        <v>19008</v>
      </c>
      <c r="B19009">
        <v>46</v>
      </c>
      <c r="C19009">
        <v>0</v>
      </c>
      <c r="D19009">
        <v>0</v>
      </c>
      <c r="E19009">
        <v>0</v>
      </c>
      <c r="F19009">
        <v>0</v>
      </c>
    </row>
    <row r="19010" spans="1:6" x14ac:dyDescent="0.25">
      <c r="A19010">
        <v>19009</v>
      </c>
      <c r="B19010" t="s">
        <v>0</v>
      </c>
      <c r="C19010">
        <v>133</v>
      </c>
      <c r="D19010">
        <v>3515</v>
      </c>
      <c r="E19010">
        <v>80868192</v>
      </c>
    </row>
    <row r="19011" spans="1:6" x14ac:dyDescent="0.25">
      <c r="A19011">
        <v>19010</v>
      </c>
      <c r="B19011">
        <v>10</v>
      </c>
      <c r="C19011">
        <v>1</v>
      </c>
      <c r="D19011">
        <v>0</v>
      </c>
      <c r="E19011">
        <v>0</v>
      </c>
      <c r="F19011">
        <v>5257</v>
      </c>
    </row>
    <row r="19012" spans="1:6" x14ac:dyDescent="0.25">
      <c r="A19012">
        <v>19011</v>
      </c>
      <c r="B19012" t="s">
        <v>0</v>
      </c>
      <c r="C19012">
        <v>134</v>
      </c>
      <c r="D19012">
        <v>3515</v>
      </c>
      <c r="E19012">
        <v>80868324</v>
      </c>
    </row>
    <row r="19013" spans="1:6" x14ac:dyDescent="0.25">
      <c r="A19013">
        <v>19012</v>
      </c>
      <c r="B19013">
        <v>41</v>
      </c>
      <c r="C19013">
        <v>0</v>
      </c>
      <c r="D19013">
        <v>0</v>
      </c>
      <c r="E19013">
        <v>0</v>
      </c>
      <c r="F19013">
        <v>1</v>
      </c>
    </row>
    <row r="19014" spans="1:6" x14ac:dyDescent="0.25">
      <c r="A19014">
        <v>19013</v>
      </c>
      <c r="B19014" t="s">
        <v>0</v>
      </c>
      <c r="C19014">
        <v>135</v>
      </c>
      <c r="D19014">
        <v>3515</v>
      </c>
      <c r="E19014">
        <v>80868457</v>
      </c>
    </row>
    <row r="19015" spans="1:6" x14ac:dyDescent="0.25">
      <c r="A19015">
        <v>19014</v>
      </c>
      <c r="B19015">
        <v>43</v>
      </c>
      <c r="C19015">
        <v>0</v>
      </c>
      <c r="D19015">
        <v>0</v>
      </c>
      <c r="E19015">
        <v>0</v>
      </c>
      <c r="F19015">
        <v>0</v>
      </c>
    </row>
    <row r="19016" spans="1:6" x14ac:dyDescent="0.25">
      <c r="A19016">
        <v>19015</v>
      </c>
      <c r="B19016" t="s">
        <v>0</v>
      </c>
      <c r="C19016">
        <v>136</v>
      </c>
      <c r="D19016">
        <v>3515</v>
      </c>
      <c r="E19016">
        <v>80868589</v>
      </c>
    </row>
    <row r="19017" spans="1:6" x14ac:dyDescent="0.25">
      <c r="A19017">
        <v>19016</v>
      </c>
      <c r="B19017">
        <v>45</v>
      </c>
      <c r="C19017">
        <v>0</v>
      </c>
      <c r="D19017">
        <v>0</v>
      </c>
      <c r="E19017">
        <v>0</v>
      </c>
      <c r="F19017">
        <v>542.08699999999999</v>
      </c>
    </row>
    <row r="19018" spans="1:6" x14ac:dyDescent="0.25">
      <c r="A19018">
        <v>19017</v>
      </c>
      <c r="B19018" t="s">
        <v>0</v>
      </c>
      <c r="C19018">
        <v>137</v>
      </c>
      <c r="D19018">
        <v>3515</v>
      </c>
      <c r="E19018">
        <v>80868721</v>
      </c>
    </row>
    <row r="19019" spans="1:6" x14ac:dyDescent="0.25">
      <c r="A19019">
        <v>19018</v>
      </c>
      <c r="B19019">
        <v>2</v>
      </c>
      <c r="C19019">
        <v>0</v>
      </c>
      <c r="D19019">
        <v>0</v>
      </c>
      <c r="E19019">
        <v>0</v>
      </c>
      <c r="F19019">
        <v>251.19800000000001</v>
      </c>
    </row>
    <row r="19020" spans="1:6" x14ac:dyDescent="0.25">
      <c r="A19020">
        <v>19019</v>
      </c>
      <c r="B19020" t="s">
        <v>0</v>
      </c>
      <c r="C19020">
        <v>138</v>
      </c>
      <c r="D19020">
        <v>3515</v>
      </c>
      <c r="E19020">
        <v>80868854</v>
      </c>
    </row>
    <row r="19021" spans="1:6" x14ac:dyDescent="0.25">
      <c r="A19021">
        <v>19020</v>
      </c>
      <c r="B19021">
        <v>13</v>
      </c>
      <c r="C19021">
        <v>0</v>
      </c>
      <c r="D19021">
        <v>0</v>
      </c>
      <c r="E19021">
        <v>0</v>
      </c>
      <c r="F19021">
        <v>1618</v>
      </c>
    </row>
    <row r="19022" spans="1:6" x14ac:dyDescent="0.25">
      <c r="A19022">
        <v>19021</v>
      </c>
      <c r="B19022" t="s">
        <v>0</v>
      </c>
      <c r="C19022">
        <v>139</v>
      </c>
      <c r="D19022">
        <v>3515</v>
      </c>
      <c r="E19022">
        <v>80868986</v>
      </c>
    </row>
    <row r="19023" spans="1:6" x14ac:dyDescent="0.25">
      <c r="A19023">
        <v>19022</v>
      </c>
      <c r="B19023">
        <v>42</v>
      </c>
      <c r="C19023">
        <v>0</v>
      </c>
      <c r="D19023">
        <v>0</v>
      </c>
      <c r="E19023">
        <v>0</v>
      </c>
      <c r="F19023">
        <v>0.2</v>
      </c>
    </row>
    <row r="19024" spans="1:6" x14ac:dyDescent="0.25">
      <c r="A19024">
        <v>19023</v>
      </c>
      <c r="B19024" t="s">
        <v>0</v>
      </c>
      <c r="C19024">
        <v>140</v>
      </c>
      <c r="D19024">
        <v>3515</v>
      </c>
      <c r="E19024">
        <v>80869118</v>
      </c>
    </row>
    <row r="19025" spans="1:6" x14ac:dyDescent="0.25">
      <c r="A19025">
        <v>19024</v>
      </c>
      <c r="B19025">
        <v>44</v>
      </c>
      <c r="C19025">
        <v>0</v>
      </c>
      <c r="D19025">
        <v>0</v>
      </c>
      <c r="E19025">
        <v>0</v>
      </c>
      <c r="F19025">
        <v>48.796100000000003</v>
      </c>
    </row>
    <row r="19026" spans="1:6" x14ac:dyDescent="0.25">
      <c r="A19026">
        <v>19025</v>
      </c>
      <c r="B19026" t="s">
        <v>0</v>
      </c>
      <c r="C19026">
        <v>141</v>
      </c>
      <c r="D19026">
        <v>3515</v>
      </c>
      <c r="E19026">
        <v>80869250</v>
      </c>
    </row>
    <row r="19027" spans="1:6" x14ac:dyDescent="0.25">
      <c r="A19027">
        <v>19026</v>
      </c>
      <c r="B19027">
        <v>46</v>
      </c>
      <c r="C19027">
        <v>0</v>
      </c>
      <c r="D19027">
        <v>0</v>
      </c>
      <c r="E19027">
        <v>0</v>
      </c>
      <c r="F19027">
        <v>0</v>
      </c>
    </row>
    <row r="19028" spans="1:6" x14ac:dyDescent="0.25">
      <c r="A19028">
        <v>19027</v>
      </c>
      <c r="B19028" t="s">
        <v>0</v>
      </c>
      <c r="C19028">
        <v>142</v>
      </c>
      <c r="D19028">
        <v>3515</v>
      </c>
      <c r="E19028">
        <v>80869383</v>
      </c>
    </row>
    <row r="19029" spans="1:6" x14ac:dyDescent="0.25">
      <c r="A19029">
        <v>19028</v>
      </c>
      <c r="B19029">
        <v>10</v>
      </c>
      <c r="C19029">
        <v>1</v>
      </c>
      <c r="D19029">
        <v>0</v>
      </c>
      <c r="E19029">
        <v>0</v>
      </c>
      <c r="F19029">
        <v>5257</v>
      </c>
    </row>
    <row r="19030" spans="1:6" x14ac:dyDescent="0.25">
      <c r="A19030">
        <v>19029</v>
      </c>
      <c r="B19030" t="s">
        <v>0</v>
      </c>
      <c r="C19030">
        <v>143</v>
      </c>
      <c r="D19030">
        <v>3515</v>
      </c>
      <c r="E19030">
        <v>80869515</v>
      </c>
    </row>
    <row r="19031" spans="1:6" x14ac:dyDescent="0.25">
      <c r="A19031">
        <v>19030</v>
      </c>
      <c r="B19031">
        <v>41</v>
      </c>
      <c r="C19031">
        <v>0</v>
      </c>
      <c r="D19031">
        <v>0</v>
      </c>
      <c r="E19031">
        <v>0</v>
      </c>
      <c r="F19031">
        <v>1</v>
      </c>
    </row>
    <row r="19032" spans="1:6" x14ac:dyDescent="0.25">
      <c r="A19032">
        <v>19031</v>
      </c>
      <c r="B19032" t="s">
        <v>0</v>
      </c>
      <c r="C19032">
        <v>144</v>
      </c>
      <c r="D19032">
        <v>3515</v>
      </c>
      <c r="E19032">
        <v>80869647</v>
      </c>
    </row>
    <row r="19033" spans="1:6" x14ac:dyDescent="0.25">
      <c r="A19033">
        <v>19032</v>
      </c>
      <c r="B19033">
        <v>43</v>
      </c>
      <c r="C19033">
        <v>0</v>
      </c>
      <c r="D19033">
        <v>0</v>
      </c>
      <c r="E19033">
        <v>0</v>
      </c>
      <c r="F19033">
        <v>0</v>
      </c>
    </row>
    <row r="19034" spans="1:6" x14ac:dyDescent="0.25">
      <c r="A19034">
        <v>19033</v>
      </c>
      <c r="B19034" t="s">
        <v>0</v>
      </c>
      <c r="C19034">
        <v>145</v>
      </c>
      <c r="D19034">
        <v>3515</v>
      </c>
      <c r="E19034">
        <v>80869779</v>
      </c>
    </row>
    <row r="19035" spans="1:6" x14ac:dyDescent="0.25">
      <c r="A19035">
        <v>19034</v>
      </c>
      <c r="B19035">
        <v>45</v>
      </c>
      <c r="C19035">
        <v>0</v>
      </c>
      <c r="D19035">
        <v>0</v>
      </c>
      <c r="E19035">
        <v>0</v>
      </c>
      <c r="F19035">
        <v>542.20399999999995</v>
      </c>
    </row>
    <row r="19036" spans="1:6" x14ac:dyDescent="0.25">
      <c r="A19036">
        <v>19035</v>
      </c>
      <c r="B19036" t="s">
        <v>0</v>
      </c>
      <c r="C19036">
        <v>146</v>
      </c>
      <c r="D19036">
        <v>3515</v>
      </c>
      <c r="E19036">
        <v>80869912</v>
      </c>
    </row>
    <row r="19037" spans="1:6" x14ac:dyDescent="0.25">
      <c r="A19037">
        <v>19036</v>
      </c>
      <c r="B19037">
        <v>2</v>
      </c>
      <c r="C19037">
        <v>0</v>
      </c>
      <c r="D19037">
        <v>0</v>
      </c>
      <c r="E19037">
        <v>0</v>
      </c>
      <c r="F19037">
        <v>251.214</v>
      </c>
    </row>
    <row r="19038" spans="1:6" x14ac:dyDescent="0.25">
      <c r="A19038">
        <v>19037</v>
      </c>
      <c r="B19038" t="s">
        <v>0</v>
      </c>
      <c r="C19038">
        <v>147</v>
      </c>
      <c r="D19038">
        <v>3515</v>
      </c>
      <c r="E19038">
        <v>80870044</v>
      </c>
    </row>
    <row r="19039" spans="1:6" x14ac:dyDescent="0.25">
      <c r="A19039">
        <v>19038</v>
      </c>
      <c r="B19039">
        <v>13</v>
      </c>
      <c r="C19039">
        <v>0</v>
      </c>
      <c r="D19039">
        <v>0</v>
      </c>
      <c r="E19039">
        <v>0</v>
      </c>
      <c r="F19039">
        <v>1618</v>
      </c>
    </row>
    <row r="19040" spans="1:6" x14ac:dyDescent="0.25">
      <c r="A19040">
        <v>19039</v>
      </c>
      <c r="B19040" t="s">
        <v>0</v>
      </c>
      <c r="C19040">
        <v>148</v>
      </c>
      <c r="D19040">
        <v>3515</v>
      </c>
      <c r="E19040">
        <v>80870176</v>
      </c>
    </row>
    <row r="19041" spans="1:6" x14ac:dyDescent="0.25">
      <c r="A19041">
        <v>19040</v>
      </c>
      <c r="B19041">
        <v>42</v>
      </c>
      <c r="C19041">
        <v>0</v>
      </c>
      <c r="D19041">
        <v>0</v>
      </c>
      <c r="E19041">
        <v>0</v>
      </c>
      <c r="F19041">
        <v>0.2</v>
      </c>
    </row>
    <row r="19042" spans="1:6" x14ac:dyDescent="0.25">
      <c r="A19042">
        <v>19041</v>
      </c>
      <c r="B19042" t="s">
        <v>0</v>
      </c>
      <c r="C19042">
        <v>149</v>
      </c>
      <c r="D19042">
        <v>3515</v>
      </c>
      <c r="E19042">
        <v>80870308</v>
      </c>
    </row>
    <row r="19043" spans="1:6" x14ac:dyDescent="0.25">
      <c r="A19043">
        <v>19042</v>
      </c>
      <c r="B19043">
        <v>44</v>
      </c>
      <c r="C19043">
        <v>0</v>
      </c>
      <c r="D19043">
        <v>0</v>
      </c>
      <c r="E19043">
        <v>0</v>
      </c>
      <c r="F19043">
        <v>48.7819</v>
      </c>
    </row>
    <row r="19044" spans="1:6" x14ac:dyDescent="0.25">
      <c r="A19044">
        <v>19043</v>
      </c>
      <c r="B19044" t="s">
        <v>0</v>
      </c>
      <c r="C19044">
        <v>150</v>
      </c>
      <c r="D19044">
        <v>3515</v>
      </c>
      <c r="E19044">
        <v>80870440</v>
      </c>
    </row>
    <row r="19045" spans="1:6" x14ac:dyDescent="0.25">
      <c r="A19045">
        <v>19044</v>
      </c>
      <c r="B19045">
        <v>46</v>
      </c>
      <c r="C19045">
        <v>0</v>
      </c>
      <c r="D19045">
        <v>0</v>
      </c>
      <c r="E19045">
        <v>0</v>
      </c>
      <c r="F19045">
        <v>0</v>
      </c>
    </row>
    <row r="19046" spans="1:6" x14ac:dyDescent="0.25">
      <c r="A19046">
        <v>19045</v>
      </c>
      <c r="B19046" t="s">
        <v>0</v>
      </c>
      <c r="C19046">
        <v>151</v>
      </c>
      <c r="D19046">
        <v>3515</v>
      </c>
      <c r="E19046">
        <v>80870572</v>
      </c>
    </row>
    <row r="19047" spans="1:6" x14ac:dyDescent="0.25">
      <c r="A19047">
        <v>19046</v>
      </c>
      <c r="B19047">
        <v>10</v>
      </c>
      <c r="C19047">
        <v>1</v>
      </c>
      <c r="D19047">
        <v>0</v>
      </c>
      <c r="E19047">
        <v>0</v>
      </c>
      <c r="F19047">
        <v>5258</v>
      </c>
    </row>
    <row r="19048" spans="1:6" x14ac:dyDescent="0.25">
      <c r="A19048">
        <v>19047</v>
      </c>
      <c r="B19048" t="s">
        <v>0</v>
      </c>
      <c r="C19048">
        <v>152</v>
      </c>
      <c r="D19048">
        <v>3515</v>
      </c>
      <c r="E19048">
        <v>80870704</v>
      </c>
    </row>
    <row r="19049" spans="1:6" x14ac:dyDescent="0.25">
      <c r="A19049">
        <v>19048</v>
      </c>
      <c r="B19049">
        <v>41</v>
      </c>
      <c r="C19049">
        <v>0</v>
      </c>
      <c r="D19049">
        <v>0</v>
      </c>
      <c r="E19049">
        <v>0</v>
      </c>
      <c r="F19049">
        <v>1</v>
      </c>
    </row>
    <row r="19050" spans="1:6" x14ac:dyDescent="0.25">
      <c r="A19050">
        <v>19049</v>
      </c>
      <c r="B19050" t="s">
        <v>0</v>
      </c>
      <c r="C19050">
        <v>153</v>
      </c>
      <c r="D19050">
        <v>3515</v>
      </c>
      <c r="E19050">
        <v>80870837</v>
      </c>
    </row>
    <row r="19051" spans="1:6" x14ac:dyDescent="0.25">
      <c r="A19051">
        <v>19050</v>
      </c>
      <c r="B19051">
        <v>43</v>
      </c>
      <c r="C19051">
        <v>0</v>
      </c>
      <c r="D19051">
        <v>0</v>
      </c>
      <c r="E19051">
        <v>0</v>
      </c>
      <c r="F19051">
        <v>0</v>
      </c>
    </row>
    <row r="19052" spans="1:6" x14ac:dyDescent="0.25">
      <c r="A19052">
        <v>19051</v>
      </c>
      <c r="B19052" t="s">
        <v>0</v>
      </c>
      <c r="C19052">
        <v>154</v>
      </c>
      <c r="D19052">
        <v>3515</v>
      </c>
      <c r="E19052">
        <v>80870969</v>
      </c>
    </row>
    <row r="19053" spans="1:6" x14ac:dyDescent="0.25">
      <c r="A19053">
        <v>19052</v>
      </c>
      <c r="B19053">
        <v>45</v>
      </c>
      <c r="C19053">
        <v>0</v>
      </c>
      <c r="D19053">
        <v>0</v>
      </c>
      <c r="E19053">
        <v>0</v>
      </c>
      <c r="F19053">
        <v>542.32000000000005</v>
      </c>
    </row>
    <row r="19054" spans="1:6" x14ac:dyDescent="0.25">
      <c r="A19054">
        <v>19053</v>
      </c>
      <c r="B19054" t="s">
        <v>0</v>
      </c>
      <c r="C19054">
        <v>155</v>
      </c>
      <c r="D19054">
        <v>3515</v>
      </c>
      <c r="E19054">
        <v>80871101</v>
      </c>
    </row>
    <row r="19055" spans="1:6" x14ac:dyDescent="0.25">
      <c r="A19055">
        <v>19054</v>
      </c>
      <c r="B19055">
        <v>2</v>
      </c>
      <c r="C19055">
        <v>0</v>
      </c>
      <c r="D19055">
        <v>0</v>
      </c>
      <c r="E19055">
        <v>0</v>
      </c>
      <c r="F19055">
        <v>251.22399999999999</v>
      </c>
    </row>
    <row r="19056" spans="1:6" x14ac:dyDescent="0.25">
      <c r="A19056">
        <v>19055</v>
      </c>
      <c r="B19056" t="s">
        <v>0</v>
      </c>
      <c r="C19056">
        <v>156</v>
      </c>
      <c r="D19056">
        <v>3515</v>
      </c>
      <c r="E19056">
        <v>80871233</v>
      </c>
    </row>
    <row r="19057" spans="1:6" x14ac:dyDescent="0.25">
      <c r="A19057">
        <v>19056</v>
      </c>
      <c r="B19057">
        <v>13</v>
      </c>
      <c r="C19057">
        <v>0</v>
      </c>
      <c r="D19057">
        <v>0</v>
      </c>
      <c r="E19057">
        <v>0</v>
      </c>
      <c r="F19057">
        <v>1618</v>
      </c>
    </row>
    <row r="19058" spans="1:6" x14ac:dyDescent="0.25">
      <c r="A19058">
        <v>19057</v>
      </c>
      <c r="B19058" t="s">
        <v>0</v>
      </c>
      <c r="C19058">
        <v>157</v>
      </c>
      <c r="D19058">
        <v>3515</v>
      </c>
      <c r="E19058">
        <v>80871366</v>
      </c>
    </row>
    <row r="19059" spans="1:6" x14ac:dyDescent="0.25">
      <c r="A19059">
        <v>19058</v>
      </c>
      <c r="B19059">
        <v>42</v>
      </c>
      <c r="C19059">
        <v>0</v>
      </c>
      <c r="D19059">
        <v>0</v>
      </c>
      <c r="E19059">
        <v>0</v>
      </c>
      <c r="F19059">
        <v>0.2</v>
      </c>
    </row>
    <row r="19060" spans="1:6" x14ac:dyDescent="0.25">
      <c r="A19060">
        <v>19059</v>
      </c>
      <c r="B19060" t="s">
        <v>0</v>
      </c>
      <c r="C19060">
        <v>158</v>
      </c>
      <c r="D19060">
        <v>3515</v>
      </c>
      <c r="E19060">
        <v>80871498</v>
      </c>
    </row>
    <row r="19061" spans="1:6" x14ac:dyDescent="0.25">
      <c r="A19061">
        <v>19060</v>
      </c>
      <c r="B19061">
        <v>44</v>
      </c>
      <c r="C19061">
        <v>0</v>
      </c>
      <c r="D19061">
        <v>0</v>
      </c>
      <c r="E19061">
        <v>0</v>
      </c>
      <c r="F19061">
        <v>48.7729</v>
      </c>
    </row>
    <row r="19062" spans="1:6" x14ac:dyDescent="0.25">
      <c r="A19062">
        <v>19061</v>
      </c>
      <c r="B19062" t="s">
        <v>1</v>
      </c>
      <c r="C19062">
        <v>158</v>
      </c>
      <c r="D19062">
        <v>3515</v>
      </c>
      <c r="E19062">
        <v>80871625</v>
      </c>
    </row>
    <row r="19063" spans="1:6" x14ac:dyDescent="0.25">
      <c r="A19063">
        <v>19062</v>
      </c>
      <c r="B19063">
        <v>46</v>
      </c>
      <c r="C19063">
        <v>0</v>
      </c>
      <c r="D19063">
        <v>0</v>
      </c>
      <c r="E19063">
        <v>0</v>
      </c>
      <c r="F19063">
        <v>0</v>
      </c>
    </row>
    <row r="19064" spans="1:6" x14ac:dyDescent="0.25">
      <c r="A19064">
        <v>19063</v>
      </c>
      <c r="B19064" t="s">
        <v>0</v>
      </c>
      <c r="C19064">
        <v>160</v>
      </c>
      <c r="D19064">
        <v>3515</v>
      </c>
      <c r="E19064">
        <v>80871762</v>
      </c>
    </row>
    <row r="19065" spans="1:6" x14ac:dyDescent="0.25">
      <c r="A19065">
        <v>19064</v>
      </c>
      <c r="B19065">
        <v>10</v>
      </c>
      <c r="C19065">
        <v>1</v>
      </c>
      <c r="D19065">
        <v>0</v>
      </c>
      <c r="E19065">
        <v>0</v>
      </c>
      <c r="F19065">
        <v>5258</v>
      </c>
    </row>
    <row r="19066" spans="1:6" x14ac:dyDescent="0.25">
      <c r="A19066">
        <v>19065</v>
      </c>
      <c r="B19066" t="s">
        <v>0</v>
      </c>
      <c r="C19066">
        <v>161</v>
      </c>
      <c r="D19066">
        <v>3515</v>
      </c>
      <c r="E19066">
        <v>80871895</v>
      </c>
    </row>
    <row r="19067" spans="1:6" x14ac:dyDescent="0.25">
      <c r="A19067">
        <v>19066</v>
      </c>
      <c r="B19067">
        <v>41</v>
      </c>
      <c r="C19067">
        <v>0</v>
      </c>
      <c r="D19067">
        <v>0</v>
      </c>
      <c r="E19067">
        <v>0</v>
      </c>
      <c r="F19067">
        <v>1</v>
      </c>
    </row>
    <row r="19068" spans="1:6" x14ac:dyDescent="0.25">
      <c r="A19068">
        <v>19067</v>
      </c>
      <c r="B19068" t="s">
        <v>0</v>
      </c>
      <c r="C19068">
        <v>162</v>
      </c>
      <c r="D19068">
        <v>3515</v>
      </c>
      <c r="E19068">
        <v>80872027</v>
      </c>
    </row>
    <row r="19069" spans="1:6" x14ac:dyDescent="0.25">
      <c r="A19069">
        <v>19068</v>
      </c>
      <c r="B19069">
        <v>43</v>
      </c>
      <c r="C19069">
        <v>0</v>
      </c>
      <c r="D19069">
        <v>0</v>
      </c>
      <c r="E19069">
        <v>0</v>
      </c>
      <c r="F19069">
        <v>0</v>
      </c>
    </row>
    <row r="19070" spans="1:6" x14ac:dyDescent="0.25">
      <c r="A19070">
        <v>19069</v>
      </c>
      <c r="B19070" t="s">
        <v>0</v>
      </c>
      <c r="C19070">
        <v>163</v>
      </c>
      <c r="D19070">
        <v>3515</v>
      </c>
      <c r="E19070">
        <v>80872159</v>
      </c>
    </row>
    <row r="19071" spans="1:6" x14ac:dyDescent="0.25">
      <c r="A19071">
        <v>19070</v>
      </c>
      <c r="B19071">
        <v>45</v>
      </c>
      <c r="C19071">
        <v>0</v>
      </c>
      <c r="D19071">
        <v>0</v>
      </c>
      <c r="E19071">
        <v>0</v>
      </c>
      <c r="F19071">
        <v>542.43700000000001</v>
      </c>
    </row>
    <row r="19072" spans="1:6" x14ac:dyDescent="0.25">
      <c r="A19072">
        <v>19071</v>
      </c>
      <c r="B19072" t="s">
        <v>0</v>
      </c>
      <c r="C19072">
        <v>164</v>
      </c>
      <c r="D19072">
        <v>3515</v>
      </c>
      <c r="E19072">
        <v>80872291</v>
      </c>
    </row>
    <row r="19073" spans="1:6" x14ac:dyDescent="0.25">
      <c r="A19073">
        <v>19072</v>
      </c>
      <c r="B19073">
        <v>2</v>
      </c>
      <c r="C19073">
        <v>0</v>
      </c>
      <c r="D19073">
        <v>0</v>
      </c>
      <c r="E19073">
        <v>0</v>
      </c>
      <c r="F19073">
        <v>251.23099999999999</v>
      </c>
    </row>
    <row r="19074" spans="1:6" x14ac:dyDescent="0.25">
      <c r="A19074">
        <v>19073</v>
      </c>
      <c r="B19074" t="s">
        <v>0</v>
      </c>
      <c r="C19074">
        <v>165</v>
      </c>
      <c r="D19074">
        <v>3515</v>
      </c>
      <c r="E19074">
        <v>80872423</v>
      </c>
    </row>
    <row r="19075" spans="1:6" x14ac:dyDescent="0.25">
      <c r="A19075">
        <v>19074</v>
      </c>
      <c r="B19075">
        <v>13</v>
      </c>
      <c r="C19075">
        <v>0</v>
      </c>
      <c r="D19075">
        <v>0</v>
      </c>
      <c r="E19075">
        <v>0</v>
      </c>
      <c r="F19075">
        <v>1619</v>
      </c>
    </row>
    <row r="19076" spans="1:6" x14ac:dyDescent="0.25">
      <c r="A19076">
        <v>19075</v>
      </c>
      <c r="B19076" t="s">
        <v>0</v>
      </c>
      <c r="C19076">
        <v>166</v>
      </c>
      <c r="D19076">
        <v>3515</v>
      </c>
      <c r="E19076">
        <v>80872555</v>
      </c>
    </row>
    <row r="19077" spans="1:6" x14ac:dyDescent="0.25">
      <c r="A19077">
        <v>19076</v>
      </c>
      <c r="B19077">
        <v>42</v>
      </c>
      <c r="C19077">
        <v>0</v>
      </c>
      <c r="D19077">
        <v>0</v>
      </c>
      <c r="E19077">
        <v>0</v>
      </c>
      <c r="F19077">
        <v>0.2</v>
      </c>
    </row>
    <row r="19078" spans="1:6" x14ac:dyDescent="0.25">
      <c r="A19078">
        <v>19077</v>
      </c>
      <c r="B19078" t="s">
        <v>0</v>
      </c>
      <c r="C19078">
        <v>167</v>
      </c>
      <c r="D19078">
        <v>3515</v>
      </c>
      <c r="E19078">
        <v>80872687</v>
      </c>
    </row>
    <row r="19079" spans="1:6" x14ac:dyDescent="0.25">
      <c r="A19079">
        <v>19078</v>
      </c>
      <c r="B19079">
        <v>44</v>
      </c>
      <c r="C19079">
        <v>0</v>
      </c>
      <c r="D19079">
        <v>0</v>
      </c>
      <c r="E19079">
        <v>0</v>
      </c>
      <c r="F19079">
        <v>48.767400000000002</v>
      </c>
    </row>
    <row r="19080" spans="1:6" x14ac:dyDescent="0.25">
      <c r="A19080">
        <v>19079</v>
      </c>
      <c r="B19080" t="s">
        <v>0</v>
      </c>
      <c r="C19080">
        <v>168</v>
      </c>
      <c r="D19080">
        <v>3515</v>
      </c>
      <c r="E19080">
        <v>80872820</v>
      </c>
    </row>
    <row r="19081" spans="1:6" x14ac:dyDescent="0.25">
      <c r="A19081">
        <v>19080</v>
      </c>
      <c r="B19081">
        <v>46</v>
      </c>
      <c r="C19081">
        <v>0</v>
      </c>
      <c r="D19081">
        <v>0</v>
      </c>
      <c r="E19081">
        <v>0</v>
      </c>
      <c r="F19081">
        <v>0</v>
      </c>
    </row>
    <row r="19082" spans="1:6" x14ac:dyDescent="0.25">
      <c r="A19082">
        <v>19081</v>
      </c>
      <c r="B19082" t="s">
        <v>0</v>
      </c>
      <c r="C19082">
        <v>169</v>
      </c>
      <c r="D19082">
        <v>3515</v>
      </c>
      <c r="E19082">
        <v>80872952</v>
      </c>
    </row>
    <row r="19083" spans="1:6" x14ac:dyDescent="0.25">
      <c r="A19083">
        <v>19082</v>
      </c>
      <c r="B19083">
        <v>10</v>
      </c>
      <c r="C19083">
        <v>1</v>
      </c>
      <c r="D19083">
        <v>0</v>
      </c>
      <c r="E19083">
        <v>0</v>
      </c>
      <c r="F19083">
        <v>5258</v>
      </c>
    </row>
    <row r="19084" spans="1:6" x14ac:dyDescent="0.25">
      <c r="A19084">
        <v>19083</v>
      </c>
      <c r="B19084" t="s">
        <v>0</v>
      </c>
      <c r="C19084">
        <v>170</v>
      </c>
      <c r="D19084">
        <v>3515</v>
      </c>
      <c r="E19084">
        <v>80873084</v>
      </c>
    </row>
    <row r="19085" spans="1:6" x14ac:dyDescent="0.25">
      <c r="A19085">
        <v>19084</v>
      </c>
      <c r="B19085">
        <v>41</v>
      </c>
      <c r="C19085">
        <v>0</v>
      </c>
      <c r="D19085">
        <v>0</v>
      </c>
      <c r="E19085">
        <v>0</v>
      </c>
      <c r="F19085">
        <v>1</v>
      </c>
    </row>
    <row r="19086" spans="1:6" x14ac:dyDescent="0.25">
      <c r="A19086">
        <v>19085</v>
      </c>
      <c r="B19086" t="s">
        <v>0</v>
      </c>
      <c r="C19086">
        <v>171</v>
      </c>
      <c r="D19086">
        <v>3515</v>
      </c>
      <c r="E19086">
        <v>80873216</v>
      </c>
    </row>
    <row r="19087" spans="1:6" x14ac:dyDescent="0.25">
      <c r="A19087">
        <v>19086</v>
      </c>
      <c r="B19087">
        <v>43</v>
      </c>
      <c r="C19087">
        <v>0</v>
      </c>
      <c r="D19087">
        <v>0</v>
      </c>
      <c r="E19087">
        <v>0</v>
      </c>
      <c r="F19087">
        <v>0</v>
      </c>
    </row>
    <row r="19088" spans="1:6" x14ac:dyDescent="0.25">
      <c r="A19088">
        <v>19087</v>
      </c>
      <c r="B19088" t="s">
        <v>0</v>
      </c>
      <c r="C19088">
        <v>172</v>
      </c>
      <c r="D19088">
        <v>3515</v>
      </c>
      <c r="E19088">
        <v>80873348</v>
      </c>
    </row>
    <row r="19089" spans="1:6" x14ac:dyDescent="0.25">
      <c r="A19089">
        <v>19088</v>
      </c>
      <c r="B19089">
        <v>45</v>
      </c>
      <c r="C19089">
        <v>0</v>
      </c>
      <c r="D19089">
        <v>0</v>
      </c>
      <c r="E19089">
        <v>0</v>
      </c>
      <c r="F19089">
        <v>542.553</v>
      </c>
    </row>
    <row r="19090" spans="1:6" x14ac:dyDescent="0.25">
      <c r="A19090">
        <v>19089</v>
      </c>
      <c r="B19090" t="s">
        <v>0</v>
      </c>
      <c r="C19090">
        <v>173</v>
      </c>
      <c r="D19090">
        <v>3515</v>
      </c>
      <c r="E19090">
        <v>80873480</v>
      </c>
    </row>
    <row r="19091" spans="1:6" x14ac:dyDescent="0.25">
      <c r="A19091">
        <v>19090</v>
      </c>
      <c r="B19091">
        <v>2</v>
      </c>
      <c r="C19091">
        <v>0</v>
      </c>
      <c r="D19091">
        <v>0</v>
      </c>
      <c r="E19091">
        <v>0</v>
      </c>
      <c r="F19091">
        <v>251.31299999999999</v>
      </c>
    </row>
    <row r="19092" spans="1:6" x14ac:dyDescent="0.25">
      <c r="A19092">
        <v>19091</v>
      </c>
      <c r="B19092" t="s">
        <v>0</v>
      </c>
      <c r="C19092">
        <v>174</v>
      </c>
      <c r="D19092">
        <v>3515</v>
      </c>
      <c r="E19092">
        <v>80873612</v>
      </c>
    </row>
    <row r="19093" spans="1:6" x14ac:dyDescent="0.25">
      <c r="A19093">
        <v>19092</v>
      </c>
      <c r="B19093">
        <v>13</v>
      </c>
      <c r="C19093">
        <v>0</v>
      </c>
      <c r="D19093">
        <v>0</v>
      </c>
      <c r="E19093">
        <v>0</v>
      </c>
      <c r="F19093">
        <v>1619</v>
      </c>
    </row>
    <row r="19094" spans="1:6" x14ac:dyDescent="0.25">
      <c r="A19094">
        <v>19093</v>
      </c>
      <c r="B19094" t="s">
        <v>0</v>
      </c>
      <c r="C19094">
        <v>175</v>
      </c>
      <c r="D19094">
        <v>3515</v>
      </c>
      <c r="E19094">
        <v>80873744</v>
      </c>
    </row>
    <row r="19095" spans="1:6" x14ac:dyDescent="0.25">
      <c r="A19095">
        <v>19094</v>
      </c>
      <c r="B19095">
        <v>42</v>
      </c>
      <c r="C19095">
        <v>0</v>
      </c>
      <c r="D19095">
        <v>0</v>
      </c>
      <c r="E19095">
        <v>0</v>
      </c>
      <c r="F19095">
        <v>0.2</v>
      </c>
    </row>
    <row r="19096" spans="1:6" x14ac:dyDescent="0.25">
      <c r="A19096">
        <v>19095</v>
      </c>
      <c r="B19096" t="s">
        <v>0</v>
      </c>
      <c r="C19096">
        <v>176</v>
      </c>
      <c r="D19096">
        <v>3515</v>
      </c>
      <c r="E19096">
        <v>80873876</v>
      </c>
    </row>
    <row r="19097" spans="1:6" x14ac:dyDescent="0.25">
      <c r="A19097">
        <v>19096</v>
      </c>
      <c r="B19097">
        <v>44</v>
      </c>
      <c r="C19097">
        <v>0</v>
      </c>
      <c r="D19097">
        <v>0</v>
      </c>
      <c r="E19097">
        <v>0</v>
      </c>
      <c r="F19097">
        <v>48.642499999999998</v>
      </c>
    </row>
    <row r="19098" spans="1:6" x14ac:dyDescent="0.25">
      <c r="A19098">
        <v>19097</v>
      </c>
      <c r="B19098" t="s">
        <v>0</v>
      </c>
      <c r="C19098">
        <v>177</v>
      </c>
      <c r="D19098">
        <v>3515</v>
      </c>
      <c r="E19098">
        <v>80874008</v>
      </c>
    </row>
    <row r="19099" spans="1:6" x14ac:dyDescent="0.25">
      <c r="A19099">
        <v>19098</v>
      </c>
      <c r="B19099">
        <v>46</v>
      </c>
      <c r="C19099">
        <v>0</v>
      </c>
      <c r="D19099">
        <v>0</v>
      </c>
      <c r="E19099">
        <v>0</v>
      </c>
      <c r="F19099">
        <v>0</v>
      </c>
    </row>
    <row r="19100" spans="1:6" x14ac:dyDescent="0.25">
      <c r="A19100">
        <v>19099</v>
      </c>
      <c r="B19100" t="s">
        <v>0</v>
      </c>
      <c r="C19100">
        <v>178</v>
      </c>
      <c r="D19100">
        <v>3515</v>
      </c>
      <c r="E19100">
        <v>80874140</v>
      </c>
    </row>
    <row r="19101" spans="1:6" x14ac:dyDescent="0.25">
      <c r="A19101">
        <v>19100</v>
      </c>
      <c r="B19101">
        <v>10</v>
      </c>
      <c r="C19101">
        <v>1</v>
      </c>
      <c r="D19101">
        <v>0</v>
      </c>
      <c r="E19101">
        <v>0</v>
      </c>
      <c r="F19101">
        <v>5255</v>
      </c>
    </row>
    <row r="19102" spans="1:6" x14ac:dyDescent="0.25">
      <c r="A19102">
        <v>19101</v>
      </c>
      <c r="B19102">
        <v>13</v>
      </c>
      <c r="C19102">
        <v>0</v>
      </c>
      <c r="D19102">
        <v>0</v>
      </c>
      <c r="E19102">
        <v>0</v>
      </c>
      <c r="F19102">
        <v>1619</v>
      </c>
    </row>
    <row r="19103" spans="1:6" x14ac:dyDescent="0.25">
      <c r="A19103">
        <v>19102</v>
      </c>
      <c r="B19103">
        <v>41</v>
      </c>
      <c r="C19103">
        <v>0</v>
      </c>
      <c r="D19103">
        <v>0</v>
      </c>
      <c r="E19103">
        <v>0</v>
      </c>
      <c r="F19103">
        <v>1</v>
      </c>
    </row>
    <row r="19104" spans="1:6" x14ac:dyDescent="0.25">
      <c r="A19104">
        <v>19103</v>
      </c>
      <c r="B19104" t="s">
        <v>0</v>
      </c>
      <c r="C19104">
        <v>0</v>
      </c>
      <c r="D19104">
        <v>3516</v>
      </c>
      <c r="E19104">
        <v>80874404</v>
      </c>
    </row>
    <row r="19105" spans="1:6" x14ac:dyDescent="0.25">
      <c r="A19105">
        <v>19104</v>
      </c>
      <c r="B19105">
        <v>43</v>
      </c>
      <c r="C19105">
        <v>0</v>
      </c>
      <c r="D19105">
        <v>0</v>
      </c>
      <c r="E19105">
        <v>0</v>
      </c>
      <c r="F19105">
        <v>0</v>
      </c>
    </row>
    <row r="19106" spans="1:6" x14ac:dyDescent="0.25">
      <c r="A19106">
        <v>19105</v>
      </c>
      <c r="B19106" t="s">
        <v>0</v>
      </c>
      <c r="C19106">
        <v>1</v>
      </c>
      <c r="D19106">
        <v>3516</v>
      </c>
      <c r="E19106">
        <v>80874537</v>
      </c>
    </row>
    <row r="19107" spans="1:6" x14ac:dyDescent="0.25">
      <c r="A19107">
        <v>19106</v>
      </c>
      <c r="B19107">
        <v>45</v>
      </c>
      <c r="C19107">
        <v>0</v>
      </c>
      <c r="D19107">
        <v>0</v>
      </c>
      <c r="E19107">
        <v>0</v>
      </c>
      <c r="F19107">
        <v>542.64300000000003</v>
      </c>
    </row>
    <row r="19108" spans="1:6" x14ac:dyDescent="0.25">
      <c r="A19108">
        <v>19107</v>
      </c>
      <c r="B19108" t="s">
        <v>0</v>
      </c>
      <c r="C19108">
        <v>2</v>
      </c>
      <c r="D19108">
        <v>3516</v>
      </c>
      <c r="E19108">
        <v>80874669</v>
      </c>
    </row>
    <row r="19109" spans="1:6" x14ac:dyDescent="0.25">
      <c r="A19109">
        <v>19108</v>
      </c>
      <c r="B19109">
        <v>2</v>
      </c>
      <c r="C19109">
        <v>0</v>
      </c>
      <c r="D19109">
        <v>0</v>
      </c>
      <c r="E19109">
        <v>0</v>
      </c>
      <c r="F19109">
        <v>251.40600000000001</v>
      </c>
    </row>
    <row r="19110" spans="1:6" x14ac:dyDescent="0.25">
      <c r="A19110">
        <v>19109</v>
      </c>
      <c r="B19110" t="s">
        <v>0</v>
      </c>
      <c r="C19110">
        <v>3</v>
      </c>
      <c r="D19110">
        <v>3516</v>
      </c>
      <c r="E19110">
        <v>80874801</v>
      </c>
    </row>
    <row r="19111" spans="1:6" x14ac:dyDescent="0.25">
      <c r="A19111">
        <v>19110</v>
      </c>
      <c r="B19111">
        <v>13</v>
      </c>
      <c r="C19111">
        <v>0</v>
      </c>
      <c r="D19111">
        <v>0</v>
      </c>
      <c r="E19111">
        <v>0</v>
      </c>
      <c r="F19111">
        <v>1619</v>
      </c>
    </row>
    <row r="19112" spans="1:6" x14ac:dyDescent="0.25">
      <c r="A19112">
        <v>19111</v>
      </c>
      <c r="B19112" t="s">
        <v>0</v>
      </c>
      <c r="C19112">
        <v>4</v>
      </c>
      <c r="D19112">
        <v>3516</v>
      </c>
      <c r="E19112">
        <v>80874933</v>
      </c>
    </row>
    <row r="19113" spans="1:6" x14ac:dyDescent="0.25">
      <c r="A19113">
        <v>19112</v>
      </c>
      <c r="B19113">
        <v>42</v>
      </c>
      <c r="C19113">
        <v>0</v>
      </c>
      <c r="D19113">
        <v>0</v>
      </c>
      <c r="E19113">
        <v>0</v>
      </c>
      <c r="F19113">
        <v>0.2</v>
      </c>
    </row>
    <row r="19114" spans="1:6" x14ac:dyDescent="0.25">
      <c r="A19114">
        <v>19113</v>
      </c>
      <c r="B19114" t="s">
        <v>0</v>
      </c>
      <c r="C19114">
        <v>5</v>
      </c>
      <c r="D19114">
        <v>3516</v>
      </c>
      <c r="E19114">
        <v>80875065</v>
      </c>
    </row>
    <row r="19115" spans="1:6" x14ac:dyDescent="0.25">
      <c r="A19115">
        <v>19114</v>
      </c>
      <c r="B19115">
        <v>44</v>
      </c>
      <c r="C19115">
        <v>0</v>
      </c>
      <c r="D19115">
        <v>0</v>
      </c>
      <c r="E19115">
        <v>0</v>
      </c>
      <c r="F19115">
        <v>48.562899999999999</v>
      </c>
    </row>
    <row r="19116" spans="1:6" x14ac:dyDescent="0.25">
      <c r="A19116">
        <v>19115</v>
      </c>
      <c r="B19116" t="s">
        <v>0</v>
      </c>
      <c r="C19116">
        <v>6</v>
      </c>
      <c r="D19116">
        <v>3516</v>
      </c>
      <c r="E19116">
        <v>80875197</v>
      </c>
    </row>
    <row r="19117" spans="1:6" x14ac:dyDescent="0.25">
      <c r="A19117">
        <v>19116</v>
      </c>
      <c r="B19117">
        <v>46</v>
      </c>
      <c r="C19117">
        <v>0</v>
      </c>
      <c r="D19117">
        <v>0</v>
      </c>
      <c r="E19117">
        <v>0</v>
      </c>
      <c r="F19117">
        <v>0</v>
      </c>
    </row>
    <row r="19118" spans="1:6" x14ac:dyDescent="0.25">
      <c r="A19118">
        <v>19117</v>
      </c>
      <c r="B19118" t="s">
        <v>0</v>
      </c>
      <c r="C19118">
        <v>7</v>
      </c>
      <c r="D19118">
        <v>3516</v>
      </c>
      <c r="E19118">
        <v>80875329</v>
      </c>
    </row>
    <row r="19119" spans="1:6" x14ac:dyDescent="0.25">
      <c r="A19119">
        <v>19118</v>
      </c>
      <c r="B19119">
        <v>10</v>
      </c>
      <c r="C19119">
        <v>1</v>
      </c>
      <c r="D19119">
        <v>0</v>
      </c>
      <c r="E19119">
        <v>0</v>
      </c>
      <c r="F19119">
        <v>5254</v>
      </c>
    </row>
    <row r="19120" spans="1:6" x14ac:dyDescent="0.25">
      <c r="A19120">
        <v>19119</v>
      </c>
      <c r="B19120" t="s">
        <v>0</v>
      </c>
      <c r="C19120">
        <v>8</v>
      </c>
      <c r="D19120">
        <v>3516</v>
      </c>
      <c r="E19120">
        <v>80875460</v>
      </c>
    </row>
    <row r="19121" spans="1:6" x14ac:dyDescent="0.25">
      <c r="A19121">
        <v>19120</v>
      </c>
      <c r="B19121">
        <v>41</v>
      </c>
      <c r="C19121">
        <v>0</v>
      </c>
      <c r="D19121">
        <v>0</v>
      </c>
      <c r="E19121">
        <v>0</v>
      </c>
      <c r="F19121">
        <v>1</v>
      </c>
    </row>
    <row r="19122" spans="1:6" x14ac:dyDescent="0.25">
      <c r="A19122">
        <v>19121</v>
      </c>
      <c r="B19122" t="s">
        <v>0</v>
      </c>
      <c r="C19122">
        <v>9</v>
      </c>
      <c r="D19122">
        <v>3516</v>
      </c>
      <c r="E19122">
        <v>80875592</v>
      </c>
    </row>
    <row r="19123" spans="1:6" x14ac:dyDescent="0.25">
      <c r="A19123">
        <v>19122</v>
      </c>
      <c r="B19123">
        <v>43</v>
      </c>
      <c r="C19123">
        <v>0</v>
      </c>
      <c r="D19123">
        <v>0</v>
      </c>
      <c r="E19123">
        <v>0</v>
      </c>
      <c r="F19123">
        <v>0</v>
      </c>
    </row>
    <row r="19124" spans="1:6" x14ac:dyDescent="0.25">
      <c r="A19124">
        <v>19123</v>
      </c>
      <c r="B19124" t="s">
        <v>0</v>
      </c>
      <c r="C19124">
        <v>10</v>
      </c>
      <c r="D19124">
        <v>3516</v>
      </c>
      <c r="E19124">
        <v>80875724</v>
      </c>
    </row>
    <row r="19125" spans="1:6" x14ac:dyDescent="0.25">
      <c r="A19125">
        <v>19124</v>
      </c>
      <c r="B19125">
        <v>45</v>
      </c>
      <c r="C19125">
        <v>0</v>
      </c>
      <c r="D19125">
        <v>0</v>
      </c>
      <c r="E19125">
        <v>0</v>
      </c>
      <c r="F19125">
        <v>542.75900000000001</v>
      </c>
    </row>
    <row r="19126" spans="1:6" x14ac:dyDescent="0.25">
      <c r="A19126">
        <v>19125</v>
      </c>
      <c r="B19126" t="s">
        <v>0</v>
      </c>
      <c r="C19126">
        <v>11</v>
      </c>
      <c r="D19126">
        <v>3516</v>
      </c>
      <c r="E19126">
        <v>80875856</v>
      </c>
    </row>
    <row r="19127" spans="1:6" x14ac:dyDescent="0.25">
      <c r="A19127">
        <v>19126</v>
      </c>
      <c r="B19127">
        <v>2</v>
      </c>
      <c r="C19127">
        <v>0</v>
      </c>
      <c r="D19127">
        <v>0</v>
      </c>
      <c r="E19127">
        <v>0</v>
      </c>
      <c r="F19127">
        <v>251.48599999999999</v>
      </c>
    </row>
    <row r="19128" spans="1:6" x14ac:dyDescent="0.25">
      <c r="A19128">
        <v>19127</v>
      </c>
      <c r="B19128" t="s">
        <v>0</v>
      </c>
      <c r="C19128">
        <v>12</v>
      </c>
      <c r="D19128">
        <v>3516</v>
      </c>
      <c r="E19128">
        <v>80875988</v>
      </c>
    </row>
    <row r="19129" spans="1:6" x14ac:dyDescent="0.25">
      <c r="A19129">
        <v>19128</v>
      </c>
      <c r="B19129">
        <v>13</v>
      </c>
      <c r="C19129">
        <v>0</v>
      </c>
      <c r="D19129">
        <v>0</v>
      </c>
      <c r="E19129">
        <v>0</v>
      </c>
      <c r="F19129">
        <v>1619</v>
      </c>
    </row>
    <row r="19130" spans="1:6" x14ac:dyDescent="0.25">
      <c r="A19130">
        <v>19129</v>
      </c>
      <c r="B19130" t="s">
        <v>0</v>
      </c>
      <c r="C19130">
        <v>13</v>
      </c>
      <c r="D19130">
        <v>3516</v>
      </c>
      <c r="E19130">
        <v>80876120</v>
      </c>
    </row>
    <row r="19131" spans="1:6" x14ac:dyDescent="0.25">
      <c r="A19131">
        <v>19130</v>
      </c>
      <c r="B19131">
        <v>42</v>
      </c>
      <c r="C19131">
        <v>0</v>
      </c>
      <c r="D19131">
        <v>0</v>
      </c>
      <c r="E19131">
        <v>0</v>
      </c>
      <c r="F19131">
        <v>0.2</v>
      </c>
    </row>
    <row r="19132" spans="1:6" x14ac:dyDescent="0.25">
      <c r="A19132">
        <v>19131</v>
      </c>
      <c r="B19132" t="s">
        <v>0</v>
      </c>
      <c r="C19132">
        <v>14</v>
      </c>
      <c r="D19132">
        <v>3516</v>
      </c>
      <c r="E19132">
        <v>80876252</v>
      </c>
    </row>
    <row r="19133" spans="1:6" x14ac:dyDescent="0.25">
      <c r="A19133">
        <v>19132</v>
      </c>
      <c r="B19133">
        <v>44</v>
      </c>
      <c r="C19133">
        <v>0</v>
      </c>
      <c r="D19133">
        <v>0</v>
      </c>
      <c r="E19133">
        <v>0</v>
      </c>
      <c r="F19133">
        <v>48.494500000000002</v>
      </c>
    </row>
    <row r="19134" spans="1:6" x14ac:dyDescent="0.25">
      <c r="A19134">
        <v>19133</v>
      </c>
      <c r="B19134" t="s">
        <v>0</v>
      </c>
      <c r="C19134">
        <v>15</v>
      </c>
      <c r="D19134">
        <v>3516</v>
      </c>
      <c r="E19134">
        <v>80876384</v>
      </c>
    </row>
    <row r="19135" spans="1:6" x14ac:dyDescent="0.25">
      <c r="A19135">
        <v>19134</v>
      </c>
      <c r="B19135">
        <v>46</v>
      </c>
      <c r="C19135">
        <v>0</v>
      </c>
      <c r="D19135">
        <v>0</v>
      </c>
      <c r="E19135">
        <v>0</v>
      </c>
      <c r="F19135">
        <v>0</v>
      </c>
    </row>
    <row r="19136" spans="1:6" x14ac:dyDescent="0.25">
      <c r="A19136">
        <v>19135</v>
      </c>
      <c r="B19136" t="s">
        <v>0</v>
      </c>
      <c r="C19136">
        <v>16</v>
      </c>
      <c r="D19136">
        <v>3516</v>
      </c>
      <c r="E19136">
        <v>80876516</v>
      </c>
    </row>
    <row r="19137" spans="1:6" x14ac:dyDescent="0.25">
      <c r="A19137">
        <v>19136</v>
      </c>
      <c r="B19137">
        <v>2</v>
      </c>
      <c r="C19137">
        <v>0</v>
      </c>
      <c r="D19137">
        <v>0</v>
      </c>
      <c r="E19137">
        <v>0</v>
      </c>
      <c r="F19137">
        <v>251.517</v>
      </c>
    </row>
    <row r="19138" spans="1:6" x14ac:dyDescent="0.25">
      <c r="A19138">
        <v>19137</v>
      </c>
      <c r="B19138">
        <v>10</v>
      </c>
      <c r="C19138">
        <v>1</v>
      </c>
      <c r="D19138">
        <v>0</v>
      </c>
      <c r="E19138">
        <v>0</v>
      </c>
      <c r="F19138">
        <v>5253</v>
      </c>
    </row>
    <row r="19139" spans="1:6" x14ac:dyDescent="0.25">
      <c r="A19139">
        <v>19138</v>
      </c>
      <c r="B19139" t="s">
        <v>0</v>
      </c>
      <c r="C19139">
        <v>17</v>
      </c>
      <c r="D19139">
        <v>3516</v>
      </c>
      <c r="E19139">
        <v>80876648</v>
      </c>
    </row>
    <row r="19140" spans="1:6" x14ac:dyDescent="0.25">
      <c r="A19140">
        <v>19139</v>
      </c>
      <c r="B19140">
        <v>13</v>
      </c>
      <c r="C19140">
        <v>0</v>
      </c>
      <c r="D19140">
        <v>0</v>
      </c>
      <c r="E19140">
        <v>0</v>
      </c>
      <c r="F19140">
        <v>1619</v>
      </c>
    </row>
    <row r="19141" spans="1:6" x14ac:dyDescent="0.25">
      <c r="A19141">
        <v>19140</v>
      </c>
      <c r="B19141">
        <v>41</v>
      </c>
      <c r="C19141">
        <v>0</v>
      </c>
      <c r="D19141">
        <v>0</v>
      </c>
      <c r="E19141">
        <v>0</v>
      </c>
      <c r="F19141">
        <v>1</v>
      </c>
    </row>
    <row r="19142" spans="1:6" x14ac:dyDescent="0.25">
      <c r="A19142">
        <v>19141</v>
      </c>
      <c r="B19142" t="s">
        <v>0</v>
      </c>
      <c r="C19142">
        <v>18</v>
      </c>
      <c r="D19142">
        <v>3516</v>
      </c>
      <c r="E19142">
        <v>80876780</v>
      </c>
    </row>
    <row r="19143" spans="1:6" x14ac:dyDescent="0.25">
      <c r="A19143">
        <v>19142</v>
      </c>
      <c r="B19143">
        <v>42</v>
      </c>
      <c r="C19143">
        <v>0</v>
      </c>
      <c r="D19143">
        <v>0</v>
      </c>
      <c r="E19143">
        <v>0</v>
      </c>
      <c r="F19143">
        <v>0.2</v>
      </c>
    </row>
    <row r="19144" spans="1:6" x14ac:dyDescent="0.25">
      <c r="A19144">
        <v>19143</v>
      </c>
      <c r="B19144">
        <v>43</v>
      </c>
      <c r="C19144">
        <v>0</v>
      </c>
      <c r="D19144">
        <v>0</v>
      </c>
      <c r="E19144">
        <v>0</v>
      </c>
      <c r="F19144">
        <v>0</v>
      </c>
    </row>
    <row r="19145" spans="1:6" x14ac:dyDescent="0.25">
      <c r="A19145">
        <v>19144</v>
      </c>
      <c r="B19145" t="s">
        <v>0</v>
      </c>
      <c r="C19145">
        <v>19</v>
      </c>
      <c r="D19145">
        <v>3516</v>
      </c>
      <c r="E19145">
        <v>80876912</v>
      </c>
    </row>
    <row r="19146" spans="1:6" x14ac:dyDescent="0.25">
      <c r="A19146">
        <v>19145</v>
      </c>
      <c r="B19146">
        <v>44</v>
      </c>
      <c r="C19146">
        <v>0</v>
      </c>
      <c r="D19146">
        <v>0</v>
      </c>
      <c r="E19146">
        <v>0</v>
      </c>
      <c r="F19146">
        <v>48.468200000000003</v>
      </c>
    </row>
    <row r="19147" spans="1:6" x14ac:dyDescent="0.25">
      <c r="A19147">
        <v>19146</v>
      </c>
      <c r="B19147">
        <v>45</v>
      </c>
      <c r="C19147">
        <v>0</v>
      </c>
      <c r="D19147">
        <v>0</v>
      </c>
      <c r="E19147">
        <v>0</v>
      </c>
      <c r="F19147">
        <v>542.87400000000002</v>
      </c>
    </row>
    <row r="19148" spans="1:6" x14ac:dyDescent="0.25">
      <c r="A19148">
        <v>19147</v>
      </c>
      <c r="B19148" t="s">
        <v>0</v>
      </c>
      <c r="C19148">
        <v>20</v>
      </c>
      <c r="D19148">
        <v>3516</v>
      </c>
      <c r="E19148">
        <v>80877044</v>
      </c>
    </row>
    <row r="19149" spans="1:6" x14ac:dyDescent="0.25">
      <c r="A19149">
        <v>19148</v>
      </c>
      <c r="B19149">
        <v>46</v>
      </c>
      <c r="C19149">
        <v>0</v>
      </c>
      <c r="D19149">
        <v>0</v>
      </c>
      <c r="E19149">
        <v>0</v>
      </c>
      <c r="F19149">
        <v>0</v>
      </c>
    </row>
    <row r="19150" spans="1:6" x14ac:dyDescent="0.25">
      <c r="A19150">
        <v>19149</v>
      </c>
      <c r="B19150">
        <v>2</v>
      </c>
      <c r="C19150">
        <v>0</v>
      </c>
      <c r="D19150">
        <v>0</v>
      </c>
      <c r="E19150">
        <v>0</v>
      </c>
      <c r="F19150">
        <v>251.536</v>
      </c>
    </row>
    <row r="19151" spans="1:6" x14ac:dyDescent="0.25">
      <c r="A19151">
        <v>19150</v>
      </c>
      <c r="B19151" t="s">
        <v>0</v>
      </c>
      <c r="C19151">
        <v>21</v>
      </c>
      <c r="D19151">
        <v>3516</v>
      </c>
      <c r="E19151">
        <v>80877176</v>
      </c>
    </row>
    <row r="19152" spans="1:6" x14ac:dyDescent="0.25">
      <c r="A19152">
        <v>19151</v>
      </c>
      <c r="B19152">
        <v>10</v>
      </c>
      <c r="C19152">
        <v>1</v>
      </c>
      <c r="D19152">
        <v>0</v>
      </c>
      <c r="E19152">
        <v>0</v>
      </c>
      <c r="F19152">
        <v>5253</v>
      </c>
    </row>
    <row r="19153" spans="1:6" x14ac:dyDescent="0.25">
      <c r="A19153">
        <v>19152</v>
      </c>
      <c r="B19153">
        <v>13</v>
      </c>
      <c r="C19153">
        <v>0</v>
      </c>
      <c r="D19153">
        <v>0</v>
      </c>
      <c r="E19153">
        <v>0</v>
      </c>
      <c r="F19153">
        <v>1619</v>
      </c>
    </row>
    <row r="19154" spans="1:6" x14ac:dyDescent="0.25">
      <c r="A19154">
        <v>19153</v>
      </c>
      <c r="B19154" t="s">
        <v>0</v>
      </c>
      <c r="C19154">
        <v>22</v>
      </c>
      <c r="D19154">
        <v>3516</v>
      </c>
      <c r="E19154">
        <v>80877308</v>
      </c>
    </row>
    <row r="19155" spans="1:6" x14ac:dyDescent="0.25">
      <c r="A19155">
        <v>19154</v>
      </c>
      <c r="B19155">
        <v>41</v>
      </c>
      <c r="C19155">
        <v>0</v>
      </c>
      <c r="D19155">
        <v>0</v>
      </c>
      <c r="E19155">
        <v>0</v>
      </c>
      <c r="F19155">
        <v>1</v>
      </c>
    </row>
    <row r="19156" spans="1:6" x14ac:dyDescent="0.25">
      <c r="A19156">
        <v>19155</v>
      </c>
      <c r="B19156">
        <v>42</v>
      </c>
      <c r="C19156">
        <v>0</v>
      </c>
      <c r="D19156">
        <v>0</v>
      </c>
      <c r="E19156">
        <v>0</v>
      </c>
      <c r="F19156">
        <v>0.2</v>
      </c>
    </row>
    <row r="19157" spans="1:6" x14ac:dyDescent="0.25">
      <c r="A19157">
        <v>19156</v>
      </c>
      <c r="B19157" t="s">
        <v>0</v>
      </c>
      <c r="C19157">
        <v>23</v>
      </c>
      <c r="D19157">
        <v>3516</v>
      </c>
      <c r="E19157">
        <v>80877439</v>
      </c>
    </row>
    <row r="19158" spans="1:6" x14ac:dyDescent="0.25">
      <c r="A19158">
        <v>19157</v>
      </c>
      <c r="B19158">
        <v>43</v>
      </c>
      <c r="C19158">
        <v>0</v>
      </c>
      <c r="D19158">
        <v>0</v>
      </c>
      <c r="E19158">
        <v>0</v>
      </c>
      <c r="F19158">
        <v>0</v>
      </c>
    </row>
    <row r="19159" spans="1:6" x14ac:dyDescent="0.25">
      <c r="A19159">
        <v>19158</v>
      </c>
      <c r="B19159">
        <v>44</v>
      </c>
      <c r="C19159">
        <v>0</v>
      </c>
      <c r="D19159">
        <v>0</v>
      </c>
      <c r="E19159">
        <v>0</v>
      </c>
      <c r="F19159">
        <v>48.451599999999999</v>
      </c>
    </row>
    <row r="19160" spans="1:6" x14ac:dyDescent="0.25">
      <c r="A19160">
        <v>19159</v>
      </c>
      <c r="B19160" t="s">
        <v>0</v>
      </c>
      <c r="C19160">
        <v>24</v>
      </c>
      <c r="D19160">
        <v>3516</v>
      </c>
      <c r="E19160">
        <v>80877571</v>
      </c>
    </row>
    <row r="19161" spans="1:6" x14ac:dyDescent="0.25">
      <c r="A19161">
        <v>19160</v>
      </c>
      <c r="B19161">
        <v>45</v>
      </c>
      <c r="C19161">
        <v>0</v>
      </c>
      <c r="D19161">
        <v>0</v>
      </c>
      <c r="E19161">
        <v>0</v>
      </c>
      <c r="F19161">
        <v>542.93899999999996</v>
      </c>
    </row>
    <row r="19162" spans="1:6" x14ac:dyDescent="0.25">
      <c r="A19162">
        <v>19161</v>
      </c>
      <c r="B19162">
        <v>46</v>
      </c>
      <c r="C19162">
        <v>0</v>
      </c>
      <c r="D19162">
        <v>0</v>
      </c>
      <c r="E19162">
        <v>0</v>
      </c>
      <c r="F19162">
        <v>0</v>
      </c>
    </row>
    <row r="19163" spans="1:6" x14ac:dyDescent="0.25">
      <c r="A19163">
        <v>19162</v>
      </c>
      <c r="B19163" t="s">
        <v>0</v>
      </c>
      <c r="C19163">
        <v>25</v>
      </c>
      <c r="D19163">
        <v>3516</v>
      </c>
      <c r="E19163">
        <v>80877703</v>
      </c>
    </row>
    <row r="19164" spans="1:6" x14ac:dyDescent="0.25">
      <c r="A19164">
        <v>19163</v>
      </c>
      <c r="B19164">
        <v>2</v>
      </c>
      <c r="C19164">
        <v>0</v>
      </c>
      <c r="D19164">
        <v>0</v>
      </c>
      <c r="E19164">
        <v>0</v>
      </c>
      <c r="F19164">
        <v>251.55500000000001</v>
      </c>
    </row>
    <row r="19165" spans="1:6" x14ac:dyDescent="0.25">
      <c r="A19165">
        <v>19164</v>
      </c>
      <c r="B19165">
        <v>10</v>
      </c>
      <c r="C19165">
        <v>1</v>
      </c>
      <c r="D19165">
        <v>0</v>
      </c>
      <c r="E19165">
        <v>0</v>
      </c>
      <c r="F19165">
        <v>5252</v>
      </c>
    </row>
    <row r="19166" spans="1:6" x14ac:dyDescent="0.25">
      <c r="A19166">
        <v>19165</v>
      </c>
      <c r="B19166" t="s">
        <v>0</v>
      </c>
      <c r="C19166">
        <v>26</v>
      </c>
      <c r="D19166">
        <v>3516</v>
      </c>
      <c r="E19166">
        <v>80877835</v>
      </c>
    </row>
    <row r="19167" spans="1:6" x14ac:dyDescent="0.25">
      <c r="A19167">
        <v>19166</v>
      </c>
      <c r="B19167">
        <v>13</v>
      </c>
      <c r="C19167">
        <v>0</v>
      </c>
      <c r="D19167">
        <v>0</v>
      </c>
      <c r="E19167">
        <v>0</v>
      </c>
      <c r="F19167">
        <v>1619</v>
      </c>
    </row>
    <row r="19168" spans="1:6" x14ac:dyDescent="0.25">
      <c r="A19168">
        <v>19167</v>
      </c>
      <c r="B19168">
        <v>41</v>
      </c>
      <c r="C19168">
        <v>0</v>
      </c>
      <c r="D19168">
        <v>0</v>
      </c>
      <c r="E19168">
        <v>0</v>
      </c>
      <c r="F19168">
        <v>1</v>
      </c>
    </row>
    <row r="19169" spans="1:6" x14ac:dyDescent="0.25">
      <c r="A19169">
        <v>19168</v>
      </c>
      <c r="B19169" t="s">
        <v>0</v>
      </c>
      <c r="C19169">
        <v>27</v>
      </c>
      <c r="D19169">
        <v>3516</v>
      </c>
      <c r="E19169">
        <v>80877967</v>
      </c>
    </row>
    <row r="19170" spans="1:6" x14ac:dyDescent="0.25">
      <c r="A19170">
        <v>19169</v>
      </c>
      <c r="B19170">
        <v>42</v>
      </c>
      <c r="C19170">
        <v>0</v>
      </c>
      <c r="D19170">
        <v>0</v>
      </c>
      <c r="E19170">
        <v>0</v>
      </c>
      <c r="F19170">
        <v>0.2</v>
      </c>
    </row>
    <row r="19171" spans="1:6" x14ac:dyDescent="0.25">
      <c r="A19171">
        <v>19170</v>
      </c>
      <c r="B19171">
        <v>43</v>
      </c>
      <c r="C19171">
        <v>0</v>
      </c>
      <c r="D19171">
        <v>0</v>
      </c>
      <c r="E19171">
        <v>0</v>
      </c>
      <c r="F19171">
        <v>0</v>
      </c>
    </row>
    <row r="19172" spans="1:6" x14ac:dyDescent="0.25">
      <c r="A19172">
        <v>19171</v>
      </c>
      <c r="B19172" t="s">
        <v>0</v>
      </c>
      <c r="C19172">
        <v>28</v>
      </c>
      <c r="D19172">
        <v>3516</v>
      </c>
      <c r="E19172">
        <v>80878099</v>
      </c>
    </row>
    <row r="19173" spans="1:6" x14ac:dyDescent="0.25">
      <c r="A19173">
        <v>19172</v>
      </c>
      <c r="B19173">
        <v>44</v>
      </c>
      <c r="C19173">
        <v>0</v>
      </c>
      <c r="D19173">
        <v>0</v>
      </c>
      <c r="E19173">
        <v>0</v>
      </c>
      <c r="F19173">
        <v>48.435000000000002</v>
      </c>
    </row>
    <row r="19174" spans="1:6" x14ac:dyDescent="0.25">
      <c r="A19174">
        <v>19173</v>
      </c>
      <c r="B19174">
        <v>45</v>
      </c>
      <c r="C19174">
        <v>0</v>
      </c>
      <c r="D19174">
        <v>0</v>
      </c>
      <c r="E19174">
        <v>0</v>
      </c>
      <c r="F19174">
        <v>542.99</v>
      </c>
    </row>
    <row r="19175" spans="1:6" x14ac:dyDescent="0.25">
      <c r="A19175">
        <v>19174</v>
      </c>
      <c r="B19175" t="s">
        <v>0</v>
      </c>
      <c r="C19175">
        <v>29</v>
      </c>
      <c r="D19175">
        <v>3516</v>
      </c>
      <c r="E19175">
        <v>80878231</v>
      </c>
    </row>
    <row r="19176" spans="1:6" x14ac:dyDescent="0.25">
      <c r="A19176">
        <v>19175</v>
      </c>
      <c r="B19176">
        <v>46</v>
      </c>
      <c r="C19176">
        <v>0</v>
      </c>
      <c r="D19176">
        <v>0</v>
      </c>
      <c r="E19176">
        <v>0</v>
      </c>
      <c r="F19176">
        <v>0</v>
      </c>
    </row>
    <row r="19177" spans="1:6" x14ac:dyDescent="0.25">
      <c r="A19177">
        <v>19176</v>
      </c>
      <c r="B19177">
        <v>2</v>
      </c>
      <c r="C19177">
        <v>0</v>
      </c>
      <c r="D19177">
        <v>0</v>
      </c>
      <c r="E19177">
        <v>0</v>
      </c>
      <c r="F19177">
        <v>251.56800000000001</v>
      </c>
    </row>
    <row r="19178" spans="1:6" x14ac:dyDescent="0.25">
      <c r="A19178">
        <v>19177</v>
      </c>
      <c r="B19178" t="s">
        <v>0</v>
      </c>
      <c r="C19178">
        <v>30</v>
      </c>
      <c r="D19178">
        <v>3516</v>
      </c>
      <c r="E19178">
        <v>80878363</v>
      </c>
    </row>
    <row r="19179" spans="1:6" x14ac:dyDescent="0.25">
      <c r="A19179">
        <v>19178</v>
      </c>
      <c r="B19179">
        <v>10</v>
      </c>
      <c r="C19179">
        <v>1</v>
      </c>
      <c r="D19179">
        <v>0</v>
      </c>
      <c r="E19179">
        <v>0</v>
      </c>
      <c r="F19179">
        <v>5252</v>
      </c>
    </row>
    <row r="19180" spans="1:6" x14ac:dyDescent="0.25">
      <c r="A19180">
        <v>19179</v>
      </c>
      <c r="B19180">
        <v>13</v>
      </c>
      <c r="C19180">
        <v>0</v>
      </c>
      <c r="D19180">
        <v>0</v>
      </c>
      <c r="E19180">
        <v>0</v>
      </c>
      <c r="F19180">
        <v>1619</v>
      </c>
    </row>
    <row r="19181" spans="1:6" x14ac:dyDescent="0.25">
      <c r="A19181">
        <v>19180</v>
      </c>
      <c r="B19181" t="s">
        <v>0</v>
      </c>
      <c r="C19181">
        <v>31</v>
      </c>
      <c r="D19181">
        <v>3516</v>
      </c>
      <c r="E19181">
        <v>80878495</v>
      </c>
    </row>
    <row r="19182" spans="1:6" x14ac:dyDescent="0.25">
      <c r="A19182">
        <v>19181</v>
      </c>
      <c r="B19182">
        <v>41</v>
      </c>
      <c r="C19182">
        <v>0</v>
      </c>
      <c r="D19182">
        <v>0</v>
      </c>
      <c r="E19182">
        <v>0</v>
      </c>
      <c r="F19182">
        <v>1</v>
      </c>
    </row>
    <row r="19183" spans="1:6" x14ac:dyDescent="0.25">
      <c r="A19183">
        <v>19182</v>
      </c>
      <c r="B19183">
        <v>42</v>
      </c>
      <c r="C19183">
        <v>0</v>
      </c>
      <c r="D19183">
        <v>0</v>
      </c>
      <c r="E19183">
        <v>0</v>
      </c>
      <c r="F19183">
        <v>0.2</v>
      </c>
    </row>
    <row r="19184" spans="1:6" x14ac:dyDescent="0.25">
      <c r="A19184">
        <v>19183</v>
      </c>
      <c r="B19184" t="s">
        <v>0</v>
      </c>
      <c r="C19184">
        <v>32</v>
      </c>
      <c r="D19184">
        <v>3516</v>
      </c>
      <c r="E19184">
        <v>80878627</v>
      </c>
    </row>
    <row r="19185" spans="1:6" x14ac:dyDescent="0.25">
      <c r="A19185">
        <v>19184</v>
      </c>
      <c r="B19185">
        <v>43</v>
      </c>
      <c r="C19185">
        <v>0</v>
      </c>
      <c r="D19185">
        <v>0</v>
      </c>
      <c r="E19185">
        <v>0</v>
      </c>
      <c r="F19185">
        <v>0</v>
      </c>
    </row>
    <row r="19186" spans="1:6" x14ac:dyDescent="0.25">
      <c r="A19186">
        <v>19185</v>
      </c>
      <c r="B19186">
        <v>44</v>
      </c>
      <c r="C19186">
        <v>0</v>
      </c>
      <c r="D19186">
        <v>0</v>
      </c>
      <c r="E19186">
        <v>0</v>
      </c>
      <c r="F19186">
        <v>48.424500000000002</v>
      </c>
    </row>
    <row r="19187" spans="1:6" x14ac:dyDescent="0.25">
      <c r="A19187">
        <v>19186</v>
      </c>
      <c r="B19187" t="s">
        <v>0</v>
      </c>
      <c r="C19187">
        <v>33</v>
      </c>
      <c r="D19187">
        <v>3516</v>
      </c>
      <c r="E19187">
        <v>80878759</v>
      </c>
    </row>
    <row r="19188" spans="1:6" x14ac:dyDescent="0.25">
      <c r="A19188">
        <v>19187</v>
      </c>
      <c r="B19188">
        <v>45</v>
      </c>
      <c r="C19188">
        <v>0</v>
      </c>
      <c r="D19188">
        <v>0</v>
      </c>
      <c r="E19188">
        <v>0</v>
      </c>
      <c r="F19188">
        <v>543.05399999999997</v>
      </c>
    </row>
    <row r="19189" spans="1:6" x14ac:dyDescent="0.25">
      <c r="A19189">
        <v>19188</v>
      </c>
      <c r="B19189">
        <v>46</v>
      </c>
      <c r="C19189">
        <v>0</v>
      </c>
      <c r="D19189">
        <v>0</v>
      </c>
      <c r="E19189">
        <v>0</v>
      </c>
      <c r="F19189">
        <v>0</v>
      </c>
    </row>
    <row r="19190" spans="1:6" x14ac:dyDescent="0.25">
      <c r="A19190">
        <v>19189</v>
      </c>
      <c r="B19190" t="s">
        <v>0</v>
      </c>
      <c r="C19190">
        <v>34</v>
      </c>
      <c r="D19190">
        <v>3516</v>
      </c>
      <c r="E19190">
        <v>80878891</v>
      </c>
    </row>
    <row r="19191" spans="1:6" x14ac:dyDescent="0.25">
      <c r="A19191">
        <v>19190</v>
      </c>
      <c r="B19191">
        <v>2</v>
      </c>
      <c r="C19191">
        <v>0</v>
      </c>
      <c r="D19191">
        <v>0</v>
      </c>
      <c r="E19191">
        <v>0</v>
      </c>
      <c r="F19191">
        <v>251.58</v>
      </c>
    </row>
    <row r="19192" spans="1:6" x14ac:dyDescent="0.25">
      <c r="A19192">
        <v>19191</v>
      </c>
      <c r="B19192">
        <v>10</v>
      </c>
      <c r="C19192">
        <v>1</v>
      </c>
      <c r="D19192">
        <v>0</v>
      </c>
      <c r="E19192">
        <v>0</v>
      </c>
      <c r="F19192">
        <v>5252</v>
      </c>
    </row>
    <row r="19193" spans="1:6" x14ac:dyDescent="0.25">
      <c r="A19193">
        <v>19192</v>
      </c>
      <c r="B19193" t="s">
        <v>0</v>
      </c>
      <c r="C19193">
        <v>35</v>
      </c>
      <c r="D19193">
        <v>3516</v>
      </c>
      <c r="E19193">
        <v>80879023</v>
      </c>
    </row>
    <row r="19194" spans="1:6" x14ac:dyDescent="0.25">
      <c r="A19194">
        <v>19193</v>
      </c>
      <c r="B19194">
        <v>13</v>
      </c>
      <c r="C19194">
        <v>0</v>
      </c>
      <c r="D19194">
        <v>0</v>
      </c>
      <c r="E19194">
        <v>0</v>
      </c>
      <c r="F19194">
        <v>1619</v>
      </c>
    </row>
    <row r="19195" spans="1:6" x14ac:dyDescent="0.25">
      <c r="A19195">
        <v>19194</v>
      </c>
      <c r="B19195">
        <v>41</v>
      </c>
      <c r="C19195">
        <v>0</v>
      </c>
      <c r="D19195">
        <v>0</v>
      </c>
      <c r="E19195">
        <v>0</v>
      </c>
      <c r="F19195">
        <v>1</v>
      </c>
    </row>
    <row r="19196" spans="1:6" x14ac:dyDescent="0.25">
      <c r="A19196">
        <v>19195</v>
      </c>
      <c r="B19196" t="s">
        <v>0</v>
      </c>
      <c r="C19196">
        <v>36</v>
      </c>
      <c r="D19196">
        <v>3516</v>
      </c>
      <c r="E19196">
        <v>80879155</v>
      </c>
    </row>
    <row r="19197" spans="1:6" x14ac:dyDescent="0.25">
      <c r="A19197">
        <v>19196</v>
      </c>
      <c r="B19197">
        <v>42</v>
      </c>
      <c r="C19197">
        <v>0</v>
      </c>
      <c r="D19197">
        <v>0</v>
      </c>
      <c r="E19197">
        <v>0</v>
      </c>
      <c r="F19197">
        <v>0.2</v>
      </c>
    </row>
    <row r="19198" spans="1:6" x14ac:dyDescent="0.25">
      <c r="A19198">
        <v>19197</v>
      </c>
      <c r="B19198">
        <v>43</v>
      </c>
      <c r="C19198">
        <v>0</v>
      </c>
      <c r="D19198">
        <v>0</v>
      </c>
      <c r="E19198">
        <v>0</v>
      </c>
      <c r="F19198">
        <v>0</v>
      </c>
    </row>
    <row r="19199" spans="1:6" x14ac:dyDescent="0.25">
      <c r="A19199">
        <v>19198</v>
      </c>
      <c r="B19199" t="s">
        <v>0</v>
      </c>
      <c r="C19199">
        <v>37</v>
      </c>
      <c r="D19199">
        <v>3516</v>
      </c>
      <c r="E19199">
        <v>80879287</v>
      </c>
    </row>
    <row r="19200" spans="1:6" x14ac:dyDescent="0.25">
      <c r="A19200">
        <v>19199</v>
      </c>
      <c r="B19200">
        <v>44</v>
      </c>
      <c r="C19200">
        <v>0</v>
      </c>
      <c r="D19200">
        <v>0</v>
      </c>
      <c r="E19200">
        <v>0</v>
      </c>
      <c r="F19200">
        <v>48.414099999999998</v>
      </c>
    </row>
    <row r="19201" spans="1:6" x14ac:dyDescent="0.25">
      <c r="A19201">
        <v>19200</v>
      </c>
      <c r="B19201">
        <v>45</v>
      </c>
      <c r="C19201">
        <v>0</v>
      </c>
      <c r="D19201">
        <v>0</v>
      </c>
      <c r="E19201">
        <v>0</v>
      </c>
      <c r="F19201">
        <v>543.10599999999999</v>
      </c>
    </row>
    <row r="19202" spans="1:6" x14ac:dyDescent="0.25">
      <c r="A19202">
        <v>19201</v>
      </c>
      <c r="B19202" t="s">
        <v>0</v>
      </c>
      <c r="C19202">
        <v>38</v>
      </c>
      <c r="D19202">
        <v>3516</v>
      </c>
      <c r="E19202">
        <v>80879419</v>
      </c>
    </row>
    <row r="19203" spans="1:6" x14ac:dyDescent="0.25">
      <c r="A19203">
        <v>19202</v>
      </c>
      <c r="B19203">
        <v>46</v>
      </c>
      <c r="C19203">
        <v>0</v>
      </c>
      <c r="D19203">
        <v>0</v>
      </c>
      <c r="E19203">
        <v>0</v>
      </c>
      <c r="F19203">
        <v>0</v>
      </c>
    </row>
    <row r="19204" spans="1:6" x14ac:dyDescent="0.25">
      <c r="A19204">
        <v>19203</v>
      </c>
      <c r="B19204">
        <v>2</v>
      </c>
      <c r="C19204">
        <v>0</v>
      </c>
      <c r="D19204">
        <v>0</v>
      </c>
      <c r="E19204">
        <v>0</v>
      </c>
      <c r="F19204">
        <v>251.58799999999999</v>
      </c>
    </row>
    <row r="19205" spans="1:6" x14ac:dyDescent="0.25">
      <c r="A19205">
        <v>19204</v>
      </c>
      <c r="B19205" t="s">
        <v>0</v>
      </c>
      <c r="C19205">
        <v>39</v>
      </c>
      <c r="D19205">
        <v>3516</v>
      </c>
      <c r="E19205">
        <v>80879551</v>
      </c>
    </row>
    <row r="19206" spans="1:6" x14ac:dyDescent="0.25">
      <c r="A19206">
        <v>19205</v>
      </c>
      <c r="B19206">
        <v>10</v>
      </c>
      <c r="C19206">
        <v>1</v>
      </c>
      <c r="D19206">
        <v>0</v>
      </c>
      <c r="E19206">
        <v>0</v>
      </c>
      <c r="F19206">
        <v>5252</v>
      </c>
    </row>
    <row r="19207" spans="1:6" x14ac:dyDescent="0.25">
      <c r="A19207">
        <v>19206</v>
      </c>
      <c r="B19207">
        <v>13</v>
      </c>
      <c r="C19207">
        <v>0</v>
      </c>
      <c r="D19207">
        <v>0</v>
      </c>
      <c r="E19207">
        <v>0</v>
      </c>
      <c r="F19207">
        <v>1619</v>
      </c>
    </row>
    <row r="19208" spans="1:6" x14ac:dyDescent="0.25">
      <c r="A19208">
        <v>19207</v>
      </c>
      <c r="B19208" t="s">
        <v>0</v>
      </c>
      <c r="C19208">
        <v>40</v>
      </c>
      <c r="D19208">
        <v>3516</v>
      </c>
      <c r="E19208">
        <v>80879683</v>
      </c>
    </row>
    <row r="19209" spans="1:6" x14ac:dyDescent="0.25">
      <c r="A19209">
        <v>19208</v>
      </c>
      <c r="B19209">
        <v>41</v>
      </c>
      <c r="C19209">
        <v>0</v>
      </c>
      <c r="D19209">
        <v>0</v>
      </c>
      <c r="E19209">
        <v>0</v>
      </c>
      <c r="F19209">
        <v>1</v>
      </c>
    </row>
    <row r="19210" spans="1:6" x14ac:dyDescent="0.25">
      <c r="A19210">
        <v>19209</v>
      </c>
      <c r="B19210">
        <v>42</v>
      </c>
      <c r="C19210">
        <v>0</v>
      </c>
      <c r="D19210">
        <v>0</v>
      </c>
      <c r="E19210">
        <v>0</v>
      </c>
      <c r="F19210">
        <v>0.2</v>
      </c>
    </row>
    <row r="19211" spans="1:6" x14ac:dyDescent="0.25">
      <c r="A19211">
        <v>19210</v>
      </c>
      <c r="B19211" t="s">
        <v>0</v>
      </c>
      <c r="C19211">
        <v>41</v>
      </c>
      <c r="D19211">
        <v>3516</v>
      </c>
      <c r="E19211">
        <v>80879815</v>
      </c>
    </row>
    <row r="19212" spans="1:6" x14ac:dyDescent="0.25">
      <c r="A19212">
        <v>19211</v>
      </c>
      <c r="B19212">
        <v>43</v>
      </c>
      <c r="C19212">
        <v>0</v>
      </c>
      <c r="D19212">
        <v>0</v>
      </c>
      <c r="E19212">
        <v>0</v>
      </c>
      <c r="F19212">
        <v>0</v>
      </c>
    </row>
    <row r="19213" spans="1:6" x14ac:dyDescent="0.25">
      <c r="A19213">
        <v>19212</v>
      </c>
      <c r="B19213">
        <v>44</v>
      </c>
      <c r="C19213">
        <v>0</v>
      </c>
      <c r="D19213">
        <v>0</v>
      </c>
      <c r="E19213">
        <v>0</v>
      </c>
      <c r="F19213">
        <v>48.407499999999999</v>
      </c>
    </row>
    <row r="19214" spans="1:6" x14ac:dyDescent="0.25">
      <c r="A19214">
        <v>19213</v>
      </c>
      <c r="B19214" t="s">
        <v>0</v>
      </c>
      <c r="C19214">
        <v>42</v>
      </c>
      <c r="D19214">
        <v>3516</v>
      </c>
      <c r="E19214">
        <v>80879947</v>
      </c>
    </row>
    <row r="19215" spans="1:6" x14ac:dyDescent="0.25">
      <c r="A19215">
        <v>19214</v>
      </c>
      <c r="B19215">
        <v>45</v>
      </c>
      <c r="C19215">
        <v>0</v>
      </c>
      <c r="D19215">
        <v>0</v>
      </c>
      <c r="E19215">
        <v>0</v>
      </c>
      <c r="F19215">
        <v>543.16999999999996</v>
      </c>
    </row>
    <row r="19216" spans="1:6" x14ac:dyDescent="0.25">
      <c r="A19216">
        <v>19215</v>
      </c>
      <c r="B19216">
        <v>46</v>
      </c>
      <c r="C19216">
        <v>0</v>
      </c>
      <c r="D19216">
        <v>0</v>
      </c>
      <c r="E19216">
        <v>0</v>
      </c>
      <c r="F19216">
        <v>0</v>
      </c>
    </row>
    <row r="19217" spans="1:6" x14ac:dyDescent="0.25">
      <c r="A19217">
        <v>19216</v>
      </c>
      <c r="B19217">
        <v>2</v>
      </c>
      <c r="C19217">
        <v>0</v>
      </c>
      <c r="D19217">
        <v>0</v>
      </c>
      <c r="E19217">
        <v>0</v>
      </c>
      <c r="F19217">
        <v>251.595</v>
      </c>
    </row>
    <row r="19218" spans="1:6" x14ac:dyDescent="0.25">
      <c r="A19218">
        <v>19217</v>
      </c>
      <c r="B19218">
        <v>10</v>
      </c>
      <c r="C19218">
        <v>1</v>
      </c>
      <c r="D19218">
        <v>0</v>
      </c>
      <c r="E19218">
        <v>0</v>
      </c>
      <c r="F19218">
        <v>5253</v>
      </c>
    </row>
    <row r="19219" spans="1:6" x14ac:dyDescent="0.25">
      <c r="A19219">
        <v>19218</v>
      </c>
      <c r="B19219">
        <v>13</v>
      </c>
      <c r="C19219">
        <v>0</v>
      </c>
      <c r="D19219">
        <v>0</v>
      </c>
      <c r="E19219">
        <v>0</v>
      </c>
      <c r="F19219">
        <v>1619</v>
      </c>
    </row>
    <row r="19220" spans="1:6" x14ac:dyDescent="0.25">
      <c r="A19220">
        <v>19219</v>
      </c>
      <c r="B19220">
        <v>41</v>
      </c>
      <c r="C19220">
        <v>0</v>
      </c>
      <c r="D19220">
        <v>0</v>
      </c>
      <c r="E19220">
        <v>0</v>
      </c>
      <c r="F19220">
        <v>1</v>
      </c>
    </row>
    <row r="19221" spans="1:6" x14ac:dyDescent="0.25">
      <c r="A19221">
        <v>19220</v>
      </c>
      <c r="B19221">
        <v>42</v>
      </c>
      <c r="C19221">
        <v>0</v>
      </c>
      <c r="D19221">
        <v>0</v>
      </c>
      <c r="E19221">
        <v>0</v>
      </c>
      <c r="F19221">
        <v>0.2</v>
      </c>
    </row>
    <row r="19222" spans="1:6" x14ac:dyDescent="0.25">
      <c r="A19222">
        <v>19221</v>
      </c>
      <c r="B19222">
        <v>43</v>
      </c>
      <c r="C19222">
        <v>0</v>
      </c>
      <c r="D19222">
        <v>0</v>
      </c>
      <c r="E19222">
        <v>0</v>
      </c>
      <c r="F19222">
        <v>0</v>
      </c>
    </row>
    <row r="19223" spans="1:6" x14ac:dyDescent="0.25">
      <c r="A19223">
        <v>19222</v>
      </c>
      <c r="B19223">
        <v>44</v>
      </c>
      <c r="C19223">
        <v>0</v>
      </c>
      <c r="D19223">
        <v>0</v>
      </c>
      <c r="E19223">
        <v>0</v>
      </c>
      <c r="F19223">
        <v>48.401000000000003</v>
      </c>
    </row>
    <row r="19224" spans="1:6" x14ac:dyDescent="0.25">
      <c r="A19224">
        <v>19223</v>
      </c>
      <c r="B19224">
        <v>45</v>
      </c>
      <c r="C19224">
        <v>0</v>
      </c>
      <c r="D19224">
        <v>0</v>
      </c>
      <c r="E19224">
        <v>0</v>
      </c>
      <c r="F19224">
        <v>543.221</v>
      </c>
    </row>
    <row r="19225" spans="1:6" x14ac:dyDescent="0.25">
      <c r="A19225">
        <v>19224</v>
      </c>
      <c r="B19225">
        <v>46</v>
      </c>
      <c r="C19225">
        <v>0</v>
      </c>
      <c r="D19225">
        <v>0</v>
      </c>
      <c r="E19225">
        <v>0</v>
      </c>
      <c r="F19225">
        <v>0</v>
      </c>
    </row>
    <row r="19226" spans="1:6" x14ac:dyDescent="0.25">
      <c r="A19226">
        <v>19225</v>
      </c>
      <c r="B19226">
        <v>2</v>
      </c>
      <c r="C19226">
        <v>0</v>
      </c>
      <c r="D19226">
        <v>0</v>
      </c>
      <c r="E19226">
        <v>0</v>
      </c>
      <c r="F19226">
        <v>251.6</v>
      </c>
    </row>
    <row r="19227" spans="1:6" x14ac:dyDescent="0.25">
      <c r="A19227">
        <v>19226</v>
      </c>
      <c r="B19227">
        <v>10</v>
      </c>
      <c r="C19227">
        <v>1</v>
      </c>
      <c r="D19227">
        <v>0</v>
      </c>
      <c r="E19227">
        <v>0</v>
      </c>
      <c r="F19227">
        <v>5253</v>
      </c>
    </row>
    <row r="19228" spans="1:6" x14ac:dyDescent="0.25">
      <c r="A19228">
        <v>19227</v>
      </c>
      <c r="B19228">
        <v>13</v>
      </c>
      <c r="C19228">
        <v>0</v>
      </c>
      <c r="D19228">
        <v>0</v>
      </c>
      <c r="E19228">
        <v>0</v>
      </c>
      <c r="F19228">
        <v>1619</v>
      </c>
    </row>
    <row r="19229" spans="1:6" x14ac:dyDescent="0.25">
      <c r="A19229">
        <v>19228</v>
      </c>
      <c r="B19229">
        <v>41</v>
      </c>
      <c r="C19229">
        <v>0</v>
      </c>
      <c r="D19229">
        <v>0</v>
      </c>
      <c r="E19229">
        <v>0</v>
      </c>
      <c r="F19229">
        <v>1</v>
      </c>
    </row>
    <row r="19230" spans="1:6" x14ac:dyDescent="0.25">
      <c r="A19230">
        <v>19229</v>
      </c>
      <c r="B19230">
        <v>42</v>
      </c>
      <c r="C19230">
        <v>0</v>
      </c>
      <c r="D19230">
        <v>0</v>
      </c>
      <c r="E19230">
        <v>0</v>
      </c>
      <c r="F19230">
        <v>0.2</v>
      </c>
    </row>
    <row r="19231" spans="1:6" x14ac:dyDescent="0.25">
      <c r="A19231">
        <v>19230</v>
      </c>
      <c r="B19231">
        <v>43</v>
      </c>
      <c r="C19231">
        <v>0</v>
      </c>
      <c r="D19231">
        <v>0</v>
      </c>
      <c r="E19231">
        <v>0</v>
      </c>
      <c r="F19231">
        <v>0</v>
      </c>
    </row>
    <row r="19232" spans="1:6" x14ac:dyDescent="0.25">
      <c r="A19232">
        <v>19231</v>
      </c>
      <c r="B19232">
        <v>44</v>
      </c>
      <c r="C19232">
        <v>0</v>
      </c>
      <c r="D19232">
        <v>0</v>
      </c>
      <c r="E19232">
        <v>0</v>
      </c>
      <c r="F19232">
        <v>48.396799999999999</v>
      </c>
    </row>
    <row r="19233" spans="1:6" x14ac:dyDescent="0.25">
      <c r="A19233">
        <v>19232</v>
      </c>
      <c r="B19233">
        <v>45</v>
      </c>
      <c r="C19233">
        <v>0</v>
      </c>
      <c r="D19233">
        <v>0</v>
      </c>
      <c r="E19233">
        <v>0</v>
      </c>
      <c r="F19233">
        <v>543.28499999999997</v>
      </c>
    </row>
    <row r="19234" spans="1:6" x14ac:dyDescent="0.25">
      <c r="A19234">
        <v>19233</v>
      </c>
      <c r="B19234">
        <v>46</v>
      </c>
      <c r="C19234">
        <v>0</v>
      </c>
      <c r="D19234">
        <v>0</v>
      </c>
      <c r="E19234">
        <v>0</v>
      </c>
      <c r="F19234">
        <v>0</v>
      </c>
    </row>
    <row r="19235" spans="1:6" x14ac:dyDescent="0.25">
      <c r="A19235">
        <v>19234</v>
      </c>
      <c r="B19235">
        <v>2</v>
      </c>
      <c r="C19235">
        <v>0</v>
      </c>
      <c r="D19235">
        <v>0</v>
      </c>
      <c r="E19235">
        <v>0</v>
      </c>
      <c r="F19235">
        <v>251.60499999999999</v>
      </c>
    </row>
    <row r="19236" spans="1:6" x14ac:dyDescent="0.25">
      <c r="A19236">
        <v>19235</v>
      </c>
      <c r="B19236">
        <v>10</v>
      </c>
      <c r="C19236">
        <v>1</v>
      </c>
      <c r="D19236">
        <v>0</v>
      </c>
      <c r="E19236">
        <v>0</v>
      </c>
      <c r="F19236">
        <v>5253</v>
      </c>
    </row>
    <row r="19237" spans="1:6" x14ac:dyDescent="0.25">
      <c r="A19237">
        <v>19236</v>
      </c>
      <c r="B19237">
        <v>13</v>
      </c>
      <c r="C19237">
        <v>0</v>
      </c>
      <c r="D19237">
        <v>0</v>
      </c>
      <c r="E19237">
        <v>0</v>
      </c>
      <c r="F19237">
        <v>1619</v>
      </c>
    </row>
    <row r="19238" spans="1:6" x14ac:dyDescent="0.25">
      <c r="A19238">
        <v>19237</v>
      </c>
      <c r="B19238">
        <v>41</v>
      </c>
      <c r="C19238">
        <v>0</v>
      </c>
      <c r="D19238">
        <v>0</v>
      </c>
      <c r="E19238">
        <v>0</v>
      </c>
      <c r="F19238">
        <v>1</v>
      </c>
    </row>
    <row r="19239" spans="1:6" x14ac:dyDescent="0.25">
      <c r="A19239">
        <v>19238</v>
      </c>
      <c r="B19239">
        <v>42</v>
      </c>
      <c r="C19239">
        <v>0</v>
      </c>
      <c r="D19239">
        <v>0</v>
      </c>
      <c r="E19239">
        <v>0</v>
      </c>
      <c r="F19239">
        <v>0.2</v>
      </c>
    </row>
    <row r="19240" spans="1:6" x14ac:dyDescent="0.25">
      <c r="A19240">
        <v>19239</v>
      </c>
      <c r="B19240">
        <v>43</v>
      </c>
      <c r="C19240">
        <v>0</v>
      </c>
      <c r="D19240">
        <v>0</v>
      </c>
      <c r="E19240">
        <v>0</v>
      </c>
      <c r="F19240">
        <v>0</v>
      </c>
    </row>
    <row r="19241" spans="1:6" x14ac:dyDescent="0.25">
      <c r="A19241">
        <v>19240</v>
      </c>
      <c r="B19241">
        <v>44</v>
      </c>
      <c r="C19241">
        <v>0</v>
      </c>
      <c r="D19241">
        <v>0</v>
      </c>
      <c r="E19241">
        <v>0</v>
      </c>
      <c r="F19241">
        <v>48.392600000000002</v>
      </c>
    </row>
    <row r="19242" spans="1:6" x14ac:dyDescent="0.25">
      <c r="A19242">
        <v>19241</v>
      </c>
      <c r="B19242">
        <v>45</v>
      </c>
      <c r="C19242">
        <v>0</v>
      </c>
      <c r="D19242">
        <v>0</v>
      </c>
      <c r="E19242">
        <v>0</v>
      </c>
      <c r="F19242">
        <v>543.33699999999999</v>
      </c>
    </row>
    <row r="19243" spans="1:6" x14ac:dyDescent="0.25">
      <c r="A19243">
        <v>19242</v>
      </c>
      <c r="B19243">
        <v>46</v>
      </c>
      <c r="C19243">
        <v>0</v>
      </c>
      <c r="D19243">
        <v>0</v>
      </c>
      <c r="E19243">
        <v>0</v>
      </c>
      <c r="F19243">
        <v>0</v>
      </c>
    </row>
    <row r="19244" spans="1:6" x14ac:dyDescent="0.25">
      <c r="A19244">
        <v>19243</v>
      </c>
      <c r="B19244">
        <v>2</v>
      </c>
      <c r="C19244">
        <v>0</v>
      </c>
      <c r="D19244">
        <v>0</v>
      </c>
      <c r="E19244">
        <v>0</v>
      </c>
      <c r="F19244">
        <v>251.608</v>
      </c>
    </row>
    <row r="19245" spans="1:6" x14ac:dyDescent="0.25">
      <c r="A19245">
        <v>19244</v>
      </c>
      <c r="B19245">
        <v>10</v>
      </c>
      <c r="C19245">
        <v>1</v>
      </c>
      <c r="D19245">
        <v>0</v>
      </c>
      <c r="E19245">
        <v>0</v>
      </c>
      <c r="F19245">
        <v>5253</v>
      </c>
    </row>
    <row r="19246" spans="1:6" x14ac:dyDescent="0.25">
      <c r="A19246">
        <v>19245</v>
      </c>
      <c r="B19246">
        <v>13</v>
      </c>
      <c r="C19246">
        <v>0</v>
      </c>
      <c r="D19246">
        <v>0</v>
      </c>
      <c r="E19246">
        <v>0</v>
      </c>
      <c r="F19246">
        <v>1619</v>
      </c>
    </row>
    <row r="19247" spans="1:6" x14ac:dyDescent="0.25">
      <c r="A19247">
        <v>19246</v>
      </c>
      <c r="B19247">
        <v>41</v>
      </c>
      <c r="C19247">
        <v>0</v>
      </c>
      <c r="D19247">
        <v>0</v>
      </c>
      <c r="E19247">
        <v>0</v>
      </c>
      <c r="F19247">
        <v>1</v>
      </c>
    </row>
    <row r="19248" spans="1:6" x14ac:dyDescent="0.25">
      <c r="A19248">
        <v>19247</v>
      </c>
      <c r="B19248">
        <v>42</v>
      </c>
      <c r="C19248">
        <v>0</v>
      </c>
      <c r="D19248">
        <v>0</v>
      </c>
      <c r="E19248">
        <v>0</v>
      </c>
      <c r="F19248">
        <v>0.2</v>
      </c>
    </row>
    <row r="19249" spans="1:6" x14ac:dyDescent="0.25">
      <c r="A19249">
        <v>19248</v>
      </c>
      <c r="B19249">
        <v>43</v>
      </c>
      <c r="C19249">
        <v>0</v>
      </c>
      <c r="D19249">
        <v>0</v>
      </c>
      <c r="E19249">
        <v>0</v>
      </c>
      <c r="F19249">
        <v>0</v>
      </c>
    </row>
    <row r="19250" spans="1:6" x14ac:dyDescent="0.25">
      <c r="A19250">
        <v>19249</v>
      </c>
      <c r="B19250">
        <v>44</v>
      </c>
      <c r="C19250">
        <v>0</v>
      </c>
      <c r="D19250">
        <v>0</v>
      </c>
      <c r="E19250">
        <v>0</v>
      </c>
      <c r="F19250">
        <v>48.389899999999997</v>
      </c>
    </row>
    <row r="19251" spans="1:6" x14ac:dyDescent="0.25">
      <c r="A19251">
        <v>19250</v>
      </c>
      <c r="B19251">
        <v>45</v>
      </c>
      <c r="C19251">
        <v>0</v>
      </c>
      <c r="D19251">
        <v>0</v>
      </c>
      <c r="E19251">
        <v>0</v>
      </c>
      <c r="F19251">
        <v>543.40099999999995</v>
      </c>
    </row>
    <row r="19252" spans="1:6" x14ac:dyDescent="0.25">
      <c r="A19252">
        <v>19251</v>
      </c>
      <c r="B19252" t="s">
        <v>0</v>
      </c>
      <c r="C19252">
        <v>61</v>
      </c>
      <c r="D19252">
        <v>3516</v>
      </c>
      <c r="E19252">
        <v>80882456</v>
      </c>
    </row>
    <row r="19253" spans="1:6" x14ac:dyDescent="0.25">
      <c r="A19253">
        <v>19252</v>
      </c>
      <c r="B19253">
        <v>2</v>
      </c>
      <c r="C19253">
        <v>0</v>
      </c>
      <c r="D19253">
        <v>0</v>
      </c>
      <c r="E19253">
        <v>0</v>
      </c>
      <c r="F19253">
        <v>251.61099999999999</v>
      </c>
    </row>
    <row r="19254" spans="1:6" x14ac:dyDescent="0.25">
      <c r="A19254">
        <v>19253</v>
      </c>
      <c r="B19254" t="s">
        <v>0</v>
      </c>
      <c r="C19254">
        <v>62</v>
      </c>
      <c r="D19254">
        <v>3516</v>
      </c>
      <c r="E19254">
        <v>80882588</v>
      </c>
    </row>
    <row r="19255" spans="1:6" x14ac:dyDescent="0.25">
      <c r="A19255">
        <v>19254</v>
      </c>
      <c r="B19255">
        <v>13</v>
      </c>
      <c r="C19255">
        <v>0</v>
      </c>
      <c r="D19255">
        <v>0</v>
      </c>
      <c r="E19255">
        <v>0</v>
      </c>
      <c r="F19255">
        <v>1619</v>
      </c>
    </row>
    <row r="19256" spans="1:6" x14ac:dyDescent="0.25">
      <c r="A19256">
        <v>19255</v>
      </c>
      <c r="B19256" t="s">
        <v>0</v>
      </c>
      <c r="C19256">
        <v>63</v>
      </c>
      <c r="D19256">
        <v>3516</v>
      </c>
      <c r="E19256">
        <v>80882720</v>
      </c>
    </row>
    <row r="19257" spans="1:6" x14ac:dyDescent="0.25">
      <c r="A19257">
        <v>19256</v>
      </c>
      <c r="B19257">
        <v>42</v>
      </c>
      <c r="C19257">
        <v>0</v>
      </c>
      <c r="D19257">
        <v>0</v>
      </c>
      <c r="E19257">
        <v>0</v>
      </c>
      <c r="F19257">
        <v>0.2</v>
      </c>
    </row>
    <row r="19258" spans="1:6" x14ac:dyDescent="0.25">
      <c r="A19258">
        <v>19257</v>
      </c>
      <c r="B19258" t="s">
        <v>0</v>
      </c>
      <c r="C19258">
        <v>64</v>
      </c>
      <c r="D19258">
        <v>3516</v>
      </c>
      <c r="E19258">
        <v>80882852</v>
      </c>
    </row>
    <row r="19259" spans="1:6" x14ac:dyDescent="0.25">
      <c r="A19259">
        <v>19258</v>
      </c>
      <c r="B19259">
        <v>44</v>
      </c>
      <c r="C19259">
        <v>0</v>
      </c>
      <c r="D19259">
        <v>0</v>
      </c>
      <c r="E19259">
        <v>0</v>
      </c>
      <c r="F19259">
        <v>48.387300000000003</v>
      </c>
    </row>
    <row r="19260" spans="1:6" x14ac:dyDescent="0.25">
      <c r="A19260">
        <v>19259</v>
      </c>
      <c r="B19260" t="s">
        <v>0</v>
      </c>
      <c r="C19260">
        <v>65</v>
      </c>
      <c r="D19260">
        <v>3516</v>
      </c>
      <c r="E19260">
        <v>80882984</v>
      </c>
    </row>
    <row r="19261" spans="1:6" x14ac:dyDescent="0.25">
      <c r="A19261">
        <v>19260</v>
      </c>
      <c r="B19261">
        <v>46</v>
      </c>
      <c r="C19261">
        <v>0</v>
      </c>
      <c r="D19261">
        <v>0</v>
      </c>
      <c r="E19261">
        <v>0</v>
      </c>
      <c r="F19261">
        <v>0</v>
      </c>
    </row>
    <row r="19262" spans="1:6" x14ac:dyDescent="0.25">
      <c r="A19262">
        <v>19261</v>
      </c>
      <c r="B19262" t="s">
        <v>0</v>
      </c>
      <c r="C19262">
        <v>66</v>
      </c>
      <c r="D19262">
        <v>3516</v>
      </c>
      <c r="E19262">
        <v>80883116</v>
      </c>
    </row>
    <row r="19263" spans="1:6" x14ac:dyDescent="0.25">
      <c r="A19263">
        <v>19262</v>
      </c>
      <c r="B19263">
        <v>10</v>
      </c>
      <c r="C19263">
        <v>1</v>
      </c>
      <c r="D19263">
        <v>0</v>
      </c>
      <c r="E19263">
        <v>0</v>
      </c>
      <c r="F19263">
        <v>5253</v>
      </c>
    </row>
    <row r="19264" spans="1:6" x14ac:dyDescent="0.25">
      <c r="A19264">
        <v>19263</v>
      </c>
      <c r="B19264" t="s">
        <v>0</v>
      </c>
      <c r="C19264">
        <v>67</v>
      </c>
      <c r="D19264">
        <v>3516</v>
      </c>
      <c r="E19264">
        <v>80883247</v>
      </c>
    </row>
    <row r="19265" spans="1:6" x14ac:dyDescent="0.25">
      <c r="A19265">
        <v>19264</v>
      </c>
      <c r="B19265">
        <v>41</v>
      </c>
      <c r="C19265">
        <v>0</v>
      </c>
      <c r="D19265">
        <v>0</v>
      </c>
      <c r="E19265">
        <v>0</v>
      </c>
      <c r="F19265">
        <v>1</v>
      </c>
    </row>
    <row r="19266" spans="1:6" x14ac:dyDescent="0.25">
      <c r="A19266">
        <v>19265</v>
      </c>
      <c r="B19266" t="s">
        <v>0</v>
      </c>
      <c r="C19266">
        <v>68</v>
      </c>
      <c r="D19266">
        <v>3516</v>
      </c>
      <c r="E19266">
        <v>80883379</v>
      </c>
    </row>
    <row r="19267" spans="1:6" x14ac:dyDescent="0.25">
      <c r="A19267">
        <v>19266</v>
      </c>
      <c r="B19267">
        <v>43</v>
      </c>
      <c r="C19267">
        <v>0</v>
      </c>
      <c r="D19267">
        <v>0</v>
      </c>
      <c r="E19267">
        <v>0</v>
      </c>
      <c r="F19267">
        <v>0</v>
      </c>
    </row>
    <row r="19268" spans="1:6" x14ac:dyDescent="0.25">
      <c r="A19268">
        <v>19267</v>
      </c>
      <c r="B19268" t="s">
        <v>0</v>
      </c>
      <c r="C19268">
        <v>69</v>
      </c>
      <c r="D19268">
        <v>3516</v>
      </c>
      <c r="E19268">
        <v>80883511</v>
      </c>
    </row>
    <row r="19269" spans="1:6" x14ac:dyDescent="0.25">
      <c r="A19269">
        <v>19268</v>
      </c>
      <c r="B19269">
        <v>45</v>
      </c>
      <c r="C19269">
        <v>0</v>
      </c>
      <c r="D19269">
        <v>0</v>
      </c>
      <c r="E19269">
        <v>0</v>
      </c>
      <c r="F19269">
        <v>543.51599999999996</v>
      </c>
    </row>
    <row r="19270" spans="1:6" x14ac:dyDescent="0.25">
      <c r="A19270">
        <v>19269</v>
      </c>
      <c r="B19270" t="s">
        <v>0</v>
      </c>
      <c r="C19270">
        <v>70</v>
      </c>
      <c r="D19270">
        <v>3516</v>
      </c>
      <c r="E19270">
        <v>80883642</v>
      </c>
    </row>
    <row r="19271" spans="1:6" x14ac:dyDescent="0.25">
      <c r="A19271">
        <v>19270</v>
      </c>
      <c r="B19271">
        <v>2</v>
      </c>
      <c r="C19271">
        <v>0</v>
      </c>
      <c r="D19271">
        <v>0</v>
      </c>
      <c r="E19271">
        <v>0</v>
      </c>
      <c r="F19271">
        <v>251.70099999999999</v>
      </c>
    </row>
    <row r="19272" spans="1:6" x14ac:dyDescent="0.25">
      <c r="A19272">
        <v>19271</v>
      </c>
      <c r="B19272" t="s">
        <v>0</v>
      </c>
      <c r="C19272">
        <v>71</v>
      </c>
      <c r="D19272">
        <v>3516</v>
      </c>
      <c r="E19272">
        <v>80883774</v>
      </c>
    </row>
    <row r="19273" spans="1:6" x14ac:dyDescent="0.25">
      <c r="A19273">
        <v>19272</v>
      </c>
      <c r="B19273">
        <v>13</v>
      </c>
      <c r="C19273">
        <v>0</v>
      </c>
      <c r="D19273">
        <v>0</v>
      </c>
      <c r="E19273">
        <v>0</v>
      </c>
      <c r="F19273">
        <v>1619</v>
      </c>
    </row>
    <row r="19274" spans="1:6" x14ac:dyDescent="0.25">
      <c r="A19274">
        <v>19273</v>
      </c>
      <c r="B19274" t="s">
        <v>0</v>
      </c>
      <c r="C19274">
        <v>72</v>
      </c>
      <c r="D19274">
        <v>3516</v>
      </c>
      <c r="E19274">
        <v>80883906</v>
      </c>
    </row>
    <row r="19275" spans="1:6" x14ac:dyDescent="0.25">
      <c r="A19275">
        <v>19274</v>
      </c>
      <c r="B19275">
        <v>42</v>
      </c>
      <c r="C19275">
        <v>0</v>
      </c>
      <c r="D19275">
        <v>0</v>
      </c>
      <c r="E19275">
        <v>0</v>
      </c>
      <c r="F19275">
        <v>0.2</v>
      </c>
    </row>
    <row r="19276" spans="1:6" x14ac:dyDescent="0.25">
      <c r="A19276">
        <v>19275</v>
      </c>
      <c r="B19276" t="s">
        <v>0</v>
      </c>
      <c r="C19276">
        <v>73</v>
      </c>
      <c r="D19276">
        <v>3516</v>
      </c>
      <c r="E19276">
        <v>80884037</v>
      </c>
    </row>
    <row r="19277" spans="1:6" x14ac:dyDescent="0.25">
      <c r="A19277">
        <v>19276</v>
      </c>
      <c r="B19277">
        <v>44</v>
      </c>
      <c r="C19277">
        <v>0</v>
      </c>
      <c r="D19277">
        <v>0</v>
      </c>
      <c r="E19277">
        <v>0</v>
      </c>
      <c r="F19277">
        <v>48.256</v>
      </c>
    </row>
    <row r="19278" spans="1:6" x14ac:dyDescent="0.25">
      <c r="A19278">
        <v>19277</v>
      </c>
      <c r="B19278" t="s">
        <v>0</v>
      </c>
      <c r="C19278">
        <v>74</v>
      </c>
      <c r="D19278">
        <v>3516</v>
      </c>
      <c r="E19278">
        <v>80884169</v>
      </c>
    </row>
    <row r="19279" spans="1:6" x14ac:dyDescent="0.25">
      <c r="A19279">
        <v>19278</v>
      </c>
      <c r="B19279">
        <v>46</v>
      </c>
      <c r="C19279">
        <v>0</v>
      </c>
      <c r="D19279">
        <v>0</v>
      </c>
      <c r="E19279">
        <v>0</v>
      </c>
      <c r="F19279">
        <v>0</v>
      </c>
    </row>
    <row r="19280" spans="1:6" x14ac:dyDescent="0.25">
      <c r="A19280">
        <v>19279</v>
      </c>
      <c r="B19280" t="s">
        <v>0</v>
      </c>
      <c r="C19280">
        <v>75</v>
      </c>
      <c r="D19280">
        <v>3516</v>
      </c>
      <c r="E19280">
        <v>80884301</v>
      </c>
    </row>
    <row r="19281" spans="1:6" x14ac:dyDescent="0.25">
      <c r="A19281">
        <v>19280</v>
      </c>
      <c r="B19281">
        <v>10</v>
      </c>
      <c r="C19281">
        <v>1</v>
      </c>
      <c r="D19281">
        <v>0</v>
      </c>
      <c r="E19281">
        <v>0</v>
      </c>
      <c r="F19281">
        <v>5250</v>
      </c>
    </row>
    <row r="19282" spans="1:6" x14ac:dyDescent="0.25">
      <c r="A19282">
        <v>19281</v>
      </c>
      <c r="B19282" t="s">
        <v>0</v>
      </c>
      <c r="C19282">
        <v>76</v>
      </c>
      <c r="D19282">
        <v>3516</v>
      </c>
      <c r="E19282">
        <v>80884432</v>
      </c>
    </row>
    <row r="19283" spans="1:6" x14ac:dyDescent="0.25">
      <c r="A19283">
        <v>19282</v>
      </c>
      <c r="B19283">
        <v>41</v>
      </c>
      <c r="C19283">
        <v>0</v>
      </c>
      <c r="D19283">
        <v>0</v>
      </c>
      <c r="E19283">
        <v>0</v>
      </c>
      <c r="F19283">
        <v>1</v>
      </c>
    </row>
    <row r="19284" spans="1:6" x14ac:dyDescent="0.25">
      <c r="A19284">
        <v>19283</v>
      </c>
      <c r="B19284" t="s">
        <v>0</v>
      </c>
      <c r="C19284">
        <v>77</v>
      </c>
      <c r="D19284">
        <v>3516</v>
      </c>
      <c r="E19284">
        <v>80884564</v>
      </c>
    </row>
    <row r="19285" spans="1:6" x14ac:dyDescent="0.25">
      <c r="A19285">
        <v>19284</v>
      </c>
      <c r="B19285">
        <v>43</v>
      </c>
      <c r="C19285">
        <v>0</v>
      </c>
      <c r="D19285">
        <v>0</v>
      </c>
      <c r="E19285">
        <v>0</v>
      </c>
      <c r="F19285">
        <v>0</v>
      </c>
    </row>
    <row r="19286" spans="1:6" x14ac:dyDescent="0.25">
      <c r="A19286">
        <v>19285</v>
      </c>
      <c r="B19286" t="s">
        <v>0</v>
      </c>
      <c r="C19286">
        <v>78</v>
      </c>
      <c r="D19286">
        <v>3516</v>
      </c>
      <c r="E19286">
        <v>80884695</v>
      </c>
    </row>
    <row r="19287" spans="1:6" x14ac:dyDescent="0.25">
      <c r="A19287">
        <v>19286</v>
      </c>
      <c r="B19287">
        <v>45</v>
      </c>
      <c r="C19287">
        <v>0</v>
      </c>
      <c r="D19287">
        <v>0</v>
      </c>
      <c r="E19287">
        <v>0</v>
      </c>
      <c r="F19287">
        <v>543.63099999999997</v>
      </c>
    </row>
    <row r="19288" spans="1:6" x14ac:dyDescent="0.25">
      <c r="A19288">
        <v>19287</v>
      </c>
      <c r="B19288" t="s">
        <v>0</v>
      </c>
      <c r="C19288">
        <v>79</v>
      </c>
      <c r="D19288">
        <v>3516</v>
      </c>
      <c r="E19288">
        <v>80884826</v>
      </c>
    </row>
    <row r="19289" spans="1:6" x14ac:dyDescent="0.25">
      <c r="A19289">
        <v>19288</v>
      </c>
      <c r="B19289">
        <v>2</v>
      </c>
      <c r="C19289">
        <v>0</v>
      </c>
      <c r="D19289">
        <v>0</v>
      </c>
      <c r="E19289">
        <v>0</v>
      </c>
      <c r="F19289">
        <v>251.81200000000001</v>
      </c>
    </row>
    <row r="19290" spans="1:6" x14ac:dyDescent="0.25">
      <c r="A19290">
        <v>19289</v>
      </c>
      <c r="B19290" t="s">
        <v>0</v>
      </c>
      <c r="C19290">
        <v>80</v>
      </c>
      <c r="D19290">
        <v>3516</v>
      </c>
      <c r="E19290">
        <v>80884958</v>
      </c>
    </row>
    <row r="19291" spans="1:6" x14ac:dyDescent="0.25">
      <c r="A19291">
        <v>19290</v>
      </c>
      <c r="B19291">
        <v>13</v>
      </c>
      <c r="C19291">
        <v>0</v>
      </c>
      <c r="D19291">
        <v>0</v>
      </c>
      <c r="E19291">
        <v>0</v>
      </c>
      <c r="F19291">
        <v>1619</v>
      </c>
    </row>
    <row r="19292" spans="1:6" x14ac:dyDescent="0.25">
      <c r="A19292">
        <v>19291</v>
      </c>
      <c r="B19292" t="s">
        <v>0</v>
      </c>
      <c r="C19292">
        <v>81</v>
      </c>
      <c r="D19292">
        <v>3516</v>
      </c>
      <c r="E19292">
        <v>80885090</v>
      </c>
    </row>
    <row r="19293" spans="1:6" x14ac:dyDescent="0.25">
      <c r="A19293">
        <v>19292</v>
      </c>
      <c r="B19293">
        <v>42</v>
      </c>
      <c r="C19293">
        <v>0</v>
      </c>
      <c r="D19293">
        <v>0</v>
      </c>
      <c r="E19293">
        <v>0</v>
      </c>
      <c r="F19293">
        <v>0.2</v>
      </c>
    </row>
    <row r="19294" spans="1:6" x14ac:dyDescent="0.25">
      <c r="A19294">
        <v>19293</v>
      </c>
      <c r="B19294" t="s">
        <v>0</v>
      </c>
      <c r="C19294">
        <v>82</v>
      </c>
      <c r="D19294">
        <v>3516</v>
      </c>
      <c r="E19294">
        <v>80885221</v>
      </c>
    </row>
    <row r="19295" spans="1:6" x14ac:dyDescent="0.25">
      <c r="A19295">
        <v>19294</v>
      </c>
      <c r="B19295">
        <v>44</v>
      </c>
      <c r="C19295">
        <v>0</v>
      </c>
      <c r="D19295">
        <v>0</v>
      </c>
      <c r="E19295">
        <v>0</v>
      </c>
      <c r="F19295">
        <v>48.160800000000002</v>
      </c>
    </row>
    <row r="19296" spans="1:6" x14ac:dyDescent="0.25">
      <c r="A19296">
        <v>19295</v>
      </c>
      <c r="B19296" t="s">
        <v>0</v>
      </c>
      <c r="C19296">
        <v>83</v>
      </c>
      <c r="D19296">
        <v>3516</v>
      </c>
      <c r="E19296">
        <v>80885353</v>
      </c>
    </row>
    <row r="19297" spans="1:6" x14ac:dyDescent="0.25">
      <c r="A19297">
        <v>19296</v>
      </c>
      <c r="B19297">
        <v>46</v>
      </c>
      <c r="C19297">
        <v>0</v>
      </c>
      <c r="D19297">
        <v>0</v>
      </c>
      <c r="E19297">
        <v>0</v>
      </c>
      <c r="F19297">
        <v>0</v>
      </c>
    </row>
    <row r="19298" spans="1:6" x14ac:dyDescent="0.25">
      <c r="A19298">
        <v>19297</v>
      </c>
      <c r="B19298" t="s">
        <v>0</v>
      </c>
      <c r="C19298">
        <v>84</v>
      </c>
      <c r="D19298">
        <v>3516</v>
      </c>
      <c r="E19298">
        <v>80885485</v>
      </c>
    </row>
    <row r="19299" spans="1:6" x14ac:dyDescent="0.25">
      <c r="A19299">
        <v>19298</v>
      </c>
      <c r="B19299">
        <v>2</v>
      </c>
      <c r="C19299">
        <v>0</v>
      </c>
      <c r="D19299">
        <v>0</v>
      </c>
      <c r="E19299">
        <v>0</v>
      </c>
      <c r="F19299">
        <v>251.85499999999999</v>
      </c>
    </row>
    <row r="19300" spans="1:6" x14ac:dyDescent="0.25">
      <c r="A19300">
        <v>19299</v>
      </c>
      <c r="B19300">
        <v>10</v>
      </c>
      <c r="C19300">
        <v>1</v>
      </c>
      <c r="D19300">
        <v>0</v>
      </c>
      <c r="E19300">
        <v>0</v>
      </c>
      <c r="F19300">
        <v>5249</v>
      </c>
    </row>
    <row r="19301" spans="1:6" x14ac:dyDescent="0.25">
      <c r="A19301">
        <v>19300</v>
      </c>
      <c r="B19301" t="s">
        <v>0</v>
      </c>
      <c r="C19301">
        <v>85</v>
      </c>
      <c r="D19301">
        <v>3516</v>
      </c>
      <c r="E19301">
        <v>80885616</v>
      </c>
    </row>
    <row r="19302" spans="1:6" x14ac:dyDescent="0.25">
      <c r="A19302">
        <v>19301</v>
      </c>
      <c r="B19302">
        <v>13</v>
      </c>
      <c r="C19302">
        <v>0</v>
      </c>
      <c r="D19302">
        <v>0</v>
      </c>
      <c r="E19302">
        <v>0</v>
      </c>
      <c r="F19302">
        <v>1619</v>
      </c>
    </row>
    <row r="19303" spans="1:6" x14ac:dyDescent="0.25">
      <c r="A19303">
        <v>19302</v>
      </c>
      <c r="B19303">
        <v>41</v>
      </c>
      <c r="C19303">
        <v>0</v>
      </c>
      <c r="D19303">
        <v>0</v>
      </c>
      <c r="E19303">
        <v>0</v>
      </c>
      <c r="F19303">
        <v>1</v>
      </c>
    </row>
    <row r="19304" spans="1:6" x14ac:dyDescent="0.25">
      <c r="A19304">
        <v>19303</v>
      </c>
      <c r="B19304" t="s">
        <v>0</v>
      </c>
      <c r="C19304">
        <v>86</v>
      </c>
      <c r="D19304">
        <v>3516</v>
      </c>
      <c r="E19304">
        <v>80885748</v>
      </c>
    </row>
    <row r="19305" spans="1:6" x14ac:dyDescent="0.25">
      <c r="A19305">
        <v>19304</v>
      </c>
      <c r="B19305">
        <v>42</v>
      </c>
      <c r="C19305">
        <v>0</v>
      </c>
      <c r="D19305">
        <v>0</v>
      </c>
      <c r="E19305">
        <v>0</v>
      </c>
      <c r="F19305">
        <v>0.2</v>
      </c>
    </row>
    <row r="19306" spans="1:6" x14ac:dyDescent="0.25">
      <c r="A19306">
        <v>19305</v>
      </c>
      <c r="B19306">
        <v>43</v>
      </c>
      <c r="C19306">
        <v>0</v>
      </c>
      <c r="D19306">
        <v>0</v>
      </c>
      <c r="E19306">
        <v>0</v>
      </c>
      <c r="F19306">
        <v>0</v>
      </c>
    </row>
    <row r="19307" spans="1:6" x14ac:dyDescent="0.25">
      <c r="A19307">
        <v>19306</v>
      </c>
      <c r="B19307" t="s">
        <v>0</v>
      </c>
      <c r="C19307">
        <v>87</v>
      </c>
      <c r="D19307">
        <v>3516</v>
      </c>
      <c r="E19307">
        <v>80885880</v>
      </c>
    </row>
    <row r="19308" spans="1:6" x14ac:dyDescent="0.25">
      <c r="A19308">
        <v>19307</v>
      </c>
      <c r="B19308">
        <v>44</v>
      </c>
      <c r="C19308">
        <v>0</v>
      </c>
      <c r="D19308">
        <v>0</v>
      </c>
      <c r="E19308">
        <v>0</v>
      </c>
      <c r="F19308">
        <v>48.123800000000003</v>
      </c>
    </row>
    <row r="19309" spans="1:6" x14ac:dyDescent="0.25">
      <c r="A19309">
        <v>19308</v>
      </c>
      <c r="B19309">
        <v>45</v>
      </c>
      <c r="C19309">
        <v>0</v>
      </c>
      <c r="D19309">
        <v>0</v>
      </c>
      <c r="E19309">
        <v>0</v>
      </c>
      <c r="F19309">
        <v>543.74599999999998</v>
      </c>
    </row>
    <row r="19310" spans="1:6" x14ac:dyDescent="0.25">
      <c r="A19310">
        <v>19309</v>
      </c>
      <c r="B19310" t="s">
        <v>0</v>
      </c>
      <c r="C19310">
        <v>88</v>
      </c>
      <c r="D19310">
        <v>3516</v>
      </c>
      <c r="E19310">
        <v>80886011</v>
      </c>
    </row>
    <row r="19311" spans="1:6" x14ac:dyDescent="0.25">
      <c r="A19311">
        <v>19310</v>
      </c>
      <c r="B19311">
        <v>46</v>
      </c>
      <c r="C19311">
        <v>0</v>
      </c>
      <c r="D19311">
        <v>0</v>
      </c>
      <c r="E19311">
        <v>0</v>
      </c>
      <c r="F19311">
        <v>0</v>
      </c>
    </row>
    <row r="19312" spans="1:6" x14ac:dyDescent="0.25">
      <c r="A19312">
        <v>19311</v>
      </c>
      <c r="B19312">
        <v>2</v>
      </c>
      <c r="C19312">
        <v>0</v>
      </c>
      <c r="D19312">
        <v>0</v>
      </c>
      <c r="E19312">
        <v>0</v>
      </c>
      <c r="F19312">
        <v>251.88200000000001</v>
      </c>
    </row>
    <row r="19313" spans="1:6" x14ac:dyDescent="0.25">
      <c r="A19313">
        <v>19312</v>
      </c>
      <c r="B19313" t="s">
        <v>0</v>
      </c>
      <c r="C19313">
        <v>89</v>
      </c>
      <c r="D19313">
        <v>3516</v>
      </c>
      <c r="E19313">
        <v>80886143</v>
      </c>
    </row>
    <row r="19314" spans="1:6" x14ac:dyDescent="0.25">
      <c r="A19314">
        <v>19313</v>
      </c>
      <c r="B19314">
        <v>10</v>
      </c>
      <c r="C19314">
        <v>1</v>
      </c>
      <c r="D19314">
        <v>0</v>
      </c>
      <c r="E19314">
        <v>0</v>
      </c>
      <c r="F19314">
        <v>5248</v>
      </c>
    </row>
    <row r="19315" spans="1:6" x14ac:dyDescent="0.25">
      <c r="A19315">
        <v>19314</v>
      </c>
      <c r="B19315">
        <v>13</v>
      </c>
      <c r="C19315">
        <v>0</v>
      </c>
      <c r="D19315">
        <v>0</v>
      </c>
      <c r="E19315">
        <v>0</v>
      </c>
      <c r="F19315">
        <v>1619</v>
      </c>
    </row>
    <row r="19316" spans="1:6" x14ac:dyDescent="0.25">
      <c r="A19316">
        <v>19315</v>
      </c>
      <c r="B19316" t="s">
        <v>0</v>
      </c>
      <c r="C19316">
        <v>90</v>
      </c>
      <c r="D19316">
        <v>3516</v>
      </c>
      <c r="E19316">
        <v>80886275</v>
      </c>
    </row>
    <row r="19317" spans="1:6" x14ac:dyDescent="0.25">
      <c r="A19317">
        <v>19316</v>
      </c>
      <c r="B19317">
        <v>41</v>
      </c>
      <c r="C19317">
        <v>0</v>
      </c>
      <c r="D19317">
        <v>0</v>
      </c>
      <c r="E19317">
        <v>0</v>
      </c>
      <c r="F19317">
        <v>1</v>
      </c>
    </row>
    <row r="19318" spans="1:6" x14ac:dyDescent="0.25">
      <c r="A19318">
        <v>19317</v>
      </c>
      <c r="B19318">
        <v>42</v>
      </c>
      <c r="C19318">
        <v>0</v>
      </c>
      <c r="D19318">
        <v>0</v>
      </c>
      <c r="E19318">
        <v>0</v>
      </c>
      <c r="F19318">
        <v>0.2</v>
      </c>
    </row>
    <row r="19319" spans="1:6" x14ac:dyDescent="0.25">
      <c r="A19319">
        <v>19318</v>
      </c>
      <c r="B19319" t="s">
        <v>0</v>
      </c>
      <c r="C19319">
        <v>91</v>
      </c>
      <c r="D19319">
        <v>3516</v>
      </c>
      <c r="E19319">
        <v>80886406</v>
      </c>
    </row>
    <row r="19320" spans="1:6" x14ac:dyDescent="0.25">
      <c r="A19320">
        <v>19319</v>
      </c>
      <c r="B19320">
        <v>43</v>
      </c>
      <c r="C19320">
        <v>0</v>
      </c>
      <c r="D19320">
        <v>0</v>
      </c>
      <c r="E19320">
        <v>0</v>
      </c>
      <c r="F19320">
        <v>0</v>
      </c>
    </row>
    <row r="19321" spans="1:6" x14ac:dyDescent="0.25">
      <c r="A19321">
        <v>19320</v>
      </c>
      <c r="B19321">
        <v>44</v>
      </c>
      <c r="C19321">
        <v>0</v>
      </c>
      <c r="D19321">
        <v>0</v>
      </c>
      <c r="E19321">
        <v>0</v>
      </c>
      <c r="F19321">
        <v>48.1</v>
      </c>
    </row>
    <row r="19322" spans="1:6" x14ac:dyDescent="0.25">
      <c r="A19322">
        <v>19321</v>
      </c>
      <c r="B19322" t="s">
        <v>0</v>
      </c>
      <c r="C19322">
        <v>92</v>
      </c>
      <c r="D19322">
        <v>3516</v>
      </c>
      <c r="E19322">
        <v>80886538</v>
      </c>
    </row>
    <row r="19323" spans="1:6" x14ac:dyDescent="0.25">
      <c r="A19323">
        <v>19322</v>
      </c>
      <c r="B19323">
        <v>45</v>
      </c>
      <c r="C19323">
        <v>0</v>
      </c>
      <c r="D19323">
        <v>0</v>
      </c>
      <c r="E19323">
        <v>0</v>
      </c>
      <c r="F19323">
        <v>543.80999999999995</v>
      </c>
    </row>
    <row r="19324" spans="1:6" x14ac:dyDescent="0.25">
      <c r="A19324">
        <v>19323</v>
      </c>
      <c r="B19324">
        <v>46</v>
      </c>
      <c r="C19324">
        <v>0</v>
      </c>
      <c r="D19324">
        <v>0</v>
      </c>
      <c r="E19324">
        <v>0</v>
      </c>
      <c r="F19324">
        <v>0</v>
      </c>
    </row>
    <row r="19325" spans="1:6" x14ac:dyDescent="0.25">
      <c r="A19325">
        <v>19324</v>
      </c>
      <c r="B19325" t="s">
        <v>0</v>
      </c>
      <c r="C19325">
        <v>93</v>
      </c>
      <c r="D19325">
        <v>3516</v>
      </c>
      <c r="E19325">
        <v>80886670</v>
      </c>
    </row>
    <row r="19326" spans="1:6" x14ac:dyDescent="0.25">
      <c r="A19326">
        <v>19325</v>
      </c>
      <c r="B19326">
        <v>2</v>
      </c>
      <c r="C19326">
        <v>0</v>
      </c>
      <c r="D19326">
        <v>0</v>
      </c>
      <c r="E19326">
        <v>0</v>
      </c>
      <c r="F19326">
        <v>251.91</v>
      </c>
    </row>
    <row r="19327" spans="1:6" x14ac:dyDescent="0.25">
      <c r="A19327">
        <v>19326</v>
      </c>
      <c r="B19327">
        <v>10</v>
      </c>
      <c r="C19327">
        <v>1</v>
      </c>
      <c r="D19327">
        <v>0</v>
      </c>
      <c r="E19327">
        <v>0</v>
      </c>
      <c r="F19327">
        <v>5248</v>
      </c>
    </row>
    <row r="19328" spans="1:6" x14ac:dyDescent="0.25">
      <c r="A19328">
        <v>19327</v>
      </c>
      <c r="B19328" t="s">
        <v>0</v>
      </c>
      <c r="C19328">
        <v>94</v>
      </c>
      <c r="D19328">
        <v>3516</v>
      </c>
      <c r="E19328">
        <v>80886801</v>
      </c>
    </row>
    <row r="19329" spans="1:6" x14ac:dyDescent="0.25">
      <c r="A19329">
        <v>19328</v>
      </c>
      <c r="B19329">
        <v>13</v>
      </c>
      <c r="C19329">
        <v>0</v>
      </c>
      <c r="D19329">
        <v>0</v>
      </c>
      <c r="E19329">
        <v>0</v>
      </c>
      <c r="F19329">
        <v>1619</v>
      </c>
    </row>
    <row r="19330" spans="1:6" x14ac:dyDescent="0.25">
      <c r="A19330">
        <v>19329</v>
      </c>
      <c r="B19330">
        <v>41</v>
      </c>
      <c r="C19330">
        <v>0</v>
      </c>
      <c r="D19330">
        <v>0</v>
      </c>
      <c r="E19330">
        <v>0</v>
      </c>
      <c r="F19330">
        <v>1</v>
      </c>
    </row>
    <row r="19331" spans="1:6" x14ac:dyDescent="0.25">
      <c r="A19331">
        <v>19330</v>
      </c>
      <c r="B19331" t="s">
        <v>0</v>
      </c>
      <c r="C19331">
        <v>95</v>
      </c>
      <c r="D19331">
        <v>3516</v>
      </c>
      <c r="E19331">
        <v>80886933</v>
      </c>
    </row>
    <row r="19332" spans="1:6" x14ac:dyDescent="0.25">
      <c r="A19332">
        <v>19331</v>
      </c>
      <c r="B19332">
        <v>42</v>
      </c>
      <c r="C19332">
        <v>0</v>
      </c>
      <c r="D19332">
        <v>0</v>
      </c>
      <c r="E19332">
        <v>0</v>
      </c>
      <c r="F19332">
        <v>0.2</v>
      </c>
    </row>
    <row r="19333" spans="1:6" x14ac:dyDescent="0.25">
      <c r="A19333">
        <v>19332</v>
      </c>
      <c r="B19333">
        <v>43</v>
      </c>
      <c r="C19333">
        <v>0</v>
      </c>
      <c r="D19333">
        <v>0</v>
      </c>
      <c r="E19333">
        <v>0</v>
      </c>
      <c r="F19333">
        <v>0</v>
      </c>
    </row>
    <row r="19334" spans="1:6" x14ac:dyDescent="0.25">
      <c r="A19334">
        <v>19333</v>
      </c>
      <c r="B19334" t="s">
        <v>0</v>
      </c>
      <c r="C19334">
        <v>96</v>
      </c>
      <c r="D19334">
        <v>3516</v>
      </c>
      <c r="E19334">
        <v>80887065</v>
      </c>
    </row>
    <row r="19335" spans="1:6" x14ac:dyDescent="0.25">
      <c r="A19335">
        <v>19334</v>
      </c>
      <c r="B19335">
        <v>44</v>
      </c>
      <c r="C19335">
        <v>0</v>
      </c>
      <c r="D19335">
        <v>0</v>
      </c>
      <c r="E19335">
        <v>0</v>
      </c>
      <c r="F19335">
        <v>48.076799999999999</v>
      </c>
    </row>
    <row r="19336" spans="1:6" x14ac:dyDescent="0.25">
      <c r="A19336">
        <v>19335</v>
      </c>
      <c r="B19336">
        <v>45</v>
      </c>
      <c r="C19336">
        <v>0</v>
      </c>
      <c r="D19336">
        <v>0</v>
      </c>
      <c r="E19336">
        <v>0</v>
      </c>
      <c r="F19336">
        <v>543.86</v>
      </c>
    </row>
    <row r="19337" spans="1:6" x14ac:dyDescent="0.25">
      <c r="A19337">
        <v>19336</v>
      </c>
      <c r="B19337" t="s">
        <v>0</v>
      </c>
      <c r="C19337">
        <v>97</v>
      </c>
      <c r="D19337">
        <v>3516</v>
      </c>
      <c r="E19337">
        <v>80887196</v>
      </c>
    </row>
    <row r="19338" spans="1:6" x14ac:dyDescent="0.25">
      <c r="A19338">
        <v>19337</v>
      </c>
      <c r="B19338">
        <v>46</v>
      </c>
      <c r="C19338">
        <v>0</v>
      </c>
      <c r="D19338">
        <v>0</v>
      </c>
      <c r="E19338">
        <v>0</v>
      </c>
      <c r="F19338">
        <v>0</v>
      </c>
    </row>
    <row r="19339" spans="1:6" x14ac:dyDescent="0.25">
      <c r="A19339">
        <v>19338</v>
      </c>
      <c r="B19339">
        <v>2</v>
      </c>
      <c r="C19339">
        <v>0</v>
      </c>
      <c r="D19339">
        <v>0</v>
      </c>
      <c r="E19339">
        <v>0</v>
      </c>
      <c r="F19339">
        <v>251.92699999999999</v>
      </c>
    </row>
    <row r="19340" spans="1:6" x14ac:dyDescent="0.25">
      <c r="A19340">
        <v>19339</v>
      </c>
      <c r="B19340" t="s">
        <v>0</v>
      </c>
      <c r="C19340">
        <v>98</v>
      </c>
      <c r="D19340">
        <v>3516</v>
      </c>
      <c r="E19340">
        <v>80887328</v>
      </c>
    </row>
    <row r="19341" spans="1:6" x14ac:dyDescent="0.25">
      <c r="A19341">
        <v>19340</v>
      </c>
      <c r="B19341">
        <v>10</v>
      </c>
      <c r="C19341">
        <v>1</v>
      </c>
      <c r="D19341">
        <v>0</v>
      </c>
      <c r="E19341">
        <v>0</v>
      </c>
      <c r="F19341">
        <v>5248</v>
      </c>
    </row>
    <row r="19342" spans="1:6" x14ac:dyDescent="0.25">
      <c r="A19342">
        <v>19341</v>
      </c>
      <c r="B19342">
        <v>13</v>
      </c>
      <c r="C19342">
        <v>0</v>
      </c>
      <c r="D19342">
        <v>0</v>
      </c>
      <c r="E19342">
        <v>0</v>
      </c>
      <c r="F19342">
        <v>1619</v>
      </c>
    </row>
    <row r="19343" spans="1:6" x14ac:dyDescent="0.25">
      <c r="A19343">
        <v>19342</v>
      </c>
      <c r="B19343" t="s">
        <v>0</v>
      </c>
      <c r="C19343">
        <v>99</v>
      </c>
      <c r="D19343">
        <v>3516</v>
      </c>
      <c r="E19343">
        <v>80887459</v>
      </c>
    </row>
    <row r="19344" spans="1:6" x14ac:dyDescent="0.25">
      <c r="A19344">
        <v>19343</v>
      </c>
      <c r="B19344">
        <v>41</v>
      </c>
      <c r="C19344">
        <v>0</v>
      </c>
      <c r="D19344">
        <v>0</v>
      </c>
      <c r="E19344">
        <v>0</v>
      </c>
      <c r="F19344">
        <v>1</v>
      </c>
    </row>
    <row r="19345" spans="1:6" x14ac:dyDescent="0.25">
      <c r="A19345">
        <v>19344</v>
      </c>
      <c r="B19345">
        <v>42</v>
      </c>
      <c r="C19345">
        <v>0</v>
      </c>
      <c r="D19345">
        <v>0</v>
      </c>
      <c r="E19345">
        <v>0</v>
      </c>
      <c r="F19345">
        <v>0.2</v>
      </c>
    </row>
    <row r="19346" spans="1:6" x14ac:dyDescent="0.25">
      <c r="A19346">
        <v>19345</v>
      </c>
      <c r="B19346" t="s">
        <v>0</v>
      </c>
      <c r="C19346">
        <v>100</v>
      </c>
      <c r="D19346">
        <v>3516</v>
      </c>
      <c r="E19346">
        <v>80887590</v>
      </c>
    </row>
    <row r="19347" spans="1:6" x14ac:dyDescent="0.25">
      <c r="A19347">
        <v>19346</v>
      </c>
      <c r="B19347">
        <v>43</v>
      </c>
      <c r="C19347">
        <v>0</v>
      </c>
      <c r="D19347">
        <v>0</v>
      </c>
      <c r="E19347">
        <v>0</v>
      </c>
      <c r="F19347">
        <v>0</v>
      </c>
    </row>
    <row r="19348" spans="1:6" x14ac:dyDescent="0.25">
      <c r="A19348">
        <v>19347</v>
      </c>
      <c r="B19348">
        <v>44</v>
      </c>
      <c r="C19348">
        <v>0</v>
      </c>
      <c r="D19348">
        <v>0</v>
      </c>
      <c r="E19348">
        <v>0</v>
      </c>
      <c r="F19348">
        <v>48.0623</v>
      </c>
    </row>
    <row r="19349" spans="1:6" x14ac:dyDescent="0.25">
      <c r="A19349">
        <v>19348</v>
      </c>
      <c r="B19349" t="s">
        <v>0</v>
      </c>
      <c r="C19349">
        <v>101</v>
      </c>
      <c r="D19349">
        <v>3516</v>
      </c>
      <c r="E19349">
        <v>80887722</v>
      </c>
    </row>
    <row r="19350" spans="1:6" x14ac:dyDescent="0.25">
      <c r="A19350">
        <v>19349</v>
      </c>
      <c r="B19350">
        <v>45</v>
      </c>
      <c r="C19350">
        <v>0</v>
      </c>
      <c r="D19350">
        <v>0</v>
      </c>
      <c r="E19350">
        <v>0</v>
      </c>
      <c r="F19350">
        <v>543.92399999999998</v>
      </c>
    </row>
    <row r="19351" spans="1:6" x14ac:dyDescent="0.25">
      <c r="A19351">
        <v>19350</v>
      </c>
      <c r="B19351">
        <v>46</v>
      </c>
      <c r="C19351">
        <v>0</v>
      </c>
      <c r="D19351">
        <v>0</v>
      </c>
      <c r="E19351">
        <v>0</v>
      </c>
      <c r="F19351">
        <v>0</v>
      </c>
    </row>
    <row r="19352" spans="1:6" x14ac:dyDescent="0.25">
      <c r="A19352">
        <v>19351</v>
      </c>
      <c r="B19352" t="s">
        <v>0</v>
      </c>
      <c r="C19352">
        <v>102</v>
      </c>
      <c r="D19352">
        <v>3516</v>
      </c>
      <c r="E19352">
        <v>80887854</v>
      </c>
    </row>
    <row r="19353" spans="1:6" x14ac:dyDescent="0.25">
      <c r="A19353">
        <v>19352</v>
      </c>
      <c r="B19353">
        <v>2</v>
      </c>
      <c r="C19353">
        <v>0</v>
      </c>
      <c r="D19353">
        <v>0</v>
      </c>
      <c r="E19353">
        <v>0</v>
      </c>
      <c r="F19353">
        <v>251.94399999999999</v>
      </c>
    </row>
    <row r="19354" spans="1:6" x14ac:dyDescent="0.25">
      <c r="A19354">
        <v>19353</v>
      </c>
      <c r="B19354">
        <v>10</v>
      </c>
      <c r="C19354">
        <v>1</v>
      </c>
      <c r="D19354">
        <v>0</v>
      </c>
      <c r="E19354">
        <v>0</v>
      </c>
      <c r="F19354">
        <v>5248</v>
      </c>
    </row>
    <row r="19355" spans="1:6" x14ac:dyDescent="0.25">
      <c r="A19355">
        <v>19354</v>
      </c>
      <c r="B19355" t="s">
        <v>0</v>
      </c>
      <c r="C19355">
        <v>103</v>
      </c>
      <c r="D19355">
        <v>3516</v>
      </c>
      <c r="E19355">
        <v>80887985</v>
      </c>
    </row>
    <row r="19356" spans="1:6" x14ac:dyDescent="0.25">
      <c r="A19356">
        <v>19355</v>
      </c>
      <c r="B19356">
        <v>13</v>
      </c>
      <c r="C19356">
        <v>0</v>
      </c>
      <c r="D19356">
        <v>0</v>
      </c>
      <c r="E19356">
        <v>0</v>
      </c>
      <c r="F19356">
        <v>1619</v>
      </c>
    </row>
    <row r="19357" spans="1:6" x14ac:dyDescent="0.25">
      <c r="A19357">
        <v>19356</v>
      </c>
      <c r="B19357">
        <v>41</v>
      </c>
      <c r="C19357">
        <v>0</v>
      </c>
      <c r="D19357">
        <v>0</v>
      </c>
      <c r="E19357">
        <v>0</v>
      </c>
      <c r="F19357">
        <v>1</v>
      </c>
    </row>
    <row r="19358" spans="1:6" x14ac:dyDescent="0.25">
      <c r="A19358">
        <v>19357</v>
      </c>
      <c r="B19358">
        <v>42</v>
      </c>
      <c r="C19358">
        <v>0</v>
      </c>
      <c r="D19358">
        <v>0</v>
      </c>
      <c r="E19358">
        <v>0</v>
      </c>
      <c r="F19358">
        <v>0.2</v>
      </c>
    </row>
    <row r="19359" spans="1:6" x14ac:dyDescent="0.25">
      <c r="A19359">
        <v>19358</v>
      </c>
      <c r="B19359">
        <v>43</v>
      </c>
      <c r="C19359">
        <v>0</v>
      </c>
      <c r="D19359">
        <v>0</v>
      </c>
      <c r="E19359">
        <v>0</v>
      </c>
      <c r="F19359">
        <v>0</v>
      </c>
    </row>
    <row r="19360" spans="1:6" x14ac:dyDescent="0.25">
      <c r="A19360">
        <v>19359</v>
      </c>
      <c r="B19360">
        <v>44</v>
      </c>
      <c r="C19360">
        <v>0</v>
      </c>
      <c r="D19360">
        <v>0</v>
      </c>
      <c r="E19360">
        <v>0</v>
      </c>
      <c r="F19360">
        <v>48.047699999999999</v>
      </c>
    </row>
    <row r="19361" spans="1:6" x14ac:dyDescent="0.25">
      <c r="A19361">
        <v>19360</v>
      </c>
      <c r="B19361">
        <v>45</v>
      </c>
      <c r="C19361">
        <v>0</v>
      </c>
      <c r="D19361">
        <v>0</v>
      </c>
      <c r="E19361">
        <v>0</v>
      </c>
      <c r="F19361">
        <v>543.97500000000002</v>
      </c>
    </row>
    <row r="19362" spans="1:6" x14ac:dyDescent="0.25">
      <c r="A19362">
        <v>19361</v>
      </c>
      <c r="B19362">
        <v>46</v>
      </c>
      <c r="C19362">
        <v>0</v>
      </c>
      <c r="D19362">
        <v>0</v>
      </c>
      <c r="E19362">
        <v>0</v>
      </c>
      <c r="F19362">
        <v>0</v>
      </c>
    </row>
    <row r="19363" spans="1:6" x14ac:dyDescent="0.25">
      <c r="A19363">
        <v>19362</v>
      </c>
      <c r="B19363">
        <v>2</v>
      </c>
      <c r="C19363">
        <v>0</v>
      </c>
      <c r="D19363">
        <v>0</v>
      </c>
      <c r="E19363">
        <v>0</v>
      </c>
      <c r="F19363">
        <v>251.95500000000001</v>
      </c>
    </row>
    <row r="19364" spans="1:6" x14ac:dyDescent="0.25">
      <c r="A19364">
        <v>19363</v>
      </c>
      <c r="B19364">
        <v>10</v>
      </c>
      <c r="C19364">
        <v>1</v>
      </c>
      <c r="D19364">
        <v>0</v>
      </c>
      <c r="E19364">
        <v>0</v>
      </c>
      <c r="F19364">
        <v>5248</v>
      </c>
    </row>
    <row r="19365" spans="1:6" x14ac:dyDescent="0.25">
      <c r="A19365">
        <v>19364</v>
      </c>
      <c r="B19365">
        <v>13</v>
      </c>
      <c r="C19365">
        <v>0</v>
      </c>
      <c r="D19365">
        <v>0</v>
      </c>
      <c r="E19365">
        <v>0</v>
      </c>
      <c r="F19365">
        <v>1619</v>
      </c>
    </row>
    <row r="19366" spans="1:6" x14ac:dyDescent="0.25">
      <c r="A19366">
        <v>19365</v>
      </c>
      <c r="B19366">
        <v>41</v>
      </c>
      <c r="C19366">
        <v>0</v>
      </c>
      <c r="D19366">
        <v>0</v>
      </c>
      <c r="E19366">
        <v>0</v>
      </c>
      <c r="F19366">
        <v>1</v>
      </c>
    </row>
    <row r="19367" spans="1:6" x14ac:dyDescent="0.25">
      <c r="A19367">
        <v>19366</v>
      </c>
      <c r="B19367">
        <v>42</v>
      </c>
      <c r="C19367">
        <v>0</v>
      </c>
      <c r="D19367">
        <v>0</v>
      </c>
      <c r="E19367">
        <v>0</v>
      </c>
      <c r="F19367">
        <v>0.2</v>
      </c>
    </row>
    <row r="19368" spans="1:6" x14ac:dyDescent="0.25">
      <c r="A19368">
        <v>19367</v>
      </c>
      <c r="B19368">
        <v>43</v>
      </c>
      <c r="C19368">
        <v>0</v>
      </c>
      <c r="D19368">
        <v>0</v>
      </c>
      <c r="E19368">
        <v>0</v>
      </c>
      <c r="F19368">
        <v>0</v>
      </c>
    </row>
    <row r="19369" spans="1:6" x14ac:dyDescent="0.25">
      <c r="A19369">
        <v>19368</v>
      </c>
      <c r="B19369">
        <v>44</v>
      </c>
      <c r="C19369">
        <v>0</v>
      </c>
      <c r="D19369">
        <v>0</v>
      </c>
      <c r="E19369">
        <v>0</v>
      </c>
      <c r="F19369">
        <v>48.038400000000003</v>
      </c>
    </row>
    <row r="19370" spans="1:6" x14ac:dyDescent="0.25">
      <c r="A19370">
        <v>19369</v>
      </c>
      <c r="B19370">
        <v>45</v>
      </c>
      <c r="C19370">
        <v>0</v>
      </c>
      <c r="D19370">
        <v>0</v>
      </c>
      <c r="E19370">
        <v>0</v>
      </c>
      <c r="F19370">
        <v>544.03800000000001</v>
      </c>
    </row>
    <row r="19371" spans="1:6" x14ac:dyDescent="0.25">
      <c r="A19371">
        <v>19370</v>
      </c>
      <c r="B19371">
        <v>46</v>
      </c>
      <c r="C19371">
        <v>0</v>
      </c>
      <c r="D19371">
        <v>0</v>
      </c>
      <c r="E19371">
        <v>0</v>
      </c>
      <c r="F19371">
        <v>0</v>
      </c>
    </row>
    <row r="19372" spans="1:6" x14ac:dyDescent="0.25">
      <c r="A19372">
        <v>19371</v>
      </c>
      <c r="B19372">
        <v>2</v>
      </c>
      <c r="C19372">
        <v>0</v>
      </c>
      <c r="D19372">
        <v>0</v>
      </c>
      <c r="E19372">
        <v>0</v>
      </c>
      <c r="F19372">
        <v>251.965</v>
      </c>
    </row>
    <row r="19373" spans="1:6" x14ac:dyDescent="0.25">
      <c r="A19373">
        <v>19372</v>
      </c>
      <c r="B19373">
        <v>10</v>
      </c>
      <c r="C19373">
        <v>1</v>
      </c>
      <c r="D19373">
        <v>0</v>
      </c>
      <c r="E19373">
        <v>0</v>
      </c>
      <c r="F19373">
        <v>5248</v>
      </c>
    </row>
    <row r="19374" spans="1:6" x14ac:dyDescent="0.25">
      <c r="A19374">
        <v>19373</v>
      </c>
      <c r="B19374">
        <v>13</v>
      </c>
      <c r="C19374">
        <v>0</v>
      </c>
      <c r="D19374">
        <v>0</v>
      </c>
      <c r="E19374">
        <v>0</v>
      </c>
      <c r="F19374">
        <v>1619</v>
      </c>
    </row>
    <row r="19375" spans="1:6" x14ac:dyDescent="0.25">
      <c r="A19375">
        <v>19374</v>
      </c>
      <c r="B19375">
        <v>41</v>
      </c>
      <c r="C19375">
        <v>0</v>
      </c>
      <c r="D19375">
        <v>0</v>
      </c>
      <c r="E19375">
        <v>0</v>
      </c>
      <c r="F19375">
        <v>1</v>
      </c>
    </row>
    <row r="19376" spans="1:6" x14ac:dyDescent="0.25">
      <c r="A19376">
        <v>19375</v>
      </c>
      <c r="B19376">
        <v>42</v>
      </c>
      <c r="C19376">
        <v>0</v>
      </c>
      <c r="D19376">
        <v>0</v>
      </c>
      <c r="E19376">
        <v>0</v>
      </c>
      <c r="F19376">
        <v>0.2</v>
      </c>
    </row>
    <row r="19377" spans="1:6" x14ac:dyDescent="0.25">
      <c r="A19377">
        <v>19376</v>
      </c>
      <c r="B19377">
        <v>43</v>
      </c>
      <c r="C19377">
        <v>0</v>
      </c>
      <c r="D19377">
        <v>0</v>
      </c>
      <c r="E19377">
        <v>0</v>
      </c>
      <c r="F19377">
        <v>0</v>
      </c>
    </row>
    <row r="19378" spans="1:6" x14ac:dyDescent="0.25">
      <c r="A19378">
        <v>19377</v>
      </c>
      <c r="B19378">
        <v>44</v>
      </c>
      <c r="C19378">
        <v>0</v>
      </c>
      <c r="D19378">
        <v>0</v>
      </c>
      <c r="E19378">
        <v>0</v>
      </c>
      <c r="F19378">
        <v>48.029299999999999</v>
      </c>
    </row>
    <row r="19379" spans="1:6" x14ac:dyDescent="0.25">
      <c r="A19379">
        <v>19378</v>
      </c>
      <c r="B19379">
        <v>45</v>
      </c>
      <c r="C19379">
        <v>0</v>
      </c>
      <c r="D19379">
        <v>0</v>
      </c>
      <c r="E19379">
        <v>0</v>
      </c>
      <c r="F19379">
        <v>544.08900000000006</v>
      </c>
    </row>
    <row r="19380" spans="1:6" x14ac:dyDescent="0.25">
      <c r="A19380">
        <v>19379</v>
      </c>
      <c r="B19380">
        <v>46</v>
      </c>
      <c r="C19380">
        <v>0</v>
      </c>
      <c r="D19380">
        <v>0</v>
      </c>
      <c r="E19380">
        <v>0</v>
      </c>
      <c r="F19380">
        <v>0</v>
      </c>
    </row>
    <row r="19381" spans="1:6" x14ac:dyDescent="0.25">
      <c r="A19381">
        <v>19380</v>
      </c>
      <c r="B19381">
        <v>2</v>
      </c>
      <c r="C19381">
        <v>0</v>
      </c>
      <c r="D19381">
        <v>0</v>
      </c>
      <c r="E19381">
        <v>0</v>
      </c>
      <c r="F19381">
        <v>251.97200000000001</v>
      </c>
    </row>
    <row r="19382" spans="1:6" x14ac:dyDescent="0.25">
      <c r="A19382">
        <v>19381</v>
      </c>
      <c r="B19382">
        <v>10</v>
      </c>
      <c r="C19382">
        <v>1</v>
      </c>
      <c r="D19382">
        <v>0</v>
      </c>
      <c r="E19382">
        <v>0</v>
      </c>
      <c r="F19382">
        <v>5248</v>
      </c>
    </row>
    <row r="19383" spans="1:6" x14ac:dyDescent="0.25">
      <c r="A19383">
        <v>19382</v>
      </c>
      <c r="B19383">
        <v>13</v>
      </c>
      <c r="C19383">
        <v>0</v>
      </c>
      <c r="D19383">
        <v>0</v>
      </c>
      <c r="E19383">
        <v>0</v>
      </c>
      <c r="F19383">
        <v>1619</v>
      </c>
    </row>
    <row r="19384" spans="1:6" x14ac:dyDescent="0.25">
      <c r="A19384">
        <v>19383</v>
      </c>
      <c r="B19384">
        <v>41</v>
      </c>
      <c r="C19384">
        <v>0</v>
      </c>
      <c r="D19384">
        <v>0</v>
      </c>
      <c r="E19384">
        <v>0</v>
      </c>
      <c r="F19384">
        <v>1</v>
      </c>
    </row>
    <row r="19385" spans="1:6" x14ac:dyDescent="0.25">
      <c r="A19385">
        <v>19384</v>
      </c>
      <c r="B19385" t="s">
        <v>0</v>
      </c>
      <c r="C19385">
        <v>118</v>
      </c>
      <c r="D19385">
        <v>3516</v>
      </c>
      <c r="E19385">
        <v>80889961</v>
      </c>
    </row>
    <row r="19386" spans="1:6" x14ac:dyDescent="0.25">
      <c r="A19386">
        <v>19385</v>
      </c>
      <c r="B19386">
        <v>43</v>
      </c>
      <c r="C19386">
        <v>0</v>
      </c>
      <c r="D19386">
        <v>0</v>
      </c>
      <c r="E19386">
        <v>0</v>
      </c>
      <c r="F19386">
        <v>0</v>
      </c>
    </row>
    <row r="19387" spans="1:6" x14ac:dyDescent="0.25">
      <c r="A19387">
        <v>19386</v>
      </c>
      <c r="B19387" t="s">
        <v>0</v>
      </c>
      <c r="C19387">
        <v>119</v>
      </c>
      <c r="D19387">
        <v>3516</v>
      </c>
      <c r="E19387">
        <v>80890093</v>
      </c>
    </row>
    <row r="19388" spans="1:6" x14ac:dyDescent="0.25">
      <c r="A19388">
        <v>19387</v>
      </c>
      <c r="B19388">
        <v>45</v>
      </c>
      <c r="C19388">
        <v>0</v>
      </c>
      <c r="D19388">
        <v>0</v>
      </c>
      <c r="E19388">
        <v>0</v>
      </c>
      <c r="F19388">
        <v>544.15200000000004</v>
      </c>
    </row>
    <row r="19389" spans="1:6" x14ac:dyDescent="0.25">
      <c r="A19389">
        <v>19388</v>
      </c>
      <c r="B19389" t="s">
        <v>0</v>
      </c>
      <c r="C19389">
        <v>120</v>
      </c>
      <c r="D19389">
        <v>3516</v>
      </c>
      <c r="E19389">
        <v>80890225</v>
      </c>
    </row>
    <row r="19390" spans="1:6" x14ac:dyDescent="0.25">
      <c r="A19390">
        <v>19389</v>
      </c>
      <c r="B19390">
        <v>2</v>
      </c>
      <c r="C19390">
        <v>0</v>
      </c>
      <c r="D19390">
        <v>0</v>
      </c>
      <c r="E19390">
        <v>0</v>
      </c>
      <c r="F19390">
        <v>251.97900000000001</v>
      </c>
    </row>
    <row r="19391" spans="1:6" x14ac:dyDescent="0.25">
      <c r="A19391">
        <v>19390</v>
      </c>
      <c r="B19391" t="s">
        <v>0</v>
      </c>
      <c r="C19391">
        <v>121</v>
      </c>
      <c r="D19391">
        <v>3516</v>
      </c>
      <c r="E19391">
        <v>80890356</v>
      </c>
    </row>
    <row r="19392" spans="1:6" x14ac:dyDescent="0.25">
      <c r="A19392">
        <v>19391</v>
      </c>
      <c r="B19392">
        <v>13</v>
      </c>
      <c r="C19392">
        <v>0</v>
      </c>
      <c r="D19392">
        <v>0</v>
      </c>
      <c r="E19392">
        <v>0</v>
      </c>
      <c r="F19392">
        <v>1619</v>
      </c>
    </row>
    <row r="19393" spans="1:6" x14ac:dyDescent="0.25">
      <c r="A19393">
        <v>19392</v>
      </c>
      <c r="B19393" t="s">
        <v>0</v>
      </c>
      <c r="C19393">
        <v>122</v>
      </c>
      <c r="D19393">
        <v>3516</v>
      </c>
      <c r="E19393">
        <v>80890488</v>
      </c>
    </row>
    <row r="19394" spans="1:6" x14ac:dyDescent="0.25">
      <c r="A19394">
        <v>19393</v>
      </c>
      <c r="B19394">
        <v>42</v>
      </c>
      <c r="C19394">
        <v>0</v>
      </c>
      <c r="D19394">
        <v>0</v>
      </c>
      <c r="E19394">
        <v>0</v>
      </c>
      <c r="F19394">
        <v>0.2</v>
      </c>
    </row>
    <row r="19395" spans="1:6" x14ac:dyDescent="0.25">
      <c r="A19395">
        <v>19394</v>
      </c>
      <c r="B19395" t="s">
        <v>0</v>
      </c>
      <c r="C19395">
        <v>123</v>
      </c>
      <c r="D19395">
        <v>3516</v>
      </c>
      <c r="E19395">
        <v>80890620</v>
      </c>
    </row>
    <row r="19396" spans="1:6" x14ac:dyDescent="0.25">
      <c r="A19396">
        <v>19395</v>
      </c>
      <c r="B19396">
        <v>44</v>
      </c>
      <c r="C19396">
        <v>0</v>
      </c>
      <c r="D19396">
        <v>0</v>
      </c>
      <c r="E19396">
        <v>0</v>
      </c>
      <c r="F19396">
        <v>48.017800000000001</v>
      </c>
    </row>
    <row r="19397" spans="1:6" x14ac:dyDescent="0.25">
      <c r="A19397">
        <v>19396</v>
      </c>
      <c r="B19397" t="s">
        <v>0</v>
      </c>
      <c r="C19397">
        <v>124</v>
      </c>
      <c r="D19397">
        <v>3516</v>
      </c>
      <c r="E19397">
        <v>80890751</v>
      </c>
    </row>
    <row r="19398" spans="1:6" x14ac:dyDescent="0.25">
      <c r="A19398">
        <v>19397</v>
      </c>
      <c r="B19398">
        <v>46</v>
      </c>
      <c r="C19398">
        <v>0</v>
      </c>
      <c r="D19398">
        <v>0</v>
      </c>
      <c r="E19398">
        <v>0</v>
      </c>
      <c r="F19398">
        <v>0</v>
      </c>
    </row>
    <row r="19399" spans="1:6" x14ac:dyDescent="0.25">
      <c r="A19399">
        <v>19398</v>
      </c>
      <c r="B19399" t="s">
        <v>0</v>
      </c>
      <c r="C19399">
        <v>125</v>
      </c>
      <c r="D19399">
        <v>3516</v>
      </c>
      <c r="E19399">
        <v>80890883</v>
      </c>
    </row>
    <row r="19400" spans="1:6" x14ac:dyDescent="0.25">
      <c r="A19400">
        <v>19399</v>
      </c>
      <c r="B19400">
        <v>10</v>
      </c>
      <c r="C19400">
        <v>1</v>
      </c>
      <c r="D19400">
        <v>0</v>
      </c>
      <c r="E19400">
        <v>0</v>
      </c>
      <c r="F19400">
        <v>5248</v>
      </c>
    </row>
    <row r="19401" spans="1:6" x14ac:dyDescent="0.25">
      <c r="A19401">
        <v>19400</v>
      </c>
      <c r="B19401" t="s">
        <v>0</v>
      </c>
      <c r="C19401">
        <v>126</v>
      </c>
      <c r="D19401">
        <v>3516</v>
      </c>
      <c r="E19401">
        <v>80891015</v>
      </c>
    </row>
    <row r="19402" spans="1:6" x14ac:dyDescent="0.25">
      <c r="A19402">
        <v>19401</v>
      </c>
      <c r="B19402">
        <v>41</v>
      </c>
      <c r="C19402">
        <v>0</v>
      </c>
      <c r="D19402">
        <v>0</v>
      </c>
      <c r="E19402">
        <v>0</v>
      </c>
      <c r="F19402">
        <v>1</v>
      </c>
    </row>
    <row r="19403" spans="1:6" x14ac:dyDescent="0.25">
      <c r="A19403">
        <v>19402</v>
      </c>
      <c r="B19403" t="s">
        <v>0</v>
      </c>
      <c r="C19403">
        <v>127</v>
      </c>
      <c r="D19403">
        <v>3516</v>
      </c>
      <c r="E19403">
        <v>80891146</v>
      </c>
    </row>
    <row r="19404" spans="1:6" x14ac:dyDescent="0.25">
      <c r="A19404">
        <v>19403</v>
      </c>
      <c r="B19404">
        <v>43</v>
      </c>
      <c r="C19404">
        <v>0</v>
      </c>
      <c r="D19404">
        <v>0</v>
      </c>
      <c r="E19404">
        <v>0</v>
      </c>
      <c r="F19404">
        <v>0</v>
      </c>
    </row>
    <row r="19405" spans="1:6" x14ac:dyDescent="0.25">
      <c r="A19405">
        <v>19404</v>
      </c>
      <c r="B19405" t="s">
        <v>0</v>
      </c>
      <c r="C19405">
        <v>128</v>
      </c>
      <c r="D19405">
        <v>3516</v>
      </c>
      <c r="E19405">
        <v>80891278</v>
      </c>
    </row>
    <row r="19406" spans="1:6" x14ac:dyDescent="0.25">
      <c r="A19406">
        <v>19405</v>
      </c>
      <c r="B19406">
        <v>45</v>
      </c>
      <c r="C19406">
        <v>0</v>
      </c>
      <c r="D19406">
        <v>0</v>
      </c>
      <c r="E19406">
        <v>0</v>
      </c>
      <c r="F19406">
        <v>544.26700000000005</v>
      </c>
    </row>
    <row r="19407" spans="1:6" x14ac:dyDescent="0.25">
      <c r="A19407">
        <v>19406</v>
      </c>
      <c r="B19407" t="s">
        <v>0</v>
      </c>
      <c r="C19407">
        <v>129</v>
      </c>
      <c r="D19407">
        <v>3516</v>
      </c>
      <c r="E19407">
        <v>80891410</v>
      </c>
    </row>
    <row r="19408" spans="1:6" x14ac:dyDescent="0.25">
      <c r="A19408">
        <v>19407</v>
      </c>
      <c r="B19408">
        <v>2</v>
      </c>
      <c r="C19408">
        <v>0</v>
      </c>
      <c r="D19408">
        <v>0</v>
      </c>
      <c r="E19408">
        <v>0</v>
      </c>
      <c r="F19408">
        <v>251.98699999999999</v>
      </c>
    </row>
    <row r="19409" spans="1:6" x14ac:dyDescent="0.25">
      <c r="A19409">
        <v>19408</v>
      </c>
      <c r="B19409" t="s">
        <v>0</v>
      </c>
      <c r="C19409">
        <v>130</v>
      </c>
      <c r="D19409">
        <v>3516</v>
      </c>
      <c r="E19409">
        <v>80891541</v>
      </c>
    </row>
    <row r="19410" spans="1:6" x14ac:dyDescent="0.25">
      <c r="A19410">
        <v>19409</v>
      </c>
      <c r="B19410">
        <v>13</v>
      </c>
      <c r="C19410">
        <v>0</v>
      </c>
      <c r="D19410">
        <v>0</v>
      </c>
      <c r="E19410">
        <v>0</v>
      </c>
      <c r="F19410">
        <v>1619</v>
      </c>
    </row>
    <row r="19411" spans="1:6" x14ac:dyDescent="0.25">
      <c r="A19411">
        <v>19410</v>
      </c>
      <c r="B19411" t="s">
        <v>0</v>
      </c>
      <c r="C19411">
        <v>131</v>
      </c>
      <c r="D19411">
        <v>3516</v>
      </c>
      <c r="E19411">
        <v>80891673</v>
      </c>
    </row>
    <row r="19412" spans="1:6" x14ac:dyDescent="0.25">
      <c r="A19412">
        <v>19411</v>
      </c>
      <c r="B19412">
        <v>42</v>
      </c>
      <c r="C19412">
        <v>0</v>
      </c>
      <c r="D19412">
        <v>0</v>
      </c>
      <c r="E19412">
        <v>0</v>
      </c>
      <c r="F19412">
        <v>0.2</v>
      </c>
    </row>
    <row r="19413" spans="1:6" x14ac:dyDescent="0.25">
      <c r="A19413">
        <v>19412</v>
      </c>
      <c r="B19413" t="s">
        <v>0</v>
      </c>
      <c r="C19413">
        <v>132</v>
      </c>
      <c r="D19413">
        <v>3516</v>
      </c>
      <c r="E19413">
        <v>80891805</v>
      </c>
    </row>
    <row r="19414" spans="1:6" x14ac:dyDescent="0.25">
      <c r="A19414">
        <v>19413</v>
      </c>
      <c r="B19414">
        <v>44</v>
      </c>
      <c r="C19414">
        <v>0</v>
      </c>
      <c r="D19414">
        <v>0</v>
      </c>
      <c r="E19414">
        <v>0</v>
      </c>
      <c r="F19414">
        <v>48.010599999999997</v>
      </c>
    </row>
    <row r="19415" spans="1:6" x14ac:dyDescent="0.25">
      <c r="A19415">
        <v>19414</v>
      </c>
      <c r="B19415" t="s">
        <v>0</v>
      </c>
      <c r="C19415">
        <v>133</v>
      </c>
      <c r="D19415">
        <v>3516</v>
      </c>
      <c r="E19415">
        <v>80891936</v>
      </c>
    </row>
    <row r="19416" spans="1:6" x14ac:dyDescent="0.25">
      <c r="A19416">
        <v>19415</v>
      </c>
      <c r="B19416">
        <v>46</v>
      </c>
      <c r="C19416">
        <v>0</v>
      </c>
      <c r="D19416">
        <v>0</v>
      </c>
      <c r="E19416">
        <v>0</v>
      </c>
      <c r="F19416">
        <v>0</v>
      </c>
    </row>
    <row r="19417" spans="1:6" x14ac:dyDescent="0.25">
      <c r="A19417">
        <v>19416</v>
      </c>
      <c r="B19417" t="s">
        <v>0</v>
      </c>
      <c r="C19417">
        <v>134</v>
      </c>
      <c r="D19417">
        <v>3516</v>
      </c>
      <c r="E19417">
        <v>80892068</v>
      </c>
    </row>
    <row r="19418" spans="1:6" x14ac:dyDescent="0.25">
      <c r="A19418">
        <v>19417</v>
      </c>
      <c r="B19418">
        <v>10</v>
      </c>
      <c r="C19418">
        <v>1</v>
      </c>
      <c r="D19418">
        <v>0</v>
      </c>
      <c r="E19418">
        <v>0</v>
      </c>
      <c r="F19418">
        <v>5249</v>
      </c>
    </row>
    <row r="19419" spans="1:6" x14ac:dyDescent="0.25">
      <c r="A19419">
        <v>19418</v>
      </c>
      <c r="B19419" t="s">
        <v>0</v>
      </c>
      <c r="C19419">
        <v>135</v>
      </c>
      <c r="D19419">
        <v>3516</v>
      </c>
      <c r="E19419">
        <v>80892200</v>
      </c>
    </row>
    <row r="19420" spans="1:6" x14ac:dyDescent="0.25">
      <c r="A19420">
        <v>19419</v>
      </c>
      <c r="B19420">
        <v>41</v>
      </c>
      <c r="C19420">
        <v>0</v>
      </c>
      <c r="D19420">
        <v>0</v>
      </c>
      <c r="E19420">
        <v>0</v>
      </c>
      <c r="F19420">
        <v>1</v>
      </c>
    </row>
    <row r="19421" spans="1:6" x14ac:dyDescent="0.25">
      <c r="A19421">
        <v>19420</v>
      </c>
      <c r="B19421" t="s">
        <v>0</v>
      </c>
      <c r="C19421">
        <v>136</v>
      </c>
      <c r="D19421">
        <v>3516</v>
      </c>
      <c r="E19421">
        <v>80892331</v>
      </c>
    </row>
    <row r="19422" spans="1:6" x14ac:dyDescent="0.25">
      <c r="A19422">
        <v>19421</v>
      </c>
      <c r="B19422">
        <v>43</v>
      </c>
      <c r="C19422">
        <v>0</v>
      </c>
      <c r="D19422">
        <v>0</v>
      </c>
      <c r="E19422">
        <v>0</v>
      </c>
      <c r="F19422">
        <v>0</v>
      </c>
    </row>
    <row r="19423" spans="1:6" x14ac:dyDescent="0.25">
      <c r="A19423">
        <v>19422</v>
      </c>
      <c r="B19423" t="s">
        <v>0</v>
      </c>
      <c r="C19423">
        <v>137</v>
      </c>
      <c r="D19423">
        <v>3516</v>
      </c>
      <c r="E19423">
        <v>80892463</v>
      </c>
    </row>
    <row r="19424" spans="1:6" x14ac:dyDescent="0.25">
      <c r="A19424">
        <v>19423</v>
      </c>
      <c r="B19424">
        <v>45</v>
      </c>
      <c r="C19424">
        <v>0</v>
      </c>
      <c r="D19424">
        <v>0</v>
      </c>
      <c r="E19424">
        <v>0</v>
      </c>
      <c r="F19424">
        <v>544.38099999999997</v>
      </c>
    </row>
    <row r="19425" spans="1:6" x14ac:dyDescent="0.25">
      <c r="A19425">
        <v>19424</v>
      </c>
      <c r="B19425" t="s">
        <v>0</v>
      </c>
      <c r="C19425">
        <v>138</v>
      </c>
      <c r="D19425">
        <v>3516</v>
      </c>
      <c r="E19425">
        <v>80892595</v>
      </c>
    </row>
    <row r="19426" spans="1:6" x14ac:dyDescent="0.25">
      <c r="A19426">
        <v>19425</v>
      </c>
      <c r="B19426">
        <v>2</v>
      </c>
      <c r="C19426">
        <v>0</v>
      </c>
      <c r="D19426">
        <v>0</v>
      </c>
      <c r="E19426">
        <v>0</v>
      </c>
      <c r="F19426">
        <v>251.99299999999999</v>
      </c>
    </row>
    <row r="19427" spans="1:6" x14ac:dyDescent="0.25">
      <c r="A19427">
        <v>19426</v>
      </c>
      <c r="B19427" t="s">
        <v>0</v>
      </c>
      <c r="C19427">
        <v>139</v>
      </c>
      <c r="D19427">
        <v>3516</v>
      </c>
      <c r="E19427">
        <v>80892726</v>
      </c>
    </row>
    <row r="19428" spans="1:6" x14ac:dyDescent="0.25">
      <c r="A19428">
        <v>19427</v>
      </c>
      <c r="B19428">
        <v>13</v>
      </c>
      <c r="C19428">
        <v>0</v>
      </c>
      <c r="D19428">
        <v>0</v>
      </c>
      <c r="E19428">
        <v>0</v>
      </c>
      <c r="F19428">
        <v>1619</v>
      </c>
    </row>
    <row r="19429" spans="1:6" x14ac:dyDescent="0.25">
      <c r="A19429">
        <v>19428</v>
      </c>
      <c r="B19429" t="s">
        <v>0</v>
      </c>
      <c r="C19429">
        <v>140</v>
      </c>
      <c r="D19429">
        <v>3516</v>
      </c>
      <c r="E19429">
        <v>80892858</v>
      </c>
    </row>
    <row r="19430" spans="1:6" x14ac:dyDescent="0.25">
      <c r="A19430">
        <v>19429</v>
      </c>
      <c r="B19430">
        <v>42</v>
      </c>
      <c r="C19430">
        <v>0</v>
      </c>
      <c r="D19430">
        <v>0</v>
      </c>
      <c r="E19430">
        <v>0</v>
      </c>
      <c r="F19430">
        <v>0.2</v>
      </c>
    </row>
    <row r="19431" spans="1:6" x14ac:dyDescent="0.25">
      <c r="A19431">
        <v>19430</v>
      </c>
      <c r="B19431" t="s">
        <v>0</v>
      </c>
      <c r="C19431">
        <v>141</v>
      </c>
      <c r="D19431">
        <v>3516</v>
      </c>
      <c r="E19431">
        <v>80892990</v>
      </c>
    </row>
    <row r="19432" spans="1:6" x14ac:dyDescent="0.25">
      <c r="A19432">
        <v>19431</v>
      </c>
      <c r="B19432">
        <v>44</v>
      </c>
      <c r="C19432">
        <v>0</v>
      </c>
      <c r="D19432">
        <v>0</v>
      </c>
      <c r="E19432">
        <v>0</v>
      </c>
      <c r="F19432">
        <v>48.005699999999997</v>
      </c>
    </row>
    <row r="19433" spans="1:6" x14ac:dyDescent="0.25">
      <c r="A19433">
        <v>19432</v>
      </c>
      <c r="B19433" t="s">
        <v>0</v>
      </c>
      <c r="C19433">
        <v>142</v>
      </c>
      <c r="D19433">
        <v>3516</v>
      </c>
      <c r="E19433">
        <v>80893121</v>
      </c>
    </row>
    <row r="19434" spans="1:6" x14ac:dyDescent="0.25">
      <c r="A19434">
        <v>19433</v>
      </c>
      <c r="B19434">
        <v>46</v>
      </c>
      <c r="C19434">
        <v>0</v>
      </c>
      <c r="D19434">
        <v>0</v>
      </c>
      <c r="E19434">
        <v>0</v>
      </c>
      <c r="F19434">
        <v>0</v>
      </c>
    </row>
    <row r="19435" spans="1:6" x14ac:dyDescent="0.25">
      <c r="A19435">
        <v>19434</v>
      </c>
      <c r="B19435" t="s">
        <v>0</v>
      </c>
      <c r="C19435">
        <v>143</v>
      </c>
      <c r="D19435">
        <v>3516</v>
      </c>
      <c r="E19435">
        <v>80893253</v>
      </c>
    </row>
    <row r="19436" spans="1:6" x14ac:dyDescent="0.25">
      <c r="A19436">
        <v>19435</v>
      </c>
      <c r="B19436">
        <v>10</v>
      </c>
      <c r="C19436">
        <v>1</v>
      </c>
      <c r="D19436">
        <v>0</v>
      </c>
      <c r="E19436">
        <v>0</v>
      </c>
      <c r="F19436">
        <v>5249</v>
      </c>
    </row>
    <row r="19437" spans="1:6" x14ac:dyDescent="0.25">
      <c r="A19437">
        <v>19436</v>
      </c>
      <c r="B19437" t="s">
        <v>0</v>
      </c>
      <c r="C19437">
        <v>144</v>
      </c>
      <c r="D19437">
        <v>3516</v>
      </c>
      <c r="E19437">
        <v>80893385</v>
      </c>
    </row>
    <row r="19438" spans="1:6" x14ac:dyDescent="0.25">
      <c r="A19438">
        <v>19437</v>
      </c>
      <c r="B19438">
        <v>41</v>
      </c>
      <c r="C19438">
        <v>0</v>
      </c>
      <c r="D19438">
        <v>0</v>
      </c>
      <c r="E19438">
        <v>0</v>
      </c>
      <c r="F19438">
        <v>1</v>
      </c>
    </row>
    <row r="19439" spans="1:6" x14ac:dyDescent="0.25">
      <c r="A19439">
        <v>19438</v>
      </c>
      <c r="B19439" t="s">
        <v>0</v>
      </c>
      <c r="C19439">
        <v>145</v>
      </c>
      <c r="D19439">
        <v>3516</v>
      </c>
      <c r="E19439">
        <v>80893516</v>
      </c>
    </row>
    <row r="19440" spans="1:6" x14ac:dyDescent="0.25">
      <c r="A19440">
        <v>19439</v>
      </c>
      <c r="B19440">
        <v>43</v>
      </c>
      <c r="C19440">
        <v>0</v>
      </c>
      <c r="D19440">
        <v>0</v>
      </c>
      <c r="E19440">
        <v>0</v>
      </c>
      <c r="F19440">
        <v>0</v>
      </c>
    </row>
    <row r="19441" spans="1:6" x14ac:dyDescent="0.25">
      <c r="A19441">
        <v>19440</v>
      </c>
      <c r="B19441" t="s">
        <v>0</v>
      </c>
      <c r="C19441">
        <v>146</v>
      </c>
      <c r="D19441">
        <v>3516</v>
      </c>
      <c r="E19441">
        <v>80893648</v>
      </c>
    </row>
    <row r="19442" spans="1:6" x14ac:dyDescent="0.25">
      <c r="A19442">
        <v>19441</v>
      </c>
      <c r="B19442">
        <v>45</v>
      </c>
      <c r="C19442">
        <v>0</v>
      </c>
      <c r="D19442">
        <v>0</v>
      </c>
      <c r="E19442">
        <v>0</v>
      </c>
      <c r="F19442">
        <v>544.495</v>
      </c>
    </row>
    <row r="19443" spans="1:6" x14ac:dyDescent="0.25">
      <c r="A19443">
        <v>19442</v>
      </c>
      <c r="B19443" t="s">
        <v>0</v>
      </c>
      <c r="C19443">
        <v>147</v>
      </c>
      <c r="D19443">
        <v>3516</v>
      </c>
      <c r="E19443">
        <v>80893780</v>
      </c>
    </row>
    <row r="19444" spans="1:6" x14ac:dyDescent="0.25">
      <c r="A19444">
        <v>19443</v>
      </c>
      <c r="B19444">
        <v>46</v>
      </c>
      <c r="C19444">
        <v>0</v>
      </c>
      <c r="D19444">
        <v>0</v>
      </c>
      <c r="E19444">
        <v>0</v>
      </c>
      <c r="F19444">
        <v>0</v>
      </c>
    </row>
    <row r="19445" spans="1:6" x14ac:dyDescent="0.25">
      <c r="A19445">
        <v>19444</v>
      </c>
      <c r="B19445">
        <v>2</v>
      </c>
      <c r="C19445">
        <v>0</v>
      </c>
      <c r="D19445">
        <v>0</v>
      </c>
      <c r="E19445">
        <v>0</v>
      </c>
      <c r="F19445">
        <v>252.03399999999999</v>
      </c>
    </row>
    <row r="19446" spans="1:6" x14ac:dyDescent="0.25">
      <c r="A19446">
        <v>19445</v>
      </c>
      <c r="B19446" t="s">
        <v>0</v>
      </c>
      <c r="C19446">
        <v>148</v>
      </c>
      <c r="D19446">
        <v>3516</v>
      </c>
      <c r="E19446">
        <v>80893912</v>
      </c>
    </row>
    <row r="19447" spans="1:6" x14ac:dyDescent="0.25">
      <c r="A19447">
        <v>19446</v>
      </c>
      <c r="B19447">
        <v>10</v>
      </c>
      <c r="C19447">
        <v>1</v>
      </c>
      <c r="D19447">
        <v>0</v>
      </c>
      <c r="E19447">
        <v>0</v>
      </c>
      <c r="F19447">
        <v>5248</v>
      </c>
    </row>
    <row r="19448" spans="1:6" x14ac:dyDescent="0.25">
      <c r="A19448">
        <v>19447</v>
      </c>
      <c r="B19448">
        <v>13</v>
      </c>
      <c r="C19448">
        <v>0</v>
      </c>
      <c r="D19448">
        <v>0</v>
      </c>
      <c r="E19448">
        <v>0</v>
      </c>
      <c r="F19448">
        <v>1619</v>
      </c>
    </row>
    <row r="19449" spans="1:6" x14ac:dyDescent="0.25">
      <c r="A19449">
        <v>19448</v>
      </c>
      <c r="B19449" t="s">
        <v>0</v>
      </c>
      <c r="C19449">
        <v>149</v>
      </c>
      <c r="D19449">
        <v>3516</v>
      </c>
      <c r="E19449">
        <v>80894044</v>
      </c>
    </row>
    <row r="19450" spans="1:6" x14ac:dyDescent="0.25">
      <c r="A19450">
        <v>19449</v>
      </c>
      <c r="B19450">
        <v>41</v>
      </c>
      <c r="C19450">
        <v>0</v>
      </c>
      <c r="D19450">
        <v>0</v>
      </c>
      <c r="E19450">
        <v>0</v>
      </c>
      <c r="F19450">
        <v>1</v>
      </c>
    </row>
    <row r="19451" spans="1:6" x14ac:dyDescent="0.25">
      <c r="A19451">
        <v>19450</v>
      </c>
      <c r="B19451">
        <v>42</v>
      </c>
      <c r="C19451">
        <v>0</v>
      </c>
      <c r="D19451">
        <v>0</v>
      </c>
      <c r="E19451">
        <v>0</v>
      </c>
      <c r="F19451">
        <v>0.2</v>
      </c>
    </row>
    <row r="19452" spans="1:6" x14ac:dyDescent="0.25">
      <c r="A19452">
        <v>19451</v>
      </c>
      <c r="B19452" t="s">
        <v>0</v>
      </c>
      <c r="C19452">
        <v>150</v>
      </c>
      <c r="D19452">
        <v>3516</v>
      </c>
      <c r="E19452">
        <v>80894175</v>
      </c>
    </row>
    <row r="19453" spans="1:6" x14ac:dyDescent="0.25">
      <c r="A19453">
        <v>19452</v>
      </c>
      <c r="B19453">
        <v>43</v>
      </c>
      <c r="C19453">
        <v>0</v>
      </c>
      <c r="D19453">
        <v>0</v>
      </c>
      <c r="E19453">
        <v>0</v>
      </c>
      <c r="F19453">
        <v>0</v>
      </c>
    </row>
    <row r="19454" spans="1:6" x14ac:dyDescent="0.25">
      <c r="A19454">
        <v>19453</v>
      </c>
      <c r="B19454">
        <v>44</v>
      </c>
      <c r="C19454">
        <v>0</v>
      </c>
      <c r="D19454">
        <v>0</v>
      </c>
      <c r="E19454">
        <v>0</v>
      </c>
      <c r="F19454">
        <v>47.916400000000003</v>
      </c>
    </row>
    <row r="19455" spans="1:6" x14ac:dyDescent="0.25">
      <c r="A19455">
        <v>19454</v>
      </c>
      <c r="B19455" t="s">
        <v>0</v>
      </c>
      <c r="C19455">
        <v>151</v>
      </c>
      <c r="D19455">
        <v>3516</v>
      </c>
      <c r="E19455">
        <v>80894306</v>
      </c>
    </row>
    <row r="19456" spans="1:6" x14ac:dyDescent="0.25">
      <c r="A19456">
        <v>19455</v>
      </c>
      <c r="B19456">
        <v>45</v>
      </c>
      <c r="C19456">
        <v>0</v>
      </c>
      <c r="D19456">
        <v>0</v>
      </c>
      <c r="E19456">
        <v>0</v>
      </c>
      <c r="F19456">
        <v>544.55799999999999</v>
      </c>
    </row>
    <row r="19457" spans="1:6" x14ac:dyDescent="0.25">
      <c r="A19457">
        <v>19456</v>
      </c>
      <c r="B19457">
        <v>46</v>
      </c>
      <c r="C19457">
        <v>0</v>
      </c>
      <c r="D19457">
        <v>0</v>
      </c>
      <c r="E19457">
        <v>0</v>
      </c>
      <c r="F19457">
        <v>0</v>
      </c>
    </row>
    <row r="19458" spans="1:6" x14ac:dyDescent="0.25">
      <c r="A19458">
        <v>19457</v>
      </c>
      <c r="B19458" t="s">
        <v>0</v>
      </c>
      <c r="C19458">
        <v>152</v>
      </c>
      <c r="D19458">
        <v>3516</v>
      </c>
      <c r="E19458">
        <v>80894437</v>
      </c>
    </row>
    <row r="19459" spans="1:6" x14ac:dyDescent="0.25">
      <c r="A19459">
        <v>19458</v>
      </c>
      <c r="B19459">
        <v>2</v>
      </c>
      <c r="C19459">
        <v>0</v>
      </c>
      <c r="D19459">
        <v>0</v>
      </c>
      <c r="E19459">
        <v>0</v>
      </c>
      <c r="F19459">
        <v>252.113</v>
      </c>
    </row>
    <row r="19460" spans="1:6" x14ac:dyDescent="0.25">
      <c r="A19460">
        <v>19459</v>
      </c>
      <c r="B19460">
        <v>10</v>
      </c>
      <c r="C19460">
        <v>1</v>
      </c>
      <c r="D19460">
        <v>0</v>
      </c>
      <c r="E19460">
        <v>0</v>
      </c>
      <c r="F19460">
        <v>5247</v>
      </c>
    </row>
    <row r="19461" spans="1:6" x14ac:dyDescent="0.25">
      <c r="A19461">
        <v>19460</v>
      </c>
      <c r="B19461" t="s">
        <v>0</v>
      </c>
      <c r="C19461">
        <v>153</v>
      </c>
      <c r="D19461">
        <v>3516</v>
      </c>
      <c r="E19461">
        <v>80894569</v>
      </c>
    </row>
    <row r="19462" spans="1:6" x14ac:dyDescent="0.25">
      <c r="A19462">
        <v>19461</v>
      </c>
      <c r="B19462">
        <v>13</v>
      </c>
      <c r="C19462">
        <v>0</v>
      </c>
      <c r="D19462">
        <v>0</v>
      </c>
      <c r="E19462">
        <v>0</v>
      </c>
      <c r="F19462">
        <v>1619</v>
      </c>
    </row>
    <row r="19463" spans="1:6" x14ac:dyDescent="0.25">
      <c r="A19463">
        <v>19462</v>
      </c>
      <c r="B19463">
        <v>41</v>
      </c>
      <c r="C19463">
        <v>0</v>
      </c>
      <c r="D19463">
        <v>0</v>
      </c>
      <c r="E19463">
        <v>0</v>
      </c>
      <c r="F19463">
        <v>1</v>
      </c>
    </row>
    <row r="19464" spans="1:6" x14ac:dyDescent="0.25">
      <c r="A19464">
        <v>19463</v>
      </c>
      <c r="B19464" t="s">
        <v>0</v>
      </c>
      <c r="C19464">
        <v>154</v>
      </c>
      <c r="D19464">
        <v>3516</v>
      </c>
      <c r="E19464">
        <v>80894701</v>
      </c>
    </row>
    <row r="19465" spans="1:6" x14ac:dyDescent="0.25">
      <c r="A19465">
        <v>19464</v>
      </c>
      <c r="B19465">
        <v>42</v>
      </c>
      <c r="C19465">
        <v>0</v>
      </c>
      <c r="D19465">
        <v>0</v>
      </c>
      <c r="E19465">
        <v>0</v>
      </c>
      <c r="F19465">
        <v>0.2</v>
      </c>
    </row>
    <row r="19466" spans="1:6" x14ac:dyDescent="0.25">
      <c r="A19466">
        <v>19465</v>
      </c>
      <c r="B19466">
        <v>43</v>
      </c>
      <c r="C19466">
        <v>0</v>
      </c>
      <c r="D19466">
        <v>0</v>
      </c>
      <c r="E19466">
        <v>0</v>
      </c>
      <c r="F19466">
        <v>0</v>
      </c>
    </row>
    <row r="19467" spans="1:6" x14ac:dyDescent="0.25">
      <c r="A19467">
        <v>19466</v>
      </c>
      <c r="B19467" t="s">
        <v>0</v>
      </c>
      <c r="C19467">
        <v>155</v>
      </c>
      <c r="D19467">
        <v>3516</v>
      </c>
      <c r="E19467">
        <v>80894833</v>
      </c>
    </row>
    <row r="19468" spans="1:6" x14ac:dyDescent="0.25">
      <c r="A19468">
        <v>19467</v>
      </c>
      <c r="B19468">
        <v>44</v>
      </c>
      <c r="C19468">
        <v>0</v>
      </c>
      <c r="D19468">
        <v>0</v>
      </c>
      <c r="E19468">
        <v>0</v>
      </c>
      <c r="F19468">
        <v>47.848300000000002</v>
      </c>
    </row>
    <row r="19469" spans="1:6" x14ac:dyDescent="0.25">
      <c r="A19469">
        <v>19468</v>
      </c>
      <c r="B19469">
        <v>45</v>
      </c>
      <c r="C19469">
        <v>0</v>
      </c>
      <c r="D19469">
        <v>0</v>
      </c>
      <c r="E19469">
        <v>0</v>
      </c>
      <c r="F19469">
        <v>544.60900000000004</v>
      </c>
    </row>
    <row r="19470" spans="1:6" x14ac:dyDescent="0.25">
      <c r="A19470">
        <v>19469</v>
      </c>
      <c r="B19470" t="s">
        <v>0</v>
      </c>
      <c r="C19470">
        <v>156</v>
      </c>
      <c r="D19470">
        <v>3516</v>
      </c>
      <c r="E19470">
        <v>80894965</v>
      </c>
    </row>
    <row r="19471" spans="1:6" x14ac:dyDescent="0.25">
      <c r="A19471">
        <v>19470</v>
      </c>
      <c r="B19471">
        <v>46</v>
      </c>
      <c r="C19471">
        <v>0</v>
      </c>
      <c r="D19471">
        <v>0</v>
      </c>
      <c r="E19471">
        <v>0</v>
      </c>
      <c r="F19471">
        <v>0</v>
      </c>
    </row>
    <row r="19472" spans="1:6" x14ac:dyDescent="0.25">
      <c r="A19472">
        <v>19471</v>
      </c>
      <c r="B19472">
        <v>2</v>
      </c>
      <c r="C19472">
        <v>0</v>
      </c>
      <c r="D19472">
        <v>0</v>
      </c>
      <c r="E19472">
        <v>0</v>
      </c>
      <c r="F19472">
        <v>252.16300000000001</v>
      </c>
    </row>
    <row r="19473" spans="1:6" x14ac:dyDescent="0.25">
      <c r="A19473">
        <v>19472</v>
      </c>
      <c r="B19473" t="s">
        <v>0</v>
      </c>
      <c r="C19473">
        <v>157</v>
      </c>
      <c r="D19473">
        <v>3516</v>
      </c>
      <c r="E19473">
        <v>80895097</v>
      </c>
    </row>
    <row r="19474" spans="1:6" x14ac:dyDescent="0.25">
      <c r="A19474">
        <v>19473</v>
      </c>
      <c r="B19474">
        <v>10</v>
      </c>
      <c r="C19474">
        <v>1</v>
      </c>
      <c r="D19474">
        <v>0</v>
      </c>
      <c r="E19474">
        <v>0</v>
      </c>
      <c r="F19474">
        <v>5246</v>
      </c>
    </row>
    <row r="19475" spans="1:6" x14ac:dyDescent="0.25">
      <c r="A19475">
        <v>19474</v>
      </c>
      <c r="B19475">
        <v>13</v>
      </c>
      <c r="C19475">
        <v>0</v>
      </c>
      <c r="D19475">
        <v>0</v>
      </c>
      <c r="E19475">
        <v>0</v>
      </c>
      <c r="F19475">
        <v>1619</v>
      </c>
    </row>
    <row r="19476" spans="1:6" x14ac:dyDescent="0.25">
      <c r="A19476">
        <v>19475</v>
      </c>
      <c r="B19476" t="s">
        <v>0</v>
      </c>
      <c r="C19476">
        <v>158</v>
      </c>
      <c r="D19476">
        <v>3516</v>
      </c>
      <c r="E19476">
        <v>80895228</v>
      </c>
    </row>
    <row r="19477" spans="1:6" x14ac:dyDescent="0.25">
      <c r="A19477">
        <v>19476</v>
      </c>
      <c r="B19477">
        <v>41</v>
      </c>
      <c r="C19477">
        <v>0</v>
      </c>
      <c r="D19477">
        <v>0</v>
      </c>
      <c r="E19477">
        <v>0</v>
      </c>
      <c r="F19477">
        <v>1</v>
      </c>
    </row>
    <row r="19478" spans="1:6" x14ac:dyDescent="0.25">
      <c r="A19478">
        <v>19477</v>
      </c>
      <c r="B19478">
        <v>42</v>
      </c>
      <c r="C19478">
        <v>0</v>
      </c>
      <c r="D19478">
        <v>0</v>
      </c>
      <c r="E19478">
        <v>0</v>
      </c>
      <c r="F19478">
        <v>0.2</v>
      </c>
    </row>
    <row r="19479" spans="1:6" x14ac:dyDescent="0.25">
      <c r="A19479">
        <v>19478</v>
      </c>
      <c r="B19479" t="s">
        <v>0</v>
      </c>
      <c r="C19479">
        <v>159</v>
      </c>
      <c r="D19479">
        <v>3516</v>
      </c>
      <c r="E19479">
        <v>80895359</v>
      </c>
    </row>
    <row r="19480" spans="1:6" x14ac:dyDescent="0.25">
      <c r="A19480">
        <v>19479</v>
      </c>
      <c r="B19480">
        <v>43</v>
      </c>
      <c r="C19480">
        <v>0</v>
      </c>
      <c r="D19480">
        <v>0</v>
      </c>
      <c r="E19480">
        <v>0</v>
      </c>
      <c r="F19480">
        <v>0</v>
      </c>
    </row>
    <row r="19481" spans="1:6" x14ac:dyDescent="0.25">
      <c r="A19481">
        <v>19480</v>
      </c>
      <c r="B19481">
        <v>44</v>
      </c>
      <c r="C19481">
        <v>0</v>
      </c>
      <c r="D19481">
        <v>0</v>
      </c>
      <c r="E19481">
        <v>0</v>
      </c>
      <c r="F19481">
        <v>47.804900000000004</v>
      </c>
    </row>
    <row r="19482" spans="1:6" x14ac:dyDescent="0.25">
      <c r="A19482">
        <v>19481</v>
      </c>
      <c r="B19482" t="s">
        <v>0</v>
      </c>
      <c r="C19482">
        <v>160</v>
      </c>
      <c r="D19482">
        <v>3516</v>
      </c>
      <c r="E19482">
        <v>80895490</v>
      </c>
    </row>
    <row r="19483" spans="1:6" x14ac:dyDescent="0.25">
      <c r="A19483">
        <v>19482</v>
      </c>
      <c r="B19483">
        <v>45</v>
      </c>
      <c r="C19483">
        <v>0</v>
      </c>
      <c r="D19483">
        <v>0</v>
      </c>
      <c r="E19483">
        <v>0</v>
      </c>
      <c r="F19483">
        <v>544.67200000000003</v>
      </c>
    </row>
    <row r="19484" spans="1:6" x14ac:dyDescent="0.25">
      <c r="A19484">
        <v>19483</v>
      </c>
      <c r="B19484">
        <v>46</v>
      </c>
      <c r="C19484">
        <v>0</v>
      </c>
      <c r="D19484">
        <v>0</v>
      </c>
      <c r="E19484">
        <v>0</v>
      </c>
      <c r="F19484">
        <v>0</v>
      </c>
    </row>
    <row r="19485" spans="1:6" x14ac:dyDescent="0.25">
      <c r="A19485">
        <v>19484</v>
      </c>
      <c r="B19485" t="s">
        <v>0</v>
      </c>
      <c r="C19485">
        <v>161</v>
      </c>
      <c r="D19485">
        <v>3516</v>
      </c>
      <c r="E19485">
        <v>80895622</v>
      </c>
    </row>
    <row r="19486" spans="1:6" x14ac:dyDescent="0.25">
      <c r="A19486">
        <v>19485</v>
      </c>
      <c r="B19486">
        <v>2</v>
      </c>
      <c r="C19486">
        <v>0</v>
      </c>
      <c r="D19486">
        <v>0</v>
      </c>
      <c r="E19486">
        <v>0</v>
      </c>
      <c r="F19486">
        <v>252.214</v>
      </c>
    </row>
    <row r="19487" spans="1:6" x14ac:dyDescent="0.25">
      <c r="A19487">
        <v>19486</v>
      </c>
      <c r="B19487">
        <v>10</v>
      </c>
      <c r="C19487">
        <v>1</v>
      </c>
      <c r="D19487">
        <v>0</v>
      </c>
      <c r="E19487">
        <v>0</v>
      </c>
      <c r="F19487">
        <v>5245</v>
      </c>
    </row>
    <row r="19488" spans="1:6" x14ac:dyDescent="0.25">
      <c r="A19488">
        <v>19487</v>
      </c>
      <c r="B19488">
        <v>13</v>
      </c>
      <c r="C19488">
        <v>0</v>
      </c>
      <c r="D19488">
        <v>0</v>
      </c>
      <c r="E19488">
        <v>0</v>
      </c>
      <c r="F19488">
        <v>1619</v>
      </c>
    </row>
    <row r="19489" spans="1:6" x14ac:dyDescent="0.25">
      <c r="A19489">
        <v>19488</v>
      </c>
      <c r="B19489">
        <v>41</v>
      </c>
      <c r="C19489">
        <v>0</v>
      </c>
      <c r="D19489">
        <v>0</v>
      </c>
      <c r="E19489">
        <v>0</v>
      </c>
      <c r="F19489">
        <v>1</v>
      </c>
    </row>
    <row r="19490" spans="1:6" x14ac:dyDescent="0.25">
      <c r="A19490">
        <v>19489</v>
      </c>
      <c r="B19490">
        <v>42</v>
      </c>
      <c r="C19490">
        <v>0</v>
      </c>
      <c r="D19490">
        <v>0</v>
      </c>
      <c r="E19490">
        <v>0</v>
      </c>
      <c r="F19490">
        <v>0.2</v>
      </c>
    </row>
    <row r="19491" spans="1:6" x14ac:dyDescent="0.25">
      <c r="A19491">
        <v>19490</v>
      </c>
      <c r="B19491">
        <v>43</v>
      </c>
      <c r="C19491">
        <v>0</v>
      </c>
      <c r="D19491">
        <v>0</v>
      </c>
      <c r="E19491">
        <v>0</v>
      </c>
      <c r="F19491">
        <v>0</v>
      </c>
    </row>
    <row r="19492" spans="1:6" x14ac:dyDescent="0.25">
      <c r="A19492">
        <v>19491</v>
      </c>
      <c r="B19492">
        <v>44</v>
      </c>
      <c r="C19492">
        <v>0</v>
      </c>
      <c r="D19492">
        <v>0</v>
      </c>
      <c r="E19492">
        <v>0</v>
      </c>
      <c r="F19492">
        <v>47.7622</v>
      </c>
    </row>
    <row r="19493" spans="1:6" x14ac:dyDescent="0.25">
      <c r="A19493">
        <v>19492</v>
      </c>
      <c r="B19493">
        <v>45</v>
      </c>
      <c r="C19493">
        <v>0</v>
      </c>
      <c r="D19493">
        <v>0</v>
      </c>
      <c r="E19493">
        <v>0</v>
      </c>
      <c r="F19493">
        <v>544.72299999999996</v>
      </c>
    </row>
    <row r="19494" spans="1:6" x14ac:dyDescent="0.25">
      <c r="A19494">
        <v>19493</v>
      </c>
      <c r="B19494">
        <v>46</v>
      </c>
      <c r="C19494">
        <v>0</v>
      </c>
      <c r="D19494">
        <v>0</v>
      </c>
      <c r="E19494">
        <v>0</v>
      </c>
      <c r="F19494">
        <v>0</v>
      </c>
    </row>
    <row r="19495" spans="1:6" x14ac:dyDescent="0.25">
      <c r="A19495">
        <v>19494</v>
      </c>
      <c r="B19495">
        <v>2</v>
      </c>
      <c r="C19495">
        <v>0</v>
      </c>
      <c r="D19495">
        <v>0</v>
      </c>
      <c r="E19495">
        <v>0</v>
      </c>
      <c r="F19495">
        <v>252.245</v>
      </c>
    </row>
    <row r="19496" spans="1:6" x14ac:dyDescent="0.25">
      <c r="A19496">
        <v>19495</v>
      </c>
      <c r="B19496">
        <v>10</v>
      </c>
      <c r="C19496">
        <v>1</v>
      </c>
      <c r="D19496">
        <v>0</v>
      </c>
      <c r="E19496">
        <v>0</v>
      </c>
      <c r="F19496">
        <v>5244</v>
      </c>
    </row>
    <row r="19497" spans="1:6" x14ac:dyDescent="0.25">
      <c r="A19497">
        <v>19496</v>
      </c>
      <c r="B19497">
        <v>13</v>
      </c>
      <c r="C19497">
        <v>0</v>
      </c>
      <c r="D19497">
        <v>0</v>
      </c>
      <c r="E19497">
        <v>0</v>
      </c>
      <c r="F19497">
        <v>1619</v>
      </c>
    </row>
    <row r="19498" spans="1:6" x14ac:dyDescent="0.25">
      <c r="A19498">
        <v>19497</v>
      </c>
      <c r="B19498">
        <v>41</v>
      </c>
      <c r="C19498">
        <v>0</v>
      </c>
      <c r="D19498">
        <v>0</v>
      </c>
      <c r="E19498">
        <v>0</v>
      </c>
      <c r="F19498">
        <v>1</v>
      </c>
    </row>
    <row r="19499" spans="1:6" x14ac:dyDescent="0.25">
      <c r="A19499">
        <v>19498</v>
      </c>
      <c r="B19499">
        <v>42</v>
      </c>
      <c r="C19499">
        <v>0</v>
      </c>
      <c r="D19499">
        <v>0</v>
      </c>
      <c r="E19499">
        <v>0</v>
      </c>
      <c r="F19499">
        <v>0.2</v>
      </c>
    </row>
    <row r="19500" spans="1:6" x14ac:dyDescent="0.25">
      <c r="A19500">
        <v>19499</v>
      </c>
      <c r="B19500">
        <v>43</v>
      </c>
      <c r="C19500">
        <v>0</v>
      </c>
      <c r="D19500">
        <v>0</v>
      </c>
      <c r="E19500">
        <v>0</v>
      </c>
      <c r="F19500">
        <v>0</v>
      </c>
    </row>
    <row r="19501" spans="1:6" x14ac:dyDescent="0.25">
      <c r="A19501">
        <v>19500</v>
      </c>
      <c r="B19501">
        <v>44</v>
      </c>
      <c r="C19501">
        <v>0</v>
      </c>
      <c r="D19501">
        <v>0</v>
      </c>
      <c r="E19501">
        <v>0</v>
      </c>
      <c r="F19501">
        <v>47.74</v>
      </c>
    </row>
    <row r="19502" spans="1:6" x14ac:dyDescent="0.25">
      <c r="A19502">
        <v>19501</v>
      </c>
      <c r="B19502">
        <v>45</v>
      </c>
      <c r="C19502">
        <v>0</v>
      </c>
      <c r="D19502">
        <v>0</v>
      </c>
      <c r="E19502">
        <v>0</v>
      </c>
      <c r="F19502">
        <v>544.78599999999994</v>
      </c>
    </row>
    <row r="19503" spans="1:6" x14ac:dyDescent="0.25">
      <c r="A19503">
        <v>19502</v>
      </c>
      <c r="B19503">
        <v>46</v>
      </c>
      <c r="C19503">
        <v>0</v>
      </c>
      <c r="D19503">
        <v>0</v>
      </c>
      <c r="E19503">
        <v>0</v>
      </c>
      <c r="F19503">
        <v>0</v>
      </c>
    </row>
    <row r="19504" spans="1:6" x14ac:dyDescent="0.25">
      <c r="A19504">
        <v>19503</v>
      </c>
      <c r="B19504">
        <v>2</v>
      </c>
      <c r="C19504">
        <v>0</v>
      </c>
      <c r="D19504">
        <v>0</v>
      </c>
      <c r="E19504">
        <v>0</v>
      </c>
      <c r="F19504">
        <v>252.27699999999999</v>
      </c>
    </row>
    <row r="19505" spans="1:6" x14ac:dyDescent="0.25">
      <c r="A19505">
        <v>19504</v>
      </c>
      <c r="B19505">
        <v>10</v>
      </c>
      <c r="C19505">
        <v>1</v>
      </c>
      <c r="D19505">
        <v>0</v>
      </c>
      <c r="E19505">
        <v>0</v>
      </c>
      <c r="F19505">
        <v>5244</v>
      </c>
    </row>
    <row r="19506" spans="1:6" x14ac:dyDescent="0.25">
      <c r="A19506">
        <v>19505</v>
      </c>
      <c r="B19506">
        <v>13</v>
      </c>
      <c r="C19506">
        <v>0</v>
      </c>
      <c r="D19506">
        <v>0</v>
      </c>
      <c r="E19506">
        <v>0</v>
      </c>
      <c r="F19506">
        <v>1619</v>
      </c>
    </row>
    <row r="19507" spans="1:6" x14ac:dyDescent="0.25">
      <c r="A19507">
        <v>19506</v>
      </c>
      <c r="B19507">
        <v>41</v>
      </c>
      <c r="C19507">
        <v>0</v>
      </c>
      <c r="D19507">
        <v>0</v>
      </c>
      <c r="E19507">
        <v>0</v>
      </c>
      <c r="F19507">
        <v>1</v>
      </c>
    </row>
    <row r="19508" spans="1:6" x14ac:dyDescent="0.25">
      <c r="A19508">
        <v>19507</v>
      </c>
      <c r="B19508">
        <v>42</v>
      </c>
      <c r="C19508">
        <v>0</v>
      </c>
      <c r="D19508">
        <v>0</v>
      </c>
      <c r="E19508">
        <v>0</v>
      </c>
      <c r="F19508">
        <v>0.2</v>
      </c>
    </row>
    <row r="19509" spans="1:6" x14ac:dyDescent="0.25">
      <c r="A19509">
        <v>19508</v>
      </c>
      <c r="B19509">
        <v>43</v>
      </c>
      <c r="C19509">
        <v>0</v>
      </c>
      <c r="D19509">
        <v>0</v>
      </c>
      <c r="E19509">
        <v>0</v>
      </c>
      <c r="F19509">
        <v>0</v>
      </c>
    </row>
    <row r="19510" spans="1:6" x14ac:dyDescent="0.25">
      <c r="A19510">
        <v>19509</v>
      </c>
      <c r="B19510">
        <v>44</v>
      </c>
      <c r="C19510">
        <v>0</v>
      </c>
      <c r="D19510">
        <v>0</v>
      </c>
      <c r="E19510">
        <v>0</v>
      </c>
      <c r="F19510">
        <v>47.708100000000002</v>
      </c>
    </row>
    <row r="19511" spans="1:6" x14ac:dyDescent="0.25">
      <c r="A19511">
        <v>19510</v>
      </c>
      <c r="B19511">
        <v>45</v>
      </c>
      <c r="C19511">
        <v>0</v>
      </c>
      <c r="D19511">
        <v>0</v>
      </c>
      <c r="E19511">
        <v>0</v>
      </c>
      <c r="F19511">
        <v>544.83600000000001</v>
      </c>
    </row>
    <row r="19512" spans="1:6" x14ac:dyDescent="0.25">
      <c r="A19512">
        <v>19511</v>
      </c>
      <c r="B19512">
        <v>46</v>
      </c>
      <c r="C19512">
        <v>0</v>
      </c>
      <c r="D19512">
        <v>0</v>
      </c>
      <c r="E19512">
        <v>0</v>
      </c>
      <c r="F19512">
        <v>0</v>
      </c>
    </row>
    <row r="19513" spans="1:6" x14ac:dyDescent="0.25">
      <c r="A19513">
        <v>19512</v>
      </c>
      <c r="B19513" t="s">
        <v>0</v>
      </c>
      <c r="C19513">
        <v>175</v>
      </c>
      <c r="D19513">
        <v>3516</v>
      </c>
      <c r="E19513">
        <v>80897464</v>
      </c>
    </row>
    <row r="19514" spans="1:6" x14ac:dyDescent="0.25">
      <c r="A19514">
        <v>19513</v>
      </c>
      <c r="B19514">
        <v>2</v>
      </c>
      <c r="C19514">
        <v>0</v>
      </c>
      <c r="D19514">
        <v>0</v>
      </c>
      <c r="E19514">
        <v>0</v>
      </c>
      <c r="F19514">
        <v>252.30099999999999</v>
      </c>
    </row>
    <row r="19515" spans="1:6" x14ac:dyDescent="0.25">
      <c r="A19515">
        <v>19514</v>
      </c>
      <c r="B19515" t="s">
        <v>0</v>
      </c>
      <c r="C19515">
        <v>176</v>
      </c>
      <c r="D19515">
        <v>3516</v>
      </c>
      <c r="E19515">
        <v>80897596</v>
      </c>
    </row>
    <row r="19516" spans="1:6" x14ac:dyDescent="0.25">
      <c r="A19516">
        <v>19515</v>
      </c>
      <c r="B19516">
        <v>13</v>
      </c>
      <c r="C19516">
        <v>0</v>
      </c>
      <c r="D19516">
        <v>0</v>
      </c>
      <c r="E19516">
        <v>0</v>
      </c>
      <c r="F19516">
        <v>1619</v>
      </c>
    </row>
    <row r="19517" spans="1:6" x14ac:dyDescent="0.25">
      <c r="A19517">
        <v>19516</v>
      </c>
      <c r="B19517" t="s">
        <v>0</v>
      </c>
      <c r="C19517">
        <v>177</v>
      </c>
      <c r="D19517">
        <v>3516</v>
      </c>
      <c r="E19517">
        <v>80897728</v>
      </c>
    </row>
    <row r="19518" spans="1:6" x14ac:dyDescent="0.25">
      <c r="A19518">
        <v>19517</v>
      </c>
      <c r="B19518">
        <v>42</v>
      </c>
      <c r="C19518">
        <v>0</v>
      </c>
      <c r="D19518">
        <v>0</v>
      </c>
      <c r="E19518">
        <v>0</v>
      </c>
      <c r="F19518">
        <v>0.2</v>
      </c>
    </row>
    <row r="19519" spans="1:6" x14ac:dyDescent="0.25">
      <c r="A19519">
        <v>19518</v>
      </c>
      <c r="B19519" t="s">
        <v>0</v>
      </c>
      <c r="C19519">
        <v>178</v>
      </c>
      <c r="D19519">
        <v>3516</v>
      </c>
      <c r="E19519">
        <v>80897860</v>
      </c>
    </row>
    <row r="19520" spans="1:6" x14ac:dyDescent="0.25">
      <c r="A19520">
        <v>19519</v>
      </c>
      <c r="B19520">
        <v>44</v>
      </c>
      <c r="C19520">
        <v>0</v>
      </c>
      <c r="D19520">
        <v>0</v>
      </c>
      <c r="E19520">
        <v>0</v>
      </c>
      <c r="F19520">
        <v>47.687399999999997</v>
      </c>
    </row>
    <row r="19521" spans="1:6" x14ac:dyDescent="0.25">
      <c r="A19521">
        <v>19520</v>
      </c>
      <c r="B19521">
        <v>45</v>
      </c>
      <c r="C19521">
        <v>0</v>
      </c>
      <c r="D19521">
        <v>0</v>
      </c>
      <c r="E19521">
        <v>0</v>
      </c>
      <c r="F19521">
        <v>544.899</v>
      </c>
    </row>
    <row r="19522" spans="1:6" x14ac:dyDescent="0.25">
      <c r="A19522">
        <v>19521</v>
      </c>
      <c r="B19522">
        <v>46</v>
      </c>
      <c r="C19522">
        <v>0</v>
      </c>
      <c r="D19522">
        <v>0</v>
      </c>
      <c r="E19522">
        <v>0</v>
      </c>
      <c r="F19522">
        <v>0</v>
      </c>
    </row>
    <row r="19523" spans="1:6" x14ac:dyDescent="0.25">
      <c r="A19523">
        <v>19522</v>
      </c>
      <c r="B19523" t="s">
        <v>0</v>
      </c>
      <c r="C19523">
        <v>0</v>
      </c>
      <c r="D19523">
        <v>3517</v>
      </c>
      <c r="E19523">
        <v>80898124</v>
      </c>
    </row>
    <row r="19524" spans="1:6" x14ac:dyDescent="0.25">
      <c r="A19524">
        <v>19523</v>
      </c>
      <c r="B19524">
        <v>10</v>
      </c>
      <c r="C19524">
        <v>1</v>
      </c>
      <c r="D19524">
        <v>0</v>
      </c>
      <c r="E19524">
        <v>0</v>
      </c>
      <c r="F19524">
        <v>5243</v>
      </c>
    </row>
    <row r="19525" spans="1:6" x14ac:dyDescent="0.25">
      <c r="A19525">
        <v>19524</v>
      </c>
      <c r="B19525" t="s">
        <v>0</v>
      </c>
      <c r="C19525">
        <v>1</v>
      </c>
      <c r="D19525">
        <v>3517</v>
      </c>
      <c r="E19525">
        <v>80898256</v>
      </c>
    </row>
    <row r="19526" spans="1:6" x14ac:dyDescent="0.25">
      <c r="A19526">
        <v>19525</v>
      </c>
      <c r="B19526">
        <v>41</v>
      </c>
      <c r="C19526">
        <v>0</v>
      </c>
      <c r="D19526">
        <v>0</v>
      </c>
      <c r="E19526">
        <v>0</v>
      </c>
      <c r="F19526">
        <v>1</v>
      </c>
    </row>
    <row r="19527" spans="1:6" x14ac:dyDescent="0.25">
      <c r="A19527">
        <v>19526</v>
      </c>
      <c r="B19527" t="s">
        <v>0</v>
      </c>
      <c r="C19527">
        <v>2</v>
      </c>
      <c r="D19527">
        <v>3517</v>
      </c>
      <c r="E19527">
        <v>80898387</v>
      </c>
    </row>
    <row r="19528" spans="1:6" x14ac:dyDescent="0.25">
      <c r="A19528">
        <v>19527</v>
      </c>
      <c r="B19528">
        <v>43</v>
      </c>
      <c r="C19528">
        <v>0</v>
      </c>
      <c r="D19528">
        <v>0</v>
      </c>
      <c r="E19528">
        <v>0</v>
      </c>
      <c r="F19528">
        <v>0</v>
      </c>
    </row>
    <row r="19529" spans="1:6" x14ac:dyDescent="0.25">
      <c r="A19529">
        <v>19528</v>
      </c>
      <c r="B19529" t="s">
        <v>0</v>
      </c>
      <c r="C19529">
        <v>3</v>
      </c>
      <c r="D19529">
        <v>3517</v>
      </c>
      <c r="E19529">
        <v>80898519</v>
      </c>
    </row>
    <row r="19530" spans="1:6" x14ac:dyDescent="0.25">
      <c r="A19530">
        <v>19529</v>
      </c>
      <c r="B19530">
        <v>45</v>
      </c>
      <c r="C19530">
        <v>0</v>
      </c>
      <c r="D19530">
        <v>0</v>
      </c>
      <c r="E19530">
        <v>0</v>
      </c>
      <c r="F19530">
        <v>544.93700000000001</v>
      </c>
    </row>
    <row r="19531" spans="1:6" x14ac:dyDescent="0.25">
      <c r="A19531">
        <v>19530</v>
      </c>
      <c r="B19531" t="s">
        <v>0</v>
      </c>
      <c r="C19531">
        <v>4</v>
      </c>
      <c r="D19531">
        <v>3517</v>
      </c>
      <c r="E19531">
        <v>80898651</v>
      </c>
    </row>
    <row r="19532" spans="1:6" x14ac:dyDescent="0.25">
      <c r="A19532">
        <v>19531</v>
      </c>
      <c r="B19532">
        <v>2</v>
      </c>
      <c r="C19532">
        <v>0</v>
      </c>
      <c r="D19532">
        <v>0</v>
      </c>
      <c r="E19532">
        <v>0</v>
      </c>
      <c r="F19532">
        <v>252.32599999999999</v>
      </c>
    </row>
    <row r="19533" spans="1:6" x14ac:dyDescent="0.25">
      <c r="A19533">
        <v>19532</v>
      </c>
      <c r="B19533" t="s">
        <v>0</v>
      </c>
      <c r="C19533">
        <v>5</v>
      </c>
      <c r="D19533">
        <v>3517</v>
      </c>
      <c r="E19533">
        <v>80898783</v>
      </c>
    </row>
    <row r="19534" spans="1:6" x14ac:dyDescent="0.25">
      <c r="A19534">
        <v>19533</v>
      </c>
      <c r="B19534">
        <v>13</v>
      </c>
      <c r="C19534">
        <v>0</v>
      </c>
      <c r="D19534">
        <v>0</v>
      </c>
      <c r="E19534">
        <v>0</v>
      </c>
      <c r="F19534">
        <v>1619</v>
      </c>
    </row>
    <row r="19535" spans="1:6" x14ac:dyDescent="0.25">
      <c r="A19535">
        <v>19534</v>
      </c>
      <c r="B19535" t="s">
        <v>0</v>
      </c>
      <c r="C19535">
        <v>6</v>
      </c>
      <c r="D19535">
        <v>3517</v>
      </c>
      <c r="E19535">
        <v>80898915</v>
      </c>
    </row>
    <row r="19536" spans="1:6" x14ac:dyDescent="0.25">
      <c r="A19536">
        <v>19535</v>
      </c>
      <c r="B19536">
        <v>42</v>
      </c>
      <c r="C19536">
        <v>0</v>
      </c>
      <c r="D19536">
        <v>0</v>
      </c>
      <c r="E19536">
        <v>0</v>
      </c>
      <c r="F19536">
        <v>0.2</v>
      </c>
    </row>
    <row r="19537" spans="1:6" x14ac:dyDescent="0.25">
      <c r="A19537">
        <v>19536</v>
      </c>
      <c r="B19537" t="s">
        <v>0</v>
      </c>
      <c r="C19537">
        <v>7</v>
      </c>
      <c r="D19537">
        <v>3517</v>
      </c>
      <c r="E19537">
        <v>80899047</v>
      </c>
    </row>
    <row r="19538" spans="1:6" x14ac:dyDescent="0.25">
      <c r="A19538">
        <v>19537</v>
      </c>
      <c r="B19538">
        <v>44</v>
      </c>
      <c r="C19538">
        <v>0</v>
      </c>
      <c r="D19538">
        <v>0</v>
      </c>
      <c r="E19538">
        <v>0</v>
      </c>
      <c r="F19538">
        <v>47.665799999999997</v>
      </c>
    </row>
    <row r="19539" spans="1:6" x14ac:dyDescent="0.25">
      <c r="A19539">
        <v>19538</v>
      </c>
      <c r="B19539" t="s">
        <v>0</v>
      </c>
      <c r="C19539">
        <v>8</v>
      </c>
      <c r="D19539">
        <v>3517</v>
      </c>
      <c r="E19539">
        <v>80899178</v>
      </c>
    </row>
    <row r="19540" spans="1:6" x14ac:dyDescent="0.25">
      <c r="A19540">
        <v>19539</v>
      </c>
      <c r="B19540">
        <v>46</v>
      </c>
      <c r="C19540">
        <v>0</v>
      </c>
      <c r="D19540">
        <v>0</v>
      </c>
      <c r="E19540">
        <v>0</v>
      </c>
      <c r="F19540">
        <v>0</v>
      </c>
    </row>
    <row r="19541" spans="1:6" x14ac:dyDescent="0.25">
      <c r="A19541">
        <v>19540</v>
      </c>
      <c r="B19541" t="s">
        <v>0</v>
      </c>
      <c r="C19541">
        <v>9</v>
      </c>
      <c r="D19541">
        <v>3517</v>
      </c>
      <c r="E19541">
        <v>80899309</v>
      </c>
    </row>
    <row r="19542" spans="1:6" x14ac:dyDescent="0.25">
      <c r="A19542">
        <v>19541</v>
      </c>
      <c r="B19542">
        <v>10</v>
      </c>
      <c r="C19542">
        <v>1</v>
      </c>
      <c r="D19542">
        <v>0</v>
      </c>
      <c r="E19542">
        <v>0</v>
      </c>
      <c r="F19542">
        <v>5243</v>
      </c>
    </row>
    <row r="19543" spans="1:6" x14ac:dyDescent="0.25">
      <c r="A19543">
        <v>19542</v>
      </c>
      <c r="B19543" t="s">
        <v>0</v>
      </c>
      <c r="C19543">
        <v>10</v>
      </c>
      <c r="D19543">
        <v>3517</v>
      </c>
      <c r="E19543">
        <v>80899440</v>
      </c>
    </row>
    <row r="19544" spans="1:6" x14ac:dyDescent="0.25">
      <c r="A19544">
        <v>19543</v>
      </c>
      <c r="B19544">
        <v>41</v>
      </c>
      <c r="C19544">
        <v>0</v>
      </c>
      <c r="D19544">
        <v>0</v>
      </c>
      <c r="E19544">
        <v>0</v>
      </c>
      <c r="F19544">
        <v>1</v>
      </c>
    </row>
    <row r="19545" spans="1:6" x14ac:dyDescent="0.25">
      <c r="A19545">
        <v>19544</v>
      </c>
      <c r="B19545" t="s">
        <v>0</v>
      </c>
      <c r="C19545">
        <v>11</v>
      </c>
      <c r="D19545">
        <v>3517</v>
      </c>
      <c r="E19545">
        <v>80899572</v>
      </c>
    </row>
    <row r="19546" spans="1:6" x14ac:dyDescent="0.25">
      <c r="A19546">
        <v>19545</v>
      </c>
      <c r="B19546">
        <v>43</v>
      </c>
      <c r="C19546">
        <v>0</v>
      </c>
      <c r="D19546">
        <v>0</v>
      </c>
      <c r="E19546">
        <v>0</v>
      </c>
      <c r="F19546">
        <v>0</v>
      </c>
    </row>
    <row r="19547" spans="1:6" x14ac:dyDescent="0.25">
      <c r="A19547">
        <v>19546</v>
      </c>
      <c r="B19547" t="s">
        <v>0</v>
      </c>
      <c r="C19547">
        <v>12</v>
      </c>
      <c r="D19547">
        <v>3517</v>
      </c>
      <c r="E19547">
        <v>80899704</v>
      </c>
    </row>
    <row r="19548" spans="1:6" x14ac:dyDescent="0.25">
      <c r="A19548">
        <v>19547</v>
      </c>
      <c r="B19548">
        <v>45</v>
      </c>
      <c r="C19548">
        <v>0</v>
      </c>
      <c r="D19548">
        <v>0</v>
      </c>
      <c r="E19548">
        <v>0</v>
      </c>
      <c r="F19548">
        <v>545.04999999999995</v>
      </c>
    </row>
    <row r="19549" spans="1:6" x14ac:dyDescent="0.25">
      <c r="A19549">
        <v>19548</v>
      </c>
      <c r="B19549" t="s">
        <v>0</v>
      </c>
      <c r="C19549">
        <v>13</v>
      </c>
      <c r="D19549">
        <v>3517</v>
      </c>
      <c r="E19549">
        <v>80899836</v>
      </c>
    </row>
    <row r="19550" spans="1:6" x14ac:dyDescent="0.25">
      <c r="A19550">
        <v>19549</v>
      </c>
      <c r="B19550">
        <v>2</v>
      </c>
      <c r="C19550">
        <v>0</v>
      </c>
      <c r="D19550">
        <v>0</v>
      </c>
      <c r="E19550">
        <v>0</v>
      </c>
      <c r="F19550">
        <v>252.34700000000001</v>
      </c>
    </row>
    <row r="19551" spans="1:6" x14ac:dyDescent="0.25">
      <c r="A19551">
        <v>19550</v>
      </c>
      <c r="B19551" t="s">
        <v>0</v>
      </c>
      <c r="C19551">
        <v>14</v>
      </c>
      <c r="D19551">
        <v>3517</v>
      </c>
      <c r="E19551">
        <v>80899968</v>
      </c>
    </row>
    <row r="19552" spans="1:6" x14ac:dyDescent="0.25">
      <c r="A19552">
        <v>19551</v>
      </c>
      <c r="B19552">
        <v>10</v>
      </c>
      <c r="C19552">
        <v>1</v>
      </c>
      <c r="D19552">
        <v>0</v>
      </c>
      <c r="E19552">
        <v>0</v>
      </c>
      <c r="F19552">
        <v>5243</v>
      </c>
    </row>
    <row r="19553" spans="1:6" x14ac:dyDescent="0.25">
      <c r="A19553">
        <v>19552</v>
      </c>
      <c r="B19553">
        <v>13</v>
      </c>
      <c r="C19553">
        <v>0</v>
      </c>
      <c r="D19553">
        <v>0</v>
      </c>
      <c r="E19553">
        <v>0</v>
      </c>
      <c r="F19553">
        <v>1619</v>
      </c>
    </row>
    <row r="19554" spans="1:6" x14ac:dyDescent="0.25">
      <c r="A19554">
        <v>19553</v>
      </c>
      <c r="B19554" t="s">
        <v>0</v>
      </c>
      <c r="C19554">
        <v>15</v>
      </c>
      <c r="D19554">
        <v>3517</v>
      </c>
      <c r="E19554">
        <v>80900099</v>
      </c>
    </row>
    <row r="19555" spans="1:6" x14ac:dyDescent="0.25">
      <c r="A19555">
        <v>19554</v>
      </c>
      <c r="B19555">
        <v>41</v>
      </c>
      <c r="C19555">
        <v>0</v>
      </c>
      <c r="D19555">
        <v>0</v>
      </c>
      <c r="E19555">
        <v>0</v>
      </c>
      <c r="F19555">
        <v>1</v>
      </c>
    </row>
    <row r="19556" spans="1:6" x14ac:dyDescent="0.25">
      <c r="A19556">
        <v>19555</v>
      </c>
      <c r="B19556">
        <v>42</v>
      </c>
      <c r="C19556">
        <v>0</v>
      </c>
      <c r="D19556">
        <v>0</v>
      </c>
      <c r="E19556">
        <v>0</v>
      </c>
      <c r="F19556">
        <v>0.2</v>
      </c>
    </row>
    <row r="19557" spans="1:6" x14ac:dyDescent="0.25">
      <c r="A19557">
        <v>19556</v>
      </c>
      <c r="B19557" t="s">
        <v>0</v>
      </c>
      <c r="C19557">
        <v>16</v>
      </c>
      <c r="D19557">
        <v>3517</v>
      </c>
      <c r="E19557">
        <v>80900230</v>
      </c>
    </row>
    <row r="19558" spans="1:6" x14ac:dyDescent="0.25">
      <c r="A19558">
        <v>19557</v>
      </c>
      <c r="B19558">
        <v>43</v>
      </c>
      <c r="C19558">
        <v>0</v>
      </c>
      <c r="D19558">
        <v>0</v>
      </c>
      <c r="E19558">
        <v>0</v>
      </c>
      <c r="F19558">
        <v>0</v>
      </c>
    </row>
    <row r="19559" spans="1:6" x14ac:dyDescent="0.25">
      <c r="A19559">
        <v>19558</v>
      </c>
      <c r="B19559">
        <v>44</v>
      </c>
      <c r="C19559">
        <v>0</v>
      </c>
      <c r="D19559">
        <v>0</v>
      </c>
      <c r="E19559">
        <v>0</v>
      </c>
      <c r="F19559">
        <v>47.647399999999998</v>
      </c>
    </row>
    <row r="19560" spans="1:6" x14ac:dyDescent="0.25">
      <c r="A19560">
        <v>19559</v>
      </c>
      <c r="B19560" t="s">
        <v>0</v>
      </c>
      <c r="C19560">
        <v>17</v>
      </c>
      <c r="D19560">
        <v>3517</v>
      </c>
      <c r="E19560">
        <v>80900361</v>
      </c>
    </row>
    <row r="19561" spans="1:6" x14ac:dyDescent="0.25">
      <c r="A19561">
        <v>19560</v>
      </c>
      <c r="B19561">
        <v>45</v>
      </c>
      <c r="C19561">
        <v>0</v>
      </c>
      <c r="D19561">
        <v>0</v>
      </c>
      <c r="E19561">
        <v>0</v>
      </c>
      <c r="F19561">
        <v>545.11300000000006</v>
      </c>
    </row>
    <row r="19562" spans="1:6" x14ac:dyDescent="0.25">
      <c r="A19562">
        <v>19561</v>
      </c>
      <c r="B19562">
        <v>46</v>
      </c>
      <c r="C19562">
        <v>0</v>
      </c>
      <c r="D19562">
        <v>0</v>
      </c>
      <c r="E19562">
        <v>0</v>
      </c>
      <c r="F19562">
        <v>0</v>
      </c>
    </row>
    <row r="19563" spans="1:6" x14ac:dyDescent="0.25">
      <c r="A19563">
        <v>19562</v>
      </c>
      <c r="B19563" t="s">
        <v>0</v>
      </c>
      <c r="C19563">
        <v>18</v>
      </c>
      <c r="D19563">
        <v>3517</v>
      </c>
      <c r="E19563">
        <v>80900492</v>
      </c>
    </row>
    <row r="19564" spans="1:6" x14ac:dyDescent="0.25">
      <c r="A19564">
        <v>19563</v>
      </c>
      <c r="B19564">
        <v>2</v>
      </c>
      <c r="C19564">
        <v>0</v>
      </c>
      <c r="D19564">
        <v>0</v>
      </c>
      <c r="E19564">
        <v>0</v>
      </c>
      <c r="F19564">
        <v>252.35599999999999</v>
      </c>
    </row>
    <row r="19565" spans="1:6" x14ac:dyDescent="0.25">
      <c r="A19565">
        <v>19564</v>
      </c>
      <c r="B19565">
        <v>10</v>
      </c>
      <c r="C19565">
        <v>1</v>
      </c>
      <c r="D19565">
        <v>0</v>
      </c>
      <c r="E19565">
        <v>0</v>
      </c>
      <c r="F19565">
        <v>5243</v>
      </c>
    </row>
    <row r="19566" spans="1:6" x14ac:dyDescent="0.25">
      <c r="A19566">
        <v>19565</v>
      </c>
      <c r="B19566" t="s">
        <v>0</v>
      </c>
      <c r="C19566">
        <v>19</v>
      </c>
      <c r="D19566">
        <v>3517</v>
      </c>
      <c r="E19566">
        <v>80900624</v>
      </c>
    </row>
    <row r="19567" spans="1:6" x14ac:dyDescent="0.25">
      <c r="A19567">
        <v>19566</v>
      </c>
      <c r="B19567">
        <v>13</v>
      </c>
      <c r="C19567">
        <v>0</v>
      </c>
      <c r="D19567">
        <v>0</v>
      </c>
      <c r="E19567">
        <v>0</v>
      </c>
      <c r="F19567">
        <v>1619</v>
      </c>
    </row>
    <row r="19568" spans="1:6" x14ac:dyDescent="0.25">
      <c r="A19568">
        <v>19567</v>
      </c>
      <c r="B19568">
        <v>41</v>
      </c>
      <c r="C19568">
        <v>0</v>
      </c>
      <c r="D19568">
        <v>0</v>
      </c>
      <c r="E19568">
        <v>0</v>
      </c>
      <c r="F19568">
        <v>1</v>
      </c>
    </row>
    <row r="19569" spans="1:6" x14ac:dyDescent="0.25">
      <c r="A19569">
        <v>19568</v>
      </c>
      <c r="B19569" t="s">
        <v>0</v>
      </c>
      <c r="C19569">
        <v>20</v>
      </c>
      <c r="D19569">
        <v>3517</v>
      </c>
      <c r="E19569">
        <v>80900756</v>
      </c>
    </row>
    <row r="19570" spans="1:6" x14ac:dyDescent="0.25">
      <c r="A19570">
        <v>19569</v>
      </c>
      <c r="B19570">
        <v>42</v>
      </c>
      <c r="C19570">
        <v>0</v>
      </c>
      <c r="D19570">
        <v>0</v>
      </c>
      <c r="E19570">
        <v>0</v>
      </c>
      <c r="F19570">
        <v>0.2</v>
      </c>
    </row>
    <row r="19571" spans="1:6" x14ac:dyDescent="0.25">
      <c r="A19571">
        <v>19570</v>
      </c>
      <c r="B19571">
        <v>43</v>
      </c>
      <c r="C19571">
        <v>0</v>
      </c>
      <c r="D19571">
        <v>0</v>
      </c>
      <c r="E19571">
        <v>0</v>
      </c>
      <c r="F19571">
        <v>0</v>
      </c>
    </row>
    <row r="19572" spans="1:6" x14ac:dyDescent="0.25">
      <c r="A19572">
        <v>19571</v>
      </c>
      <c r="B19572" t="s">
        <v>0</v>
      </c>
      <c r="C19572">
        <v>21</v>
      </c>
      <c r="D19572">
        <v>3517</v>
      </c>
      <c r="E19572">
        <v>80900888</v>
      </c>
    </row>
    <row r="19573" spans="1:6" x14ac:dyDescent="0.25">
      <c r="A19573">
        <v>19572</v>
      </c>
      <c r="B19573">
        <v>44</v>
      </c>
      <c r="C19573">
        <v>0</v>
      </c>
      <c r="D19573">
        <v>0</v>
      </c>
      <c r="E19573">
        <v>0</v>
      </c>
      <c r="F19573">
        <v>47.639800000000001</v>
      </c>
    </row>
    <row r="19574" spans="1:6" x14ac:dyDescent="0.25">
      <c r="A19574">
        <v>19573</v>
      </c>
      <c r="B19574">
        <v>45</v>
      </c>
      <c r="C19574">
        <v>0</v>
      </c>
      <c r="D19574">
        <v>0</v>
      </c>
      <c r="E19574">
        <v>0</v>
      </c>
      <c r="F19574">
        <v>545.16399999999999</v>
      </c>
    </row>
    <row r="19575" spans="1:6" x14ac:dyDescent="0.25">
      <c r="A19575">
        <v>19574</v>
      </c>
      <c r="B19575" t="s">
        <v>0</v>
      </c>
      <c r="C19575">
        <v>22</v>
      </c>
      <c r="D19575">
        <v>3517</v>
      </c>
      <c r="E19575">
        <v>80901020</v>
      </c>
    </row>
    <row r="19576" spans="1:6" x14ac:dyDescent="0.25">
      <c r="A19576">
        <v>19575</v>
      </c>
      <c r="B19576">
        <v>46</v>
      </c>
      <c r="C19576">
        <v>0</v>
      </c>
      <c r="D19576">
        <v>0</v>
      </c>
      <c r="E19576">
        <v>0</v>
      </c>
      <c r="F19576">
        <v>0</v>
      </c>
    </row>
    <row r="19577" spans="1:6" x14ac:dyDescent="0.25">
      <c r="A19577">
        <v>19576</v>
      </c>
      <c r="B19577">
        <v>2</v>
      </c>
      <c r="C19577">
        <v>0</v>
      </c>
      <c r="D19577">
        <v>0</v>
      </c>
      <c r="E19577">
        <v>0</v>
      </c>
      <c r="F19577">
        <v>252.36099999999999</v>
      </c>
    </row>
    <row r="19578" spans="1:6" x14ac:dyDescent="0.25">
      <c r="A19578">
        <v>19577</v>
      </c>
      <c r="B19578" t="s">
        <v>0</v>
      </c>
      <c r="C19578">
        <v>23</v>
      </c>
      <c r="D19578">
        <v>3517</v>
      </c>
      <c r="E19578">
        <v>80901151</v>
      </c>
    </row>
    <row r="19579" spans="1:6" x14ac:dyDescent="0.25">
      <c r="A19579">
        <v>19578</v>
      </c>
      <c r="B19579">
        <v>10</v>
      </c>
      <c r="C19579">
        <v>1</v>
      </c>
      <c r="D19579">
        <v>0</v>
      </c>
      <c r="E19579">
        <v>0</v>
      </c>
      <c r="F19579">
        <v>5243</v>
      </c>
    </row>
    <row r="19580" spans="1:6" x14ac:dyDescent="0.25">
      <c r="A19580">
        <v>19579</v>
      </c>
      <c r="B19580">
        <v>13</v>
      </c>
      <c r="C19580">
        <v>0</v>
      </c>
      <c r="D19580">
        <v>0</v>
      </c>
      <c r="E19580">
        <v>0</v>
      </c>
      <c r="F19580">
        <v>1619</v>
      </c>
    </row>
    <row r="19581" spans="1:6" x14ac:dyDescent="0.25">
      <c r="A19581">
        <v>19580</v>
      </c>
      <c r="B19581" t="s">
        <v>0</v>
      </c>
      <c r="C19581">
        <v>24</v>
      </c>
      <c r="D19581">
        <v>3517</v>
      </c>
      <c r="E19581">
        <v>80901282</v>
      </c>
    </row>
    <row r="19582" spans="1:6" x14ac:dyDescent="0.25">
      <c r="A19582">
        <v>19581</v>
      </c>
      <c r="B19582">
        <v>41</v>
      </c>
      <c r="C19582">
        <v>0</v>
      </c>
      <c r="D19582">
        <v>0</v>
      </c>
      <c r="E19582">
        <v>0</v>
      </c>
      <c r="F19582">
        <v>1</v>
      </c>
    </row>
    <row r="19583" spans="1:6" x14ac:dyDescent="0.25">
      <c r="A19583">
        <v>19582</v>
      </c>
      <c r="B19583">
        <v>42</v>
      </c>
      <c r="C19583">
        <v>0</v>
      </c>
      <c r="D19583">
        <v>0</v>
      </c>
      <c r="E19583">
        <v>0</v>
      </c>
      <c r="F19583">
        <v>0.2</v>
      </c>
    </row>
    <row r="19584" spans="1:6" x14ac:dyDescent="0.25">
      <c r="A19584">
        <v>19583</v>
      </c>
      <c r="B19584" t="s">
        <v>0</v>
      </c>
      <c r="C19584">
        <v>25</v>
      </c>
      <c r="D19584">
        <v>3517</v>
      </c>
      <c r="E19584">
        <v>80901413</v>
      </c>
    </row>
    <row r="19585" spans="1:6" x14ac:dyDescent="0.25">
      <c r="A19585">
        <v>19584</v>
      </c>
      <c r="B19585">
        <v>43</v>
      </c>
      <c r="C19585">
        <v>0</v>
      </c>
      <c r="D19585">
        <v>0</v>
      </c>
      <c r="E19585">
        <v>0</v>
      </c>
      <c r="F19585">
        <v>0</v>
      </c>
    </row>
    <row r="19586" spans="1:6" x14ac:dyDescent="0.25">
      <c r="A19586">
        <v>19585</v>
      </c>
      <c r="B19586">
        <v>44</v>
      </c>
      <c r="C19586">
        <v>0</v>
      </c>
      <c r="D19586">
        <v>0</v>
      </c>
      <c r="E19586">
        <v>0</v>
      </c>
      <c r="F19586">
        <v>47.6355</v>
      </c>
    </row>
    <row r="19587" spans="1:6" x14ac:dyDescent="0.25">
      <c r="A19587">
        <v>19586</v>
      </c>
      <c r="B19587" t="s">
        <v>0</v>
      </c>
      <c r="C19587">
        <v>26</v>
      </c>
      <c r="D19587">
        <v>3517</v>
      </c>
      <c r="E19587">
        <v>80901545</v>
      </c>
    </row>
    <row r="19588" spans="1:6" x14ac:dyDescent="0.25">
      <c r="A19588">
        <v>19587</v>
      </c>
      <c r="B19588">
        <v>45</v>
      </c>
      <c r="C19588">
        <v>0</v>
      </c>
      <c r="D19588">
        <v>0</v>
      </c>
      <c r="E19588">
        <v>0</v>
      </c>
      <c r="F19588">
        <v>545.22699999999998</v>
      </c>
    </row>
    <row r="19589" spans="1:6" x14ac:dyDescent="0.25">
      <c r="A19589">
        <v>19588</v>
      </c>
      <c r="B19589">
        <v>46</v>
      </c>
      <c r="C19589">
        <v>0</v>
      </c>
      <c r="D19589">
        <v>0</v>
      </c>
      <c r="E19589">
        <v>0</v>
      </c>
      <c r="F19589">
        <v>0</v>
      </c>
    </row>
    <row r="19590" spans="1:6" x14ac:dyDescent="0.25">
      <c r="A19590">
        <v>19589</v>
      </c>
      <c r="B19590" t="s">
        <v>0</v>
      </c>
      <c r="C19590">
        <v>27</v>
      </c>
      <c r="D19590">
        <v>3517</v>
      </c>
      <c r="E19590">
        <v>80901677</v>
      </c>
    </row>
    <row r="19591" spans="1:6" x14ac:dyDescent="0.25">
      <c r="A19591">
        <v>19590</v>
      </c>
      <c r="B19591">
        <v>2</v>
      </c>
      <c r="C19591">
        <v>0</v>
      </c>
      <c r="D19591">
        <v>0</v>
      </c>
      <c r="E19591">
        <v>0</v>
      </c>
      <c r="F19591">
        <v>252.36699999999999</v>
      </c>
    </row>
    <row r="19592" spans="1:6" x14ac:dyDescent="0.25">
      <c r="A19592">
        <v>19591</v>
      </c>
      <c r="B19592">
        <v>10</v>
      </c>
      <c r="C19592">
        <v>1</v>
      </c>
      <c r="D19592">
        <v>0</v>
      </c>
      <c r="E19592">
        <v>0</v>
      </c>
      <c r="F19592">
        <v>5244</v>
      </c>
    </row>
    <row r="19593" spans="1:6" x14ac:dyDescent="0.25">
      <c r="A19593">
        <v>19592</v>
      </c>
      <c r="B19593">
        <v>13</v>
      </c>
      <c r="C19593">
        <v>0</v>
      </c>
      <c r="D19593">
        <v>0</v>
      </c>
      <c r="E19593">
        <v>0</v>
      </c>
      <c r="F19593">
        <v>1619</v>
      </c>
    </row>
    <row r="19594" spans="1:6" x14ac:dyDescent="0.25">
      <c r="A19594">
        <v>19593</v>
      </c>
      <c r="B19594">
        <v>41</v>
      </c>
      <c r="C19594">
        <v>0</v>
      </c>
      <c r="D19594">
        <v>0</v>
      </c>
      <c r="E19594">
        <v>0</v>
      </c>
      <c r="F19594">
        <v>1</v>
      </c>
    </row>
    <row r="19595" spans="1:6" x14ac:dyDescent="0.25">
      <c r="A19595">
        <v>19594</v>
      </c>
      <c r="B19595">
        <v>42</v>
      </c>
      <c r="C19595">
        <v>0</v>
      </c>
      <c r="D19595">
        <v>0</v>
      </c>
      <c r="E19595">
        <v>0</v>
      </c>
      <c r="F19595">
        <v>0.2</v>
      </c>
    </row>
    <row r="19596" spans="1:6" x14ac:dyDescent="0.25">
      <c r="A19596">
        <v>19595</v>
      </c>
      <c r="B19596">
        <v>43</v>
      </c>
      <c r="C19596">
        <v>0</v>
      </c>
      <c r="D19596">
        <v>0</v>
      </c>
      <c r="E19596">
        <v>0</v>
      </c>
      <c r="F19596">
        <v>0</v>
      </c>
    </row>
    <row r="19597" spans="1:6" x14ac:dyDescent="0.25">
      <c r="A19597">
        <v>19596</v>
      </c>
      <c r="B19597">
        <v>44</v>
      </c>
      <c r="C19597">
        <v>0</v>
      </c>
      <c r="D19597">
        <v>0</v>
      </c>
      <c r="E19597">
        <v>0</v>
      </c>
      <c r="F19597">
        <v>47.631100000000004</v>
      </c>
    </row>
    <row r="19598" spans="1:6" x14ac:dyDescent="0.25">
      <c r="A19598">
        <v>19597</v>
      </c>
      <c r="B19598">
        <v>45</v>
      </c>
      <c r="C19598">
        <v>0</v>
      </c>
      <c r="D19598">
        <v>0</v>
      </c>
      <c r="E19598">
        <v>0</v>
      </c>
      <c r="F19598">
        <v>545.27700000000004</v>
      </c>
    </row>
    <row r="19599" spans="1:6" x14ac:dyDescent="0.25">
      <c r="A19599">
        <v>19598</v>
      </c>
      <c r="B19599">
        <v>46</v>
      </c>
      <c r="C19599">
        <v>0</v>
      </c>
      <c r="D19599">
        <v>0</v>
      </c>
      <c r="E19599">
        <v>0</v>
      </c>
      <c r="F19599">
        <v>0</v>
      </c>
    </row>
    <row r="19600" spans="1:6" x14ac:dyDescent="0.25">
      <c r="A19600">
        <v>19599</v>
      </c>
      <c r="B19600">
        <v>2</v>
      </c>
      <c r="C19600">
        <v>0</v>
      </c>
      <c r="D19600">
        <v>0</v>
      </c>
      <c r="E19600">
        <v>0</v>
      </c>
      <c r="F19600">
        <v>252.37</v>
      </c>
    </row>
    <row r="19601" spans="1:6" x14ac:dyDescent="0.25">
      <c r="A19601">
        <v>19600</v>
      </c>
      <c r="B19601">
        <v>10</v>
      </c>
      <c r="C19601">
        <v>1</v>
      </c>
      <c r="D19601">
        <v>0</v>
      </c>
      <c r="E19601">
        <v>0</v>
      </c>
      <c r="F19601">
        <v>5244</v>
      </c>
    </row>
    <row r="19602" spans="1:6" x14ac:dyDescent="0.25">
      <c r="A19602">
        <v>19601</v>
      </c>
      <c r="B19602">
        <v>13</v>
      </c>
      <c r="C19602">
        <v>0</v>
      </c>
      <c r="D19602">
        <v>0</v>
      </c>
      <c r="E19602">
        <v>0</v>
      </c>
      <c r="F19602">
        <v>1619</v>
      </c>
    </row>
    <row r="19603" spans="1:6" x14ac:dyDescent="0.25">
      <c r="A19603">
        <v>19602</v>
      </c>
      <c r="B19603">
        <v>41</v>
      </c>
      <c r="C19603">
        <v>0</v>
      </c>
      <c r="D19603">
        <v>0</v>
      </c>
      <c r="E19603">
        <v>0</v>
      </c>
      <c r="F19603">
        <v>1</v>
      </c>
    </row>
    <row r="19604" spans="1:6" x14ac:dyDescent="0.25">
      <c r="A19604">
        <v>19603</v>
      </c>
      <c r="B19604">
        <v>42</v>
      </c>
      <c r="C19604">
        <v>0</v>
      </c>
      <c r="D19604">
        <v>0</v>
      </c>
      <c r="E19604">
        <v>0</v>
      </c>
      <c r="F19604">
        <v>0.2</v>
      </c>
    </row>
    <row r="19605" spans="1:6" x14ac:dyDescent="0.25">
      <c r="A19605">
        <v>19604</v>
      </c>
      <c r="B19605">
        <v>43</v>
      </c>
      <c r="C19605">
        <v>0</v>
      </c>
      <c r="D19605">
        <v>0</v>
      </c>
      <c r="E19605">
        <v>0</v>
      </c>
      <c r="F19605">
        <v>0</v>
      </c>
    </row>
    <row r="19606" spans="1:6" x14ac:dyDescent="0.25">
      <c r="A19606">
        <v>19605</v>
      </c>
      <c r="B19606">
        <v>44</v>
      </c>
      <c r="C19606">
        <v>0</v>
      </c>
      <c r="D19606">
        <v>0</v>
      </c>
      <c r="E19606">
        <v>0</v>
      </c>
      <c r="F19606">
        <v>47.628300000000003</v>
      </c>
    </row>
    <row r="19607" spans="1:6" x14ac:dyDescent="0.25">
      <c r="A19607">
        <v>19606</v>
      </c>
      <c r="B19607">
        <v>45</v>
      </c>
      <c r="C19607">
        <v>0</v>
      </c>
      <c r="D19607">
        <v>0</v>
      </c>
      <c r="E19607">
        <v>0</v>
      </c>
      <c r="F19607">
        <v>545.34</v>
      </c>
    </row>
    <row r="19608" spans="1:6" x14ac:dyDescent="0.25">
      <c r="A19608">
        <v>19607</v>
      </c>
      <c r="B19608">
        <v>46</v>
      </c>
      <c r="C19608">
        <v>0</v>
      </c>
      <c r="D19608">
        <v>0</v>
      </c>
      <c r="E19608">
        <v>0</v>
      </c>
      <c r="F19608">
        <v>0</v>
      </c>
    </row>
    <row r="19609" spans="1:6" x14ac:dyDescent="0.25">
      <c r="A19609">
        <v>19608</v>
      </c>
      <c r="B19609">
        <v>2</v>
      </c>
      <c r="C19609">
        <v>0</v>
      </c>
      <c r="D19609">
        <v>0</v>
      </c>
      <c r="E19609">
        <v>0</v>
      </c>
      <c r="F19609">
        <v>252.37299999999999</v>
      </c>
    </row>
    <row r="19610" spans="1:6" x14ac:dyDescent="0.25">
      <c r="A19610">
        <v>19609</v>
      </c>
      <c r="B19610">
        <v>10</v>
      </c>
      <c r="C19610">
        <v>1</v>
      </c>
      <c r="D19610">
        <v>0</v>
      </c>
      <c r="E19610">
        <v>0</v>
      </c>
      <c r="F19610">
        <v>5244</v>
      </c>
    </row>
    <row r="19611" spans="1:6" x14ac:dyDescent="0.25">
      <c r="A19611">
        <v>19610</v>
      </c>
      <c r="B19611">
        <v>13</v>
      </c>
      <c r="C19611">
        <v>0</v>
      </c>
      <c r="D19611">
        <v>0</v>
      </c>
      <c r="E19611">
        <v>0</v>
      </c>
      <c r="F19611">
        <v>1619</v>
      </c>
    </row>
    <row r="19612" spans="1:6" x14ac:dyDescent="0.25">
      <c r="A19612">
        <v>19611</v>
      </c>
      <c r="B19612">
        <v>41</v>
      </c>
      <c r="C19612">
        <v>0</v>
      </c>
      <c r="D19612">
        <v>0</v>
      </c>
      <c r="E19612">
        <v>0</v>
      </c>
      <c r="F19612">
        <v>1</v>
      </c>
    </row>
    <row r="19613" spans="1:6" x14ac:dyDescent="0.25">
      <c r="A19613">
        <v>19612</v>
      </c>
      <c r="B19613">
        <v>42</v>
      </c>
      <c r="C19613">
        <v>0</v>
      </c>
      <c r="D19613">
        <v>0</v>
      </c>
      <c r="E19613">
        <v>0</v>
      </c>
      <c r="F19613">
        <v>0.2</v>
      </c>
    </row>
    <row r="19614" spans="1:6" x14ac:dyDescent="0.25">
      <c r="A19614">
        <v>19613</v>
      </c>
      <c r="B19614">
        <v>43</v>
      </c>
      <c r="C19614">
        <v>0</v>
      </c>
      <c r="D19614">
        <v>0</v>
      </c>
      <c r="E19614">
        <v>0</v>
      </c>
      <c r="F19614">
        <v>0</v>
      </c>
    </row>
    <row r="19615" spans="1:6" x14ac:dyDescent="0.25">
      <c r="A19615">
        <v>19614</v>
      </c>
      <c r="B19615">
        <v>44</v>
      </c>
      <c r="C19615">
        <v>0</v>
      </c>
      <c r="D19615">
        <v>0</v>
      </c>
      <c r="E19615">
        <v>0</v>
      </c>
      <c r="F19615">
        <v>47.625799999999998</v>
      </c>
    </row>
    <row r="19616" spans="1:6" x14ac:dyDescent="0.25">
      <c r="A19616">
        <v>19615</v>
      </c>
      <c r="B19616">
        <v>45</v>
      </c>
      <c r="C19616">
        <v>0</v>
      </c>
      <c r="D19616">
        <v>0</v>
      </c>
      <c r="E19616">
        <v>0</v>
      </c>
      <c r="F19616">
        <v>545.39</v>
      </c>
    </row>
    <row r="19617" spans="1:6" x14ac:dyDescent="0.25">
      <c r="A19617">
        <v>19616</v>
      </c>
      <c r="B19617">
        <v>46</v>
      </c>
      <c r="C19617">
        <v>0</v>
      </c>
      <c r="D19617">
        <v>0</v>
      </c>
      <c r="E19617">
        <v>0</v>
      </c>
      <c r="F19617">
        <v>0</v>
      </c>
    </row>
    <row r="19618" spans="1:6" x14ac:dyDescent="0.25">
      <c r="A19618">
        <v>19617</v>
      </c>
      <c r="B19618" t="s">
        <v>0</v>
      </c>
      <c r="C19618">
        <v>41</v>
      </c>
      <c r="D19618">
        <v>3517</v>
      </c>
      <c r="E19618">
        <v>80903519</v>
      </c>
    </row>
    <row r="19619" spans="1:6" x14ac:dyDescent="0.25">
      <c r="A19619">
        <v>19618</v>
      </c>
      <c r="B19619">
        <v>10</v>
      </c>
      <c r="C19619">
        <v>1</v>
      </c>
      <c r="D19619">
        <v>0</v>
      </c>
      <c r="E19619">
        <v>0</v>
      </c>
      <c r="F19619">
        <v>5244</v>
      </c>
    </row>
    <row r="19620" spans="1:6" x14ac:dyDescent="0.25">
      <c r="A19620">
        <v>19619</v>
      </c>
      <c r="B19620" t="s">
        <v>0</v>
      </c>
      <c r="C19620">
        <v>42</v>
      </c>
      <c r="D19620">
        <v>3517</v>
      </c>
      <c r="E19620">
        <v>80903651</v>
      </c>
    </row>
    <row r="19621" spans="1:6" x14ac:dyDescent="0.25">
      <c r="A19621">
        <v>19620</v>
      </c>
      <c r="B19621">
        <v>41</v>
      </c>
      <c r="C19621">
        <v>0</v>
      </c>
      <c r="D19621">
        <v>0</v>
      </c>
      <c r="E19621">
        <v>0</v>
      </c>
      <c r="F19621">
        <v>1</v>
      </c>
    </row>
    <row r="19622" spans="1:6" x14ac:dyDescent="0.25">
      <c r="A19622">
        <v>19621</v>
      </c>
      <c r="B19622" t="s">
        <v>0</v>
      </c>
      <c r="C19622">
        <v>43</v>
      </c>
      <c r="D19622">
        <v>3517</v>
      </c>
      <c r="E19622">
        <v>80903783</v>
      </c>
    </row>
    <row r="19623" spans="1:6" x14ac:dyDescent="0.25">
      <c r="A19623">
        <v>19622</v>
      </c>
      <c r="B19623">
        <v>43</v>
      </c>
      <c r="C19623">
        <v>0</v>
      </c>
      <c r="D19623">
        <v>0</v>
      </c>
      <c r="E19623">
        <v>0</v>
      </c>
      <c r="F19623">
        <v>0</v>
      </c>
    </row>
    <row r="19624" spans="1:6" x14ac:dyDescent="0.25">
      <c r="A19624">
        <v>19623</v>
      </c>
      <c r="B19624" t="s">
        <v>0</v>
      </c>
      <c r="C19624">
        <v>44</v>
      </c>
      <c r="D19624">
        <v>3517</v>
      </c>
      <c r="E19624">
        <v>80903915</v>
      </c>
    </row>
    <row r="19625" spans="1:6" x14ac:dyDescent="0.25">
      <c r="A19625">
        <v>19624</v>
      </c>
      <c r="B19625">
        <v>45</v>
      </c>
      <c r="C19625">
        <v>0</v>
      </c>
      <c r="D19625">
        <v>0</v>
      </c>
      <c r="E19625">
        <v>0</v>
      </c>
      <c r="F19625">
        <v>545.45299999999997</v>
      </c>
    </row>
    <row r="19626" spans="1:6" x14ac:dyDescent="0.25">
      <c r="A19626">
        <v>19625</v>
      </c>
      <c r="B19626" t="s">
        <v>0</v>
      </c>
      <c r="C19626">
        <v>45</v>
      </c>
      <c r="D19626">
        <v>3517</v>
      </c>
      <c r="E19626">
        <v>80904047</v>
      </c>
    </row>
    <row r="19627" spans="1:6" x14ac:dyDescent="0.25">
      <c r="A19627">
        <v>19626</v>
      </c>
      <c r="B19627">
        <v>2</v>
      </c>
      <c r="C19627">
        <v>0</v>
      </c>
      <c r="D19627">
        <v>0</v>
      </c>
      <c r="E19627">
        <v>0</v>
      </c>
      <c r="F19627">
        <v>252.37700000000001</v>
      </c>
    </row>
    <row r="19628" spans="1:6" x14ac:dyDescent="0.25">
      <c r="A19628">
        <v>19627</v>
      </c>
      <c r="B19628" t="s">
        <v>0</v>
      </c>
      <c r="C19628">
        <v>46</v>
      </c>
      <c r="D19628">
        <v>3517</v>
      </c>
      <c r="E19628">
        <v>80904178</v>
      </c>
    </row>
    <row r="19629" spans="1:6" x14ac:dyDescent="0.25">
      <c r="A19629">
        <v>19628</v>
      </c>
      <c r="B19629">
        <v>13</v>
      </c>
      <c r="C19629">
        <v>0</v>
      </c>
      <c r="D19629">
        <v>0</v>
      </c>
      <c r="E19629">
        <v>0</v>
      </c>
      <c r="F19629">
        <v>1619</v>
      </c>
    </row>
    <row r="19630" spans="1:6" x14ac:dyDescent="0.25">
      <c r="A19630">
        <v>19629</v>
      </c>
      <c r="B19630" t="s">
        <v>0</v>
      </c>
      <c r="C19630">
        <v>47</v>
      </c>
      <c r="D19630">
        <v>3517</v>
      </c>
      <c r="E19630">
        <v>80904309</v>
      </c>
    </row>
    <row r="19631" spans="1:6" x14ac:dyDescent="0.25">
      <c r="A19631">
        <v>19630</v>
      </c>
      <c r="B19631">
        <v>42</v>
      </c>
      <c r="C19631">
        <v>0</v>
      </c>
      <c r="D19631">
        <v>0</v>
      </c>
      <c r="E19631">
        <v>0</v>
      </c>
      <c r="F19631">
        <v>0.2</v>
      </c>
    </row>
    <row r="19632" spans="1:6" x14ac:dyDescent="0.25">
      <c r="A19632">
        <v>19631</v>
      </c>
      <c r="B19632" t="s">
        <v>0</v>
      </c>
      <c r="C19632">
        <v>48</v>
      </c>
      <c r="D19632">
        <v>3517</v>
      </c>
      <c r="E19632">
        <v>80904440</v>
      </c>
    </row>
    <row r="19633" spans="1:6" x14ac:dyDescent="0.25">
      <c r="A19633">
        <v>19632</v>
      </c>
      <c r="B19633">
        <v>44</v>
      </c>
      <c r="C19633">
        <v>0</v>
      </c>
      <c r="D19633">
        <v>0</v>
      </c>
      <c r="E19633">
        <v>0</v>
      </c>
      <c r="F19633">
        <v>47.622199999999999</v>
      </c>
    </row>
    <row r="19634" spans="1:6" x14ac:dyDescent="0.25">
      <c r="A19634">
        <v>19633</v>
      </c>
      <c r="B19634" t="s">
        <v>0</v>
      </c>
      <c r="C19634">
        <v>49</v>
      </c>
      <c r="D19634">
        <v>3517</v>
      </c>
      <c r="E19634">
        <v>80904572</v>
      </c>
    </row>
    <row r="19635" spans="1:6" x14ac:dyDescent="0.25">
      <c r="A19635">
        <v>19634</v>
      </c>
      <c r="B19635">
        <v>46</v>
      </c>
      <c r="C19635">
        <v>0</v>
      </c>
      <c r="D19635">
        <v>0</v>
      </c>
      <c r="E19635">
        <v>0</v>
      </c>
      <c r="F19635">
        <v>0</v>
      </c>
    </row>
    <row r="19636" spans="1:6" x14ac:dyDescent="0.25">
      <c r="A19636">
        <v>19635</v>
      </c>
      <c r="B19636" t="s">
        <v>0</v>
      </c>
      <c r="C19636">
        <v>50</v>
      </c>
      <c r="D19636">
        <v>3517</v>
      </c>
      <c r="E19636">
        <v>80904703</v>
      </c>
    </row>
    <row r="19637" spans="1:6" x14ac:dyDescent="0.25">
      <c r="A19637">
        <v>19636</v>
      </c>
      <c r="B19637">
        <v>10</v>
      </c>
      <c r="C19637">
        <v>1</v>
      </c>
      <c r="D19637">
        <v>0</v>
      </c>
      <c r="E19637">
        <v>0</v>
      </c>
      <c r="F19637">
        <v>5244</v>
      </c>
    </row>
    <row r="19638" spans="1:6" x14ac:dyDescent="0.25">
      <c r="A19638">
        <v>19637</v>
      </c>
      <c r="B19638" t="s">
        <v>0</v>
      </c>
      <c r="C19638">
        <v>51</v>
      </c>
      <c r="D19638">
        <v>3517</v>
      </c>
      <c r="E19638">
        <v>80904834</v>
      </c>
    </row>
    <row r="19639" spans="1:6" x14ac:dyDescent="0.25">
      <c r="A19639">
        <v>19638</v>
      </c>
      <c r="B19639">
        <v>41</v>
      </c>
      <c r="C19639">
        <v>0</v>
      </c>
      <c r="D19639">
        <v>0</v>
      </c>
      <c r="E19639">
        <v>0</v>
      </c>
      <c r="F19639">
        <v>1</v>
      </c>
    </row>
    <row r="19640" spans="1:6" x14ac:dyDescent="0.25">
      <c r="A19640">
        <v>19639</v>
      </c>
      <c r="B19640" t="s">
        <v>0</v>
      </c>
      <c r="C19640">
        <v>52</v>
      </c>
      <c r="D19640">
        <v>3517</v>
      </c>
      <c r="E19640">
        <v>80904965</v>
      </c>
    </row>
    <row r="19641" spans="1:6" x14ac:dyDescent="0.25">
      <c r="A19641">
        <v>19640</v>
      </c>
      <c r="B19641">
        <v>43</v>
      </c>
      <c r="C19641">
        <v>0</v>
      </c>
      <c r="D19641">
        <v>0</v>
      </c>
      <c r="E19641">
        <v>0</v>
      </c>
      <c r="F19641">
        <v>0</v>
      </c>
    </row>
    <row r="19642" spans="1:6" x14ac:dyDescent="0.25">
      <c r="A19642">
        <v>19641</v>
      </c>
      <c r="B19642" t="s">
        <v>0</v>
      </c>
      <c r="C19642">
        <v>53</v>
      </c>
      <c r="D19642">
        <v>3517</v>
      </c>
      <c r="E19642">
        <v>80905096</v>
      </c>
    </row>
    <row r="19643" spans="1:6" x14ac:dyDescent="0.25">
      <c r="A19643">
        <v>19642</v>
      </c>
      <c r="B19643">
        <v>45</v>
      </c>
      <c r="C19643">
        <v>0</v>
      </c>
      <c r="D19643">
        <v>0</v>
      </c>
      <c r="E19643">
        <v>0</v>
      </c>
      <c r="F19643">
        <v>545.56600000000003</v>
      </c>
    </row>
    <row r="19644" spans="1:6" x14ac:dyDescent="0.25">
      <c r="A19644">
        <v>19643</v>
      </c>
      <c r="B19644" t="s">
        <v>0</v>
      </c>
      <c r="C19644">
        <v>54</v>
      </c>
      <c r="D19644">
        <v>3517</v>
      </c>
      <c r="E19644">
        <v>80905227</v>
      </c>
    </row>
    <row r="19645" spans="1:6" x14ac:dyDescent="0.25">
      <c r="A19645">
        <v>19644</v>
      </c>
      <c r="B19645">
        <v>2</v>
      </c>
      <c r="C19645">
        <v>0</v>
      </c>
      <c r="D19645">
        <v>0</v>
      </c>
      <c r="E19645">
        <v>0</v>
      </c>
      <c r="F19645">
        <v>252.47300000000001</v>
      </c>
    </row>
    <row r="19646" spans="1:6" x14ac:dyDescent="0.25">
      <c r="A19646">
        <v>19645</v>
      </c>
      <c r="B19646" t="s">
        <v>0</v>
      </c>
      <c r="C19646">
        <v>55</v>
      </c>
      <c r="D19646">
        <v>3517</v>
      </c>
      <c r="E19646">
        <v>80905358</v>
      </c>
    </row>
    <row r="19647" spans="1:6" x14ac:dyDescent="0.25">
      <c r="A19647">
        <v>19646</v>
      </c>
      <c r="B19647">
        <v>10</v>
      </c>
      <c r="C19647">
        <v>1</v>
      </c>
      <c r="D19647">
        <v>0</v>
      </c>
      <c r="E19647">
        <v>0</v>
      </c>
      <c r="F19647">
        <v>5243</v>
      </c>
    </row>
    <row r="19648" spans="1:6" x14ac:dyDescent="0.25">
      <c r="A19648">
        <v>19647</v>
      </c>
      <c r="B19648">
        <v>13</v>
      </c>
      <c r="C19648">
        <v>0</v>
      </c>
      <c r="D19648">
        <v>0</v>
      </c>
      <c r="E19648">
        <v>0</v>
      </c>
      <c r="F19648">
        <v>1619</v>
      </c>
    </row>
    <row r="19649" spans="1:6" x14ac:dyDescent="0.25">
      <c r="A19649">
        <v>19648</v>
      </c>
      <c r="B19649" t="s">
        <v>0</v>
      </c>
      <c r="C19649">
        <v>56</v>
      </c>
      <c r="D19649">
        <v>3517</v>
      </c>
      <c r="E19649">
        <v>80905489</v>
      </c>
    </row>
    <row r="19650" spans="1:6" x14ac:dyDescent="0.25">
      <c r="A19650">
        <v>19649</v>
      </c>
      <c r="B19650">
        <v>41</v>
      </c>
      <c r="C19650">
        <v>0</v>
      </c>
      <c r="D19650">
        <v>0</v>
      </c>
      <c r="E19650">
        <v>0</v>
      </c>
      <c r="F19650">
        <v>1</v>
      </c>
    </row>
    <row r="19651" spans="1:6" x14ac:dyDescent="0.25">
      <c r="A19651">
        <v>19650</v>
      </c>
      <c r="B19651">
        <v>42</v>
      </c>
      <c r="C19651">
        <v>0</v>
      </c>
      <c r="D19651">
        <v>0</v>
      </c>
      <c r="E19651">
        <v>0</v>
      </c>
      <c r="F19651">
        <v>0.2</v>
      </c>
    </row>
    <row r="19652" spans="1:6" x14ac:dyDescent="0.25">
      <c r="A19652">
        <v>19651</v>
      </c>
      <c r="B19652" t="s">
        <v>0</v>
      </c>
      <c r="C19652">
        <v>57</v>
      </c>
      <c r="D19652">
        <v>3517</v>
      </c>
      <c r="E19652">
        <v>80905620</v>
      </c>
    </row>
    <row r="19653" spans="1:6" x14ac:dyDescent="0.25">
      <c r="A19653">
        <v>19652</v>
      </c>
      <c r="B19653">
        <v>43</v>
      </c>
      <c r="C19653">
        <v>0</v>
      </c>
      <c r="D19653">
        <v>0</v>
      </c>
      <c r="E19653">
        <v>0</v>
      </c>
      <c r="F19653">
        <v>0</v>
      </c>
    </row>
    <row r="19654" spans="1:6" x14ac:dyDescent="0.25">
      <c r="A19654">
        <v>19653</v>
      </c>
      <c r="B19654">
        <v>44</v>
      </c>
      <c r="C19654">
        <v>0</v>
      </c>
      <c r="D19654">
        <v>0</v>
      </c>
      <c r="E19654">
        <v>0</v>
      </c>
      <c r="F19654">
        <v>47.484900000000003</v>
      </c>
    </row>
    <row r="19655" spans="1:6" x14ac:dyDescent="0.25">
      <c r="A19655">
        <v>19654</v>
      </c>
      <c r="B19655" t="s">
        <v>0</v>
      </c>
      <c r="C19655">
        <v>58</v>
      </c>
      <c r="D19655">
        <v>3517</v>
      </c>
      <c r="E19655">
        <v>80905751</v>
      </c>
    </row>
    <row r="19656" spans="1:6" x14ac:dyDescent="0.25">
      <c r="A19656">
        <v>19655</v>
      </c>
      <c r="B19656">
        <v>45</v>
      </c>
      <c r="C19656">
        <v>0</v>
      </c>
      <c r="D19656">
        <v>0</v>
      </c>
      <c r="E19656">
        <v>0</v>
      </c>
      <c r="F19656">
        <v>545.62900000000002</v>
      </c>
    </row>
    <row r="19657" spans="1:6" x14ac:dyDescent="0.25">
      <c r="A19657">
        <v>19656</v>
      </c>
      <c r="B19657">
        <v>46</v>
      </c>
      <c r="C19657">
        <v>0</v>
      </c>
      <c r="D19657">
        <v>0</v>
      </c>
      <c r="E19657">
        <v>0</v>
      </c>
      <c r="F19657">
        <v>0</v>
      </c>
    </row>
    <row r="19658" spans="1:6" x14ac:dyDescent="0.25">
      <c r="A19658">
        <v>19657</v>
      </c>
      <c r="B19658" t="s">
        <v>0</v>
      </c>
      <c r="C19658">
        <v>59</v>
      </c>
      <c r="D19658">
        <v>3517</v>
      </c>
      <c r="E19658">
        <v>80905883</v>
      </c>
    </row>
    <row r="19659" spans="1:6" x14ac:dyDescent="0.25">
      <c r="A19659">
        <v>19658</v>
      </c>
      <c r="B19659">
        <v>2</v>
      </c>
      <c r="C19659">
        <v>0</v>
      </c>
      <c r="D19659">
        <v>0</v>
      </c>
      <c r="E19659">
        <v>0</v>
      </c>
      <c r="F19659">
        <v>252.54</v>
      </c>
    </row>
    <row r="19660" spans="1:6" x14ac:dyDescent="0.25">
      <c r="A19660">
        <v>19659</v>
      </c>
      <c r="B19660">
        <v>10</v>
      </c>
      <c r="C19660">
        <v>1</v>
      </c>
      <c r="D19660">
        <v>0</v>
      </c>
      <c r="E19660">
        <v>0</v>
      </c>
      <c r="F19660">
        <v>5241</v>
      </c>
    </row>
    <row r="19661" spans="1:6" x14ac:dyDescent="0.25">
      <c r="A19661">
        <v>19660</v>
      </c>
      <c r="B19661" t="s">
        <v>0</v>
      </c>
      <c r="C19661">
        <v>60</v>
      </c>
      <c r="D19661">
        <v>3517</v>
      </c>
      <c r="E19661">
        <v>80906015</v>
      </c>
    </row>
    <row r="19662" spans="1:6" x14ac:dyDescent="0.25">
      <c r="A19662">
        <v>19661</v>
      </c>
      <c r="B19662">
        <v>13</v>
      </c>
      <c r="C19662">
        <v>0</v>
      </c>
      <c r="D19662">
        <v>0</v>
      </c>
      <c r="E19662">
        <v>0</v>
      </c>
      <c r="F19662">
        <v>1619</v>
      </c>
    </row>
    <row r="19663" spans="1:6" x14ac:dyDescent="0.25">
      <c r="A19663">
        <v>19662</v>
      </c>
      <c r="B19663">
        <v>41</v>
      </c>
      <c r="C19663">
        <v>0</v>
      </c>
      <c r="D19663">
        <v>0</v>
      </c>
      <c r="E19663">
        <v>0</v>
      </c>
      <c r="F19663">
        <v>1</v>
      </c>
    </row>
    <row r="19664" spans="1:6" x14ac:dyDescent="0.25">
      <c r="A19664">
        <v>19663</v>
      </c>
      <c r="B19664" t="s">
        <v>0</v>
      </c>
      <c r="C19664">
        <v>61</v>
      </c>
      <c r="D19664">
        <v>3517</v>
      </c>
      <c r="E19664">
        <v>80906147</v>
      </c>
    </row>
    <row r="19665" spans="1:6" x14ac:dyDescent="0.25">
      <c r="A19665">
        <v>19664</v>
      </c>
      <c r="B19665">
        <v>42</v>
      </c>
      <c r="C19665">
        <v>0</v>
      </c>
      <c r="D19665">
        <v>0</v>
      </c>
      <c r="E19665">
        <v>0</v>
      </c>
      <c r="F19665">
        <v>0.2</v>
      </c>
    </row>
    <row r="19666" spans="1:6" x14ac:dyDescent="0.25">
      <c r="A19666">
        <v>19665</v>
      </c>
      <c r="B19666">
        <v>43</v>
      </c>
      <c r="C19666">
        <v>0</v>
      </c>
      <c r="D19666">
        <v>0</v>
      </c>
      <c r="E19666">
        <v>0</v>
      </c>
      <c r="F19666">
        <v>0</v>
      </c>
    </row>
    <row r="19667" spans="1:6" x14ac:dyDescent="0.25">
      <c r="A19667">
        <v>19666</v>
      </c>
      <c r="B19667" t="s">
        <v>0</v>
      </c>
      <c r="C19667">
        <v>62</v>
      </c>
      <c r="D19667">
        <v>3517</v>
      </c>
      <c r="E19667">
        <v>80906279</v>
      </c>
    </row>
    <row r="19668" spans="1:6" x14ac:dyDescent="0.25">
      <c r="A19668">
        <v>19667</v>
      </c>
      <c r="B19668">
        <v>44</v>
      </c>
      <c r="C19668">
        <v>0</v>
      </c>
      <c r="D19668">
        <v>0</v>
      </c>
      <c r="E19668">
        <v>0</v>
      </c>
      <c r="F19668">
        <v>47.427999999999997</v>
      </c>
    </row>
    <row r="19669" spans="1:6" x14ac:dyDescent="0.25">
      <c r="A19669">
        <v>19668</v>
      </c>
      <c r="B19669">
        <v>45</v>
      </c>
      <c r="C19669">
        <v>0</v>
      </c>
      <c r="D19669">
        <v>0</v>
      </c>
      <c r="E19669">
        <v>0</v>
      </c>
      <c r="F19669">
        <v>545.67899999999997</v>
      </c>
    </row>
    <row r="19670" spans="1:6" x14ac:dyDescent="0.25">
      <c r="A19670">
        <v>19669</v>
      </c>
      <c r="B19670" t="s">
        <v>0</v>
      </c>
      <c r="C19670">
        <v>63</v>
      </c>
      <c r="D19670">
        <v>3517</v>
      </c>
      <c r="E19670">
        <v>80906411</v>
      </c>
    </row>
    <row r="19671" spans="1:6" x14ac:dyDescent="0.25">
      <c r="A19671">
        <v>19670</v>
      </c>
      <c r="B19671">
        <v>46</v>
      </c>
      <c r="C19671">
        <v>0</v>
      </c>
      <c r="D19671">
        <v>0</v>
      </c>
      <c r="E19671">
        <v>0</v>
      </c>
      <c r="F19671">
        <v>0</v>
      </c>
    </row>
    <row r="19672" spans="1:6" x14ac:dyDescent="0.25">
      <c r="A19672">
        <v>19671</v>
      </c>
      <c r="B19672">
        <v>2</v>
      </c>
      <c r="C19672">
        <v>0</v>
      </c>
      <c r="D19672">
        <v>0</v>
      </c>
      <c r="E19672">
        <v>0</v>
      </c>
      <c r="F19672">
        <v>252.58199999999999</v>
      </c>
    </row>
    <row r="19673" spans="1:6" x14ac:dyDescent="0.25">
      <c r="A19673">
        <v>19672</v>
      </c>
      <c r="B19673" t="s">
        <v>0</v>
      </c>
      <c r="C19673">
        <v>64</v>
      </c>
      <c r="D19673">
        <v>3517</v>
      </c>
      <c r="E19673">
        <v>80906543</v>
      </c>
    </row>
    <row r="19674" spans="1:6" x14ac:dyDescent="0.25">
      <c r="A19674">
        <v>19673</v>
      </c>
      <c r="B19674">
        <v>10</v>
      </c>
      <c r="C19674">
        <v>1</v>
      </c>
      <c r="D19674">
        <v>0</v>
      </c>
      <c r="E19674">
        <v>0</v>
      </c>
      <c r="F19674">
        <v>5240</v>
      </c>
    </row>
    <row r="19675" spans="1:6" x14ac:dyDescent="0.25">
      <c r="A19675">
        <v>19674</v>
      </c>
      <c r="B19675">
        <v>13</v>
      </c>
      <c r="C19675">
        <v>0</v>
      </c>
      <c r="D19675">
        <v>0</v>
      </c>
      <c r="E19675">
        <v>0</v>
      </c>
      <c r="F19675">
        <v>1619</v>
      </c>
    </row>
    <row r="19676" spans="1:6" x14ac:dyDescent="0.25">
      <c r="A19676">
        <v>19675</v>
      </c>
      <c r="B19676" t="s">
        <v>0</v>
      </c>
      <c r="C19676">
        <v>65</v>
      </c>
      <c r="D19676">
        <v>3517</v>
      </c>
      <c r="E19676">
        <v>80906674</v>
      </c>
    </row>
    <row r="19677" spans="1:6" x14ac:dyDescent="0.25">
      <c r="A19677">
        <v>19676</v>
      </c>
      <c r="B19677">
        <v>41</v>
      </c>
      <c r="C19677">
        <v>0</v>
      </c>
      <c r="D19677">
        <v>0</v>
      </c>
      <c r="E19677">
        <v>0</v>
      </c>
      <c r="F19677">
        <v>1</v>
      </c>
    </row>
    <row r="19678" spans="1:6" x14ac:dyDescent="0.25">
      <c r="A19678">
        <v>19677</v>
      </c>
      <c r="B19678">
        <v>42</v>
      </c>
      <c r="C19678">
        <v>0</v>
      </c>
      <c r="D19678">
        <v>0</v>
      </c>
      <c r="E19678">
        <v>0</v>
      </c>
      <c r="F19678">
        <v>0.2</v>
      </c>
    </row>
    <row r="19679" spans="1:6" x14ac:dyDescent="0.25">
      <c r="A19679">
        <v>19678</v>
      </c>
      <c r="B19679" t="s">
        <v>0</v>
      </c>
      <c r="C19679">
        <v>66</v>
      </c>
      <c r="D19679">
        <v>3517</v>
      </c>
      <c r="E19679">
        <v>80906805</v>
      </c>
    </row>
    <row r="19680" spans="1:6" x14ac:dyDescent="0.25">
      <c r="A19680">
        <v>19679</v>
      </c>
      <c r="B19680">
        <v>43</v>
      </c>
      <c r="C19680">
        <v>0</v>
      </c>
      <c r="D19680">
        <v>0</v>
      </c>
      <c r="E19680">
        <v>0</v>
      </c>
      <c r="F19680">
        <v>0</v>
      </c>
    </row>
    <row r="19681" spans="1:6" x14ac:dyDescent="0.25">
      <c r="A19681">
        <v>19680</v>
      </c>
      <c r="B19681">
        <v>44</v>
      </c>
      <c r="C19681">
        <v>0</v>
      </c>
      <c r="D19681">
        <v>0</v>
      </c>
      <c r="E19681">
        <v>0</v>
      </c>
      <c r="F19681">
        <v>47.391800000000003</v>
      </c>
    </row>
    <row r="19682" spans="1:6" x14ac:dyDescent="0.25">
      <c r="A19682">
        <v>19681</v>
      </c>
      <c r="B19682">
        <v>45</v>
      </c>
      <c r="C19682">
        <v>0</v>
      </c>
      <c r="D19682">
        <v>0</v>
      </c>
      <c r="E19682">
        <v>0</v>
      </c>
      <c r="F19682">
        <v>545.74199999999996</v>
      </c>
    </row>
    <row r="19683" spans="1:6" x14ac:dyDescent="0.25">
      <c r="A19683">
        <v>19682</v>
      </c>
      <c r="B19683">
        <v>46</v>
      </c>
      <c r="C19683">
        <v>0</v>
      </c>
      <c r="D19683">
        <v>0</v>
      </c>
      <c r="E19683">
        <v>0</v>
      </c>
      <c r="F19683">
        <v>0</v>
      </c>
    </row>
    <row r="19684" spans="1:6" x14ac:dyDescent="0.25">
      <c r="A19684">
        <v>19683</v>
      </c>
      <c r="B19684">
        <v>2</v>
      </c>
      <c r="C19684">
        <v>0</v>
      </c>
      <c r="D19684">
        <v>0</v>
      </c>
      <c r="E19684">
        <v>0</v>
      </c>
      <c r="F19684">
        <v>252.624</v>
      </c>
    </row>
    <row r="19685" spans="1:6" x14ac:dyDescent="0.25">
      <c r="A19685">
        <v>19684</v>
      </c>
      <c r="B19685">
        <v>10</v>
      </c>
      <c r="C19685">
        <v>1</v>
      </c>
      <c r="D19685">
        <v>0</v>
      </c>
      <c r="E19685">
        <v>0</v>
      </c>
      <c r="F19685">
        <v>5240</v>
      </c>
    </row>
    <row r="19686" spans="1:6" x14ac:dyDescent="0.25">
      <c r="A19686">
        <v>19685</v>
      </c>
      <c r="B19686">
        <v>13</v>
      </c>
      <c r="C19686">
        <v>0</v>
      </c>
      <c r="D19686">
        <v>0</v>
      </c>
      <c r="E19686">
        <v>0</v>
      </c>
      <c r="F19686">
        <v>1619</v>
      </c>
    </row>
    <row r="19687" spans="1:6" x14ac:dyDescent="0.25">
      <c r="A19687">
        <v>19686</v>
      </c>
      <c r="B19687">
        <v>41</v>
      </c>
      <c r="C19687">
        <v>0</v>
      </c>
      <c r="D19687">
        <v>0</v>
      </c>
      <c r="E19687">
        <v>0</v>
      </c>
      <c r="F19687">
        <v>1</v>
      </c>
    </row>
    <row r="19688" spans="1:6" x14ac:dyDescent="0.25">
      <c r="A19688">
        <v>19687</v>
      </c>
      <c r="B19688">
        <v>42</v>
      </c>
      <c r="C19688">
        <v>0</v>
      </c>
      <c r="D19688">
        <v>0</v>
      </c>
      <c r="E19688">
        <v>0</v>
      </c>
      <c r="F19688">
        <v>0.2</v>
      </c>
    </row>
    <row r="19689" spans="1:6" x14ac:dyDescent="0.25">
      <c r="A19689">
        <v>19688</v>
      </c>
      <c r="B19689">
        <v>43</v>
      </c>
      <c r="C19689">
        <v>0</v>
      </c>
      <c r="D19689">
        <v>0</v>
      </c>
      <c r="E19689">
        <v>0</v>
      </c>
      <c r="F19689">
        <v>0</v>
      </c>
    </row>
    <row r="19690" spans="1:6" x14ac:dyDescent="0.25">
      <c r="A19690">
        <v>19689</v>
      </c>
      <c r="B19690">
        <v>44</v>
      </c>
      <c r="C19690">
        <v>0</v>
      </c>
      <c r="D19690">
        <v>0</v>
      </c>
      <c r="E19690">
        <v>0</v>
      </c>
      <c r="F19690">
        <v>47.356000000000002</v>
      </c>
    </row>
    <row r="19691" spans="1:6" x14ac:dyDescent="0.25">
      <c r="A19691">
        <v>19690</v>
      </c>
      <c r="B19691">
        <v>45</v>
      </c>
      <c r="C19691">
        <v>0</v>
      </c>
      <c r="D19691">
        <v>0</v>
      </c>
      <c r="E19691">
        <v>0</v>
      </c>
      <c r="F19691">
        <v>545.79200000000003</v>
      </c>
    </row>
    <row r="19692" spans="1:6" x14ac:dyDescent="0.25">
      <c r="A19692">
        <v>19691</v>
      </c>
      <c r="B19692">
        <v>46</v>
      </c>
      <c r="C19692">
        <v>0</v>
      </c>
      <c r="D19692">
        <v>0</v>
      </c>
      <c r="E19692">
        <v>0</v>
      </c>
      <c r="F19692">
        <v>0</v>
      </c>
    </row>
    <row r="19693" spans="1:6" x14ac:dyDescent="0.25">
      <c r="A19693">
        <v>19692</v>
      </c>
      <c r="B19693">
        <v>2</v>
      </c>
      <c r="C19693">
        <v>0</v>
      </c>
      <c r="D19693">
        <v>0</v>
      </c>
      <c r="E19693">
        <v>0</v>
      </c>
      <c r="F19693">
        <v>252.65</v>
      </c>
    </row>
    <row r="19694" spans="1:6" x14ac:dyDescent="0.25">
      <c r="A19694">
        <v>19693</v>
      </c>
      <c r="B19694">
        <v>10</v>
      </c>
      <c r="C19694">
        <v>1</v>
      </c>
      <c r="D19694">
        <v>0</v>
      </c>
      <c r="E19694">
        <v>0</v>
      </c>
      <c r="F19694">
        <v>5239</v>
      </c>
    </row>
    <row r="19695" spans="1:6" x14ac:dyDescent="0.25">
      <c r="A19695">
        <v>19694</v>
      </c>
      <c r="B19695">
        <v>13</v>
      </c>
      <c r="C19695">
        <v>0</v>
      </c>
      <c r="D19695">
        <v>0</v>
      </c>
      <c r="E19695">
        <v>0</v>
      </c>
      <c r="F19695">
        <v>1619</v>
      </c>
    </row>
    <row r="19696" spans="1:6" x14ac:dyDescent="0.25">
      <c r="A19696">
        <v>19695</v>
      </c>
      <c r="B19696">
        <v>41</v>
      </c>
      <c r="C19696">
        <v>0</v>
      </c>
      <c r="D19696">
        <v>0</v>
      </c>
      <c r="E19696">
        <v>0</v>
      </c>
      <c r="F19696">
        <v>1</v>
      </c>
    </row>
    <row r="19697" spans="1:6" x14ac:dyDescent="0.25">
      <c r="A19697">
        <v>19696</v>
      </c>
      <c r="B19697">
        <v>42</v>
      </c>
      <c r="C19697">
        <v>0</v>
      </c>
      <c r="D19697">
        <v>0</v>
      </c>
      <c r="E19697">
        <v>0</v>
      </c>
      <c r="F19697">
        <v>0.2</v>
      </c>
    </row>
    <row r="19698" spans="1:6" x14ac:dyDescent="0.25">
      <c r="A19698">
        <v>19697</v>
      </c>
      <c r="B19698">
        <v>43</v>
      </c>
      <c r="C19698">
        <v>0</v>
      </c>
      <c r="D19698">
        <v>0</v>
      </c>
      <c r="E19698">
        <v>0</v>
      </c>
      <c r="F19698">
        <v>0</v>
      </c>
    </row>
    <row r="19699" spans="1:6" x14ac:dyDescent="0.25">
      <c r="A19699">
        <v>19698</v>
      </c>
      <c r="B19699">
        <v>44</v>
      </c>
      <c r="C19699">
        <v>0</v>
      </c>
      <c r="D19699">
        <v>0</v>
      </c>
      <c r="E19699">
        <v>0</v>
      </c>
      <c r="F19699">
        <v>47.333399999999997</v>
      </c>
    </row>
    <row r="19700" spans="1:6" x14ac:dyDescent="0.25">
      <c r="A19700">
        <v>19699</v>
      </c>
      <c r="B19700">
        <v>45</v>
      </c>
      <c r="C19700">
        <v>0</v>
      </c>
      <c r="D19700">
        <v>0</v>
      </c>
      <c r="E19700">
        <v>0</v>
      </c>
      <c r="F19700">
        <v>545.85400000000004</v>
      </c>
    </row>
    <row r="19701" spans="1:6" x14ac:dyDescent="0.25">
      <c r="A19701">
        <v>19700</v>
      </c>
      <c r="B19701">
        <v>46</v>
      </c>
      <c r="C19701">
        <v>0</v>
      </c>
      <c r="D19701">
        <v>0</v>
      </c>
      <c r="E19701">
        <v>0</v>
      </c>
      <c r="F19701">
        <v>0</v>
      </c>
    </row>
    <row r="19702" spans="1:6" x14ac:dyDescent="0.25">
      <c r="A19702">
        <v>19701</v>
      </c>
      <c r="B19702">
        <v>2</v>
      </c>
      <c r="C19702">
        <v>0</v>
      </c>
      <c r="D19702">
        <v>0</v>
      </c>
      <c r="E19702">
        <v>0</v>
      </c>
      <c r="F19702">
        <v>252.67599999999999</v>
      </c>
    </row>
    <row r="19703" spans="1:6" x14ac:dyDescent="0.25">
      <c r="A19703">
        <v>19702</v>
      </c>
      <c r="B19703" t="s">
        <v>0</v>
      </c>
      <c r="C19703">
        <v>78</v>
      </c>
      <c r="D19703">
        <v>3517</v>
      </c>
      <c r="E19703">
        <v>80908382</v>
      </c>
    </row>
    <row r="19704" spans="1:6" x14ac:dyDescent="0.25">
      <c r="A19704">
        <v>19703</v>
      </c>
      <c r="B19704">
        <v>10</v>
      </c>
      <c r="C19704">
        <v>1</v>
      </c>
      <c r="D19704">
        <v>0</v>
      </c>
      <c r="E19704">
        <v>0</v>
      </c>
      <c r="F19704">
        <v>5239</v>
      </c>
    </row>
    <row r="19705" spans="1:6" x14ac:dyDescent="0.25">
      <c r="A19705">
        <v>19704</v>
      </c>
      <c r="B19705" t="s">
        <v>0</v>
      </c>
      <c r="C19705">
        <v>79</v>
      </c>
      <c r="D19705">
        <v>3517</v>
      </c>
      <c r="E19705">
        <v>80908514</v>
      </c>
    </row>
    <row r="19706" spans="1:6" x14ac:dyDescent="0.25">
      <c r="A19706">
        <v>19705</v>
      </c>
      <c r="B19706">
        <v>41</v>
      </c>
      <c r="C19706">
        <v>0</v>
      </c>
      <c r="D19706">
        <v>0</v>
      </c>
      <c r="E19706">
        <v>0</v>
      </c>
      <c r="F19706">
        <v>1</v>
      </c>
    </row>
    <row r="19707" spans="1:6" x14ac:dyDescent="0.25">
      <c r="A19707">
        <v>19706</v>
      </c>
      <c r="B19707" t="s">
        <v>0</v>
      </c>
      <c r="C19707">
        <v>80</v>
      </c>
      <c r="D19707">
        <v>3517</v>
      </c>
      <c r="E19707">
        <v>80908645</v>
      </c>
    </row>
    <row r="19708" spans="1:6" x14ac:dyDescent="0.25">
      <c r="A19708">
        <v>19707</v>
      </c>
      <c r="B19708">
        <v>43</v>
      </c>
      <c r="C19708">
        <v>0</v>
      </c>
      <c r="D19708">
        <v>0</v>
      </c>
      <c r="E19708">
        <v>0</v>
      </c>
      <c r="F19708">
        <v>0</v>
      </c>
    </row>
    <row r="19709" spans="1:6" x14ac:dyDescent="0.25">
      <c r="A19709">
        <v>19708</v>
      </c>
      <c r="B19709" t="s">
        <v>0</v>
      </c>
      <c r="C19709">
        <v>81</v>
      </c>
      <c r="D19709">
        <v>3517</v>
      </c>
      <c r="E19709">
        <v>80908776</v>
      </c>
    </row>
    <row r="19710" spans="1:6" x14ac:dyDescent="0.25">
      <c r="A19710">
        <v>19709</v>
      </c>
      <c r="B19710">
        <v>45</v>
      </c>
      <c r="C19710">
        <v>0</v>
      </c>
      <c r="D19710">
        <v>0</v>
      </c>
      <c r="E19710">
        <v>0</v>
      </c>
      <c r="F19710">
        <v>545.91600000000005</v>
      </c>
    </row>
    <row r="19711" spans="1:6" x14ac:dyDescent="0.25">
      <c r="A19711">
        <v>19710</v>
      </c>
      <c r="B19711" t="s">
        <v>0</v>
      </c>
      <c r="C19711">
        <v>82</v>
      </c>
      <c r="D19711">
        <v>3517</v>
      </c>
      <c r="E19711">
        <v>80908907</v>
      </c>
    </row>
    <row r="19712" spans="1:6" x14ac:dyDescent="0.25">
      <c r="A19712">
        <v>19711</v>
      </c>
      <c r="B19712">
        <v>2</v>
      </c>
      <c r="C19712">
        <v>0</v>
      </c>
      <c r="D19712">
        <v>0</v>
      </c>
      <c r="E19712">
        <v>0</v>
      </c>
      <c r="F19712">
        <v>252.697</v>
      </c>
    </row>
    <row r="19713" spans="1:6" x14ac:dyDescent="0.25">
      <c r="A19713">
        <v>19712</v>
      </c>
      <c r="B19713" t="s">
        <v>0</v>
      </c>
      <c r="C19713">
        <v>83</v>
      </c>
      <c r="D19713">
        <v>3517</v>
      </c>
      <c r="E19713">
        <v>80909038</v>
      </c>
    </row>
    <row r="19714" spans="1:6" x14ac:dyDescent="0.25">
      <c r="A19714">
        <v>19713</v>
      </c>
      <c r="B19714">
        <v>13</v>
      </c>
      <c r="C19714">
        <v>0</v>
      </c>
      <c r="D19714">
        <v>0</v>
      </c>
      <c r="E19714">
        <v>0</v>
      </c>
      <c r="F19714">
        <v>1619</v>
      </c>
    </row>
    <row r="19715" spans="1:6" x14ac:dyDescent="0.25">
      <c r="A19715">
        <v>19714</v>
      </c>
      <c r="B19715" t="s">
        <v>0</v>
      </c>
      <c r="C19715">
        <v>84</v>
      </c>
      <c r="D19715">
        <v>3517</v>
      </c>
      <c r="E19715">
        <v>80909169</v>
      </c>
    </row>
    <row r="19716" spans="1:6" x14ac:dyDescent="0.25">
      <c r="A19716">
        <v>19715</v>
      </c>
      <c r="B19716">
        <v>42</v>
      </c>
      <c r="C19716">
        <v>0</v>
      </c>
      <c r="D19716">
        <v>0</v>
      </c>
      <c r="E19716">
        <v>0</v>
      </c>
      <c r="F19716">
        <v>0.2</v>
      </c>
    </row>
    <row r="19717" spans="1:6" x14ac:dyDescent="0.25">
      <c r="A19717">
        <v>19716</v>
      </c>
      <c r="B19717" t="s">
        <v>0</v>
      </c>
      <c r="C19717">
        <v>85</v>
      </c>
      <c r="D19717">
        <v>3517</v>
      </c>
      <c r="E19717">
        <v>80909300</v>
      </c>
    </row>
    <row r="19718" spans="1:6" x14ac:dyDescent="0.25">
      <c r="A19718">
        <v>19717</v>
      </c>
      <c r="B19718">
        <v>44</v>
      </c>
      <c r="C19718">
        <v>0</v>
      </c>
      <c r="D19718">
        <v>0</v>
      </c>
      <c r="E19718">
        <v>0</v>
      </c>
      <c r="F19718">
        <v>47.293300000000002</v>
      </c>
    </row>
    <row r="19719" spans="1:6" x14ac:dyDescent="0.25">
      <c r="A19719">
        <v>19718</v>
      </c>
      <c r="B19719" t="s">
        <v>0</v>
      </c>
      <c r="C19719">
        <v>86</v>
      </c>
      <c r="D19719">
        <v>3517</v>
      </c>
      <c r="E19719">
        <v>80909431</v>
      </c>
    </row>
    <row r="19720" spans="1:6" x14ac:dyDescent="0.25">
      <c r="A19720">
        <v>19719</v>
      </c>
      <c r="B19720">
        <v>46</v>
      </c>
      <c r="C19720">
        <v>0</v>
      </c>
      <c r="D19720">
        <v>0</v>
      </c>
      <c r="E19720">
        <v>0</v>
      </c>
      <c r="F19720">
        <v>0</v>
      </c>
    </row>
    <row r="19721" spans="1:6" x14ac:dyDescent="0.25">
      <c r="A19721">
        <v>19720</v>
      </c>
      <c r="B19721" t="s">
        <v>0</v>
      </c>
      <c r="C19721">
        <v>87</v>
      </c>
      <c r="D19721">
        <v>3517</v>
      </c>
      <c r="E19721">
        <v>80909562</v>
      </c>
    </row>
    <row r="19722" spans="1:6" x14ac:dyDescent="0.25">
      <c r="A19722">
        <v>19721</v>
      </c>
      <c r="B19722">
        <v>10</v>
      </c>
      <c r="C19722">
        <v>1</v>
      </c>
      <c r="D19722">
        <v>0</v>
      </c>
      <c r="E19722">
        <v>0</v>
      </c>
      <c r="F19722">
        <v>5239</v>
      </c>
    </row>
    <row r="19723" spans="1:6" x14ac:dyDescent="0.25">
      <c r="A19723">
        <v>19722</v>
      </c>
      <c r="B19723" t="s">
        <v>0</v>
      </c>
      <c r="C19723">
        <v>88</v>
      </c>
      <c r="D19723">
        <v>3517</v>
      </c>
      <c r="E19723">
        <v>80909693</v>
      </c>
    </row>
    <row r="19724" spans="1:6" x14ac:dyDescent="0.25">
      <c r="A19724">
        <v>19723</v>
      </c>
      <c r="B19724">
        <v>41</v>
      </c>
      <c r="C19724">
        <v>0</v>
      </c>
      <c r="D19724">
        <v>0</v>
      </c>
      <c r="E19724">
        <v>0</v>
      </c>
      <c r="F19724">
        <v>1</v>
      </c>
    </row>
    <row r="19725" spans="1:6" x14ac:dyDescent="0.25">
      <c r="A19725">
        <v>19724</v>
      </c>
      <c r="B19725" t="s">
        <v>0</v>
      </c>
      <c r="C19725">
        <v>89</v>
      </c>
      <c r="D19725">
        <v>3517</v>
      </c>
      <c r="E19725">
        <v>80909825</v>
      </c>
    </row>
    <row r="19726" spans="1:6" x14ac:dyDescent="0.25">
      <c r="A19726">
        <v>19725</v>
      </c>
      <c r="B19726">
        <v>43</v>
      </c>
      <c r="C19726">
        <v>0</v>
      </c>
      <c r="D19726">
        <v>0</v>
      </c>
      <c r="E19726">
        <v>0</v>
      </c>
      <c r="F19726">
        <v>0</v>
      </c>
    </row>
    <row r="19727" spans="1:6" x14ac:dyDescent="0.25">
      <c r="A19727">
        <v>19726</v>
      </c>
      <c r="B19727" t="s">
        <v>0</v>
      </c>
      <c r="C19727">
        <v>90</v>
      </c>
      <c r="D19727">
        <v>3517</v>
      </c>
      <c r="E19727">
        <v>80909957</v>
      </c>
    </row>
    <row r="19728" spans="1:6" x14ac:dyDescent="0.25">
      <c r="A19728">
        <v>19727</v>
      </c>
      <c r="B19728">
        <v>44</v>
      </c>
      <c r="C19728">
        <v>0</v>
      </c>
      <c r="D19728">
        <v>0</v>
      </c>
      <c r="E19728">
        <v>0</v>
      </c>
      <c r="F19728">
        <v>47.279499999999999</v>
      </c>
    </row>
    <row r="19729" spans="1:6" x14ac:dyDescent="0.25">
      <c r="A19729">
        <v>19728</v>
      </c>
      <c r="B19729">
        <v>45</v>
      </c>
      <c r="C19729">
        <v>0</v>
      </c>
      <c r="D19729">
        <v>0</v>
      </c>
      <c r="E19729">
        <v>0</v>
      </c>
      <c r="F19729">
        <v>546.029</v>
      </c>
    </row>
    <row r="19730" spans="1:6" x14ac:dyDescent="0.25">
      <c r="A19730">
        <v>19729</v>
      </c>
      <c r="B19730" t="s">
        <v>0</v>
      </c>
      <c r="C19730">
        <v>91</v>
      </c>
      <c r="D19730">
        <v>3517</v>
      </c>
      <c r="E19730">
        <v>80910089</v>
      </c>
    </row>
    <row r="19731" spans="1:6" x14ac:dyDescent="0.25">
      <c r="A19731">
        <v>19730</v>
      </c>
      <c r="B19731">
        <v>46</v>
      </c>
      <c r="C19731">
        <v>0</v>
      </c>
      <c r="D19731">
        <v>0</v>
      </c>
      <c r="E19731">
        <v>0</v>
      </c>
      <c r="F19731">
        <v>0</v>
      </c>
    </row>
    <row r="19732" spans="1:6" x14ac:dyDescent="0.25">
      <c r="A19732">
        <v>19731</v>
      </c>
      <c r="B19732">
        <v>2</v>
      </c>
      <c r="C19732">
        <v>0</v>
      </c>
      <c r="D19732">
        <v>0</v>
      </c>
      <c r="E19732">
        <v>0</v>
      </c>
      <c r="F19732">
        <v>252.72300000000001</v>
      </c>
    </row>
    <row r="19733" spans="1:6" x14ac:dyDescent="0.25">
      <c r="A19733">
        <v>19732</v>
      </c>
      <c r="B19733" t="s">
        <v>0</v>
      </c>
      <c r="C19733">
        <v>92</v>
      </c>
      <c r="D19733">
        <v>3517</v>
      </c>
      <c r="E19733">
        <v>80910221</v>
      </c>
    </row>
    <row r="19734" spans="1:6" x14ac:dyDescent="0.25">
      <c r="A19734">
        <v>19733</v>
      </c>
      <c r="B19734">
        <v>10</v>
      </c>
      <c r="C19734">
        <v>1</v>
      </c>
      <c r="D19734">
        <v>0</v>
      </c>
      <c r="E19734">
        <v>0</v>
      </c>
      <c r="F19734">
        <v>5239</v>
      </c>
    </row>
    <row r="19735" spans="1:6" x14ac:dyDescent="0.25">
      <c r="A19735">
        <v>19734</v>
      </c>
      <c r="B19735">
        <v>13</v>
      </c>
      <c r="C19735">
        <v>0</v>
      </c>
      <c r="D19735">
        <v>0</v>
      </c>
      <c r="E19735">
        <v>0</v>
      </c>
      <c r="F19735">
        <v>1619</v>
      </c>
    </row>
    <row r="19736" spans="1:6" x14ac:dyDescent="0.25">
      <c r="A19736">
        <v>19735</v>
      </c>
      <c r="B19736" t="s">
        <v>0</v>
      </c>
      <c r="C19736">
        <v>93</v>
      </c>
      <c r="D19736">
        <v>3517</v>
      </c>
      <c r="E19736">
        <v>80910353</v>
      </c>
    </row>
    <row r="19737" spans="1:6" x14ac:dyDescent="0.25">
      <c r="A19737">
        <v>19736</v>
      </c>
      <c r="B19737">
        <v>41</v>
      </c>
      <c r="C19737">
        <v>0</v>
      </c>
      <c r="D19737">
        <v>0</v>
      </c>
      <c r="E19737">
        <v>0</v>
      </c>
      <c r="F19737">
        <v>1</v>
      </c>
    </row>
    <row r="19738" spans="1:6" x14ac:dyDescent="0.25">
      <c r="A19738">
        <v>19737</v>
      </c>
      <c r="B19738">
        <v>42</v>
      </c>
      <c r="C19738">
        <v>0</v>
      </c>
      <c r="D19738">
        <v>0</v>
      </c>
      <c r="E19738">
        <v>0</v>
      </c>
      <c r="F19738">
        <v>0.2</v>
      </c>
    </row>
    <row r="19739" spans="1:6" x14ac:dyDescent="0.25">
      <c r="A19739">
        <v>19738</v>
      </c>
      <c r="B19739" t="s">
        <v>0</v>
      </c>
      <c r="C19739">
        <v>94</v>
      </c>
      <c r="D19739">
        <v>3517</v>
      </c>
      <c r="E19739">
        <v>80910485</v>
      </c>
    </row>
    <row r="19740" spans="1:6" x14ac:dyDescent="0.25">
      <c r="A19740">
        <v>19739</v>
      </c>
      <c r="B19740">
        <v>43</v>
      </c>
      <c r="C19740">
        <v>0</v>
      </c>
      <c r="D19740">
        <v>0</v>
      </c>
      <c r="E19740">
        <v>0</v>
      </c>
      <c r="F19740">
        <v>0</v>
      </c>
    </row>
    <row r="19741" spans="1:6" x14ac:dyDescent="0.25">
      <c r="A19741">
        <v>19740</v>
      </c>
      <c r="B19741">
        <v>44</v>
      </c>
      <c r="C19741">
        <v>0</v>
      </c>
      <c r="D19741">
        <v>0</v>
      </c>
      <c r="E19741">
        <v>0</v>
      </c>
      <c r="F19741">
        <v>47.274900000000002</v>
      </c>
    </row>
    <row r="19742" spans="1:6" x14ac:dyDescent="0.25">
      <c r="A19742">
        <v>19741</v>
      </c>
      <c r="B19742" t="s">
        <v>0</v>
      </c>
      <c r="C19742">
        <v>95</v>
      </c>
      <c r="D19742">
        <v>3517</v>
      </c>
      <c r="E19742">
        <v>80910616</v>
      </c>
    </row>
    <row r="19743" spans="1:6" x14ac:dyDescent="0.25">
      <c r="A19743">
        <v>19742</v>
      </c>
      <c r="B19743">
        <v>45</v>
      </c>
      <c r="C19743">
        <v>0</v>
      </c>
      <c r="D19743">
        <v>0</v>
      </c>
      <c r="E19743">
        <v>0</v>
      </c>
      <c r="F19743">
        <v>546.09100000000001</v>
      </c>
    </row>
    <row r="19744" spans="1:6" x14ac:dyDescent="0.25">
      <c r="A19744">
        <v>19743</v>
      </c>
      <c r="B19744">
        <v>46</v>
      </c>
      <c r="C19744">
        <v>0</v>
      </c>
      <c r="D19744">
        <v>0</v>
      </c>
      <c r="E19744">
        <v>0</v>
      </c>
      <c r="F19744">
        <v>0</v>
      </c>
    </row>
    <row r="19745" spans="1:6" x14ac:dyDescent="0.25">
      <c r="A19745">
        <v>19744</v>
      </c>
      <c r="B19745" t="s">
        <v>0</v>
      </c>
      <c r="C19745">
        <v>96</v>
      </c>
      <c r="D19745">
        <v>3517</v>
      </c>
      <c r="E19745">
        <v>80910747</v>
      </c>
    </row>
    <row r="19746" spans="1:6" x14ac:dyDescent="0.25">
      <c r="A19746">
        <v>19745</v>
      </c>
      <c r="B19746">
        <v>2</v>
      </c>
      <c r="C19746">
        <v>0</v>
      </c>
      <c r="D19746">
        <v>0</v>
      </c>
      <c r="E19746">
        <v>0</v>
      </c>
      <c r="F19746">
        <v>252.733</v>
      </c>
    </row>
    <row r="19747" spans="1:6" x14ac:dyDescent="0.25">
      <c r="A19747">
        <v>19746</v>
      </c>
      <c r="B19747">
        <v>10</v>
      </c>
      <c r="C19747">
        <v>1</v>
      </c>
      <c r="D19747">
        <v>0</v>
      </c>
      <c r="E19747">
        <v>0</v>
      </c>
      <c r="F19747">
        <v>5239</v>
      </c>
    </row>
    <row r="19748" spans="1:6" x14ac:dyDescent="0.25">
      <c r="A19748">
        <v>19747</v>
      </c>
      <c r="B19748" t="s">
        <v>0</v>
      </c>
      <c r="C19748">
        <v>97</v>
      </c>
      <c r="D19748">
        <v>3517</v>
      </c>
      <c r="E19748">
        <v>80910878</v>
      </c>
    </row>
    <row r="19749" spans="1:6" x14ac:dyDescent="0.25">
      <c r="A19749">
        <v>19748</v>
      </c>
      <c r="B19749">
        <v>13</v>
      </c>
      <c r="C19749">
        <v>0</v>
      </c>
      <c r="D19749">
        <v>0</v>
      </c>
      <c r="E19749">
        <v>0</v>
      </c>
      <c r="F19749">
        <v>1619</v>
      </c>
    </row>
    <row r="19750" spans="1:6" x14ac:dyDescent="0.25">
      <c r="A19750">
        <v>19749</v>
      </c>
      <c r="B19750">
        <v>41</v>
      </c>
      <c r="C19750">
        <v>0</v>
      </c>
      <c r="D19750">
        <v>0</v>
      </c>
      <c r="E19750">
        <v>0</v>
      </c>
      <c r="F19750">
        <v>1</v>
      </c>
    </row>
    <row r="19751" spans="1:6" x14ac:dyDescent="0.25">
      <c r="A19751">
        <v>19750</v>
      </c>
      <c r="B19751" t="s">
        <v>0</v>
      </c>
      <c r="C19751">
        <v>98</v>
      </c>
      <c r="D19751">
        <v>3517</v>
      </c>
      <c r="E19751">
        <v>80911009</v>
      </c>
    </row>
    <row r="19752" spans="1:6" x14ac:dyDescent="0.25">
      <c r="A19752">
        <v>19751</v>
      </c>
      <c r="B19752">
        <v>42</v>
      </c>
      <c r="C19752">
        <v>0</v>
      </c>
      <c r="D19752">
        <v>0</v>
      </c>
      <c r="E19752">
        <v>0</v>
      </c>
      <c r="F19752">
        <v>0.2</v>
      </c>
    </row>
    <row r="19753" spans="1:6" x14ac:dyDescent="0.25">
      <c r="A19753">
        <v>19752</v>
      </c>
      <c r="B19753">
        <v>43</v>
      </c>
      <c r="C19753">
        <v>0</v>
      </c>
      <c r="D19753">
        <v>0</v>
      </c>
      <c r="E19753">
        <v>0</v>
      </c>
      <c r="F19753">
        <v>0</v>
      </c>
    </row>
    <row r="19754" spans="1:6" x14ac:dyDescent="0.25">
      <c r="A19754">
        <v>19753</v>
      </c>
      <c r="B19754" t="s">
        <v>0</v>
      </c>
      <c r="C19754">
        <v>99</v>
      </c>
      <c r="D19754">
        <v>3517</v>
      </c>
      <c r="E19754">
        <v>80911140</v>
      </c>
    </row>
    <row r="19755" spans="1:6" x14ac:dyDescent="0.25">
      <c r="A19755">
        <v>19754</v>
      </c>
      <c r="B19755">
        <v>44</v>
      </c>
      <c r="C19755">
        <v>0</v>
      </c>
      <c r="D19755">
        <v>0</v>
      </c>
      <c r="E19755">
        <v>0</v>
      </c>
      <c r="F19755">
        <v>47.261800000000001</v>
      </c>
    </row>
    <row r="19756" spans="1:6" x14ac:dyDescent="0.25">
      <c r="A19756">
        <v>19755</v>
      </c>
      <c r="B19756">
        <v>45</v>
      </c>
      <c r="C19756">
        <v>0</v>
      </c>
      <c r="D19756">
        <v>0</v>
      </c>
      <c r="E19756">
        <v>0</v>
      </c>
      <c r="F19756">
        <v>546.14099999999996</v>
      </c>
    </row>
    <row r="19757" spans="1:6" x14ac:dyDescent="0.25">
      <c r="A19757">
        <v>19756</v>
      </c>
      <c r="B19757" t="s">
        <v>0</v>
      </c>
      <c r="C19757">
        <v>100</v>
      </c>
      <c r="D19757">
        <v>3517</v>
      </c>
      <c r="E19757">
        <v>80911271</v>
      </c>
    </row>
    <row r="19758" spans="1:6" x14ac:dyDescent="0.25">
      <c r="A19758">
        <v>19757</v>
      </c>
      <c r="B19758">
        <v>46</v>
      </c>
      <c r="C19758">
        <v>0</v>
      </c>
      <c r="D19758">
        <v>0</v>
      </c>
      <c r="E19758">
        <v>0</v>
      </c>
      <c r="F19758">
        <v>0</v>
      </c>
    </row>
    <row r="19759" spans="1:6" x14ac:dyDescent="0.25">
      <c r="A19759">
        <v>19758</v>
      </c>
      <c r="B19759">
        <v>2</v>
      </c>
      <c r="C19759">
        <v>0</v>
      </c>
      <c r="D19759">
        <v>0</v>
      </c>
      <c r="E19759">
        <v>0</v>
      </c>
      <c r="F19759">
        <v>252.739</v>
      </c>
    </row>
    <row r="19760" spans="1:6" x14ac:dyDescent="0.25">
      <c r="A19760">
        <v>19759</v>
      </c>
      <c r="B19760">
        <v>10</v>
      </c>
      <c r="C19760">
        <v>1</v>
      </c>
      <c r="D19760">
        <v>0</v>
      </c>
      <c r="E19760">
        <v>0</v>
      </c>
      <c r="F19760">
        <v>5239</v>
      </c>
    </row>
    <row r="19761" spans="1:6" x14ac:dyDescent="0.25">
      <c r="A19761">
        <v>19760</v>
      </c>
      <c r="B19761">
        <v>13</v>
      </c>
      <c r="C19761">
        <v>0</v>
      </c>
      <c r="D19761">
        <v>0</v>
      </c>
      <c r="E19761">
        <v>0</v>
      </c>
      <c r="F19761">
        <v>1619</v>
      </c>
    </row>
    <row r="19762" spans="1:6" x14ac:dyDescent="0.25">
      <c r="A19762">
        <v>19761</v>
      </c>
      <c r="B19762">
        <v>41</v>
      </c>
      <c r="C19762">
        <v>0</v>
      </c>
      <c r="D19762">
        <v>0</v>
      </c>
      <c r="E19762">
        <v>0</v>
      </c>
      <c r="F19762">
        <v>1</v>
      </c>
    </row>
    <row r="19763" spans="1:6" x14ac:dyDescent="0.25">
      <c r="A19763">
        <v>19762</v>
      </c>
      <c r="B19763">
        <v>42</v>
      </c>
      <c r="C19763">
        <v>0</v>
      </c>
      <c r="D19763">
        <v>0</v>
      </c>
      <c r="E19763">
        <v>0</v>
      </c>
      <c r="F19763">
        <v>0.2</v>
      </c>
    </row>
    <row r="19764" spans="1:6" x14ac:dyDescent="0.25">
      <c r="A19764">
        <v>19763</v>
      </c>
      <c r="B19764">
        <v>43</v>
      </c>
      <c r="C19764">
        <v>0</v>
      </c>
      <c r="D19764">
        <v>0</v>
      </c>
      <c r="E19764">
        <v>0</v>
      </c>
      <c r="F19764">
        <v>0</v>
      </c>
    </row>
    <row r="19765" spans="1:6" x14ac:dyDescent="0.25">
      <c r="A19765">
        <v>19764</v>
      </c>
      <c r="B19765">
        <v>44</v>
      </c>
      <c r="C19765">
        <v>0</v>
      </c>
      <c r="D19765">
        <v>0</v>
      </c>
      <c r="E19765">
        <v>0</v>
      </c>
      <c r="F19765">
        <v>47.256700000000002</v>
      </c>
    </row>
    <row r="19766" spans="1:6" x14ac:dyDescent="0.25">
      <c r="A19766">
        <v>19765</v>
      </c>
      <c r="B19766">
        <v>45</v>
      </c>
      <c r="C19766">
        <v>0</v>
      </c>
      <c r="D19766">
        <v>0</v>
      </c>
      <c r="E19766">
        <v>0</v>
      </c>
      <c r="F19766">
        <v>546.20299999999997</v>
      </c>
    </row>
    <row r="19767" spans="1:6" x14ac:dyDescent="0.25">
      <c r="A19767">
        <v>19766</v>
      </c>
      <c r="B19767">
        <v>46</v>
      </c>
      <c r="C19767">
        <v>0</v>
      </c>
      <c r="D19767">
        <v>0</v>
      </c>
      <c r="E19767">
        <v>0</v>
      </c>
      <c r="F19767">
        <v>0</v>
      </c>
    </row>
    <row r="19768" spans="1:6" x14ac:dyDescent="0.25">
      <c r="A19768">
        <v>19767</v>
      </c>
      <c r="B19768">
        <v>2</v>
      </c>
      <c r="C19768">
        <v>0</v>
      </c>
      <c r="D19768">
        <v>0</v>
      </c>
      <c r="E19768">
        <v>0</v>
      </c>
      <c r="F19768">
        <v>252.74600000000001</v>
      </c>
    </row>
    <row r="19769" spans="1:6" x14ac:dyDescent="0.25">
      <c r="A19769">
        <v>19768</v>
      </c>
      <c r="B19769">
        <v>10</v>
      </c>
      <c r="C19769">
        <v>1</v>
      </c>
      <c r="D19769">
        <v>0</v>
      </c>
      <c r="E19769">
        <v>0</v>
      </c>
      <c r="F19769">
        <v>5239</v>
      </c>
    </row>
    <row r="19770" spans="1:6" x14ac:dyDescent="0.25">
      <c r="A19770">
        <v>19769</v>
      </c>
      <c r="B19770">
        <v>13</v>
      </c>
      <c r="C19770">
        <v>0</v>
      </c>
      <c r="D19770">
        <v>0</v>
      </c>
      <c r="E19770">
        <v>0</v>
      </c>
      <c r="F19770">
        <v>1619</v>
      </c>
    </row>
    <row r="19771" spans="1:6" x14ac:dyDescent="0.25">
      <c r="A19771">
        <v>19770</v>
      </c>
      <c r="B19771">
        <v>41</v>
      </c>
      <c r="C19771">
        <v>0</v>
      </c>
      <c r="D19771">
        <v>0</v>
      </c>
      <c r="E19771">
        <v>0</v>
      </c>
      <c r="F19771">
        <v>1</v>
      </c>
    </row>
    <row r="19772" spans="1:6" x14ac:dyDescent="0.25">
      <c r="A19772">
        <v>19771</v>
      </c>
      <c r="B19772">
        <v>42</v>
      </c>
      <c r="C19772">
        <v>0</v>
      </c>
      <c r="D19772">
        <v>0</v>
      </c>
      <c r="E19772">
        <v>0</v>
      </c>
      <c r="F19772">
        <v>0.2</v>
      </c>
    </row>
    <row r="19773" spans="1:6" x14ac:dyDescent="0.25">
      <c r="A19773">
        <v>19772</v>
      </c>
      <c r="B19773">
        <v>43</v>
      </c>
      <c r="C19773">
        <v>0</v>
      </c>
      <c r="D19773">
        <v>0</v>
      </c>
      <c r="E19773">
        <v>0</v>
      </c>
      <c r="F19773">
        <v>0</v>
      </c>
    </row>
    <row r="19774" spans="1:6" x14ac:dyDescent="0.25">
      <c r="A19774">
        <v>19773</v>
      </c>
      <c r="B19774">
        <v>44</v>
      </c>
      <c r="C19774">
        <v>0</v>
      </c>
      <c r="D19774">
        <v>0</v>
      </c>
      <c r="E19774">
        <v>0</v>
      </c>
      <c r="F19774">
        <v>47.251399999999997</v>
      </c>
    </row>
    <row r="19775" spans="1:6" x14ac:dyDescent="0.25">
      <c r="A19775">
        <v>19774</v>
      </c>
      <c r="B19775">
        <v>45</v>
      </c>
      <c r="C19775">
        <v>0</v>
      </c>
      <c r="D19775">
        <v>0</v>
      </c>
      <c r="E19775">
        <v>0</v>
      </c>
      <c r="F19775">
        <v>546.25300000000004</v>
      </c>
    </row>
    <row r="19776" spans="1:6" x14ac:dyDescent="0.25">
      <c r="A19776">
        <v>19775</v>
      </c>
      <c r="B19776">
        <v>46</v>
      </c>
      <c r="C19776">
        <v>0</v>
      </c>
      <c r="D19776">
        <v>0</v>
      </c>
      <c r="E19776">
        <v>0</v>
      </c>
      <c r="F19776">
        <v>0</v>
      </c>
    </row>
    <row r="19777" spans="1:6" x14ac:dyDescent="0.25">
      <c r="A19777">
        <v>19776</v>
      </c>
      <c r="B19777">
        <v>2</v>
      </c>
      <c r="C19777">
        <v>0</v>
      </c>
      <c r="D19777">
        <v>0</v>
      </c>
      <c r="E19777">
        <v>0</v>
      </c>
      <c r="F19777">
        <v>252.745</v>
      </c>
    </row>
    <row r="19778" spans="1:6" x14ac:dyDescent="0.25">
      <c r="A19778">
        <v>19777</v>
      </c>
      <c r="B19778">
        <v>10</v>
      </c>
      <c r="C19778">
        <v>1</v>
      </c>
      <c r="D19778">
        <v>0</v>
      </c>
      <c r="E19778">
        <v>0</v>
      </c>
      <c r="F19778">
        <v>5239</v>
      </c>
    </row>
    <row r="19779" spans="1:6" x14ac:dyDescent="0.25">
      <c r="A19779">
        <v>19778</v>
      </c>
      <c r="B19779">
        <v>13</v>
      </c>
      <c r="C19779">
        <v>0</v>
      </c>
      <c r="D19779">
        <v>0</v>
      </c>
      <c r="E19779">
        <v>0</v>
      </c>
      <c r="F19779">
        <v>1619</v>
      </c>
    </row>
    <row r="19780" spans="1:6" x14ac:dyDescent="0.25">
      <c r="A19780">
        <v>19779</v>
      </c>
      <c r="B19780">
        <v>41</v>
      </c>
      <c r="C19780">
        <v>0</v>
      </c>
      <c r="D19780">
        <v>0</v>
      </c>
      <c r="E19780">
        <v>0</v>
      </c>
      <c r="F19780">
        <v>1</v>
      </c>
    </row>
    <row r="19781" spans="1:6" x14ac:dyDescent="0.25">
      <c r="A19781">
        <v>19780</v>
      </c>
      <c r="B19781">
        <v>42</v>
      </c>
      <c r="C19781">
        <v>0</v>
      </c>
      <c r="D19781">
        <v>0</v>
      </c>
      <c r="E19781">
        <v>0</v>
      </c>
      <c r="F19781">
        <v>0.2</v>
      </c>
    </row>
    <row r="19782" spans="1:6" x14ac:dyDescent="0.25">
      <c r="A19782">
        <v>19781</v>
      </c>
      <c r="B19782">
        <v>43</v>
      </c>
      <c r="C19782">
        <v>0</v>
      </c>
      <c r="D19782">
        <v>0</v>
      </c>
      <c r="E19782">
        <v>0</v>
      </c>
      <c r="F19782">
        <v>0</v>
      </c>
    </row>
    <row r="19783" spans="1:6" x14ac:dyDescent="0.25">
      <c r="A19783">
        <v>19782</v>
      </c>
      <c r="B19783" t="s">
        <v>0</v>
      </c>
      <c r="C19783">
        <v>113</v>
      </c>
      <c r="D19783">
        <v>3517</v>
      </c>
      <c r="E19783">
        <v>80912981</v>
      </c>
    </row>
    <row r="19784" spans="1:6" x14ac:dyDescent="0.25">
      <c r="A19784">
        <v>19783</v>
      </c>
      <c r="B19784">
        <v>45</v>
      </c>
      <c r="C19784">
        <v>0</v>
      </c>
      <c r="D19784">
        <v>0</v>
      </c>
      <c r="E19784">
        <v>0</v>
      </c>
      <c r="F19784">
        <v>546.31500000000005</v>
      </c>
    </row>
    <row r="19785" spans="1:6" x14ac:dyDescent="0.25">
      <c r="A19785">
        <v>19784</v>
      </c>
      <c r="B19785" t="s">
        <v>0</v>
      </c>
      <c r="C19785">
        <v>114</v>
      </c>
      <c r="D19785">
        <v>3517</v>
      </c>
      <c r="E19785">
        <v>80913112</v>
      </c>
    </row>
    <row r="19786" spans="1:6" x14ac:dyDescent="0.25">
      <c r="A19786">
        <v>19785</v>
      </c>
      <c r="B19786">
        <v>2</v>
      </c>
      <c r="C19786">
        <v>0</v>
      </c>
      <c r="D19786">
        <v>0</v>
      </c>
      <c r="E19786">
        <v>0</v>
      </c>
      <c r="F19786">
        <v>252.75399999999999</v>
      </c>
    </row>
    <row r="19787" spans="1:6" x14ac:dyDescent="0.25">
      <c r="A19787">
        <v>19786</v>
      </c>
      <c r="B19787" t="s">
        <v>0</v>
      </c>
      <c r="C19787">
        <v>115</v>
      </c>
      <c r="D19787">
        <v>3517</v>
      </c>
      <c r="E19787">
        <v>80913243</v>
      </c>
    </row>
    <row r="19788" spans="1:6" x14ac:dyDescent="0.25">
      <c r="A19788">
        <v>19787</v>
      </c>
      <c r="B19788">
        <v>13</v>
      </c>
      <c r="C19788">
        <v>0</v>
      </c>
      <c r="D19788">
        <v>0</v>
      </c>
      <c r="E19788">
        <v>0</v>
      </c>
      <c r="F19788">
        <v>1619</v>
      </c>
    </row>
    <row r="19789" spans="1:6" x14ac:dyDescent="0.25">
      <c r="A19789">
        <v>19788</v>
      </c>
      <c r="B19789" t="s">
        <v>0</v>
      </c>
      <c r="C19789">
        <v>116</v>
      </c>
      <c r="D19789">
        <v>3517</v>
      </c>
      <c r="E19789">
        <v>80913374</v>
      </c>
    </row>
    <row r="19790" spans="1:6" x14ac:dyDescent="0.25">
      <c r="A19790">
        <v>19789</v>
      </c>
      <c r="B19790">
        <v>42</v>
      </c>
      <c r="C19790">
        <v>0</v>
      </c>
      <c r="D19790">
        <v>0</v>
      </c>
      <c r="E19790">
        <v>0</v>
      </c>
      <c r="F19790">
        <v>0.2</v>
      </c>
    </row>
    <row r="19791" spans="1:6" x14ac:dyDescent="0.25">
      <c r="A19791">
        <v>19790</v>
      </c>
      <c r="B19791" t="s">
        <v>0</v>
      </c>
      <c r="C19791">
        <v>117</v>
      </c>
      <c r="D19791">
        <v>3517</v>
      </c>
      <c r="E19791">
        <v>80913505</v>
      </c>
    </row>
    <row r="19792" spans="1:6" x14ac:dyDescent="0.25">
      <c r="A19792">
        <v>19791</v>
      </c>
      <c r="B19792">
        <v>44</v>
      </c>
      <c r="C19792">
        <v>0</v>
      </c>
      <c r="D19792">
        <v>0</v>
      </c>
      <c r="E19792">
        <v>0</v>
      </c>
      <c r="F19792">
        <v>47.244700000000002</v>
      </c>
    </row>
    <row r="19793" spans="1:6" x14ac:dyDescent="0.25">
      <c r="A19793">
        <v>19792</v>
      </c>
      <c r="B19793" t="s">
        <v>0</v>
      </c>
      <c r="C19793">
        <v>118</v>
      </c>
      <c r="D19793">
        <v>3517</v>
      </c>
      <c r="E19793">
        <v>80913636</v>
      </c>
    </row>
    <row r="19794" spans="1:6" x14ac:dyDescent="0.25">
      <c r="A19794">
        <v>19793</v>
      </c>
      <c r="B19794">
        <v>46</v>
      </c>
      <c r="C19794">
        <v>0</v>
      </c>
      <c r="D19794">
        <v>0</v>
      </c>
      <c r="E19794">
        <v>0</v>
      </c>
      <c r="F19794">
        <v>0</v>
      </c>
    </row>
    <row r="19795" spans="1:6" x14ac:dyDescent="0.25">
      <c r="A19795">
        <v>19794</v>
      </c>
      <c r="B19795" t="s">
        <v>0</v>
      </c>
      <c r="C19795">
        <v>119</v>
      </c>
      <c r="D19795">
        <v>3517</v>
      </c>
      <c r="E19795">
        <v>80913768</v>
      </c>
    </row>
    <row r="19796" spans="1:6" x14ac:dyDescent="0.25">
      <c r="A19796">
        <v>19795</v>
      </c>
      <c r="B19796">
        <v>10</v>
      </c>
      <c r="C19796">
        <v>1</v>
      </c>
      <c r="D19796">
        <v>0</v>
      </c>
      <c r="E19796">
        <v>0</v>
      </c>
      <c r="F19796">
        <v>5240</v>
      </c>
    </row>
    <row r="19797" spans="1:6" x14ac:dyDescent="0.25">
      <c r="A19797">
        <v>19796</v>
      </c>
      <c r="B19797" t="s">
        <v>0</v>
      </c>
      <c r="C19797">
        <v>120</v>
      </c>
      <c r="D19797">
        <v>3517</v>
      </c>
      <c r="E19797">
        <v>80913900</v>
      </c>
    </row>
    <row r="19798" spans="1:6" x14ac:dyDescent="0.25">
      <c r="A19798">
        <v>19797</v>
      </c>
      <c r="B19798">
        <v>41</v>
      </c>
      <c r="C19798">
        <v>0</v>
      </c>
      <c r="D19798">
        <v>0</v>
      </c>
      <c r="E19798">
        <v>0</v>
      </c>
      <c r="F19798">
        <v>1</v>
      </c>
    </row>
    <row r="19799" spans="1:6" x14ac:dyDescent="0.25">
      <c r="A19799">
        <v>19798</v>
      </c>
      <c r="B19799" t="s">
        <v>0</v>
      </c>
      <c r="C19799">
        <v>121</v>
      </c>
      <c r="D19799">
        <v>3517</v>
      </c>
      <c r="E19799">
        <v>80914032</v>
      </c>
    </row>
    <row r="19800" spans="1:6" x14ac:dyDescent="0.25">
      <c r="A19800">
        <v>19799</v>
      </c>
      <c r="B19800">
        <v>43</v>
      </c>
      <c r="C19800">
        <v>0</v>
      </c>
      <c r="D19800">
        <v>0</v>
      </c>
      <c r="E19800">
        <v>0</v>
      </c>
      <c r="F19800">
        <v>0</v>
      </c>
    </row>
    <row r="19801" spans="1:6" x14ac:dyDescent="0.25">
      <c r="A19801">
        <v>19800</v>
      </c>
      <c r="B19801" t="s">
        <v>0</v>
      </c>
      <c r="C19801">
        <v>122</v>
      </c>
      <c r="D19801">
        <v>3517</v>
      </c>
      <c r="E19801">
        <v>80914164</v>
      </c>
    </row>
    <row r="19802" spans="1:6" x14ac:dyDescent="0.25">
      <c r="A19802">
        <v>19801</v>
      </c>
      <c r="B19802">
        <v>45</v>
      </c>
      <c r="C19802">
        <v>0</v>
      </c>
      <c r="D19802">
        <v>0</v>
      </c>
      <c r="E19802">
        <v>0</v>
      </c>
      <c r="F19802">
        <v>546.42700000000002</v>
      </c>
    </row>
    <row r="19803" spans="1:6" x14ac:dyDescent="0.25">
      <c r="A19803">
        <v>19802</v>
      </c>
      <c r="B19803" t="s">
        <v>0</v>
      </c>
      <c r="C19803">
        <v>123</v>
      </c>
      <c r="D19803">
        <v>3517</v>
      </c>
      <c r="E19803">
        <v>80914296</v>
      </c>
    </row>
    <row r="19804" spans="1:6" x14ac:dyDescent="0.25">
      <c r="A19804">
        <v>19803</v>
      </c>
      <c r="B19804">
        <v>2</v>
      </c>
      <c r="C19804">
        <v>0</v>
      </c>
      <c r="D19804">
        <v>0</v>
      </c>
      <c r="E19804">
        <v>0</v>
      </c>
      <c r="F19804">
        <v>252.75800000000001</v>
      </c>
    </row>
    <row r="19805" spans="1:6" x14ac:dyDescent="0.25">
      <c r="A19805">
        <v>19804</v>
      </c>
      <c r="B19805" t="s">
        <v>0</v>
      </c>
      <c r="C19805">
        <v>124</v>
      </c>
      <c r="D19805">
        <v>3517</v>
      </c>
      <c r="E19805">
        <v>80914428</v>
      </c>
    </row>
    <row r="19806" spans="1:6" x14ac:dyDescent="0.25">
      <c r="A19806">
        <v>19805</v>
      </c>
      <c r="B19806">
        <v>13</v>
      </c>
      <c r="C19806">
        <v>0</v>
      </c>
      <c r="D19806">
        <v>0</v>
      </c>
      <c r="E19806">
        <v>0</v>
      </c>
      <c r="F19806">
        <v>1619</v>
      </c>
    </row>
    <row r="19807" spans="1:6" x14ac:dyDescent="0.25">
      <c r="A19807">
        <v>19806</v>
      </c>
      <c r="B19807" t="s">
        <v>0</v>
      </c>
      <c r="C19807">
        <v>125</v>
      </c>
      <c r="D19807">
        <v>3517</v>
      </c>
      <c r="E19807">
        <v>80914559</v>
      </c>
    </row>
    <row r="19808" spans="1:6" x14ac:dyDescent="0.25">
      <c r="A19808">
        <v>19807</v>
      </c>
      <c r="B19808">
        <v>41</v>
      </c>
      <c r="C19808">
        <v>0</v>
      </c>
      <c r="D19808">
        <v>0</v>
      </c>
      <c r="E19808">
        <v>0</v>
      </c>
      <c r="F19808">
        <v>1</v>
      </c>
    </row>
    <row r="19809" spans="1:6" x14ac:dyDescent="0.25">
      <c r="A19809">
        <v>19808</v>
      </c>
      <c r="B19809">
        <v>42</v>
      </c>
      <c r="C19809">
        <v>0</v>
      </c>
      <c r="D19809">
        <v>0</v>
      </c>
      <c r="E19809">
        <v>0</v>
      </c>
      <c r="F19809">
        <v>0.2</v>
      </c>
    </row>
    <row r="19810" spans="1:6" x14ac:dyDescent="0.25">
      <c r="A19810">
        <v>19809</v>
      </c>
      <c r="B19810" t="s">
        <v>0</v>
      </c>
      <c r="C19810">
        <v>126</v>
      </c>
      <c r="D19810">
        <v>3517</v>
      </c>
      <c r="E19810">
        <v>80914690</v>
      </c>
    </row>
    <row r="19811" spans="1:6" x14ac:dyDescent="0.25">
      <c r="A19811">
        <v>19810</v>
      </c>
      <c r="B19811">
        <v>43</v>
      </c>
      <c r="C19811">
        <v>0</v>
      </c>
      <c r="D19811">
        <v>0</v>
      </c>
      <c r="E19811">
        <v>0</v>
      </c>
      <c r="F19811">
        <v>0</v>
      </c>
    </row>
    <row r="19812" spans="1:6" x14ac:dyDescent="0.25">
      <c r="A19812">
        <v>19811</v>
      </c>
      <c r="B19812">
        <v>44</v>
      </c>
      <c r="C19812">
        <v>0</v>
      </c>
      <c r="D19812">
        <v>0</v>
      </c>
      <c r="E19812">
        <v>0</v>
      </c>
      <c r="F19812">
        <v>47.240299999999998</v>
      </c>
    </row>
    <row r="19813" spans="1:6" x14ac:dyDescent="0.25">
      <c r="A19813">
        <v>19812</v>
      </c>
      <c r="B19813" t="s">
        <v>0</v>
      </c>
      <c r="C19813">
        <v>127</v>
      </c>
      <c r="D19813">
        <v>3517</v>
      </c>
      <c r="E19813">
        <v>80914821</v>
      </c>
    </row>
    <row r="19814" spans="1:6" x14ac:dyDescent="0.25">
      <c r="A19814">
        <v>19813</v>
      </c>
      <c r="B19814">
        <v>45</v>
      </c>
      <c r="C19814">
        <v>0</v>
      </c>
      <c r="D19814">
        <v>0</v>
      </c>
      <c r="E19814">
        <v>0</v>
      </c>
      <c r="F19814">
        <v>546.48900000000003</v>
      </c>
    </row>
    <row r="19815" spans="1:6" x14ac:dyDescent="0.25">
      <c r="A19815">
        <v>19814</v>
      </c>
      <c r="B19815">
        <v>46</v>
      </c>
      <c r="C19815">
        <v>0</v>
      </c>
      <c r="D19815">
        <v>0</v>
      </c>
      <c r="E19815">
        <v>0</v>
      </c>
      <c r="F19815">
        <v>0</v>
      </c>
    </row>
    <row r="19816" spans="1:6" x14ac:dyDescent="0.25">
      <c r="A19816">
        <v>19815</v>
      </c>
      <c r="B19816" t="s">
        <v>0</v>
      </c>
      <c r="C19816">
        <v>128</v>
      </c>
      <c r="D19816">
        <v>3517</v>
      </c>
      <c r="E19816">
        <v>80914952</v>
      </c>
    </row>
    <row r="19817" spans="1:6" x14ac:dyDescent="0.25">
      <c r="A19817">
        <v>19816</v>
      </c>
      <c r="B19817">
        <v>2</v>
      </c>
      <c r="C19817">
        <v>0</v>
      </c>
      <c r="D19817">
        <v>0</v>
      </c>
      <c r="E19817">
        <v>0</v>
      </c>
      <c r="F19817">
        <v>252.76</v>
      </c>
    </row>
    <row r="19818" spans="1:6" x14ac:dyDescent="0.25">
      <c r="A19818">
        <v>19817</v>
      </c>
      <c r="B19818">
        <v>10</v>
      </c>
      <c r="C19818">
        <v>1</v>
      </c>
      <c r="D19818">
        <v>0</v>
      </c>
      <c r="E19818">
        <v>0</v>
      </c>
      <c r="F19818">
        <v>5240</v>
      </c>
    </row>
    <row r="19819" spans="1:6" x14ac:dyDescent="0.25">
      <c r="A19819">
        <v>19818</v>
      </c>
      <c r="B19819" t="s">
        <v>0</v>
      </c>
      <c r="C19819">
        <v>129</v>
      </c>
      <c r="D19819">
        <v>3517</v>
      </c>
      <c r="E19819">
        <v>80915083</v>
      </c>
    </row>
    <row r="19820" spans="1:6" x14ac:dyDescent="0.25">
      <c r="A19820">
        <v>19819</v>
      </c>
      <c r="B19820">
        <v>13</v>
      </c>
      <c r="C19820">
        <v>0</v>
      </c>
      <c r="D19820">
        <v>0</v>
      </c>
      <c r="E19820">
        <v>0</v>
      </c>
      <c r="F19820">
        <v>1619</v>
      </c>
    </row>
    <row r="19821" spans="1:6" x14ac:dyDescent="0.25">
      <c r="A19821">
        <v>19820</v>
      </c>
      <c r="B19821">
        <v>41</v>
      </c>
      <c r="C19821">
        <v>0</v>
      </c>
      <c r="D19821">
        <v>0</v>
      </c>
      <c r="E19821">
        <v>0</v>
      </c>
      <c r="F19821">
        <v>1</v>
      </c>
    </row>
    <row r="19822" spans="1:6" x14ac:dyDescent="0.25">
      <c r="A19822">
        <v>19821</v>
      </c>
      <c r="B19822" t="s">
        <v>0</v>
      </c>
      <c r="C19822">
        <v>130</v>
      </c>
      <c r="D19822">
        <v>3517</v>
      </c>
      <c r="E19822">
        <v>80915214</v>
      </c>
    </row>
    <row r="19823" spans="1:6" x14ac:dyDescent="0.25">
      <c r="A19823">
        <v>19822</v>
      </c>
      <c r="B19823">
        <v>42</v>
      </c>
      <c r="C19823">
        <v>0</v>
      </c>
      <c r="D19823">
        <v>0</v>
      </c>
      <c r="E19823">
        <v>0</v>
      </c>
      <c r="F19823">
        <v>0.2</v>
      </c>
    </row>
    <row r="19824" spans="1:6" x14ac:dyDescent="0.25">
      <c r="A19824">
        <v>19823</v>
      </c>
      <c r="B19824">
        <v>43</v>
      </c>
      <c r="C19824">
        <v>0</v>
      </c>
      <c r="D19824">
        <v>0</v>
      </c>
      <c r="E19824">
        <v>0</v>
      </c>
      <c r="F19824">
        <v>0</v>
      </c>
    </row>
    <row r="19825" spans="1:6" x14ac:dyDescent="0.25">
      <c r="A19825">
        <v>19824</v>
      </c>
      <c r="B19825" t="s">
        <v>0</v>
      </c>
      <c r="C19825">
        <v>131</v>
      </c>
      <c r="D19825">
        <v>3517</v>
      </c>
      <c r="E19825">
        <v>80915345</v>
      </c>
    </row>
    <row r="19826" spans="1:6" x14ac:dyDescent="0.25">
      <c r="A19826">
        <v>19825</v>
      </c>
      <c r="B19826">
        <v>44</v>
      </c>
      <c r="C19826">
        <v>0</v>
      </c>
      <c r="D19826">
        <v>0</v>
      </c>
      <c r="E19826">
        <v>0</v>
      </c>
      <c r="F19826">
        <v>47.238799999999998</v>
      </c>
    </row>
    <row r="19827" spans="1:6" x14ac:dyDescent="0.25">
      <c r="A19827">
        <v>19826</v>
      </c>
      <c r="B19827">
        <v>45</v>
      </c>
      <c r="C19827">
        <v>0</v>
      </c>
      <c r="D19827">
        <v>0</v>
      </c>
      <c r="E19827">
        <v>0</v>
      </c>
      <c r="F19827">
        <v>546.53899999999999</v>
      </c>
    </row>
    <row r="19828" spans="1:6" x14ac:dyDescent="0.25">
      <c r="A19828">
        <v>19827</v>
      </c>
      <c r="B19828" t="s">
        <v>0</v>
      </c>
      <c r="C19828">
        <v>132</v>
      </c>
      <c r="D19828">
        <v>3517</v>
      </c>
      <c r="E19828">
        <v>80915476</v>
      </c>
    </row>
    <row r="19829" spans="1:6" x14ac:dyDescent="0.25">
      <c r="A19829">
        <v>19828</v>
      </c>
      <c r="B19829">
        <v>46</v>
      </c>
      <c r="C19829">
        <v>0</v>
      </c>
      <c r="D19829">
        <v>0</v>
      </c>
      <c r="E19829">
        <v>0</v>
      </c>
      <c r="F19829">
        <v>0</v>
      </c>
    </row>
    <row r="19830" spans="1:6" x14ac:dyDescent="0.25">
      <c r="A19830">
        <v>19829</v>
      </c>
      <c r="B19830">
        <v>2</v>
      </c>
      <c r="C19830">
        <v>0</v>
      </c>
      <c r="D19830">
        <v>0</v>
      </c>
      <c r="E19830">
        <v>0</v>
      </c>
      <c r="F19830">
        <v>252.761</v>
      </c>
    </row>
    <row r="19831" spans="1:6" x14ac:dyDescent="0.25">
      <c r="A19831">
        <v>19830</v>
      </c>
      <c r="B19831" t="s">
        <v>0</v>
      </c>
      <c r="C19831">
        <v>133</v>
      </c>
      <c r="D19831">
        <v>3517</v>
      </c>
      <c r="E19831">
        <v>80915607</v>
      </c>
    </row>
    <row r="19832" spans="1:6" x14ac:dyDescent="0.25">
      <c r="A19832">
        <v>19831</v>
      </c>
      <c r="B19832">
        <v>10</v>
      </c>
      <c r="C19832">
        <v>1</v>
      </c>
      <c r="D19832">
        <v>0</v>
      </c>
      <c r="E19832">
        <v>0</v>
      </c>
      <c r="F19832">
        <v>5240</v>
      </c>
    </row>
    <row r="19833" spans="1:6" x14ac:dyDescent="0.25">
      <c r="A19833">
        <v>19832</v>
      </c>
      <c r="B19833">
        <v>13</v>
      </c>
      <c r="C19833">
        <v>0</v>
      </c>
      <c r="D19833">
        <v>0</v>
      </c>
      <c r="E19833">
        <v>0</v>
      </c>
      <c r="F19833">
        <v>1619</v>
      </c>
    </row>
    <row r="19834" spans="1:6" x14ac:dyDescent="0.25">
      <c r="A19834">
        <v>19833</v>
      </c>
      <c r="B19834" t="s">
        <v>0</v>
      </c>
      <c r="C19834">
        <v>134</v>
      </c>
      <c r="D19834">
        <v>3517</v>
      </c>
      <c r="E19834">
        <v>80915739</v>
      </c>
    </row>
    <row r="19835" spans="1:6" x14ac:dyDescent="0.25">
      <c r="A19835">
        <v>19834</v>
      </c>
      <c r="B19835">
        <v>41</v>
      </c>
      <c r="C19835">
        <v>0</v>
      </c>
      <c r="D19835">
        <v>0</v>
      </c>
      <c r="E19835">
        <v>0</v>
      </c>
      <c r="F19835">
        <v>1</v>
      </c>
    </row>
    <row r="19836" spans="1:6" x14ac:dyDescent="0.25">
      <c r="A19836">
        <v>19835</v>
      </c>
      <c r="B19836">
        <v>42</v>
      </c>
      <c r="C19836">
        <v>0</v>
      </c>
      <c r="D19836">
        <v>0</v>
      </c>
      <c r="E19836">
        <v>0</v>
      </c>
      <c r="F19836">
        <v>0.2</v>
      </c>
    </row>
    <row r="19837" spans="1:6" x14ac:dyDescent="0.25">
      <c r="A19837">
        <v>19836</v>
      </c>
      <c r="B19837" t="s">
        <v>0</v>
      </c>
      <c r="C19837">
        <v>135</v>
      </c>
      <c r="D19837">
        <v>3517</v>
      </c>
      <c r="E19837">
        <v>80915871</v>
      </c>
    </row>
    <row r="19838" spans="1:6" x14ac:dyDescent="0.25">
      <c r="A19838">
        <v>19837</v>
      </c>
      <c r="B19838">
        <v>43</v>
      </c>
      <c r="C19838">
        <v>0</v>
      </c>
      <c r="D19838">
        <v>0</v>
      </c>
      <c r="E19838">
        <v>0</v>
      </c>
      <c r="F19838">
        <v>0</v>
      </c>
    </row>
    <row r="19839" spans="1:6" x14ac:dyDescent="0.25">
      <c r="A19839">
        <v>19838</v>
      </c>
      <c r="B19839">
        <v>44</v>
      </c>
      <c r="C19839">
        <v>0</v>
      </c>
      <c r="D19839">
        <v>0</v>
      </c>
      <c r="E19839">
        <v>0</v>
      </c>
      <c r="F19839">
        <v>47.2378</v>
      </c>
    </row>
    <row r="19840" spans="1:6" x14ac:dyDescent="0.25">
      <c r="A19840">
        <v>19839</v>
      </c>
      <c r="B19840">
        <v>45</v>
      </c>
      <c r="C19840">
        <v>0</v>
      </c>
      <c r="D19840">
        <v>0</v>
      </c>
      <c r="E19840">
        <v>0</v>
      </c>
      <c r="F19840">
        <v>546.601</v>
      </c>
    </row>
    <row r="19841" spans="1:6" x14ac:dyDescent="0.25">
      <c r="A19841">
        <v>19840</v>
      </c>
      <c r="B19841">
        <v>46</v>
      </c>
      <c r="C19841">
        <v>0</v>
      </c>
      <c r="D19841">
        <v>0</v>
      </c>
      <c r="E19841">
        <v>0</v>
      </c>
      <c r="F19841">
        <v>0</v>
      </c>
    </row>
    <row r="19842" spans="1:6" x14ac:dyDescent="0.25">
      <c r="A19842">
        <v>19841</v>
      </c>
      <c r="B19842">
        <v>2</v>
      </c>
      <c r="C19842">
        <v>0</v>
      </c>
      <c r="D19842">
        <v>0</v>
      </c>
      <c r="E19842">
        <v>0</v>
      </c>
      <c r="F19842">
        <v>252.77</v>
      </c>
    </row>
    <row r="19843" spans="1:6" x14ac:dyDescent="0.25">
      <c r="A19843">
        <v>19842</v>
      </c>
      <c r="B19843">
        <v>10</v>
      </c>
      <c r="C19843">
        <v>1</v>
      </c>
      <c r="D19843">
        <v>0</v>
      </c>
      <c r="E19843">
        <v>0</v>
      </c>
      <c r="F19843">
        <v>5241</v>
      </c>
    </row>
    <row r="19844" spans="1:6" x14ac:dyDescent="0.25">
      <c r="A19844">
        <v>19843</v>
      </c>
      <c r="B19844">
        <v>13</v>
      </c>
      <c r="C19844">
        <v>0</v>
      </c>
      <c r="D19844">
        <v>0</v>
      </c>
      <c r="E19844">
        <v>0</v>
      </c>
      <c r="F19844">
        <v>1619</v>
      </c>
    </row>
    <row r="19845" spans="1:6" x14ac:dyDescent="0.25">
      <c r="A19845">
        <v>19844</v>
      </c>
      <c r="B19845">
        <v>41</v>
      </c>
      <c r="C19845">
        <v>0</v>
      </c>
      <c r="D19845">
        <v>0</v>
      </c>
      <c r="E19845">
        <v>0</v>
      </c>
      <c r="F19845">
        <v>1</v>
      </c>
    </row>
    <row r="19846" spans="1:6" x14ac:dyDescent="0.25">
      <c r="A19846">
        <v>19845</v>
      </c>
      <c r="B19846">
        <v>42</v>
      </c>
      <c r="C19846">
        <v>0</v>
      </c>
      <c r="D19846">
        <v>0</v>
      </c>
      <c r="E19846">
        <v>0</v>
      </c>
      <c r="F19846">
        <v>0.2</v>
      </c>
    </row>
    <row r="19847" spans="1:6" x14ac:dyDescent="0.25">
      <c r="A19847">
        <v>19846</v>
      </c>
      <c r="B19847">
        <v>43</v>
      </c>
      <c r="C19847">
        <v>0</v>
      </c>
      <c r="D19847">
        <v>0</v>
      </c>
      <c r="E19847">
        <v>0</v>
      </c>
      <c r="F19847">
        <v>0</v>
      </c>
    </row>
    <row r="19848" spans="1:6" x14ac:dyDescent="0.25">
      <c r="A19848">
        <v>19847</v>
      </c>
      <c r="B19848">
        <v>44</v>
      </c>
      <c r="C19848">
        <v>0</v>
      </c>
      <c r="D19848">
        <v>0</v>
      </c>
      <c r="E19848">
        <v>0</v>
      </c>
      <c r="F19848">
        <v>47.174799999999998</v>
      </c>
    </row>
    <row r="19849" spans="1:6" x14ac:dyDescent="0.25">
      <c r="A19849">
        <v>19848</v>
      </c>
      <c r="B19849">
        <v>45</v>
      </c>
      <c r="C19849">
        <v>0</v>
      </c>
      <c r="D19849">
        <v>0</v>
      </c>
      <c r="E19849">
        <v>0</v>
      </c>
      <c r="F19849">
        <v>546.65099999999995</v>
      </c>
    </row>
    <row r="19850" spans="1:6" x14ac:dyDescent="0.25">
      <c r="A19850">
        <v>19849</v>
      </c>
      <c r="B19850">
        <v>46</v>
      </c>
      <c r="C19850">
        <v>0</v>
      </c>
      <c r="D19850">
        <v>0</v>
      </c>
      <c r="E19850">
        <v>0</v>
      </c>
      <c r="F19850">
        <v>0</v>
      </c>
    </row>
    <row r="19851" spans="1:6" x14ac:dyDescent="0.25">
      <c r="A19851">
        <v>19850</v>
      </c>
      <c r="B19851">
        <v>2</v>
      </c>
      <c r="C19851">
        <v>0</v>
      </c>
      <c r="D19851">
        <v>0</v>
      </c>
      <c r="E19851">
        <v>0</v>
      </c>
      <c r="F19851">
        <v>252.84200000000001</v>
      </c>
    </row>
    <row r="19852" spans="1:6" x14ac:dyDescent="0.25">
      <c r="A19852">
        <v>19851</v>
      </c>
      <c r="B19852">
        <v>10</v>
      </c>
      <c r="C19852">
        <v>1</v>
      </c>
      <c r="D19852">
        <v>0</v>
      </c>
      <c r="E19852">
        <v>0</v>
      </c>
      <c r="F19852">
        <v>5239</v>
      </c>
    </row>
    <row r="19853" spans="1:6" x14ac:dyDescent="0.25">
      <c r="A19853">
        <v>19852</v>
      </c>
      <c r="B19853">
        <v>13</v>
      </c>
      <c r="C19853">
        <v>0</v>
      </c>
      <c r="D19853">
        <v>0</v>
      </c>
      <c r="E19853">
        <v>0</v>
      </c>
      <c r="F19853">
        <v>1619</v>
      </c>
    </row>
    <row r="19854" spans="1:6" x14ac:dyDescent="0.25">
      <c r="A19854">
        <v>19853</v>
      </c>
      <c r="B19854">
        <v>41</v>
      </c>
      <c r="C19854">
        <v>0</v>
      </c>
      <c r="D19854">
        <v>0</v>
      </c>
      <c r="E19854">
        <v>0</v>
      </c>
      <c r="F19854">
        <v>1</v>
      </c>
    </row>
    <row r="19855" spans="1:6" x14ac:dyDescent="0.25">
      <c r="A19855">
        <v>19854</v>
      </c>
      <c r="B19855">
        <v>42</v>
      </c>
      <c r="C19855">
        <v>0</v>
      </c>
      <c r="D19855">
        <v>0</v>
      </c>
      <c r="E19855">
        <v>0</v>
      </c>
      <c r="F19855">
        <v>0.2</v>
      </c>
    </row>
    <row r="19856" spans="1:6" x14ac:dyDescent="0.25">
      <c r="A19856">
        <v>19855</v>
      </c>
      <c r="B19856">
        <v>43</v>
      </c>
      <c r="C19856">
        <v>0</v>
      </c>
      <c r="D19856">
        <v>0</v>
      </c>
      <c r="E19856">
        <v>0</v>
      </c>
      <c r="F19856">
        <v>0</v>
      </c>
    </row>
    <row r="19857" spans="1:6" x14ac:dyDescent="0.25">
      <c r="A19857">
        <v>19856</v>
      </c>
      <c r="B19857">
        <v>44</v>
      </c>
      <c r="C19857">
        <v>0</v>
      </c>
      <c r="D19857">
        <v>0</v>
      </c>
      <c r="E19857">
        <v>0</v>
      </c>
      <c r="F19857">
        <v>47.113700000000001</v>
      </c>
    </row>
    <row r="19858" spans="1:6" x14ac:dyDescent="0.25">
      <c r="A19858">
        <v>19857</v>
      </c>
      <c r="B19858">
        <v>45</v>
      </c>
      <c r="C19858">
        <v>0</v>
      </c>
      <c r="D19858">
        <v>0</v>
      </c>
      <c r="E19858">
        <v>0</v>
      </c>
      <c r="F19858">
        <v>546.71299999999997</v>
      </c>
    </row>
    <row r="19859" spans="1:6" x14ac:dyDescent="0.25">
      <c r="A19859">
        <v>19858</v>
      </c>
      <c r="B19859" t="s">
        <v>0</v>
      </c>
      <c r="C19859">
        <v>146</v>
      </c>
      <c r="D19859">
        <v>3517</v>
      </c>
      <c r="E19859">
        <v>80917316</v>
      </c>
    </row>
    <row r="19860" spans="1:6" x14ac:dyDescent="0.25">
      <c r="A19860">
        <v>19859</v>
      </c>
      <c r="B19860">
        <v>2</v>
      </c>
      <c r="C19860">
        <v>0</v>
      </c>
      <c r="D19860">
        <v>0</v>
      </c>
      <c r="E19860">
        <v>0</v>
      </c>
      <c r="F19860">
        <v>252.91200000000001</v>
      </c>
    </row>
    <row r="19861" spans="1:6" x14ac:dyDescent="0.25">
      <c r="A19861">
        <v>19860</v>
      </c>
      <c r="B19861" t="s">
        <v>0</v>
      </c>
      <c r="C19861">
        <v>147</v>
      </c>
      <c r="D19861">
        <v>3517</v>
      </c>
      <c r="E19861">
        <v>80917447</v>
      </c>
    </row>
    <row r="19862" spans="1:6" x14ac:dyDescent="0.25">
      <c r="A19862">
        <v>19861</v>
      </c>
      <c r="B19862">
        <v>13</v>
      </c>
      <c r="C19862">
        <v>0</v>
      </c>
      <c r="D19862">
        <v>0</v>
      </c>
      <c r="E19862">
        <v>0</v>
      </c>
      <c r="F19862">
        <v>1619</v>
      </c>
    </row>
    <row r="19863" spans="1:6" x14ac:dyDescent="0.25">
      <c r="A19863">
        <v>19862</v>
      </c>
      <c r="B19863" t="s">
        <v>0</v>
      </c>
      <c r="C19863">
        <v>148</v>
      </c>
      <c r="D19863">
        <v>3517</v>
      </c>
      <c r="E19863">
        <v>80917578</v>
      </c>
    </row>
    <row r="19864" spans="1:6" x14ac:dyDescent="0.25">
      <c r="A19864">
        <v>19863</v>
      </c>
      <c r="B19864">
        <v>42</v>
      </c>
      <c r="C19864">
        <v>0</v>
      </c>
      <c r="D19864">
        <v>0</v>
      </c>
      <c r="E19864">
        <v>0</v>
      </c>
      <c r="F19864">
        <v>0.2</v>
      </c>
    </row>
    <row r="19865" spans="1:6" x14ac:dyDescent="0.25">
      <c r="A19865">
        <v>19864</v>
      </c>
      <c r="B19865" t="s">
        <v>0</v>
      </c>
      <c r="C19865">
        <v>149</v>
      </c>
      <c r="D19865">
        <v>3517</v>
      </c>
      <c r="E19865">
        <v>80917709</v>
      </c>
    </row>
    <row r="19866" spans="1:6" x14ac:dyDescent="0.25">
      <c r="A19866">
        <v>19865</v>
      </c>
      <c r="B19866">
        <v>44</v>
      </c>
      <c r="C19866">
        <v>0</v>
      </c>
      <c r="D19866">
        <v>0</v>
      </c>
      <c r="E19866">
        <v>0</v>
      </c>
      <c r="F19866">
        <v>47.054000000000002</v>
      </c>
    </row>
    <row r="19867" spans="1:6" x14ac:dyDescent="0.25">
      <c r="A19867">
        <v>19866</v>
      </c>
      <c r="B19867" t="s">
        <v>0</v>
      </c>
      <c r="C19867">
        <v>150</v>
      </c>
      <c r="D19867">
        <v>3517</v>
      </c>
      <c r="E19867">
        <v>80917840</v>
      </c>
    </row>
    <row r="19868" spans="1:6" x14ac:dyDescent="0.25">
      <c r="A19868">
        <v>19867</v>
      </c>
      <c r="B19868">
        <v>46</v>
      </c>
      <c r="C19868">
        <v>0</v>
      </c>
      <c r="D19868">
        <v>0</v>
      </c>
      <c r="E19868">
        <v>0</v>
      </c>
      <c r="F19868">
        <v>0</v>
      </c>
    </row>
    <row r="19869" spans="1:6" x14ac:dyDescent="0.25">
      <c r="A19869">
        <v>19868</v>
      </c>
      <c r="B19869" t="s">
        <v>0</v>
      </c>
      <c r="C19869">
        <v>151</v>
      </c>
      <c r="D19869">
        <v>3517</v>
      </c>
      <c r="E19869">
        <v>80917971</v>
      </c>
    </row>
    <row r="19870" spans="1:6" x14ac:dyDescent="0.25">
      <c r="A19870">
        <v>19869</v>
      </c>
      <c r="B19870">
        <v>10</v>
      </c>
      <c r="C19870">
        <v>1</v>
      </c>
      <c r="D19870">
        <v>0</v>
      </c>
      <c r="E19870">
        <v>0</v>
      </c>
      <c r="F19870">
        <v>5236</v>
      </c>
    </row>
    <row r="19871" spans="1:6" x14ac:dyDescent="0.25">
      <c r="A19871">
        <v>19870</v>
      </c>
      <c r="B19871" t="s">
        <v>0</v>
      </c>
      <c r="C19871">
        <v>152</v>
      </c>
      <c r="D19871">
        <v>3517</v>
      </c>
      <c r="E19871">
        <v>80918103</v>
      </c>
    </row>
    <row r="19872" spans="1:6" x14ac:dyDescent="0.25">
      <c r="A19872">
        <v>19871</v>
      </c>
      <c r="B19872">
        <v>41</v>
      </c>
      <c r="C19872">
        <v>0</v>
      </c>
      <c r="D19872">
        <v>0</v>
      </c>
      <c r="E19872">
        <v>0</v>
      </c>
      <c r="F19872">
        <v>1</v>
      </c>
    </row>
    <row r="19873" spans="1:6" x14ac:dyDescent="0.25">
      <c r="A19873">
        <v>19872</v>
      </c>
      <c r="B19873" t="s">
        <v>0</v>
      </c>
      <c r="C19873">
        <v>153</v>
      </c>
      <c r="D19873">
        <v>3517</v>
      </c>
      <c r="E19873">
        <v>80918234</v>
      </c>
    </row>
    <row r="19874" spans="1:6" x14ac:dyDescent="0.25">
      <c r="A19874">
        <v>19873</v>
      </c>
      <c r="B19874">
        <v>43</v>
      </c>
      <c r="C19874">
        <v>0</v>
      </c>
      <c r="D19874">
        <v>0</v>
      </c>
      <c r="E19874">
        <v>0</v>
      </c>
      <c r="F19874">
        <v>0</v>
      </c>
    </row>
    <row r="19875" spans="1:6" x14ac:dyDescent="0.25">
      <c r="A19875">
        <v>19874</v>
      </c>
      <c r="B19875" t="s">
        <v>0</v>
      </c>
      <c r="C19875">
        <v>154</v>
      </c>
      <c r="D19875">
        <v>3517</v>
      </c>
      <c r="E19875">
        <v>80918365</v>
      </c>
    </row>
    <row r="19876" spans="1:6" x14ac:dyDescent="0.25">
      <c r="A19876">
        <v>19875</v>
      </c>
      <c r="B19876">
        <v>45</v>
      </c>
      <c r="C19876">
        <v>0</v>
      </c>
      <c r="D19876">
        <v>0</v>
      </c>
      <c r="E19876">
        <v>0</v>
      </c>
      <c r="F19876">
        <v>546.82500000000005</v>
      </c>
    </row>
    <row r="19877" spans="1:6" x14ac:dyDescent="0.25">
      <c r="A19877">
        <v>19876</v>
      </c>
      <c r="B19877" t="s">
        <v>0</v>
      </c>
      <c r="C19877">
        <v>155</v>
      </c>
      <c r="D19877">
        <v>3517</v>
      </c>
      <c r="E19877">
        <v>80918496</v>
      </c>
    </row>
    <row r="19878" spans="1:6" x14ac:dyDescent="0.25">
      <c r="A19878">
        <v>19877</v>
      </c>
      <c r="B19878">
        <v>2</v>
      </c>
      <c r="C19878">
        <v>0</v>
      </c>
      <c r="D19878">
        <v>0</v>
      </c>
      <c r="E19878">
        <v>0</v>
      </c>
      <c r="F19878">
        <v>253</v>
      </c>
    </row>
    <row r="19879" spans="1:6" x14ac:dyDescent="0.25">
      <c r="A19879">
        <v>19878</v>
      </c>
      <c r="B19879" t="s">
        <v>0</v>
      </c>
      <c r="C19879">
        <v>156</v>
      </c>
      <c r="D19879">
        <v>3517</v>
      </c>
      <c r="E19879">
        <v>80918627</v>
      </c>
    </row>
    <row r="19880" spans="1:6" x14ac:dyDescent="0.25">
      <c r="A19880">
        <v>19879</v>
      </c>
      <c r="B19880">
        <v>13</v>
      </c>
      <c r="C19880">
        <v>0</v>
      </c>
      <c r="D19880">
        <v>0</v>
      </c>
      <c r="E19880">
        <v>0</v>
      </c>
      <c r="F19880">
        <v>1619</v>
      </c>
    </row>
    <row r="19881" spans="1:6" x14ac:dyDescent="0.25">
      <c r="A19881">
        <v>19880</v>
      </c>
      <c r="B19881" t="s">
        <v>0</v>
      </c>
      <c r="C19881">
        <v>157</v>
      </c>
      <c r="D19881">
        <v>3517</v>
      </c>
      <c r="E19881">
        <v>80918758</v>
      </c>
    </row>
    <row r="19882" spans="1:6" x14ac:dyDescent="0.25">
      <c r="A19882">
        <v>19881</v>
      </c>
      <c r="B19882">
        <v>42</v>
      </c>
      <c r="C19882">
        <v>0</v>
      </c>
      <c r="D19882">
        <v>0</v>
      </c>
      <c r="E19882">
        <v>0</v>
      </c>
      <c r="F19882">
        <v>0.2</v>
      </c>
    </row>
    <row r="19883" spans="1:6" x14ac:dyDescent="0.25">
      <c r="A19883">
        <v>19882</v>
      </c>
      <c r="B19883" t="s">
        <v>0</v>
      </c>
      <c r="C19883">
        <v>158</v>
      </c>
      <c r="D19883">
        <v>3517</v>
      </c>
      <c r="E19883">
        <v>80918889</v>
      </c>
    </row>
    <row r="19884" spans="1:6" x14ac:dyDescent="0.25">
      <c r="A19884">
        <v>19883</v>
      </c>
      <c r="B19884">
        <v>43</v>
      </c>
      <c r="C19884">
        <v>0</v>
      </c>
      <c r="D19884">
        <v>0</v>
      </c>
      <c r="E19884">
        <v>0</v>
      </c>
      <c r="F19884">
        <v>0</v>
      </c>
    </row>
    <row r="19885" spans="1:6" x14ac:dyDescent="0.25">
      <c r="A19885">
        <v>19884</v>
      </c>
      <c r="B19885">
        <v>44</v>
      </c>
      <c r="C19885">
        <v>0</v>
      </c>
      <c r="D19885">
        <v>0</v>
      </c>
      <c r="E19885">
        <v>0</v>
      </c>
      <c r="F19885">
        <v>46.978400000000001</v>
      </c>
    </row>
    <row r="19886" spans="1:6" x14ac:dyDescent="0.25">
      <c r="A19886">
        <v>19885</v>
      </c>
      <c r="B19886" t="s">
        <v>1</v>
      </c>
      <c r="C19886">
        <v>158</v>
      </c>
      <c r="D19886">
        <v>3517</v>
      </c>
      <c r="E19886">
        <v>80919009</v>
      </c>
    </row>
    <row r="19887" spans="1:6" x14ac:dyDescent="0.25">
      <c r="A19887">
        <v>19886</v>
      </c>
      <c r="B19887">
        <v>45</v>
      </c>
      <c r="C19887">
        <v>0</v>
      </c>
      <c r="D19887">
        <v>0</v>
      </c>
      <c r="E19887">
        <v>0</v>
      </c>
      <c r="F19887">
        <v>546.88699999999994</v>
      </c>
    </row>
    <row r="19888" spans="1:6" x14ac:dyDescent="0.25">
      <c r="A19888">
        <v>19887</v>
      </c>
      <c r="B19888">
        <v>46</v>
      </c>
      <c r="C19888">
        <v>0</v>
      </c>
      <c r="D19888">
        <v>0</v>
      </c>
      <c r="E19888">
        <v>0</v>
      </c>
      <c r="F19888">
        <v>0</v>
      </c>
    </row>
    <row r="19889" spans="1:6" x14ac:dyDescent="0.25">
      <c r="A19889">
        <v>19888</v>
      </c>
      <c r="B19889" t="s">
        <v>0</v>
      </c>
      <c r="C19889">
        <v>160</v>
      </c>
      <c r="D19889">
        <v>3517</v>
      </c>
      <c r="E19889">
        <v>80919151</v>
      </c>
    </row>
    <row r="19890" spans="1:6" x14ac:dyDescent="0.25">
      <c r="A19890">
        <v>19889</v>
      </c>
      <c r="B19890">
        <v>2</v>
      </c>
      <c r="C19890">
        <v>0</v>
      </c>
      <c r="D19890">
        <v>0</v>
      </c>
      <c r="E19890">
        <v>0</v>
      </c>
      <c r="F19890">
        <v>253.03399999999999</v>
      </c>
    </row>
    <row r="19891" spans="1:6" x14ac:dyDescent="0.25">
      <c r="A19891">
        <v>19890</v>
      </c>
      <c r="B19891">
        <v>10</v>
      </c>
      <c r="C19891">
        <v>1</v>
      </c>
      <c r="D19891">
        <v>0</v>
      </c>
      <c r="E19891">
        <v>0</v>
      </c>
      <c r="F19891">
        <v>5235</v>
      </c>
    </row>
    <row r="19892" spans="1:6" x14ac:dyDescent="0.25">
      <c r="A19892">
        <v>19891</v>
      </c>
      <c r="B19892" t="s">
        <v>0</v>
      </c>
      <c r="C19892">
        <v>161</v>
      </c>
      <c r="D19892">
        <v>3517</v>
      </c>
      <c r="E19892">
        <v>80919282</v>
      </c>
    </row>
    <row r="19893" spans="1:6" x14ac:dyDescent="0.25">
      <c r="A19893">
        <v>19892</v>
      </c>
      <c r="B19893">
        <v>13</v>
      </c>
      <c r="C19893">
        <v>0</v>
      </c>
      <c r="D19893">
        <v>0</v>
      </c>
      <c r="E19893">
        <v>0</v>
      </c>
      <c r="F19893">
        <v>1620</v>
      </c>
    </row>
    <row r="19894" spans="1:6" x14ac:dyDescent="0.25">
      <c r="A19894">
        <v>19893</v>
      </c>
      <c r="B19894">
        <v>41</v>
      </c>
      <c r="C19894">
        <v>0</v>
      </c>
      <c r="D19894">
        <v>0</v>
      </c>
      <c r="E19894">
        <v>0</v>
      </c>
      <c r="F19894">
        <v>1</v>
      </c>
    </row>
    <row r="19895" spans="1:6" x14ac:dyDescent="0.25">
      <c r="A19895">
        <v>19894</v>
      </c>
      <c r="B19895" t="s">
        <v>0</v>
      </c>
      <c r="C19895">
        <v>162</v>
      </c>
      <c r="D19895">
        <v>3517</v>
      </c>
      <c r="E19895">
        <v>80919413</v>
      </c>
    </row>
    <row r="19896" spans="1:6" x14ac:dyDescent="0.25">
      <c r="A19896">
        <v>19895</v>
      </c>
      <c r="B19896">
        <v>42</v>
      </c>
      <c r="C19896">
        <v>0</v>
      </c>
      <c r="D19896">
        <v>0</v>
      </c>
      <c r="E19896">
        <v>0</v>
      </c>
      <c r="F19896">
        <v>0.2</v>
      </c>
    </row>
    <row r="19897" spans="1:6" x14ac:dyDescent="0.25">
      <c r="A19897">
        <v>19896</v>
      </c>
      <c r="B19897">
        <v>43</v>
      </c>
      <c r="C19897">
        <v>0</v>
      </c>
      <c r="D19897">
        <v>0</v>
      </c>
      <c r="E19897">
        <v>0</v>
      </c>
      <c r="F19897">
        <v>0</v>
      </c>
    </row>
    <row r="19898" spans="1:6" x14ac:dyDescent="0.25">
      <c r="A19898">
        <v>19897</v>
      </c>
      <c r="B19898" t="s">
        <v>0</v>
      </c>
      <c r="C19898">
        <v>163</v>
      </c>
      <c r="D19898">
        <v>3517</v>
      </c>
      <c r="E19898">
        <v>80919545</v>
      </c>
    </row>
    <row r="19899" spans="1:6" x14ac:dyDescent="0.25">
      <c r="A19899">
        <v>19898</v>
      </c>
      <c r="B19899">
        <v>44</v>
      </c>
      <c r="C19899">
        <v>0</v>
      </c>
      <c r="D19899">
        <v>0</v>
      </c>
      <c r="E19899">
        <v>0</v>
      </c>
      <c r="F19899">
        <v>46.947899999999997</v>
      </c>
    </row>
    <row r="19900" spans="1:6" x14ac:dyDescent="0.25">
      <c r="A19900">
        <v>19899</v>
      </c>
      <c r="B19900">
        <v>45</v>
      </c>
      <c r="C19900">
        <v>0</v>
      </c>
      <c r="D19900">
        <v>0</v>
      </c>
      <c r="E19900">
        <v>0</v>
      </c>
      <c r="F19900">
        <v>546.93600000000004</v>
      </c>
    </row>
    <row r="19901" spans="1:6" x14ac:dyDescent="0.25">
      <c r="A19901">
        <v>19900</v>
      </c>
      <c r="B19901" t="s">
        <v>0</v>
      </c>
      <c r="C19901">
        <v>164</v>
      </c>
      <c r="D19901">
        <v>3517</v>
      </c>
      <c r="E19901">
        <v>80919676</v>
      </c>
    </row>
    <row r="19902" spans="1:6" x14ac:dyDescent="0.25">
      <c r="A19902">
        <v>19901</v>
      </c>
      <c r="B19902">
        <v>46</v>
      </c>
      <c r="C19902">
        <v>0</v>
      </c>
      <c r="D19902">
        <v>0</v>
      </c>
      <c r="E19902">
        <v>0</v>
      </c>
      <c r="F19902">
        <v>0</v>
      </c>
    </row>
    <row r="19903" spans="1:6" x14ac:dyDescent="0.25">
      <c r="A19903">
        <v>19902</v>
      </c>
      <c r="B19903">
        <v>2</v>
      </c>
      <c r="C19903">
        <v>0</v>
      </c>
      <c r="D19903">
        <v>0</v>
      </c>
      <c r="E19903">
        <v>0</v>
      </c>
      <c r="F19903">
        <v>253.05699999999999</v>
      </c>
    </row>
    <row r="19904" spans="1:6" x14ac:dyDescent="0.25">
      <c r="A19904">
        <v>19903</v>
      </c>
      <c r="B19904" t="s">
        <v>0</v>
      </c>
      <c r="C19904">
        <v>165</v>
      </c>
      <c r="D19904">
        <v>3517</v>
      </c>
      <c r="E19904">
        <v>80919807</v>
      </c>
    </row>
    <row r="19905" spans="1:6" x14ac:dyDescent="0.25">
      <c r="A19905">
        <v>19904</v>
      </c>
      <c r="B19905">
        <v>10</v>
      </c>
      <c r="C19905">
        <v>1</v>
      </c>
      <c r="D19905">
        <v>0</v>
      </c>
      <c r="E19905">
        <v>0</v>
      </c>
      <c r="F19905">
        <v>5235</v>
      </c>
    </row>
    <row r="19906" spans="1:6" x14ac:dyDescent="0.25">
      <c r="A19906">
        <v>19905</v>
      </c>
      <c r="B19906">
        <v>13</v>
      </c>
      <c r="C19906">
        <v>0</v>
      </c>
      <c r="D19906">
        <v>0</v>
      </c>
      <c r="E19906">
        <v>0</v>
      </c>
      <c r="F19906">
        <v>1620</v>
      </c>
    </row>
    <row r="19907" spans="1:6" x14ac:dyDescent="0.25">
      <c r="A19907">
        <v>19906</v>
      </c>
      <c r="B19907" t="s">
        <v>0</v>
      </c>
      <c r="C19907">
        <v>166</v>
      </c>
      <c r="D19907">
        <v>3517</v>
      </c>
      <c r="E19907">
        <v>80919938</v>
      </c>
    </row>
    <row r="19908" spans="1:6" x14ac:dyDescent="0.25">
      <c r="A19908">
        <v>19907</v>
      </c>
      <c r="B19908">
        <v>41</v>
      </c>
      <c r="C19908">
        <v>0</v>
      </c>
      <c r="D19908">
        <v>0</v>
      </c>
      <c r="E19908">
        <v>0</v>
      </c>
      <c r="F19908">
        <v>1</v>
      </c>
    </row>
    <row r="19909" spans="1:6" x14ac:dyDescent="0.25">
      <c r="A19909">
        <v>19908</v>
      </c>
      <c r="B19909">
        <v>42</v>
      </c>
      <c r="C19909">
        <v>0</v>
      </c>
      <c r="D19909">
        <v>0</v>
      </c>
      <c r="E19909">
        <v>0</v>
      </c>
      <c r="F19909">
        <v>0.2</v>
      </c>
    </row>
    <row r="19910" spans="1:6" x14ac:dyDescent="0.25">
      <c r="A19910">
        <v>19909</v>
      </c>
      <c r="B19910" t="s">
        <v>0</v>
      </c>
      <c r="C19910">
        <v>167</v>
      </c>
      <c r="D19910">
        <v>3517</v>
      </c>
      <c r="E19910">
        <v>80920070</v>
      </c>
    </row>
    <row r="19911" spans="1:6" x14ac:dyDescent="0.25">
      <c r="A19911">
        <v>19910</v>
      </c>
      <c r="B19911">
        <v>43</v>
      </c>
      <c r="C19911">
        <v>0</v>
      </c>
      <c r="D19911">
        <v>0</v>
      </c>
      <c r="E19911">
        <v>0</v>
      </c>
      <c r="F19911">
        <v>0</v>
      </c>
    </row>
    <row r="19912" spans="1:6" x14ac:dyDescent="0.25">
      <c r="A19912">
        <v>19911</v>
      </c>
      <c r="B19912">
        <v>44</v>
      </c>
      <c r="C19912">
        <v>0</v>
      </c>
      <c r="D19912">
        <v>0</v>
      </c>
      <c r="E19912">
        <v>0</v>
      </c>
      <c r="F19912">
        <v>46.932099999999998</v>
      </c>
    </row>
    <row r="19913" spans="1:6" x14ac:dyDescent="0.25">
      <c r="A19913">
        <v>19912</v>
      </c>
      <c r="B19913">
        <v>45</v>
      </c>
      <c r="C19913">
        <v>0</v>
      </c>
      <c r="D19913">
        <v>0</v>
      </c>
      <c r="E19913">
        <v>0</v>
      </c>
      <c r="F19913">
        <v>546.99800000000005</v>
      </c>
    </row>
    <row r="19914" spans="1:6" x14ac:dyDescent="0.25">
      <c r="A19914">
        <v>19913</v>
      </c>
      <c r="B19914">
        <v>46</v>
      </c>
      <c r="C19914">
        <v>0</v>
      </c>
      <c r="D19914">
        <v>0</v>
      </c>
      <c r="E19914">
        <v>0</v>
      </c>
      <c r="F19914">
        <v>0</v>
      </c>
    </row>
    <row r="19915" spans="1:6" x14ac:dyDescent="0.25">
      <c r="A19915">
        <v>19914</v>
      </c>
      <c r="B19915">
        <v>2</v>
      </c>
      <c r="C19915">
        <v>0</v>
      </c>
      <c r="D19915">
        <v>0</v>
      </c>
      <c r="E19915">
        <v>0</v>
      </c>
      <c r="F19915">
        <v>253.078</v>
      </c>
    </row>
    <row r="19916" spans="1:6" x14ac:dyDescent="0.25">
      <c r="A19916">
        <v>19915</v>
      </c>
      <c r="B19916">
        <v>10</v>
      </c>
      <c r="C19916">
        <v>1</v>
      </c>
      <c r="D19916">
        <v>0</v>
      </c>
      <c r="E19916">
        <v>0</v>
      </c>
      <c r="F19916">
        <v>5235</v>
      </c>
    </row>
    <row r="19917" spans="1:6" x14ac:dyDescent="0.25">
      <c r="A19917">
        <v>19916</v>
      </c>
      <c r="B19917">
        <v>13</v>
      </c>
      <c r="C19917">
        <v>0</v>
      </c>
      <c r="D19917">
        <v>0</v>
      </c>
      <c r="E19917">
        <v>0</v>
      </c>
      <c r="F19917">
        <v>1620</v>
      </c>
    </row>
    <row r="19918" spans="1:6" x14ac:dyDescent="0.25">
      <c r="A19918">
        <v>19917</v>
      </c>
      <c r="B19918">
        <v>41</v>
      </c>
      <c r="C19918">
        <v>0</v>
      </c>
      <c r="D19918">
        <v>0</v>
      </c>
      <c r="E19918">
        <v>0</v>
      </c>
      <c r="F19918">
        <v>1</v>
      </c>
    </row>
    <row r="19919" spans="1:6" x14ac:dyDescent="0.25">
      <c r="A19919">
        <v>19918</v>
      </c>
      <c r="B19919">
        <v>42</v>
      </c>
      <c r="C19919">
        <v>0</v>
      </c>
      <c r="D19919">
        <v>0</v>
      </c>
      <c r="E19919">
        <v>0</v>
      </c>
      <c r="F19919">
        <v>0.2</v>
      </c>
    </row>
    <row r="19920" spans="1:6" x14ac:dyDescent="0.25">
      <c r="A19920">
        <v>19919</v>
      </c>
      <c r="B19920">
        <v>43</v>
      </c>
      <c r="C19920">
        <v>0</v>
      </c>
      <c r="D19920">
        <v>0</v>
      </c>
      <c r="E19920">
        <v>0</v>
      </c>
      <c r="F19920">
        <v>0</v>
      </c>
    </row>
    <row r="19921" spans="1:6" x14ac:dyDescent="0.25">
      <c r="A19921">
        <v>19920</v>
      </c>
      <c r="B19921">
        <v>44</v>
      </c>
      <c r="C19921">
        <v>0</v>
      </c>
      <c r="D19921">
        <v>0</v>
      </c>
      <c r="E19921">
        <v>0</v>
      </c>
      <c r="F19921">
        <v>46.911200000000001</v>
      </c>
    </row>
    <row r="19922" spans="1:6" x14ac:dyDescent="0.25">
      <c r="A19922">
        <v>19921</v>
      </c>
      <c r="B19922">
        <v>45</v>
      </c>
      <c r="C19922">
        <v>0</v>
      </c>
      <c r="D19922">
        <v>0</v>
      </c>
      <c r="E19922">
        <v>0</v>
      </c>
      <c r="F19922">
        <v>547.04700000000003</v>
      </c>
    </row>
    <row r="19923" spans="1:6" x14ac:dyDescent="0.25">
      <c r="A19923">
        <v>19922</v>
      </c>
      <c r="B19923">
        <v>46</v>
      </c>
      <c r="C19923">
        <v>0</v>
      </c>
      <c r="D19923">
        <v>0</v>
      </c>
      <c r="E19923">
        <v>0</v>
      </c>
      <c r="F19923">
        <v>0</v>
      </c>
    </row>
    <row r="19924" spans="1:6" x14ac:dyDescent="0.25">
      <c r="A19924">
        <v>19923</v>
      </c>
      <c r="B19924">
        <v>2</v>
      </c>
      <c r="C19924">
        <v>0</v>
      </c>
      <c r="D19924">
        <v>0</v>
      </c>
      <c r="E19924">
        <v>0</v>
      </c>
      <c r="F19924">
        <v>253.09200000000001</v>
      </c>
    </row>
    <row r="19925" spans="1:6" x14ac:dyDescent="0.25">
      <c r="A19925">
        <v>19924</v>
      </c>
      <c r="B19925">
        <v>10</v>
      </c>
      <c r="C19925">
        <v>1</v>
      </c>
      <c r="D19925">
        <v>0</v>
      </c>
      <c r="E19925">
        <v>0</v>
      </c>
      <c r="F19925">
        <v>5235</v>
      </c>
    </row>
    <row r="19926" spans="1:6" x14ac:dyDescent="0.25">
      <c r="A19926">
        <v>19925</v>
      </c>
      <c r="B19926">
        <v>13</v>
      </c>
      <c r="C19926">
        <v>0</v>
      </c>
      <c r="D19926">
        <v>0</v>
      </c>
      <c r="E19926">
        <v>0</v>
      </c>
      <c r="F19926">
        <v>1620</v>
      </c>
    </row>
    <row r="19927" spans="1:6" x14ac:dyDescent="0.25">
      <c r="A19927">
        <v>19926</v>
      </c>
      <c r="B19927">
        <v>41</v>
      </c>
      <c r="C19927">
        <v>0</v>
      </c>
      <c r="D19927">
        <v>0</v>
      </c>
      <c r="E19927">
        <v>0</v>
      </c>
      <c r="F19927">
        <v>1</v>
      </c>
    </row>
    <row r="19928" spans="1:6" x14ac:dyDescent="0.25">
      <c r="A19928">
        <v>19927</v>
      </c>
      <c r="B19928">
        <v>42</v>
      </c>
      <c r="C19928">
        <v>0</v>
      </c>
      <c r="D19928">
        <v>0</v>
      </c>
      <c r="E19928">
        <v>0</v>
      </c>
      <c r="F19928">
        <v>0.2</v>
      </c>
    </row>
    <row r="19929" spans="1:6" x14ac:dyDescent="0.25">
      <c r="A19929">
        <v>19928</v>
      </c>
      <c r="B19929">
        <v>43</v>
      </c>
      <c r="C19929">
        <v>0</v>
      </c>
      <c r="D19929">
        <v>0</v>
      </c>
      <c r="E19929">
        <v>0</v>
      </c>
      <c r="F19929">
        <v>0</v>
      </c>
    </row>
    <row r="19930" spans="1:6" x14ac:dyDescent="0.25">
      <c r="A19930">
        <v>19929</v>
      </c>
      <c r="B19930" t="s">
        <v>0</v>
      </c>
      <c r="C19930">
        <v>177</v>
      </c>
      <c r="D19930">
        <v>3517</v>
      </c>
      <c r="E19930">
        <v>80921382</v>
      </c>
    </row>
    <row r="19931" spans="1:6" x14ac:dyDescent="0.25">
      <c r="A19931">
        <v>19930</v>
      </c>
      <c r="B19931">
        <v>45</v>
      </c>
      <c r="C19931">
        <v>0</v>
      </c>
      <c r="D19931">
        <v>0</v>
      </c>
      <c r="E19931">
        <v>0</v>
      </c>
      <c r="F19931">
        <v>547.10900000000004</v>
      </c>
    </row>
    <row r="19932" spans="1:6" x14ac:dyDescent="0.25">
      <c r="A19932">
        <v>19931</v>
      </c>
      <c r="B19932" t="s">
        <v>0</v>
      </c>
      <c r="C19932">
        <v>178</v>
      </c>
      <c r="D19932">
        <v>3517</v>
      </c>
      <c r="E19932">
        <v>80921514</v>
      </c>
    </row>
    <row r="19933" spans="1:6" x14ac:dyDescent="0.25">
      <c r="A19933">
        <v>19932</v>
      </c>
      <c r="B19933">
        <v>2</v>
      </c>
      <c r="C19933">
        <v>0</v>
      </c>
      <c r="D19933">
        <v>0</v>
      </c>
      <c r="E19933">
        <v>0</v>
      </c>
      <c r="F19933">
        <v>253.10499999999999</v>
      </c>
    </row>
    <row r="19934" spans="1:6" x14ac:dyDescent="0.25">
      <c r="A19934">
        <v>19933</v>
      </c>
      <c r="B19934">
        <v>10</v>
      </c>
      <c r="C19934">
        <v>1</v>
      </c>
      <c r="D19934">
        <v>0</v>
      </c>
      <c r="E19934">
        <v>0</v>
      </c>
      <c r="F19934">
        <v>5235</v>
      </c>
    </row>
    <row r="19935" spans="1:6" x14ac:dyDescent="0.25">
      <c r="A19935">
        <v>19934</v>
      </c>
      <c r="B19935">
        <v>13</v>
      </c>
      <c r="C19935">
        <v>0</v>
      </c>
      <c r="D19935">
        <v>0</v>
      </c>
      <c r="E19935">
        <v>0</v>
      </c>
      <c r="F19935">
        <v>1620</v>
      </c>
    </row>
    <row r="19936" spans="1:6" x14ac:dyDescent="0.25">
      <c r="A19936">
        <v>19935</v>
      </c>
      <c r="B19936" t="s">
        <v>0</v>
      </c>
      <c r="C19936">
        <v>0</v>
      </c>
      <c r="D19936">
        <v>3518</v>
      </c>
      <c r="E19936">
        <v>80921777</v>
      </c>
    </row>
    <row r="19937" spans="1:6" x14ac:dyDescent="0.25">
      <c r="A19937">
        <v>19936</v>
      </c>
      <c r="B19937">
        <v>42</v>
      </c>
      <c r="C19937">
        <v>0</v>
      </c>
      <c r="D19937">
        <v>0</v>
      </c>
      <c r="E19937">
        <v>0</v>
      </c>
      <c r="F19937">
        <v>0.2</v>
      </c>
    </row>
    <row r="19938" spans="1:6" x14ac:dyDescent="0.25">
      <c r="A19938">
        <v>19937</v>
      </c>
      <c r="B19938" t="s">
        <v>0</v>
      </c>
      <c r="C19938">
        <v>1</v>
      </c>
      <c r="D19938">
        <v>3518</v>
      </c>
      <c r="E19938">
        <v>80921909</v>
      </c>
    </row>
    <row r="19939" spans="1:6" x14ac:dyDescent="0.25">
      <c r="A19939">
        <v>19938</v>
      </c>
      <c r="B19939">
        <v>44</v>
      </c>
      <c r="C19939">
        <v>0</v>
      </c>
      <c r="D19939">
        <v>0</v>
      </c>
      <c r="E19939">
        <v>0</v>
      </c>
      <c r="F19939">
        <v>46.892800000000001</v>
      </c>
    </row>
    <row r="19940" spans="1:6" x14ac:dyDescent="0.25">
      <c r="A19940">
        <v>19939</v>
      </c>
      <c r="B19940" t="s">
        <v>0</v>
      </c>
      <c r="C19940">
        <v>2</v>
      </c>
      <c r="D19940">
        <v>3518</v>
      </c>
      <c r="E19940">
        <v>80922040</v>
      </c>
    </row>
    <row r="19941" spans="1:6" x14ac:dyDescent="0.25">
      <c r="A19941">
        <v>19940</v>
      </c>
      <c r="B19941">
        <v>46</v>
      </c>
      <c r="C19941">
        <v>0</v>
      </c>
      <c r="D19941">
        <v>0</v>
      </c>
      <c r="E19941">
        <v>0</v>
      </c>
      <c r="F19941">
        <v>0</v>
      </c>
    </row>
    <row r="19942" spans="1:6" x14ac:dyDescent="0.25">
      <c r="A19942">
        <v>19941</v>
      </c>
      <c r="B19942" t="s">
        <v>0</v>
      </c>
      <c r="C19942">
        <v>3</v>
      </c>
      <c r="D19942">
        <v>3518</v>
      </c>
      <c r="E19942">
        <v>80922171</v>
      </c>
    </row>
    <row r="19943" spans="1:6" x14ac:dyDescent="0.25">
      <c r="A19943">
        <v>19942</v>
      </c>
      <c r="B19943">
        <v>10</v>
      </c>
      <c r="C19943">
        <v>1</v>
      </c>
      <c r="D19943">
        <v>0</v>
      </c>
      <c r="E19943">
        <v>0</v>
      </c>
      <c r="F19943">
        <v>5235</v>
      </c>
    </row>
    <row r="19944" spans="1:6" x14ac:dyDescent="0.25">
      <c r="A19944">
        <v>19943</v>
      </c>
      <c r="B19944" t="s">
        <v>0</v>
      </c>
      <c r="C19944">
        <v>4</v>
      </c>
      <c r="D19944">
        <v>3518</v>
      </c>
      <c r="E19944">
        <v>80922302</v>
      </c>
    </row>
    <row r="19945" spans="1:6" x14ac:dyDescent="0.25">
      <c r="A19945">
        <v>19944</v>
      </c>
      <c r="B19945">
        <v>41</v>
      </c>
      <c r="C19945">
        <v>0</v>
      </c>
      <c r="D19945">
        <v>0</v>
      </c>
      <c r="E19945">
        <v>0</v>
      </c>
      <c r="F19945">
        <v>1</v>
      </c>
    </row>
    <row r="19946" spans="1:6" x14ac:dyDescent="0.25">
      <c r="A19946">
        <v>19945</v>
      </c>
      <c r="B19946" t="s">
        <v>0</v>
      </c>
      <c r="C19946">
        <v>5</v>
      </c>
      <c r="D19946">
        <v>3518</v>
      </c>
      <c r="E19946">
        <v>80922433</v>
      </c>
    </row>
    <row r="19947" spans="1:6" x14ac:dyDescent="0.25">
      <c r="A19947">
        <v>19946</v>
      </c>
      <c r="B19947">
        <v>43</v>
      </c>
      <c r="C19947">
        <v>0</v>
      </c>
      <c r="D19947">
        <v>0</v>
      </c>
      <c r="E19947">
        <v>0</v>
      </c>
      <c r="F19947">
        <v>0</v>
      </c>
    </row>
    <row r="19948" spans="1:6" x14ac:dyDescent="0.25">
      <c r="A19948">
        <v>19947</v>
      </c>
      <c r="B19948" t="s">
        <v>0</v>
      </c>
      <c r="C19948">
        <v>6</v>
      </c>
      <c r="D19948">
        <v>3518</v>
      </c>
      <c r="E19948">
        <v>80922564</v>
      </c>
    </row>
    <row r="19949" spans="1:6" x14ac:dyDescent="0.25">
      <c r="A19949">
        <v>19948</v>
      </c>
      <c r="B19949">
        <v>45</v>
      </c>
      <c r="C19949">
        <v>0</v>
      </c>
      <c r="D19949">
        <v>0</v>
      </c>
      <c r="E19949">
        <v>0</v>
      </c>
      <c r="F19949">
        <v>547.19500000000005</v>
      </c>
    </row>
    <row r="19950" spans="1:6" x14ac:dyDescent="0.25">
      <c r="A19950">
        <v>19949</v>
      </c>
      <c r="B19950" t="s">
        <v>0</v>
      </c>
      <c r="C19950">
        <v>7</v>
      </c>
      <c r="D19950">
        <v>3518</v>
      </c>
      <c r="E19950">
        <v>80922695</v>
      </c>
    </row>
    <row r="19951" spans="1:6" x14ac:dyDescent="0.25">
      <c r="A19951">
        <v>19950</v>
      </c>
      <c r="B19951">
        <v>2</v>
      </c>
      <c r="C19951">
        <v>0</v>
      </c>
      <c r="D19951">
        <v>0</v>
      </c>
      <c r="E19951">
        <v>0</v>
      </c>
      <c r="F19951">
        <v>253.119</v>
      </c>
    </row>
    <row r="19952" spans="1:6" x14ac:dyDescent="0.25">
      <c r="A19952">
        <v>19951</v>
      </c>
      <c r="B19952" t="s">
        <v>0</v>
      </c>
      <c r="C19952">
        <v>8</v>
      </c>
      <c r="D19952">
        <v>3518</v>
      </c>
      <c r="E19952">
        <v>80922826</v>
      </c>
    </row>
    <row r="19953" spans="1:6" x14ac:dyDescent="0.25">
      <c r="A19953">
        <v>19952</v>
      </c>
      <c r="B19953">
        <v>13</v>
      </c>
      <c r="C19953">
        <v>0</v>
      </c>
      <c r="D19953">
        <v>0</v>
      </c>
      <c r="E19953">
        <v>0</v>
      </c>
      <c r="F19953">
        <v>1620</v>
      </c>
    </row>
    <row r="19954" spans="1:6" x14ac:dyDescent="0.25">
      <c r="A19954">
        <v>19953</v>
      </c>
      <c r="B19954" t="s">
        <v>0</v>
      </c>
      <c r="C19954">
        <v>9</v>
      </c>
      <c r="D19954">
        <v>3518</v>
      </c>
      <c r="E19954">
        <v>80922958</v>
      </c>
    </row>
    <row r="19955" spans="1:6" x14ac:dyDescent="0.25">
      <c r="A19955">
        <v>19954</v>
      </c>
      <c r="B19955">
        <v>42</v>
      </c>
      <c r="C19955">
        <v>0</v>
      </c>
      <c r="D19955">
        <v>0</v>
      </c>
      <c r="E19955">
        <v>0</v>
      </c>
      <c r="F19955">
        <v>0.2</v>
      </c>
    </row>
    <row r="19956" spans="1:6" x14ac:dyDescent="0.25">
      <c r="A19956">
        <v>19955</v>
      </c>
      <c r="B19956" t="s">
        <v>0</v>
      </c>
      <c r="C19956">
        <v>10</v>
      </c>
      <c r="D19956">
        <v>3518</v>
      </c>
      <c r="E19956">
        <v>80923089</v>
      </c>
    </row>
    <row r="19957" spans="1:6" x14ac:dyDescent="0.25">
      <c r="A19957">
        <v>19956</v>
      </c>
      <c r="B19957">
        <v>43</v>
      </c>
      <c r="C19957">
        <v>0</v>
      </c>
      <c r="D19957">
        <v>0</v>
      </c>
      <c r="E19957">
        <v>0</v>
      </c>
      <c r="F19957">
        <v>0</v>
      </c>
    </row>
    <row r="19958" spans="1:6" x14ac:dyDescent="0.25">
      <c r="A19958">
        <v>19957</v>
      </c>
      <c r="B19958">
        <v>44</v>
      </c>
      <c r="C19958">
        <v>0</v>
      </c>
      <c r="D19958">
        <v>0</v>
      </c>
      <c r="E19958">
        <v>0</v>
      </c>
      <c r="F19958">
        <v>46.8767</v>
      </c>
    </row>
    <row r="19959" spans="1:6" x14ac:dyDescent="0.25">
      <c r="A19959">
        <v>19958</v>
      </c>
      <c r="B19959" t="s">
        <v>0</v>
      </c>
      <c r="C19959">
        <v>11</v>
      </c>
      <c r="D19959">
        <v>3518</v>
      </c>
      <c r="E19959">
        <v>80923220</v>
      </c>
    </row>
    <row r="19960" spans="1:6" x14ac:dyDescent="0.25">
      <c r="A19960">
        <v>19959</v>
      </c>
      <c r="B19960">
        <v>45</v>
      </c>
      <c r="C19960">
        <v>0</v>
      </c>
      <c r="D19960">
        <v>0</v>
      </c>
      <c r="E19960">
        <v>0</v>
      </c>
      <c r="F19960">
        <v>547.25699999999995</v>
      </c>
    </row>
    <row r="19961" spans="1:6" x14ac:dyDescent="0.25">
      <c r="A19961">
        <v>19960</v>
      </c>
      <c r="B19961">
        <v>46</v>
      </c>
      <c r="C19961">
        <v>0</v>
      </c>
      <c r="D19961">
        <v>0</v>
      </c>
      <c r="E19961">
        <v>0</v>
      </c>
      <c r="F19961">
        <v>0</v>
      </c>
    </row>
    <row r="19962" spans="1:6" x14ac:dyDescent="0.25">
      <c r="A19962">
        <v>19961</v>
      </c>
      <c r="B19962" t="s">
        <v>0</v>
      </c>
      <c r="C19962">
        <v>12</v>
      </c>
      <c r="D19962">
        <v>3518</v>
      </c>
      <c r="E19962">
        <v>80923351</v>
      </c>
    </row>
    <row r="19963" spans="1:6" x14ac:dyDescent="0.25">
      <c r="A19963">
        <v>19962</v>
      </c>
      <c r="B19963">
        <v>2</v>
      </c>
      <c r="C19963">
        <v>0</v>
      </c>
      <c r="D19963">
        <v>0</v>
      </c>
      <c r="E19963">
        <v>0</v>
      </c>
      <c r="F19963">
        <v>253.126</v>
      </c>
    </row>
    <row r="19964" spans="1:6" x14ac:dyDescent="0.25">
      <c r="A19964">
        <v>19963</v>
      </c>
      <c r="B19964">
        <v>10</v>
      </c>
      <c r="C19964">
        <v>1</v>
      </c>
      <c r="D19964">
        <v>0</v>
      </c>
      <c r="E19964">
        <v>0</v>
      </c>
      <c r="F19964">
        <v>5235</v>
      </c>
    </row>
    <row r="19965" spans="1:6" x14ac:dyDescent="0.25">
      <c r="A19965">
        <v>19964</v>
      </c>
      <c r="B19965" t="s">
        <v>0</v>
      </c>
      <c r="C19965">
        <v>13</v>
      </c>
      <c r="D19965">
        <v>3518</v>
      </c>
      <c r="E19965">
        <v>80923482</v>
      </c>
    </row>
    <row r="19966" spans="1:6" x14ac:dyDescent="0.25">
      <c r="A19966">
        <v>19965</v>
      </c>
      <c r="B19966">
        <v>13</v>
      </c>
      <c r="C19966">
        <v>0</v>
      </c>
      <c r="D19966">
        <v>0</v>
      </c>
      <c r="E19966">
        <v>0</v>
      </c>
      <c r="F19966">
        <v>1620</v>
      </c>
    </row>
    <row r="19967" spans="1:6" x14ac:dyDescent="0.25">
      <c r="A19967">
        <v>19966</v>
      </c>
      <c r="B19967">
        <v>41</v>
      </c>
      <c r="C19967">
        <v>0</v>
      </c>
      <c r="D19967">
        <v>0</v>
      </c>
      <c r="E19967">
        <v>0</v>
      </c>
      <c r="F19967">
        <v>1</v>
      </c>
    </row>
    <row r="19968" spans="1:6" x14ac:dyDescent="0.25">
      <c r="A19968">
        <v>19967</v>
      </c>
      <c r="B19968" t="s">
        <v>0</v>
      </c>
      <c r="C19968">
        <v>14</v>
      </c>
      <c r="D19968">
        <v>3518</v>
      </c>
      <c r="E19968">
        <v>80923613</v>
      </c>
    </row>
    <row r="19969" spans="1:6" x14ac:dyDescent="0.25">
      <c r="A19969">
        <v>19968</v>
      </c>
      <c r="B19969">
        <v>42</v>
      </c>
      <c r="C19969">
        <v>0</v>
      </c>
      <c r="D19969">
        <v>0</v>
      </c>
      <c r="E19969">
        <v>0</v>
      </c>
      <c r="F19969">
        <v>0.2</v>
      </c>
    </row>
    <row r="19970" spans="1:6" x14ac:dyDescent="0.25">
      <c r="A19970">
        <v>19969</v>
      </c>
      <c r="B19970">
        <v>43</v>
      </c>
      <c r="C19970">
        <v>0</v>
      </c>
      <c r="D19970">
        <v>0</v>
      </c>
      <c r="E19970">
        <v>0</v>
      </c>
      <c r="F19970">
        <v>0</v>
      </c>
    </row>
    <row r="19971" spans="1:6" x14ac:dyDescent="0.25">
      <c r="A19971">
        <v>19970</v>
      </c>
      <c r="B19971" t="s">
        <v>0</v>
      </c>
      <c r="C19971">
        <v>15</v>
      </c>
      <c r="D19971">
        <v>3518</v>
      </c>
      <c r="E19971">
        <v>80923744</v>
      </c>
    </row>
    <row r="19972" spans="1:6" x14ac:dyDescent="0.25">
      <c r="A19972">
        <v>19971</v>
      </c>
      <c r="B19972">
        <v>44</v>
      </c>
      <c r="C19972">
        <v>0</v>
      </c>
      <c r="D19972">
        <v>0</v>
      </c>
      <c r="E19972">
        <v>0</v>
      </c>
      <c r="F19972">
        <v>46.870699999999999</v>
      </c>
    </row>
    <row r="19973" spans="1:6" x14ac:dyDescent="0.25">
      <c r="A19973">
        <v>19972</v>
      </c>
      <c r="B19973">
        <v>45</v>
      </c>
      <c r="C19973">
        <v>0</v>
      </c>
      <c r="D19973">
        <v>0</v>
      </c>
      <c r="E19973">
        <v>0</v>
      </c>
      <c r="F19973">
        <v>547.30700000000002</v>
      </c>
    </row>
    <row r="19974" spans="1:6" x14ac:dyDescent="0.25">
      <c r="A19974">
        <v>19973</v>
      </c>
      <c r="B19974" t="s">
        <v>0</v>
      </c>
      <c r="C19974">
        <v>16</v>
      </c>
      <c r="D19974">
        <v>3518</v>
      </c>
      <c r="E19974">
        <v>80923875</v>
      </c>
    </row>
    <row r="19975" spans="1:6" x14ac:dyDescent="0.25">
      <c r="A19975">
        <v>19974</v>
      </c>
      <c r="B19975">
        <v>46</v>
      </c>
      <c r="C19975">
        <v>0</v>
      </c>
      <c r="D19975">
        <v>0</v>
      </c>
      <c r="E19975">
        <v>0</v>
      </c>
      <c r="F19975">
        <v>0</v>
      </c>
    </row>
    <row r="19976" spans="1:6" x14ac:dyDescent="0.25">
      <c r="A19976">
        <v>19975</v>
      </c>
      <c r="B19976">
        <v>2</v>
      </c>
      <c r="C19976">
        <v>0</v>
      </c>
      <c r="D19976">
        <v>0</v>
      </c>
      <c r="E19976">
        <v>0</v>
      </c>
      <c r="F19976">
        <v>253.13</v>
      </c>
    </row>
    <row r="19977" spans="1:6" x14ac:dyDescent="0.25">
      <c r="A19977">
        <v>19976</v>
      </c>
      <c r="B19977" t="s">
        <v>0</v>
      </c>
      <c r="C19977">
        <v>17</v>
      </c>
      <c r="D19977">
        <v>3518</v>
      </c>
      <c r="E19977">
        <v>80924007</v>
      </c>
    </row>
    <row r="19978" spans="1:6" x14ac:dyDescent="0.25">
      <c r="A19978">
        <v>19977</v>
      </c>
      <c r="B19978">
        <v>10</v>
      </c>
      <c r="C19978">
        <v>1</v>
      </c>
      <c r="D19978">
        <v>0</v>
      </c>
      <c r="E19978">
        <v>0</v>
      </c>
      <c r="F19978">
        <v>5235</v>
      </c>
    </row>
    <row r="19979" spans="1:6" x14ac:dyDescent="0.25">
      <c r="A19979">
        <v>19978</v>
      </c>
      <c r="B19979">
        <v>13</v>
      </c>
      <c r="C19979">
        <v>0</v>
      </c>
      <c r="D19979">
        <v>0</v>
      </c>
      <c r="E19979">
        <v>0</v>
      </c>
      <c r="F19979">
        <v>1620</v>
      </c>
    </row>
    <row r="19980" spans="1:6" x14ac:dyDescent="0.25">
      <c r="A19980">
        <v>19979</v>
      </c>
      <c r="B19980" t="s">
        <v>0</v>
      </c>
      <c r="C19980">
        <v>18</v>
      </c>
      <c r="D19980">
        <v>3518</v>
      </c>
      <c r="E19980">
        <v>80924138</v>
      </c>
    </row>
    <row r="19981" spans="1:6" x14ac:dyDescent="0.25">
      <c r="A19981">
        <v>19980</v>
      </c>
      <c r="B19981">
        <v>41</v>
      </c>
      <c r="C19981">
        <v>0</v>
      </c>
      <c r="D19981">
        <v>0</v>
      </c>
      <c r="E19981">
        <v>0</v>
      </c>
      <c r="F19981">
        <v>1</v>
      </c>
    </row>
    <row r="19982" spans="1:6" x14ac:dyDescent="0.25">
      <c r="A19982">
        <v>19981</v>
      </c>
      <c r="B19982">
        <v>42</v>
      </c>
      <c r="C19982">
        <v>0</v>
      </c>
      <c r="D19982">
        <v>0</v>
      </c>
      <c r="E19982">
        <v>0</v>
      </c>
      <c r="F19982">
        <v>0.2</v>
      </c>
    </row>
    <row r="19983" spans="1:6" x14ac:dyDescent="0.25">
      <c r="A19983">
        <v>19982</v>
      </c>
      <c r="B19983" t="s">
        <v>0</v>
      </c>
      <c r="C19983">
        <v>19</v>
      </c>
      <c r="D19983">
        <v>3518</v>
      </c>
      <c r="E19983">
        <v>80924269</v>
      </c>
    </row>
    <row r="19984" spans="1:6" x14ac:dyDescent="0.25">
      <c r="A19984">
        <v>19983</v>
      </c>
      <c r="B19984">
        <v>43</v>
      </c>
      <c r="C19984">
        <v>0</v>
      </c>
      <c r="D19984">
        <v>0</v>
      </c>
      <c r="E19984">
        <v>0</v>
      </c>
      <c r="F19984">
        <v>0</v>
      </c>
    </row>
    <row r="19985" spans="1:6" x14ac:dyDescent="0.25">
      <c r="A19985">
        <v>19984</v>
      </c>
      <c r="B19985">
        <v>44</v>
      </c>
      <c r="C19985">
        <v>0</v>
      </c>
      <c r="D19985">
        <v>0</v>
      </c>
      <c r="E19985">
        <v>0</v>
      </c>
      <c r="F19985">
        <v>46.866700000000002</v>
      </c>
    </row>
    <row r="19986" spans="1:6" x14ac:dyDescent="0.25">
      <c r="A19986">
        <v>19985</v>
      </c>
      <c r="B19986" t="s">
        <v>0</v>
      </c>
      <c r="C19986">
        <v>20</v>
      </c>
      <c r="D19986">
        <v>3518</v>
      </c>
      <c r="E19986">
        <v>80924400</v>
      </c>
    </row>
    <row r="19987" spans="1:6" x14ac:dyDescent="0.25">
      <c r="A19987">
        <v>19986</v>
      </c>
      <c r="B19987">
        <v>45</v>
      </c>
      <c r="C19987">
        <v>0</v>
      </c>
      <c r="D19987">
        <v>0</v>
      </c>
      <c r="E19987">
        <v>0</v>
      </c>
      <c r="F19987">
        <v>547.36800000000005</v>
      </c>
    </row>
    <row r="19988" spans="1:6" x14ac:dyDescent="0.25">
      <c r="A19988">
        <v>19987</v>
      </c>
      <c r="B19988">
        <v>46</v>
      </c>
      <c r="C19988">
        <v>0</v>
      </c>
      <c r="D19988">
        <v>0</v>
      </c>
      <c r="E19988">
        <v>0</v>
      </c>
      <c r="F19988">
        <v>0</v>
      </c>
    </row>
    <row r="19989" spans="1:6" x14ac:dyDescent="0.25">
      <c r="A19989">
        <v>19988</v>
      </c>
      <c r="B19989">
        <v>2</v>
      </c>
      <c r="C19989">
        <v>0</v>
      </c>
      <c r="D19989">
        <v>0</v>
      </c>
      <c r="E19989">
        <v>0</v>
      </c>
      <c r="F19989">
        <v>253.13499999999999</v>
      </c>
    </row>
    <row r="19990" spans="1:6" x14ac:dyDescent="0.25">
      <c r="A19990">
        <v>19989</v>
      </c>
      <c r="B19990">
        <v>10</v>
      </c>
      <c r="C19990">
        <v>1</v>
      </c>
      <c r="D19990">
        <v>0</v>
      </c>
      <c r="E19990">
        <v>0</v>
      </c>
      <c r="F19990">
        <v>5235</v>
      </c>
    </row>
    <row r="19991" spans="1:6" x14ac:dyDescent="0.25">
      <c r="A19991">
        <v>19990</v>
      </c>
      <c r="B19991">
        <v>13</v>
      </c>
      <c r="C19991">
        <v>0</v>
      </c>
      <c r="D19991">
        <v>0</v>
      </c>
      <c r="E19991">
        <v>0</v>
      </c>
      <c r="F19991">
        <v>1620</v>
      </c>
    </row>
    <row r="19992" spans="1:6" x14ac:dyDescent="0.25">
      <c r="A19992">
        <v>19991</v>
      </c>
      <c r="B19992">
        <v>41</v>
      </c>
      <c r="C19992">
        <v>0</v>
      </c>
      <c r="D19992">
        <v>0</v>
      </c>
      <c r="E19992">
        <v>0</v>
      </c>
      <c r="F19992">
        <v>1</v>
      </c>
    </row>
    <row r="19993" spans="1:6" x14ac:dyDescent="0.25">
      <c r="A19993">
        <v>19992</v>
      </c>
      <c r="B19993">
        <v>42</v>
      </c>
      <c r="C19993">
        <v>0</v>
      </c>
      <c r="D19993">
        <v>0</v>
      </c>
      <c r="E19993">
        <v>0</v>
      </c>
      <c r="F19993">
        <v>0.2</v>
      </c>
    </row>
    <row r="19994" spans="1:6" x14ac:dyDescent="0.25">
      <c r="A19994">
        <v>19993</v>
      </c>
      <c r="B19994">
        <v>43</v>
      </c>
      <c r="C19994">
        <v>0</v>
      </c>
      <c r="D19994">
        <v>0</v>
      </c>
      <c r="E19994">
        <v>0</v>
      </c>
      <c r="F19994">
        <v>0</v>
      </c>
    </row>
    <row r="19995" spans="1:6" x14ac:dyDescent="0.25">
      <c r="A19995">
        <v>19994</v>
      </c>
      <c r="B19995">
        <v>44</v>
      </c>
      <c r="C19995">
        <v>0</v>
      </c>
      <c r="D19995">
        <v>0</v>
      </c>
      <c r="E19995">
        <v>0</v>
      </c>
      <c r="F19995">
        <v>46.8628</v>
      </c>
    </row>
    <row r="19996" spans="1:6" x14ac:dyDescent="0.25">
      <c r="A19996">
        <v>19995</v>
      </c>
      <c r="B19996">
        <v>45</v>
      </c>
      <c r="C19996">
        <v>0</v>
      </c>
      <c r="D19996">
        <v>0</v>
      </c>
      <c r="E19996">
        <v>0</v>
      </c>
      <c r="F19996">
        <v>547.41800000000001</v>
      </c>
    </row>
    <row r="19997" spans="1:6" x14ac:dyDescent="0.25">
      <c r="A19997">
        <v>19996</v>
      </c>
      <c r="B19997">
        <v>46</v>
      </c>
      <c r="C19997">
        <v>0</v>
      </c>
      <c r="D19997">
        <v>0</v>
      </c>
      <c r="E19997">
        <v>0</v>
      </c>
      <c r="F19997">
        <v>0</v>
      </c>
    </row>
    <row r="19998" spans="1:6" x14ac:dyDescent="0.25">
      <c r="A19998">
        <v>19997</v>
      </c>
      <c r="B19998">
        <v>2</v>
      </c>
      <c r="C19998">
        <v>0</v>
      </c>
      <c r="D19998">
        <v>0</v>
      </c>
      <c r="E19998">
        <v>0</v>
      </c>
      <c r="F19998">
        <v>253.13800000000001</v>
      </c>
    </row>
    <row r="19999" spans="1:6" x14ac:dyDescent="0.25">
      <c r="A19999">
        <v>19998</v>
      </c>
      <c r="B19999">
        <v>10</v>
      </c>
      <c r="C19999">
        <v>1</v>
      </c>
      <c r="D19999">
        <v>0</v>
      </c>
      <c r="E19999">
        <v>0</v>
      </c>
      <c r="F19999">
        <v>5235</v>
      </c>
    </row>
    <row r="20000" spans="1:6" x14ac:dyDescent="0.25">
      <c r="A20000">
        <v>19999</v>
      </c>
      <c r="B20000">
        <v>13</v>
      </c>
      <c r="C20000">
        <v>0</v>
      </c>
      <c r="D20000">
        <v>0</v>
      </c>
      <c r="E20000">
        <v>0</v>
      </c>
      <c r="F20000">
        <v>1620</v>
      </c>
    </row>
    <row r="20001" spans="1:6" x14ac:dyDescent="0.25">
      <c r="A20001">
        <v>20000</v>
      </c>
      <c r="B20001">
        <v>41</v>
      </c>
      <c r="C20001">
        <v>0</v>
      </c>
      <c r="D20001">
        <v>0</v>
      </c>
      <c r="E20001">
        <v>0</v>
      </c>
      <c r="F20001">
        <v>1</v>
      </c>
    </row>
    <row r="20002" spans="1:6" x14ac:dyDescent="0.25">
      <c r="A20002">
        <v>20001</v>
      </c>
      <c r="B20002">
        <v>42</v>
      </c>
      <c r="C20002">
        <v>0</v>
      </c>
      <c r="D20002">
        <v>0</v>
      </c>
      <c r="E20002">
        <v>0</v>
      </c>
      <c r="F20002">
        <v>0.2</v>
      </c>
    </row>
    <row r="20003" spans="1:6" x14ac:dyDescent="0.25">
      <c r="A20003">
        <v>20002</v>
      </c>
      <c r="B20003">
        <v>43</v>
      </c>
      <c r="C20003">
        <v>0</v>
      </c>
      <c r="D20003">
        <v>0</v>
      </c>
      <c r="E20003">
        <v>0</v>
      </c>
      <c r="F20003">
        <v>0</v>
      </c>
    </row>
    <row r="20004" spans="1:6" x14ac:dyDescent="0.25">
      <c r="A20004">
        <v>20003</v>
      </c>
      <c r="B20004">
        <v>44</v>
      </c>
      <c r="C20004">
        <v>0</v>
      </c>
      <c r="D20004">
        <v>0</v>
      </c>
      <c r="E20004">
        <v>0</v>
      </c>
      <c r="F20004">
        <v>46.860300000000002</v>
      </c>
    </row>
    <row r="20005" spans="1:6" x14ac:dyDescent="0.25">
      <c r="A20005">
        <v>20004</v>
      </c>
      <c r="B20005">
        <v>45</v>
      </c>
      <c r="C20005">
        <v>0</v>
      </c>
      <c r="D20005">
        <v>0</v>
      </c>
      <c r="E20005">
        <v>0</v>
      </c>
      <c r="F20005">
        <v>547.48</v>
      </c>
    </row>
    <row r="20006" spans="1:6" x14ac:dyDescent="0.25">
      <c r="A20006">
        <v>20005</v>
      </c>
      <c r="B20006">
        <v>46</v>
      </c>
      <c r="C20006">
        <v>0</v>
      </c>
      <c r="D20006">
        <v>0</v>
      </c>
      <c r="E20006">
        <v>0</v>
      </c>
      <c r="F20006">
        <v>0</v>
      </c>
    </row>
    <row r="20007" spans="1:6" x14ac:dyDescent="0.25">
      <c r="A20007">
        <v>20006</v>
      </c>
      <c r="B20007">
        <v>2</v>
      </c>
      <c r="C20007">
        <v>0</v>
      </c>
      <c r="D20007">
        <v>0</v>
      </c>
      <c r="E20007">
        <v>0</v>
      </c>
      <c r="F20007">
        <v>253.14099999999999</v>
      </c>
    </row>
    <row r="20008" spans="1:6" x14ac:dyDescent="0.25">
      <c r="A20008">
        <v>20007</v>
      </c>
      <c r="B20008" t="s">
        <v>0</v>
      </c>
      <c r="C20008">
        <v>31</v>
      </c>
      <c r="D20008">
        <v>3518</v>
      </c>
      <c r="E20008">
        <v>80925843</v>
      </c>
    </row>
    <row r="20009" spans="1:6" x14ac:dyDescent="0.25">
      <c r="A20009">
        <v>20008</v>
      </c>
      <c r="B20009">
        <v>13</v>
      </c>
      <c r="C20009">
        <v>0</v>
      </c>
      <c r="D20009">
        <v>0</v>
      </c>
      <c r="E20009">
        <v>0</v>
      </c>
      <c r="F20009">
        <v>1620</v>
      </c>
    </row>
    <row r="20010" spans="1:6" x14ac:dyDescent="0.25">
      <c r="A20010">
        <v>20009</v>
      </c>
      <c r="B20010" t="s">
        <v>0</v>
      </c>
      <c r="C20010">
        <v>32</v>
      </c>
      <c r="D20010">
        <v>3518</v>
      </c>
      <c r="E20010">
        <v>80925975</v>
      </c>
    </row>
    <row r="20011" spans="1:6" x14ac:dyDescent="0.25">
      <c r="A20011">
        <v>20010</v>
      </c>
      <c r="B20011">
        <v>42</v>
      </c>
      <c r="C20011">
        <v>0</v>
      </c>
      <c r="D20011">
        <v>0</v>
      </c>
      <c r="E20011">
        <v>0</v>
      </c>
      <c r="F20011">
        <v>0.2</v>
      </c>
    </row>
    <row r="20012" spans="1:6" x14ac:dyDescent="0.25">
      <c r="A20012">
        <v>20011</v>
      </c>
      <c r="B20012" t="s">
        <v>0</v>
      </c>
      <c r="C20012">
        <v>33</v>
      </c>
      <c r="D20012">
        <v>3518</v>
      </c>
      <c r="E20012">
        <v>80926106</v>
      </c>
    </row>
    <row r="20013" spans="1:6" x14ac:dyDescent="0.25">
      <c r="A20013">
        <v>20012</v>
      </c>
      <c r="B20013">
        <v>44</v>
      </c>
      <c r="C20013">
        <v>0</v>
      </c>
      <c r="D20013">
        <v>0</v>
      </c>
      <c r="E20013">
        <v>0</v>
      </c>
      <c r="F20013">
        <v>46.857100000000003</v>
      </c>
    </row>
    <row r="20014" spans="1:6" x14ac:dyDescent="0.25">
      <c r="A20014">
        <v>20013</v>
      </c>
      <c r="B20014" t="s">
        <v>0</v>
      </c>
      <c r="C20014">
        <v>34</v>
      </c>
      <c r="D20014">
        <v>3518</v>
      </c>
      <c r="E20014">
        <v>80926237</v>
      </c>
    </row>
    <row r="20015" spans="1:6" x14ac:dyDescent="0.25">
      <c r="A20015">
        <v>20014</v>
      </c>
      <c r="B20015">
        <v>46</v>
      </c>
      <c r="C20015">
        <v>0</v>
      </c>
      <c r="D20015">
        <v>0</v>
      </c>
      <c r="E20015">
        <v>0</v>
      </c>
      <c r="F20015">
        <v>0</v>
      </c>
    </row>
    <row r="20016" spans="1:6" x14ac:dyDescent="0.25">
      <c r="A20016">
        <v>20015</v>
      </c>
      <c r="B20016" t="s">
        <v>0</v>
      </c>
      <c r="C20016">
        <v>35</v>
      </c>
      <c r="D20016">
        <v>3518</v>
      </c>
      <c r="E20016">
        <v>80926368</v>
      </c>
    </row>
    <row r="20017" spans="1:6" x14ac:dyDescent="0.25">
      <c r="A20017">
        <v>20016</v>
      </c>
      <c r="B20017">
        <v>10</v>
      </c>
      <c r="C20017">
        <v>1</v>
      </c>
      <c r="D20017">
        <v>0</v>
      </c>
      <c r="E20017">
        <v>0</v>
      </c>
      <c r="F20017">
        <v>5236</v>
      </c>
    </row>
    <row r="20018" spans="1:6" x14ac:dyDescent="0.25">
      <c r="A20018">
        <v>20017</v>
      </c>
      <c r="B20018" t="s">
        <v>0</v>
      </c>
      <c r="C20018">
        <v>36</v>
      </c>
      <c r="D20018">
        <v>3518</v>
      </c>
      <c r="E20018">
        <v>80926499</v>
      </c>
    </row>
    <row r="20019" spans="1:6" x14ac:dyDescent="0.25">
      <c r="A20019">
        <v>20018</v>
      </c>
      <c r="B20019">
        <v>41</v>
      </c>
      <c r="C20019">
        <v>0</v>
      </c>
      <c r="D20019">
        <v>0</v>
      </c>
      <c r="E20019">
        <v>0</v>
      </c>
      <c r="F20019">
        <v>1</v>
      </c>
    </row>
    <row r="20020" spans="1:6" x14ac:dyDescent="0.25">
      <c r="A20020">
        <v>20019</v>
      </c>
      <c r="B20020" t="s">
        <v>0</v>
      </c>
      <c r="C20020">
        <v>37</v>
      </c>
      <c r="D20020">
        <v>3518</v>
      </c>
      <c r="E20020">
        <v>80926630</v>
      </c>
    </row>
    <row r="20021" spans="1:6" x14ac:dyDescent="0.25">
      <c r="A20021">
        <v>20020</v>
      </c>
      <c r="B20021">
        <v>43</v>
      </c>
      <c r="C20021">
        <v>0</v>
      </c>
      <c r="D20021">
        <v>0</v>
      </c>
      <c r="E20021">
        <v>0</v>
      </c>
      <c r="F20021">
        <v>0</v>
      </c>
    </row>
    <row r="20022" spans="1:6" x14ac:dyDescent="0.25">
      <c r="A20022">
        <v>20021</v>
      </c>
      <c r="B20022" t="s">
        <v>0</v>
      </c>
      <c r="C20022">
        <v>38</v>
      </c>
      <c r="D20022">
        <v>3518</v>
      </c>
      <c r="E20022">
        <v>80926761</v>
      </c>
    </row>
    <row r="20023" spans="1:6" x14ac:dyDescent="0.25">
      <c r="A20023">
        <v>20022</v>
      </c>
      <c r="B20023">
        <v>45</v>
      </c>
      <c r="C20023">
        <v>0</v>
      </c>
      <c r="D20023">
        <v>0</v>
      </c>
      <c r="E20023">
        <v>0</v>
      </c>
      <c r="F20023">
        <v>547.59100000000001</v>
      </c>
    </row>
    <row r="20024" spans="1:6" x14ac:dyDescent="0.25">
      <c r="A20024">
        <v>20023</v>
      </c>
      <c r="B20024" t="s">
        <v>0</v>
      </c>
      <c r="C20024">
        <v>39</v>
      </c>
      <c r="D20024">
        <v>3518</v>
      </c>
      <c r="E20024">
        <v>80926893</v>
      </c>
    </row>
    <row r="20025" spans="1:6" x14ac:dyDescent="0.25">
      <c r="A20025">
        <v>20024</v>
      </c>
      <c r="B20025">
        <v>2</v>
      </c>
      <c r="C20025">
        <v>0</v>
      </c>
      <c r="D20025">
        <v>0</v>
      </c>
      <c r="E20025">
        <v>0</v>
      </c>
      <c r="F20025">
        <v>253.14500000000001</v>
      </c>
    </row>
    <row r="20026" spans="1:6" x14ac:dyDescent="0.25">
      <c r="A20026">
        <v>20025</v>
      </c>
      <c r="B20026" t="s">
        <v>0</v>
      </c>
      <c r="C20026">
        <v>40</v>
      </c>
      <c r="D20026">
        <v>3518</v>
      </c>
      <c r="E20026">
        <v>80927024</v>
      </c>
    </row>
    <row r="20027" spans="1:6" x14ac:dyDescent="0.25">
      <c r="A20027">
        <v>20026</v>
      </c>
      <c r="B20027">
        <v>13</v>
      </c>
      <c r="C20027">
        <v>0</v>
      </c>
      <c r="D20027">
        <v>0</v>
      </c>
      <c r="E20027">
        <v>0</v>
      </c>
      <c r="F20027">
        <v>1620</v>
      </c>
    </row>
    <row r="20028" spans="1:6" x14ac:dyDescent="0.25">
      <c r="A20028">
        <v>20027</v>
      </c>
      <c r="B20028" t="s">
        <v>0</v>
      </c>
      <c r="C20028">
        <v>41</v>
      </c>
      <c r="D20028">
        <v>3518</v>
      </c>
      <c r="E20028">
        <v>80927155</v>
      </c>
    </row>
    <row r="20029" spans="1:6" x14ac:dyDescent="0.25">
      <c r="A20029">
        <v>20028</v>
      </c>
      <c r="B20029">
        <v>42</v>
      </c>
      <c r="C20029">
        <v>0</v>
      </c>
      <c r="D20029">
        <v>0</v>
      </c>
      <c r="E20029">
        <v>0</v>
      </c>
      <c r="F20029">
        <v>0.2</v>
      </c>
    </row>
    <row r="20030" spans="1:6" x14ac:dyDescent="0.25">
      <c r="A20030">
        <v>20029</v>
      </c>
      <c r="B20030" t="s">
        <v>0</v>
      </c>
      <c r="C20030">
        <v>42</v>
      </c>
      <c r="D20030">
        <v>3518</v>
      </c>
      <c r="E20030">
        <v>80927286</v>
      </c>
    </row>
    <row r="20031" spans="1:6" x14ac:dyDescent="0.25">
      <c r="A20031">
        <v>20030</v>
      </c>
      <c r="B20031">
        <v>43</v>
      </c>
      <c r="C20031">
        <v>0</v>
      </c>
      <c r="D20031">
        <v>0</v>
      </c>
      <c r="E20031">
        <v>0</v>
      </c>
      <c r="F20031">
        <v>0</v>
      </c>
    </row>
    <row r="20032" spans="1:6" x14ac:dyDescent="0.25">
      <c r="A20032">
        <v>20031</v>
      </c>
      <c r="B20032">
        <v>44</v>
      </c>
      <c r="C20032">
        <v>0</v>
      </c>
      <c r="D20032">
        <v>0</v>
      </c>
      <c r="E20032">
        <v>0</v>
      </c>
      <c r="F20032">
        <v>46.799500000000002</v>
      </c>
    </row>
    <row r="20033" spans="1:6" x14ac:dyDescent="0.25">
      <c r="A20033">
        <v>20032</v>
      </c>
      <c r="B20033" t="s">
        <v>0</v>
      </c>
      <c r="C20033">
        <v>43</v>
      </c>
      <c r="D20033">
        <v>3518</v>
      </c>
      <c r="E20033">
        <v>80927417</v>
      </c>
    </row>
    <row r="20034" spans="1:6" x14ac:dyDescent="0.25">
      <c r="A20034">
        <v>20033</v>
      </c>
      <c r="B20034">
        <v>45</v>
      </c>
      <c r="C20034">
        <v>0</v>
      </c>
      <c r="D20034">
        <v>0</v>
      </c>
      <c r="E20034">
        <v>0</v>
      </c>
      <c r="F20034">
        <v>547.65200000000004</v>
      </c>
    </row>
    <row r="20035" spans="1:6" x14ac:dyDescent="0.25">
      <c r="A20035">
        <v>20034</v>
      </c>
      <c r="B20035">
        <v>46</v>
      </c>
      <c r="C20035">
        <v>0</v>
      </c>
      <c r="D20035">
        <v>0</v>
      </c>
      <c r="E20035">
        <v>0</v>
      </c>
      <c r="F20035">
        <v>0</v>
      </c>
    </row>
    <row r="20036" spans="1:6" x14ac:dyDescent="0.25">
      <c r="A20036">
        <v>20035</v>
      </c>
      <c r="B20036" t="s">
        <v>0</v>
      </c>
      <c r="C20036">
        <v>44</v>
      </c>
      <c r="D20036">
        <v>3518</v>
      </c>
      <c r="E20036">
        <v>80927548</v>
      </c>
    </row>
    <row r="20037" spans="1:6" x14ac:dyDescent="0.25">
      <c r="A20037">
        <v>20036</v>
      </c>
      <c r="B20037">
        <v>2</v>
      </c>
      <c r="C20037">
        <v>0</v>
      </c>
      <c r="D20037">
        <v>0</v>
      </c>
      <c r="E20037">
        <v>0</v>
      </c>
      <c r="F20037">
        <v>253.233</v>
      </c>
    </row>
    <row r="20038" spans="1:6" x14ac:dyDescent="0.25">
      <c r="A20038">
        <v>20037</v>
      </c>
      <c r="B20038">
        <v>10</v>
      </c>
      <c r="C20038">
        <v>1</v>
      </c>
      <c r="D20038">
        <v>0</v>
      </c>
      <c r="E20038">
        <v>0</v>
      </c>
      <c r="F20038">
        <v>5234</v>
      </c>
    </row>
    <row r="20039" spans="1:6" x14ac:dyDescent="0.25">
      <c r="A20039">
        <v>20038</v>
      </c>
      <c r="B20039" t="s">
        <v>0</v>
      </c>
      <c r="C20039">
        <v>45</v>
      </c>
      <c r="D20039">
        <v>3518</v>
      </c>
      <c r="E20039">
        <v>80927679</v>
      </c>
    </row>
    <row r="20040" spans="1:6" x14ac:dyDescent="0.25">
      <c r="A20040">
        <v>20039</v>
      </c>
      <c r="B20040">
        <v>13</v>
      </c>
      <c r="C20040">
        <v>0</v>
      </c>
      <c r="D20040">
        <v>0</v>
      </c>
      <c r="E20040">
        <v>0</v>
      </c>
      <c r="F20040">
        <v>1620</v>
      </c>
    </row>
    <row r="20041" spans="1:6" x14ac:dyDescent="0.25">
      <c r="A20041">
        <v>20040</v>
      </c>
      <c r="B20041">
        <v>41</v>
      </c>
      <c r="C20041">
        <v>0</v>
      </c>
      <c r="D20041">
        <v>0</v>
      </c>
      <c r="E20041">
        <v>0</v>
      </c>
      <c r="F20041">
        <v>1</v>
      </c>
    </row>
    <row r="20042" spans="1:6" x14ac:dyDescent="0.25">
      <c r="A20042">
        <v>20041</v>
      </c>
      <c r="B20042" t="s">
        <v>0</v>
      </c>
      <c r="C20042">
        <v>46</v>
      </c>
      <c r="D20042">
        <v>3518</v>
      </c>
      <c r="E20042">
        <v>80927810</v>
      </c>
    </row>
    <row r="20043" spans="1:6" x14ac:dyDescent="0.25">
      <c r="A20043">
        <v>20042</v>
      </c>
      <c r="B20043">
        <v>42</v>
      </c>
      <c r="C20043">
        <v>0</v>
      </c>
      <c r="D20043">
        <v>0</v>
      </c>
      <c r="E20043">
        <v>0</v>
      </c>
      <c r="F20043">
        <v>0.2</v>
      </c>
    </row>
    <row r="20044" spans="1:6" x14ac:dyDescent="0.25">
      <c r="A20044">
        <v>20043</v>
      </c>
      <c r="B20044">
        <v>43</v>
      </c>
      <c r="C20044">
        <v>0</v>
      </c>
      <c r="D20044">
        <v>0</v>
      </c>
      <c r="E20044">
        <v>0</v>
      </c>
      <c r="F20044">
        <v>0</v>
      </c>
    </row>
    <row r="20045" spans="1:6" x14ac:dyDescent="0.25">
      <c r="A20045">
        <v>20044</v>
      </c>
      <c r="B20045" t="s">
        <v>0</v>
      </c>
      <c r="C20045">
        <v>47</v>
      </c>
      <c r="D20045">
        <v>3518</v>
      </c>
      <c r="E20045">
        <v>80927941</v>
      </c>
    </row>
    <row r="20046" spans="1:6" x14ac:dyDescent="0.25">
      <c r="A20046">
        <v>20045</v>
      </c>
      <c r="B20046">
        <v>44</v>
      </c>
      <c r="C20046">
        <v>0</v>
      </c>
      <c r="D20046">
        <v>0</v>
      </c>
      <c r="E20046">
        <v>0</v>
      </c>
      <c r="F20046">
        <v>46.723599999999998</v>
      </c>
    </row>
    <row r="20047" spans="1:6" x14ac:dyDescent="0.25">
      <c r="A20047">
        <v>20046</v>
      </c>
      <c r="B20047">
        <v>45</v>
      </c>
      <c r="C20047">
        <v>0</v>
      </c>
      <c r="D20047">
        <v>0</v>
      </c>
      <c r="E20047">
        <v>0</v>
      </c>
      <c r="F20047">
        <v>547.702</v>
      </c>
    </row>
    <row r="20048" spans="1:6" x14ac:dyDescent="0.25">
      <c r="A20048">
        <v>20047</v>
      </c>
      <c r="B20048" t="s">
        <v>0</v>
      </c>
      <c r="C20048">
        <v>48</v>
      </c>
      <c r="D20048">
        <v>3518</v>
      </c>
      <c r="E20048">
        <v>80928072</v>
      </c>
    </row>
    <row r="20049" spans="1:6" x14ac:dyDescent="0.25">
      <c r="A20049">
        <v>20048</v>
      </c>
      <c r="B20049">
        <v>46</v>
      </c>
      <c r="C20049">
        <v>0</v>
      </c>
      <c r="D20049">
        <v>0</v>
      </c>
      <c r="E20049">
        <v>0</v>
      </c>
      <c r="F20049">
        <v>0</v>
      </c>
    </row>
    <row r="20050" spans="1:6" x14ac:dyDescent="0.25">
      <c r="A20050">
        <v>20049</v>
      </c>
      <c r="B20050">
        <v>2</v>
      </c>
      <c r="C20050">
        <v>0</v>
      </c>
      <c r="D20050">
        <v>0</v>
      </c>
      <c r="E20050">
        <v>0</v>
      </c>
      <c r="F20050">
        <v>253.28899999999999</v>
      </c>
    </row>
    <row r="20051" spans="1:6" x14ac:dyDescent="0.25">
      <c r="A20051">
        <v>20050</v>
      </c>
      <c r="B20051" t="s">
        <v>0</v>
      </c>
      <c r="C20051">
        <v>49</v>
      </c>
      <c r="D20051">
        <v>3518</v>
      </c>
      <c r="E20051">
        <v>80928203</v>
      </c>
    </row>
    <row r="20052" spans="1:6" x14ac:dyDescent="0.25">
      <c r="A20052">
        <v>20051</v>
      </c>
      <c r="B20052">
        <v>10</v>
      </c>
      <c r="C20052">
        <v>1</v>
      </c>
      <c r="D20052">
        <v>0</v>
      </c>
      <c r="E20052">
        <v>0</v>
      </c>
      <c r="F20052">
        <v>5233</v>
      </c>
    </row>
    <row r="20053" spans="1:6" x14ac:dyDescent="0.25">
      <c r="A20053">
        <v>20052</v>
      </c>
      <c r="B20053">
        <v>13</v>
      </c>
      <c r="C20053">
        <v>0</v>
      </c>
      <c r="D20053">
        <v>0</v>
      </c>
      <c r="E20053">
        <v>0</v>
      </c>
      <c r="F20053">
        <v>1620</v>
      </c>
    </row>
    <row r="20054" spans="1:6" x14ac:dyDescent="0.25">
      <c r="A20054">
        <v>20053</v>
      </c>
      <c r="B20054">
        <v>41</v>
      </c>
      <c r="C20054">
        <v>0</v>
      </c>
      <c r="D20054">
        <v>0</v>
      </c>
      <c r="E20054">
        <v>0</v>
      </c>
      <c r="F20054">
        <v>1</v>
      </c>
    </row>
    <row r="20055" spans="1:6" x14ac:dyDescent="0.25">
      <c r="A20055">
        <v>20054</v>
      </c>
      <c r="B20055">
        <v>42</v>
      </c>
      <c r="C20055">
        <v>0</v>
      </c>
      <c r="D20055">
        <v>0</v>
      </c>
      <c r="E20055">
        <v>0</v>
      </c>
      <c r="F20055">
        <v>0.2</v>
      </c>
    </row>
    <row r="20056" spans="1:6" x14ac:dyDescent="0.25">
      <c r="A20056">
        <v>20055</v>
      </c>
      <c r="B20056">
        <v>43</v>
      </c>
      <c r="C20056">
        <v>0</v>
      </c>
      <c r="D20056">
        <v>0</v>
      </c>
      <c r="E20056">
        <v>0</v>
      </c>
      <c r="F20056">
        <v>0</v>
      </c>
    </row>
    <row r="20057" spans="1:6" x14ac:dyDescent="0.25">
      <c r="A20057">
        <v>20056</v>
      </c>
      <c r="B20057">
        <v>44</v>
      </c>
      <c r="C20057">
        <v>0</v>
      </c>
      <c r="D20057">
        <v>0</v>
      </c>
      <c r="E20057">
        <v>0</v>
      </c>
      <c r="F20057">
        <v>46.6755</v>
      </c>
    </row>
    <row r="20058" spans="1:6" x14ac:dyDescent="0.25">
      <c r="A20058">
        <v>20057</v>
      </c>
      <c r="B20058">
        <v>45</v>
      </c>
      <c r="C20058">
        <v>0</v>
      </c>
      <c r="D20058">
        <v>0</v>
      </c>
      <c r="E20058">
        <v>0</v>
      </c>
      <c r="F20058">
        <v>547.76300000000003</v>
      </c>
    </row>
    <row r="20059" spans="1:6" x14ac:dyDescent="0.25">
      <c r="A20059">
        <v>20058</v>
      </c>
      <c r="B20059">
        <v>46</v>
      </c>
      <c r="C20059">
        <v>0</v>
      </c>
      <c r="D20059">
        <v>0</v>
      </c>
      <c r="E20059">
        <v>0</v>
      </c>
      <c r="F20059">
        <v>0</v>
      </c>
    </row>
    <row r="20060" spans="1:6" x14ac:dyDescent="0.25">
      <c r="A20060">
        <v>20059</v>
      </c>
      <c r="B20060">
        <v>2</v>
      </c>
      <c r="C20060">
        <v>0</v>
      </c>
      <c r="D20060">
        <v>0</v>
      </c>
      <c r="E20060">
        <v>0</v>
      </c>
      <c r="F20060">
        <v>253.345</v>
      </c>
    </row>
    <row r="20061" spans="1:6" x14ac:dyDescent="0.25">
      <c r="A20061">
        <v>20060</v>
      </c>
      <c r="B20061">
        <v>10</v>
      </c>
      <c r="C20061">
        <v>1</v>
      </c>
      <c r="D20061">
        <v>0</v>
      </c>
      <c r="E20061">
        <v>0</v>
      </c>
      <c r="F20061">
        <v>5232</v>
      </c>
    </row>
    <row r="20062" spans="1:6" x14ac:dyDescent="0.25">
      <c r="A20062">
        <v>20061</v>
      </c>
      <c r="B20062">
        <v>13</v>
      </c>
      <c r="C20062">
        <v>0</v>
      </c>
      <c r="D20062">
        <v>0</v>
      </c>
      <c r="E20062">
        <v>0</v>
      </c>
      <c r="F20062">
        <v>1620</v>
      </c>
    </row>
    <row r="20063" spans="1:6" x14ac:dyDescent="0.25">
      <c r="A20063">
        <v>20062</v>
      </c>
      <c r="B20063">
        <v>41</v>
      </c>
      <c r="C20063">
        <v>0</v>
      </c>
      <c r="D20063">
        <v>0</v>
      </c>
      <c r="E20063">
        <v>0</v>
      </c>
      <c r="F20063">
        <v>1</v>
      </c>
    </row>
    <row r="20064" spans="1:6" x14ac:dyDescent="0.25">
      <c r="A20064">
        <v>20063</v>
      </c>
      <c r="B20064">
        <v>42</v>
      </c>
      <c r="C20064">
        <v>0</v>
      </c>
      <c r="D20064">
        <v>0</v>
      </c>
      <c r="E20064">
        <v>0</v>
      </c>
      <c r="F20064">
        <v>0.2</v>
      </c>
    </row>
    <row r="20065" spans="1:6" x14ac:dyDescent="0.25">
      <c r="A20065">
        <v>20064</v>
      </c>
      <c r="B20065">
        <v>43</v>
      </c>
      <c r="C20065">
        <v>0</v>
      </c>
      <c r="D20065">
        <v>0</v>
      </c>
      <c r="E20065">
        <v>0</v>
      </c>
      <c r="F20065">
        <v>0</v>
      </c>
    </row>
    <row r="20066" spans="1:6" x14ac:dyDescent="0.25">
      <c r="A20066">
        <v>20065</v>
      </c>
      <c r="B20066">
        <v>44</v>
      </c>
      <c r="C20066">
        <v>0</v>
      </c>
      <c r="D20066">
        <v>0</v>
      </c>
      <c r="E20066">
        <v>0</v>
      </c>
      <c r="F20066">
        <v>46.627800000000001</v>
      </c>
    </row>
    <row r="20067" spans="1:6" x14ac:dyDescent="0.25">
      <c r="A20067">
        <v>20066</v>
      </c>
      <c r="B20067">
        <v>45</v>
      </c>
      <c r="C20067">
        <v>0</v>
      </c>
      <c r="D20067">
        <v>0</v>
      </c>
      <c r="E20067">
        <v>0</v>
      </c>
      <c r="F20067">
        <v>547.81200000000001</v>
      </c>
    </row>
    <row r="20068" spans="1:6" x14ac:dyDescent="0.25">
      <c r="A20068">
        <v>20067</v>
      </c>
      <c r="B20068">
        <v>46</v>
      </c>
      <c r="C20068">
        <v>0</v>
      </c>
      <c r="D20068">
        <v>0</v>
      </c>
      <c r="E20068">
        <v>0</v>
      </c>
      <c r="F20068">
        <v>0</v>
      </c>
    </row>
    <row r="20069" spans="1:6" x14ac:dyDescent="0.25">
      <c r="A20069">
        <v>20068</v>
      </c>
      <c r="B20069">
        <v>2</v>
      </c>
      <c r="C20069">
        <v>0</v>
      </c>
      <c r="D20069">
        <v>0</v>
      </c>
      <c r="E20069">
        <v>0</v>
      </c>
      <c r="F20069">
        <v>253.38</v>
      </c>
    </row>
    <row r="20070" spans="1:6" x14ac:dyDescent="0.25">
      <c r="A20070">
        <v>20069</v>
      </c>
      <c r="B20070">
        <v>10</v>
      </c>
      <c r="C20070">
        <v>1</v>
      </c>
      <c r="D20070">
        <v>0</v>
      </c>
      <c r="E20070">
        <v>0</v>
      </c>
      <c r="F20070">
        <v>5231</v>
      </c>
    </row>
    <row r="20071" spans="1:6" x14ac:dyDescent="0.25">
      <c r="A20071">
        <v>20070</v>
      </c>
      <c r="B20071" t="s">
        <v>0</v>
      </c>
      <c r="C20071">
        <v>59</v>
      </c>
      <c r="D20071">
        <v>3518</v>
      </c>
      <c r="E20071">
        <v>80929513</v>
      </c>
    </row>
    <row r="20072" spans="1:6" x14ac:dyDescent="0.25">
      <c r="A20072">
        <v>20071</v>
      </c>
      <c r="B20072">
        <v>13</v>
      </c>
      <c r="C20072">
        <v>0</v>
      </c>
      <c r="D20072">
        <v>0</v>
      </c>
      <c r="E20072">
        <v>0</v>
      </c>
      <c r="F20072">
        <v>1620</v>
      </c>
    </row>
    <row r="20073" spans="1:6" x14ac:dyDescent="0.25">
      <c r="A20073">
        <v>20072</v>
      </c>
      <c r="B20073" t="s">
        <v>0</v>
      </c>
      <c r="C20073">
        <v>60</v>
      </c>
      <c r="D20073">
        <v>3518</v>
      </c>
      <c r="E20073">
        <v>80929644</v>
      </c>
    </row>
    <row r="20074" spans="1:6" x14ac:dyDescent="0.25">
      <c r="A20074">
        <v>20073</v>
      </c>
      <c r="B20074">
        <v>42</v>
      </c>
      <c r="C20074">
        <v>0</v>
      </c>
      <c r="D20074">
        <v>0</v>
      </c>
      <c r="E20074">
        <v>0</v>
      </c>
      <c r="F20074">
        <v>0.2</v>
      </c>
    </row>
    <row r="20075" spans="1:6" x14ac:dyDescent="0.25">
      <c r="A20075">
        <v>20074</v>
      </c>
      <c r="B20075" t="s">
        <v>0</v>
      </c>
      <c r="C20075">
        <v>61</v>
      </c>
      <c r="D20075">
        <v>3518</v>
      </c>
      <c r="E20075">
        <v>80929775</v>
      </c>
    </row>
    <row r="20076" spans="1:6" x14ac:dyDescent="0.25">
      <c r="A20076">
        <v>20075</v>
      </c>
      <c r="B20076">
        <v>44</v>
      </c>
      <c r="C20076">
        <v>0</v>
      </c>
      <c r="D20076">
        <v>0</v>
      </c>
      <c r="E20076">
        <v>0</v>
      </c>
      <c r="F20076">
        <v>46.590899999999998</v>
      </c>
    </row>
    <row r="20077" spans="1:6" x14ac:dyDescent="0.25">
      <c r="A20077">
        <v>20076</v>
      </c>
      <c r="B20077" t="s">
        <v>0</v>
      </c>
      <c r="C20077">
        <v>62</v>
      </c>
      <c r="D20077">
        <v>3518</v>
      </c>
      <c r="E20077">
        <v>80929906</v>
      </c>
    </row>
    <row r="20078" spans="1:6" x14ac:dyDescent="0.25">
      <c r="A20078">
        <v>20077</v>
      </c>
      <c r="B20078">
        <v>46</v>
      </c>
      <c r="C20078">
        <v>0</v>
      </c>
      <c r="D20078">
        <v>0</v>
      </c>
      <c r="E20078">
        <v>0</v>
      </c>
      <c r="F20078">
        <v>0</v>
      </c>
    </row>
    <row r="20079" spans="1:6" x14ac:dyDescent="0.25">
      <c r="A20079">
        <v>20078</v>
      </c>
      <c r="B20079" t="s">
        <v>0</v>
      </c>
      <c r="C20079">
        <v>63</v>
      </c>
      <c r="D20079">
        <v>3518</v>
      </c>
      <c r="E20079">
        <v>80930037</v>
      </c>
    </row>
    <row r="20080" spans="1:6" x14ac:dyDescent="0.25">
      <c r="A20080">
        <v>20079</v>
      </c>
      <c r="B20080">
        <v>10</v>
      </c>
      <c r="C20080">
        <v>1</v>
      </c>
      <c r="D20080">
        <v>0</v>
      </c>
      <c r="E20080">
        <v>0</v>
      </c>
      <c r="F20080">
        <v>5231</v>
      </c>
    </row>
    <row r="20081" spans="1:6" x14ac:dyDescent="0.25">
      <c r="A20081">
        <v>20080</v>
      </c>
      <c r="B20081" t="s">
        <v>0</v>
      </c>
      <c r="C20081">
        <v>64</v>
      </c>
      <c r="D20081">
        <v>3518</v>
      </c>
      <c r="E20081">
        <v>80930168</v>
      </c>
    </row>
    <row r="20082" spans="1:6" x14ac:dyDescent="0.25">
      <c r="A20082">
        <v>20081</v>
      </c>
      <c r="B20082">
        <v>41</v>
      </c>
      <c r="C20082">
        <v>0</v>
      </c>
      <c r="D20082">
        <v>0</v>
      </c>
      <c r="E20082">
        <v>0</v>
      </c>
      <c r="F20082">
        <v>1</v>
      </c>
    </row>
    <row r="20083" spans="1:6" x14ac:dyDescent="0.25">
      <c r="A20083">
        <v>20082</v>
      </c>
      <c r="B20083" t="s">
        <v>0</v>
      </c>
      <c r="C20083">
        <v>65</v>
      </c>
      <c r="D20083">
        <v>3518</v>
      </c>
      <c r="E20083">
        <v>80930299</v>
      </c>
    </row>
    <row r="20084" spans="1:6" x14ac:dyDescent="0.25">
      <c r="A20084">
        <v>20083</v>
      </c>
      <c r="B20084">
        <v>43</v>
      </c>
      <c r="C20084">
        <v>0</v>
      </c>
      <c r="D20084">
        <v>0</v>
      </c>
      <c r="E20084">
        <v>0</v>
      </c>
      <c r="F20084">
        <v>0</v>
      </c>
    </row>
    <row r="20085" spans="1:6" x14ac:dyDescent="0.25">
      <c r="A20085">
        <v>20084</v>
      </c>
      <c r="B20085" t="s">
        <v>0</v>
      </c>
      <c r="C20085">
        <v>66</v>
      </c>
      <c r="D20085">
        <v>3518</v>
      </c>
      <c r="E20085">
        <v>80930430</v>
      </c>
    </row>
    <row r="20086" spans="1:6" x14ac:dyDescent="0.25">
      <c r="A20086">
        <v>20085</v>
      </c>
      <c r="B20086">
        <v>45</v>
      </c>
      <c r="C20086">
        <v>0</v>
      </c>
      <c r="D20086">
        <v>0</v>
      </c>
      <c r="E20086">
        <v>0</v>
      </c>
      <c r="F20086">
        <v>547.93399999999997</v>
      </c>
    </row>
    <row r="20087" spans="1:6" x14ac:dyDescent="0.25">
      <c r="A20087">
        <v>20086</v>
      </c>
      <c r="B20087" t="s">
        <v>0</v>
      </c>
      <c r="C20087">
        <v>67</v>
      </c>
      <c r="D20087">
        <v>3518</v>
      </c>
      <c r="E20087">
        <v>80930561</v>
      </c>
    </row>
    <row r="20088" spans="1:6" x14ac:dyDescent="0.25">
      <c r="A20088">
        <v>20087</v>
      </c>
      <c r="B20088">
        <v>2</v>
      </c>
      <c r="C20088">
        <v>0</v>
      </c>
      <c r="D20088">
        <v>0</v>
      </c>
      <c r="E20088">
        <v>0</v>
      </c>
      <c r="F20088">
        <v>253.44300000000001</v>
      </c>
    </row>
    <row r="20089" spans="1:6" x14ac:dyDescent="0.25">
      <c r="A20089">
        <v>20088</v>
      </c>
      <c r="B20089" t="s">
        <v>0</v>
      </c>
      <c r="C20089">
        <v>68</v>
      </c>
      <c r="D20089">
        <v>3518</v>
      </c>
      <c r="E20089">
        <v>80930692</v>
      </c>
    </row>
    <row r="20090" spans="1:6" x14ac:dyDescent="0.25">
      <c r="A20090">
        <v>20089</v>
      </c>
      <c r="B20090">
        <v>13</v>
      </c>
      <c r="C20090">
        <v>0</v>
      </c>
      <c r="D20090">
        <v>0</v>
      </c>
      <c r="E20090">
        <v>0</v>
      </c>
      <c r="F20090">
        <v>1620</v>
      </c>
    </row>
    <row r="20091" spans="1:6" x14ac:dyDescent="0.25">
      <c r="A20091">
        <v>20090</v>
      </c>
      <c r="B20091" t="s">
        <v>0</v>
      </c>
      <c r="C20091">
        <v>69</v>
      </c>
      <c r="D20091">
        <v>3518</v>
      </c>
      <c r="E20091">
        <v>80930823</v>
      </c>
    </row>
    <row r="20092" spans="1:6" x14ac:dyDescent="0.25">
      <c r="A20092">
        <v>20091</v>
      </c>
      <c r="B20092">
        <v>41</v>
      </c>
      <c r="C20092">
        <v>0</v>
      </c>
      <c r="D20092">
        <v>0</v>
      </c>
      <c r="E20092">
        <v>0</v>
      </c>
      <c r="F20092">
        <v>1</v>
      </c>
    </row>
    <row r="20093" spans="1:6" x14ac:dyDescent="0.25">
      <c r="A20093">
        <v>20092</v>
      </c>
      <c r="B20093">
        <v>42</v>
      </c>
      <c r="C20093">
        <v>0</v>
      </c>
      <c r="D20093">
        <v>0</v>
      </c>
      <c r="E20093">
        <v>0</v>
      </c>
      <c r="F20093">
        <v>0.2</v>
      </c>
    </row>
    <row r="20094" spans="1:6" x14ac:dyDescent="0.25">
      <c r="A20094">
        <v>20093</v>
      </c>
      <c r="B20094" t="s">
        <v>0</v>
      </c>
      <c r="C20094">
        <v>70</v>
      </c>
      <c r="D20094">
        <v>3518</v>
      </c>
      <c r="E20094">
        <v>80930954</v>
      </c>
    </row>
    <row r="20095" spans="1:6" x14ac:dyDescent="0.25">
      <c r="A20095">
        <v>20094</v>
      </c>
      <c r="B20095">
        <v>43</v>
      </c>
      <c r="C20095">
        <v>0</v>
      </c>
      <c r="D20095">
        <v>0</v>
      </c>
      <c r="E20095">
        <v>0</v>
      </c>
      <c r="F20095">
        <v>0</v>
      </c>
    </row>
    <row r="20096" spans="1:6" x14ac:dyDescent="0.25">
      <c r="A20096">
        <v>20095</v>
      </c>
      <c r="B20096">
        <v>44</v>
      </c>
      <c r="C20096">
        <v>0</v>
      </c>
      <c r="D20096">
        <v>0</v>
      </c>
      <c r="E20096">
        <v>0</v>
      </c>
      <c r="F20096">
        <v>46.543999999999997</v>
      </c>
    </row>
    <row r="20097" spans="1:6" x14ac:dyDescent="0.25">
      <c r="A20097">
        <v>20096</v>
      </c>
      <c r="B20097" t="s">
        <v>0</v>
      </c>
      <c r="C20097">
        <v>71</v>
      </c>
      <c r="D20097">
        <v>3518</v>
      </c>
      <c r="E20097">
        <v>80931085</v>
      </c>
    </row>
    <row r="20098" spans="1:6" x14ac:dyDescent="0.25">
      <c r="A20098">
        <v>20097</v>
      </c>
      <c r="B20098">
        <v>45</v>
      </c>
      <c r="C20098">
        <v>0</v>
      </c>
      <c r="D20098">
        <v>0</v>
      </c>
      <c r="E20098">
        <v>0</v>
      </c>
      <c r="F20098">
        <v>547.99599999999998</v>
      </c>
    </row>
    <row r="20099" spans="1:6" x14ac:dyDescent="0.25">
      <c r="A20099">
        <v>20098</v>
      </c>
      <c r="B20099">
        <v>46</v>
      </c>
      <c r="C20099">
        <v>0</v>
      </c>
      <c r="D20099">
        <v>0</v>
      </c>
      <c r="E20099">
        <v>0</v>
      </c>
      <c r="F20099">
        <v>0</v>
      </c>
    </row>
    <row r="20100" spans="1:6" x14ac:dyDescent="0.25">
      <c r="A20100">
        <v>20099</v>
      </c>
      <c r="B20100" t="s">
        <v>0</v>
      </c>
      <c r="C20100">
        <v>72</v>
      </c>
      <c r="D20100">
        <v>3518</v>
      </c>
      <c r="E20100">
        <v>80931216</v>
      </c>
    </row>
    <row r="20101" spans="1:6" x14ac:dyDescent="0.25">
      <c r="A20101">
        <v>20100</v>
      </c>
      <c r="B20101">
        <v>2</v>
      </c>
      <c r="C20101">
        <v>0</v>
      </c>
      <c r="D20101">
        <v>0</v>
      </c>
      <c r="E20101">
        <v>0</v>
      </c>
      <c r="F20101">
        <v>253.464</v>
      </c>
    </row>
    <row r="20102" spans="1:6" x14ac:dyDescent="0.25">
      <c r="A20102">
        <v>20101</v>
      </c>
      <c r="B20102">
        <v>10</v>
      </c>
      <c r="C20102">
        <v>1</v>
      </c>
      <c r="D20102">
        <v>0</v>
      </c>
      <c r="E20102">
        <v>0</v>
      </c>
      <c r="F20102">
        <v>5230</v>
      </c>
    </row>
    <row r="20103" spans="1:6" x14ac:dyDescent="0.25">
      <c r="A20103">
        <v>20102</v>
      </c>
      <c r="B20103" t="s">
        <v>0</v>
      </c>
      <c r="C20103">
        <v>73</v>
      </c>
      <c r="D20103">
        <v>3518</v>
      </c>
      <c r="E20103">
        <v>80931347</v>
      </c>
    </row>
    <row r="20104" spans="1:6" x14ac:dyDescent="0.25">
      <c r="A20104">
        <v>20103</v>
      </c>
      <c r="B20104">
        <v>13</v>
      </c>
      <c r="C20104">
        <v>0</v>
      </c>
      <c r="D20104">
        <v>0</v>
      </c>
      <c r="E20104">
        <v>0</v>
      </c>
      <c r="F20104">
        <v>1620</v>
      </c>
    </row>
    <row r="20105" spans="1:6" x14ac:dyDescent="0.25">
      <c r="A20105">
        <v>20104</v>
      </c>
      <c r="B20105">
        <v>41</v>
      </c>
      <c r="C20105">
        <v>0</v>
      </c>
      <c r="D20105">
        <v>0</v>
      </c>
      <c r="E20105">
        <v>0</v>
      </c>
      <c r="F20105">
        <v>1</v>
      </c>
    </row>
    <row r="20106" spans="1:6" x14ac:dyDescent="0.25">
      <c r="A20106">
        <v>20105</v>
      </c>
      <c r="B20106" t="s">
        <v>0</v>
      </c>
      <c r="C20106">
        <v>74</v>
      </c>
      <c r="D20106">
        <v>3518</v>
      </c>
      <c r="E20106">
        <v>80931478</v>
      </c>
    </row>
    <row r="20107" spans="1:6" x14ac:dyDescent="0.25">
      <c r="A20107">
        <v>20106</v>
      </c>
      <c r="B20107">
        <v>42</v>
      </c>
      <c r="C20107">
        <v>0</v>
      </c>
      <c r="D20107">
        <v>0</v>
      </c>
      <c r="E20107">
        <v>0</v>
      </c>
      <c r="F20107">
        <v>0.2</v>
      </c>
    </row>
    <row r="20108" spans="1:6" x14ac:dyDescent="0.25">
      <c r="A20108">
        <v>20107</v>
      </c>
      <c r="B20108">
        <v>43</v>
      </c>
      <c r="C20108">
        <v>0</v>
      </c>
      <c r="D20108">
        <v>0</v>
      </c>
      <c r="E20108">
        <v>0</v>
      </c>
      <c r="F20108">
        <v>0</v>
      </c>
    </row>
    <row r="20109" spans="1:6" x14ac:dyDescent="0.25">
      <c r="A20109">
        <v>20108</v>
      </c>
      <c r="B20109" t="s">
        <v>0</v>
      </c>
      <c r="C20109">
        <v>75</v>
      </c>
      <c r="D20109">
        <v>3518</v>
      </c>
      <c r="E20109">
        <v>80931609</v>
      </c>
    </row>
    <row r="20110" spans="1:6" x14ac:dyDescent="0.25">
      <c r="A20110">
        <v>20109</v>
      </c>
      <c r="B20110">
        <v>44</v>
      </c>
      <c r="C20110">
        <v>0</v>
      </c>
      <c r="D20110">
        <v>0</v>
      </c>
      <c r="E20110">
        <v>0</v>
      </c>
      <c r="F20110">
        <v>46.526299999999999</v>
      </c>
    </row>
    <row r="20111" spans="1:6" x14ac:dyDescent="0.25">
      <c r="A20111">
        <v>20110</v>
      </c>
      <c r="B20111">
        <v>45</v>
      </c>
      <c r="C20111">
        <v>0</v>
      </c>
      <c r="D20111">
        <v>0</v>
      </c>
      <c r="E20111">
        <v>0</v>
      </c>
      <c r="F20111">
        <v>548.04499999999996</v>
      </c>
    </row>
    <row r="20112" spans="1:6" x14ac:dyDescent="0.25">
      <c r="A20112">
        <v>20111</v>
      </c>
      <c r="B20112" t="s">
        <v>0</v>
      </c>
      <c r="C20112">
        <v>76</v>
      </c>
      <c r="D20112">
        <v>3518</v>
      </c>
      <c r="E20112">
        <v>80931740</v>
      </c>
    </row>
    <row r="20113" spans="1:6" x14ac:dyDescent="0.25">
      <c r="A20113">
        <v>20112</v>
      </c>
      <c r="B20113">
        <v>46</v>
      </c>
      <c r="C20113">
        <v>0</v>
      </c>
      <c r="D20113">
        <v>0</v>
      </c>
      <c r="E20113">
        <v>0</v>
      </c>
      <c r="F20113">
        <v>0</v>
      </c>
    </row>
    <row r="20114" spans="1:6" x14ac:dyDescent="0.25">
      <c r="A20114">
        <v>20113</v>
      </c>
      <c r="B20114">
        <v>2</v>
      </c>
      <c r="C20114">
        <v>0</v>
      </c>
      <c r="D20114">
        <v>0</v>
      </c>
      <c r="E20114">
        <v>0</v>
      </c>
      <c r="F20114">
        <v>253.477</v>
      </c>
    </row>
    <row r="20115" spans="1:6" x14ac:dyDescent="0.25">
      <c r="A20115">
        <v>20114</v>
      </c>
      <c r="B20115" t="s">
        <v>0</v>
      </c>
      <c r="C20115">
        <v>77</v>
      </c>
      <c r="D20115">
        <v>3518</v>
      </c>
      <c r="E20115">
        <v>80931871</v>
      </c>
    </row>
    <row r="20116" spans="1:6" x14ac:dyDescent="0.25">
      <c r="A20116">
        <v>20115</v>
      </c>
      <c r="B20116">
        <v>10</v>
      </c>
      <c r="C20116">
        <v>1</v>
      </c>
      <c r="D20116">
        <v>0</v>
      </c>
      <c r="E20116">
        <v>0</v>
      </c>
      <c r="F20116">
        <v>5230</v>
      </c>
    </row>
    <row r="20117" spans="1:6" x14ac:dyDescent="0.25">
      <c r="A20117">
        <v>20116</v>
      </c>
      <c r="B20117">
        <v>13</v>
      </c>
      <c r="C20117">
        <v>0</v>
      </c>
      <c r="D20117">
        <v>0</v>
      </c>
      <c r="E20117">
        <v>0</v>
      </c>
      <c r="F20117">
        <v>1620</v>
      </c>
    </row>
    <row r="20118" spans="1:6" x14ac:dyDescent="0.25">
      <c r="A20118">
        <v>20117</v>
      </c>
      <c r="B20118">
        <v>41</v>
      </c>
      <c r="C20118">
        <v>0</v>
      </c>
      <c r="D20118">
        <v>0</v>
      </c>
      <c r="E20118">
        <v>0</v>
      </c>
      <c r="F20118">
        <v>1</v>
      </c>
    </row>
    <row r="20119" spans="1:6" x14ac:dyDescent="0.25">
      <c r="A20119">
        <v>20118</v>
      </c>
      <c r="B20119">
        <v>42</v>
      </c>
      <c r="C20119">
        <v>0</v>
      </c>
      <c r="D20119">
        <v>0</v>
      </c>
      <c r="E20119">
        <v>0</v>
      </c>
      <c r="F20119">
        <v>0.2</v>
      </c>
    </row>
    <row r="20120" spans="1:6" x14ac:dyDescent="0.25">
      <c r="A20120">
        <v>20119</v>
      </c>
      <c r="B20120">
        <v>43</v>
      </c>
      <c r="C20120">
        <v>0</v>
      </c>
      <c r="D20120">
        <v>0</v>
      </c>
      <c r="E20120">
        <v>0</v>
      </c>
      <c r="F20120">
        <v>0</v>
      </c>
    </row>
    <row r="20121" spans="1:6" x14ac:dyDescent="0.25">
      <c r="A20121">
        <v>20120</v>
      </c>
      <c r="B20121">
        <v>44</v>
      </c>
      <c r="C20121">
        <v>0</v>
      </c>
      <c r="D20121">
        <v>0</v>
      </c>
      <c r="E20121">
        <v>0</v>
      </c>
      <c r="F20121">
        <v>46.514099999999999</v>
      </c>
    </row>
    <row r="20122" spans="1:6" x14ac:dyDescent="0.25">
      <c r="A20122">
        <v>20121</v>
      </c>
      <c r="B20122">
        <v>45</v>
      </c>
      <c r="C20122">
        <v>0</v>
      </c>
      <c r="D20122">
        <v>0</v>
      </c>
      <c r="E20122">
        <v>0</v>
      </c>
      <c r="F20122">
        <v>548.10599999999999</v>
      </c>
    </row>
    <row r="20123" spans="1:6" x14ac:dyDescent="0.25">
      <c r="A20123">
        <v>20122</v>
      </c>
      <c r="B20123">
        <v>46</v>
      </c>
      <c r="C20123">
        <v>0</v>
      </c>
      <c r="D20123">
        <v>0</v>
      </c>
      <c r="E20123">
        <v>0</v>
      </c>
      <c r="F20123">
        <v>0</v>
      </c>
    </row>
    <row r="20124" spans="1:6" x14ac:dyDescent="0.25">
      <c r="A20124">
        <v>20123</v>
      </c>
      <c r="B20124">
        <v>2</v>
      </c>
      <c r="C20124">
        <v>0</v>
      </c>
      <c r="D20124">
        <v>0</v>
      </c>
      <c r="E20124">
        <v>0</v>
      </c>
      <c r="F20124">
        <v>253.49100000000001</v>
      </c>
    </row>
    <row r="20125" spans="1:6" x14ac:dyDescent="0.25">
      <c r="A20125">
        <v>20124</v>
      </c>
      <c r="B20125">
        <v>10</v>
      </c>
      <c r="C20125">
        <v>1</v>
      </c>
      <c r="D20125">
        <v>0</v>
      </c>
      <c r="E20125">
        <v>0</v>
      </c>
      <c r="F20125">
        <v>5230</v>
      </c>
    </row>
    <row r="20126" spans="1:6" x14ac:dyDescent="0.25">
      <c r="A20126">
        <v>20125</v>
      </c>
      <c r="B20126">
        <v>13</v>
      </c>
      <c r="C20126">
        <v>0</v>
      </c>
      <c r="D20126">
        <v>0</v>
      </c>
      <c r="E20126">
        <v>0</v>
      </c>
      <c r="F20126">
        <v>1620</v>
      </c>
    </row>
    <row r="20127" spans="1:6" x14ac:dyDescent="0.25">
      <c r="A20127">
        <v>20126</v>
      </c>
      <c r="B20127">
        <v>41</v>
      </c>
      <c r="C20127">
        <v>0</v>
      </c>
      <c r="D20127">
        <v>0</v>
      </c>
      <c r="E20127">
        <v>0</v>
      </c>
      <c r="F20127">
        <v>1</v>
      </c>
    </row>
    <row r="20128" spans="1:6" x14ac:dyDescent="0.25">
      <c r="A20128">
        <v>20127</v>
      </c>
      <c r="B20128">
        <v>42</v>
      </c>
      <c r="C20128">
        <v>0</v>
      </c>
      <c r="D20128">
        <v>0</v>
      </c>
      <c r="E20128">
        <v>0</v>
      </c>
      <c r="F20128">
        <v>0.2</v>
      </c>
    </row>
    <row r="20129" spans="1:6" x14ac:dyDescent="0.25">
      <c r="A20129">
        <v>20128</v>
      </c>
      <c r="B20129">
        <v>43</v>
      </c>
      <c r="C20129">
        <v>0</v>
      </c>
      <c r="D20129">
        <v>0</v>
      </c>
      <c r="E20129">
        <v>0</v>
      </c>
      <c r="F20129">
        <v>0</v>
      </c>
    </row>
    <row r="20130" spans="1:6" x14ac:dyDescent="0.25">
      <c r="A20130">
        <v>20129</v>
      </c>
      <c r="B20130">
        <v>44</v>
      </c>
      <c r="C20130">
        <v>0</v>
      </c>
      <c r="D20130">
        <v>0</v>
      </c>
      <c r="E20130">
        <v>0</v>
      </c>
      <c r="F20130">
        <v>46.502600000000001</v>
      </c>
    </row>
    <row r="20131" spans="1:6" x14ac:dyDescent="0.25">
      <c r="A20131">
        <v>20130</v>
      </c>
      <c r="B20131">
        <v>45</v>
      </c>
      <c r="C20131">
        <v>0</v>
      </c>
      <c r="D20131">
        <v>0</v>
      </c>
      <c r="E20131">
        <v>0</v>
      </c>
      <c r="F20131">
        <v>548.15499999999997</v>
      </c>
    </row>
    <row r="20132" spans="1:6" x14ac:dyDescent="0.25">
      <c r="A20132">
        <v>20131</v>
      </c>
      <c r="B20132">
        <v>46</v>
      </c>
      <c r="C20132">
        <v>0</v>
      </c>
      <c r="D20132">
        <v>0</v>
      </c>
      <c r="E20132">
        <v>0</v>
      </c>
      <c r="F20132">
        <v>0</v>
      </c>
    </row>
    <row r="20133" spans="1:6" x14ac:dyDescent="0.25">
      <c r="A20133">
        <v>20132</v>
      </c>
      <c r="B20133">
        <v>2</v>
      </c>
      <c r="C20133">
        <v>0</v>
      </c>
      <c r="D20133">
        <v>0</v>
      </c>
      <c r="E20133">
        <v>0</v>
      </c>
      <c r="F20133">
        <v>253.499</v>
      </c>
    </row>
    <row r="20134" spans="1:6" x14ac:dyDescent="0.25">
      <c r="A20134">
        <v>20133</v>
      </c>
      <c r="B20134">
        <v>10</v>
      </c>
      <c r="C20134">
        <v>1</v>
      </c>
      <c r="D20134">
        <v>0</v>
      </c>
      <c r="E20134">
        <v>0</v>
      </c>
      <c r="F20134">
        <v>5230</v>
      </c>
    </row>
    <row r="20135" spans="1:6" x14ac:dyDescent="0.25">
      <c r="A20135">
        <v>20134</v>
      </c>
      <c r="B20135" t="s">
        <v>0</v>
      </c>
      <c r="C20135">
        <v>87</v>
      </c>
      <c r="D20135">
        <v>3518</v>
      </c>
      <c r="E20135">
        <v>80933181</v>
      </c>
    </row>
    <row r="20136" spans="1:6" x14ac:dyDescent="0.25">
      <c r="A20136">
        <v>20135</v>
      </c>
      <c r="B20136">
        <v>41</v>
      </c>
      <c r="C20136">
        <v>0</v>
      </c>
      <c r="D20136">
        <v>0</v>
      </c>
      <c r="E20136">
        <v>0</v>
      </c>
      <c r="F20136">
        <v>1</v>
      </c>
    </row>
    <row r="20137" spans="1:6" x14ac:dyDescent="0.25">
      <c r="A20137">
        <v>20136</v>
      </c>
      <c r="B20137" t="s">
        <v>0</v>
      </c>
      <c r="C20137">
        <v>88</v>
      </c>
      <c r="D20137">
        <v>3518</v>
      </c>
      <c r="E20137">
        <v>80933312</v>
      </c>
    </row>
    <row r="20138" spans="1:6" x14ac:dyDescent="0.25">
      <c r="A20138">
        <v>20137</v>
      </c>
      <c r="B20138">
        <v>43</v>
      </c>
      <c r="C20138">
        <v>0</v>
      </c>
      <c r="D20138">
        <v>0</v>
      </c>
      <c r="E20138">
        <v>0</v>
      </c>
      <c r="F20138">
        <v>0</v>
      </c>
    </row>
    <row r="20139" spans="1:6" x14ac:dyDescent="0.25">
      <c r="A20139">
        <v>20138</v>
      </c>
      <c r="B20139" t="s">
        <v>0</v>
      </c>
      <c r="C20139">
        <v>89</v>
      </c>
      <c r="D20139">
        <v>3518</v>
      </c>
      <c r="E20139">
        <v>80933443</v>
      </c>
    </row>
    <row r="20140" spans="1:6" x14ac:dyDescent="0.25">
      <c r="A20140">
        <v>20139</v>
      </c>
      <c r="B20140">
        <v>45</v>
      </c>
      <c r="C20140">
        <v>0</v>
      </c>
      <c r="D20140">
        <v>0</v>
      </c>
      <c r="E20140">
        <v>0</v>
      </c>
      <c r="F20140">
        <v>548.21600000000001</v>
      </c>
    </row>
    <row r="20141" spans="1:6" x14ac:dyDescent="0.25">
      <c r="A20141">
        <v>20140</v>
      </c>
      <c r="B20141" t="s">
        <v>0</v>
      </c>
      <c r="C20141">
        <v>90</v>
      </c>
      <c r="D20141">
        <v>3518</v>
      </c>
      <c r="E20141">
        <v>80933574</v>
      </c>
    </row>
    <row r="20142" spans="1:6" x14ac:dyDescent="0.25">
      <c r="A20142">
        <v>20141</v>
      </c>
      <c r="B20142">
        <v>2</v>
      </c>
      <c r="C20142">
        <v>0</v>
      </c>
      <c r="D20142">
        <v>0</v>
      </c>
      <c r="E20142">
        <v>0</v>
      </c>
      <c r="F20142">
        <v>253.50700000000001</v>
      </c>
    </row>
    <row r="20143" spans="1:6" x14ac:dyDescent="0.25">
      <c r="A20143">
        <v>20142</v>
      </c>
      <c r="B20143" t="s">
        <v>0</v>
      </c>
      <c r="C20143">
        <v>91</v>
      </c>
      <c r="D20143">
        <v>3518</v>
      </c>
      <c r="E20143">
        <v>80933704</v>
      </c>
    </row>
    <row r="20144" spans="1:6" x14ac:dyDescent="0.25">
      <c r="A20144">
        <v>20143</v>
      </c>
      <c r="B20144">
        <v>13</v>
      </c>
      <c r="C20144">
        <v>0</v>
      </c>
      <c r="D20144">
        <v>0</v>
      </c>
      <c r="E20144">
        <v>0</v>
      </c>
      <c r="F20144">
        <v>1620</v>
      </c>
    </row>
    <row r="20145" spans="1:6" x14ac:dyDescent="0.25">
      <c r="A20145">
        <v>20144</v>
      </c>
      <c r="B20145" t="s">
        <v>0</v>
      </c>
      <c r="C20145">
        <v>92</v>
      </c>
      <c r="D20145">
        <v>3518</v>
      </c>
      <c r="E20145">
        <v>80933835</v>
      </c>
    </row>
    <row r="20146" spans="1:6" x14ac:dyDescent="0.25">
      <c r="A20146">
        <v>20145</v>
      </c>
      <c r="B20146">
        <v>42</v>
      </c>
      <c r="C20146">
        <v>0</v>
      </c>
      <c r="D20146">
        <v>0</v>
      </c>
      <c r="E20146">
        <v>0</v>
      </c>
      <c r="F20146">
        <v>0.2</v>
      </c>
    </row>
    <row r="20147" spans="1:6" x14ac:dyDescent="0.25">
      <c r="A20147">
        <v>20146</v>
      </c>
      <c r="B20147" t="s">
        <v>0</v>
      </c>
      <c r="C20147">
        <v>93</v>
      </c>
      <c r="D20147">
        <v>3518</v>
      </c>
      <c r="E20147">
        <v>80933966</v>
      </c>
    </row>
    <row r="20148" spans="1:6" x14ac:dyDescent="0.25">
      <c r="A20148">
        <v>20147</v>
      </c>
      <c r="B20148">
        <v>44</v>
      </c>
      <c r="C20148">
        <v>0</v>
      </c>
      <c r="D20148">
        <v>0</v>
      </c>
      <c r="E20148">
        <v>0</v>
      </c>
      <c r="F20148">
        <v>46.488599999999998</v>
      </c>
    </row>
    <row r="20149" spans="1:6" x14ac:dyDescent="0.25">
      <c r="A20149">
        <v>20148</v>
      </c>
      <c r="B20149" t="s">
        <v>0</v>
      </c>
      <c r="C20149">
        <v>94</v>
      </c>
      <c r="D20149">
        <v>3518</v>
      </c>
      <c r="E20149">
        <v>80934097</v>
      </c>
    </row>
    <row r="20150" spans="1:6" x14ac:dyDescent="0.25">
      <c r="A20150">
        <v>20149</v>
      </c>
      <c r="B20150">
        <v>46</v>
      </c>
      <c r="C20150">
        <v>0</v>
      </c>
      <c r="D20150">
        <v>0</v>
      </c>
      <c r="E20150">
        <v>0</v>
      </c>
      <c r="F20150">
        <v>0</v>
      </c>
    </row>
    <row r="20151" spans="1:6" x14ac:dyDescent="0.25">
      <c r="A20151">
        <v>20150</v>
      </c>
      <c r="B20151" t="s">
        <v>0</v>
      </c>
      <c r="C20151">
        <v>95</v>
      </c>
      <c r="D20151">
        <v>3518</v>
      </c>
      <c r="E20151">
        <v>80934228</v>
      </c>
    </row>
    <row r="20152" spans="1:6" x14ac:dyDescent="0.25">
      <c r="A20152">
        <v>20151</v>
      </c>
      <c r="B20152">
        <v>10</v>
      </c>
      <c r="C20152">
        <v>1</v>
      </c>
      <c r="D20152">
        <v>0</v>
      </c>
      <c r="E20152">
        <v>0</v>
      </c>
      <c r="F20152">
        <v>5230</v>
      </c>
    </row>
    <row r="20153" spans="1:6" x14ac:dyDescent="0.25">
      <c r="A20153">
        <v>20152</v>
      </c>
      <c r="B20153" t="s">
        <v>0</v>
      </c>
      <c r="C20153">
        <v>96</v>
      </c>
      <c r="D20153">
        <v>3518</v>
      </c>
      <c r="E20153">
        <v>80934359</v>
      </c>
    </row>
    <row r="20154" spans="1:6" x14ac:dyDescent="0.25">
      <c r="A20154">
        <v>20153</v>
      </c>
      <c r="B20154">
        <v>41</v>
      </c>
      <c r="C20154">
        <v>0</v>
      </c>
      <c r="D20154">
        <v>0</v>
      </c>
      <c r="E20154">
        <v>0</v>
      </c>
      <c r="F20154">
        <v>1</v>
      </c>
    </row>
    <row r="20155" spans="1:6" x14ac:dyDescent="0.25">
      <c r="A20155">
        <v>20154</v>
      </c>
      <c r="B20155" t="s">
        <v>0</v>
      </c>
      <c r="C20155">
        <v>97</v>
      </c>
      <c r="D20155">
        <v>3518</v>
      </c>
      <c r="E20155">
        <v>80934490</v>
      </c>
    </row>
    <row r="20156" spans="1:6" x14ac:dyDescent="0.25">
      <c r="A20156">
        <v>20155</v>
      </c>
      <c r="B20156">
        <v>42</v>
      </c>
      <c r="C20156">
        <v>0</v>
      </c>
      <c r="D20156">
        <v>0</v>
      </c>
      <c r="E20156">
        <v>0</v>
      </c>
      <c r="F20156">
        <v>0.2</v>
      </c>
    </row>
    <row r="20157" spans="1:6" x14ac:dyDescent="0.25">
      <c r="A20157">
        <v>20156</v>
      </c>
      <c r="B20157">
        <v>43</v>
      </c>
      <c r="C20157">
        <v>0</v>
      </c>
      <c r="D20157">
        <v>0</v>
      </c>
      <c r="E20157">
        <v>0</v>
      </c>
      <c r="F20157">
        <v>0</v>
      </c>
    </row>
    <row r="20158" spans="1:6" x14ac:dyDescent="0.25">
      <c r="A20158">
        <v>20157</v>
      </c>
      <c r="B20158" t="s">
        <v>0</v>
      </c>
      <c r="C20158">
        <v>98</v>
      </c>
      <c r="D20158">
        <v>3518</v>
      </c>
      <c r="E20158">
        <v>80934621</v>
      </c>
    </row>
    <row r="20159" spans="1:6" x14ac:dyDescent="0.25">
      <c r="A20159">
        <v>20158</v>
      </c>
      <c r="B20159">
        <v>44</v>
      </c>
      <c r="C20159">
        <v>0</v>
      </c>
      <c r="D20159">
        <v>0</v>
      </c>
      <c r="E20159">
        <v>0</v>
      </c>
      <c r="F20159">
        <v>46.482999999999997</v>
      </c>
    </row>
    <row r="20160" spans="1:6" x14ac:dyDescent="0.25">
      <c r="A20160">
        <v>20159</v>
      </c>
      <c r="B20160">
        <v>45</v>
      </c>
      <c r="C20160">
        <v>0</v>
      </c>
      <c r="D20160">
        <v>0</v>
      </c>
      <c r="E20160">
        <v>0</v>
      </c>
      <c r="F20160">
        <v>548.32600000000002</v>
      </c>
    </row>
    <row r="20161" spans="1:6" x14ac:dyDescent="0.25">
      <c r="A20161">
        <v>20160</v>
      </c>
      <c r="B20161" t="s">
        <v>0</v>
      </c>
      <c r="C20161">
        <v>99</v>
      </c>
      <c r="D20161">
        <v>3518</v>
      </c>
      <c r="E20161">
        <v>80934752</v>
      </c>
    </row>
    <row r="20162" spans="1:6" x14ac:dyDescent="0.25">
      <c r="A20162">
        <v>20161</v>
      </c>
      <c r="B20162">
        <v>46</v>
      </c>
      <c r="C20162">
        <v>0</v>
      </c>
      <c r="D20162">
        <v>0</v>
      </c>
      <c r="E20162">
        <v>0</v>
      </c>
      <c r="F20162">
        <v>0</v>
      </c>
    </row>
    <row r="20163" spans="1:6" x14ac:dyDescent="0.25">
      <c r="A20163">
        <v>20162</v>
      </c>
      <c r="B20163">
        <v>2</v>
      </c>
      <c r="C20163">
        <v>0</v>
      </c>
      <c r="D20163">
        <v>0</v>
      </c>
      <c r="E20163">
        <v>0</v>
      </c>
      <c r="F20163">
        <v>253.518</v>
      </c>
    </row>
    <row r="20164" spans="1:6" x14ac:dyDescent="0.25">
      <c r="A20164">
        <v>20163</v>
      </c>
      <c r="B20164" t="s">
        <v>0</v>
      </c>
      <c r="C20164">
        <v>100</v>
      </c>
      <c r="D20164">
        <v>3518</v>
      </c>
      <c r="E20164">
        <v>80934883</v>
      </c>
    </row>
    <row r="20165" spans="1:6" x14ac:dyDescent="0.25">
      <c r="A20165">
        <v>20164</v>
      </c>
      <c r="B20165">
        <v>10</v>
      </c>
      <c r="C20165">
        <v>1</v>
      </c>
      <c r="D20165">
        <v>0</v>
      </c>
      <c r="E20165">
        <v>0</v>
      </c>
      <c r="F20165">
        <v>5230</v>
      </c>
    </row>
    <row r="20166" spans="1:6" x14ac:dyDescent="0.25">
      <c r="A20166">
        <v>20165</v>
      </c>
      <c r="B20166">
        <v>13</v>
      </c>
      <c r="C20166">
        <v>0</v>
      </c>
      <c r="D20166">
        <v>0</v>
      </c>
      <c r="E20166">
        <v>0</v>
      </c>
      <c r="F20166">
        <v>1620</v>
      </c>
    </row>
    <row r="20167" spans="1:6" x14ac:dyDescent="0.25">
      <c r="A20167">
        <v>20166</v>
      </c>
      <c r="B20167" t="s">
        <v>0</v>
      </c>
      <c r="C20167">
        <v>101</v>
      </c>
      <c r="D20167">
        <v>3518</v>
      </c>
      <c r="E20167">
        <v>80935014</v>
      </c>
    </row>
    <row r="20168" spans="1:6" x14ac:dyDescent="0.25">
      <c r="A20168">
        <v>20167</v>
      </c>
      <c r="B20168">
        <v>41</v>
      </c>
      <c r="C20168">
        <v>0</v>
      </c>
      <c r="D20168">
        <v>0</v>
      </c>
      <c r="E20168">
        <v>0</v>
      </c>
      <c r="F20168">
        <v>1</v>
      </c>
    </row>
    <row r="20169" spans="1:6" x14ac:dyDescent="0.25">
      <c r="A20169">
        <v>20168</v>
      </c>
      <c r="B20169">
        <v>42</v>
      </c>
      <c r="C20169">
        <v>0</v>
      </c>
      <c r="D20169">
        <v>0</v>
      </c>
      <c r="E20169">
        <v>0</v>
      </c>
      <c r="F20169">
        <v>0.2</v>
      </c>
    </row>
    <row r="20170" spans="1:6" x14ac:dyDescent="0.25">
      <c r="A20170">
        <v>20169</v>
      </c>
      <c r="B20170" t="s">
        <v>0</v>
      </c>
      <c r="C20170">
        <v>102</v>
      </c>
      <c r="D20170">
        <v>3518</v>
      </c>
      <c r="E20170">
        <v>80935145</v>
      </c>
    </row>
    <row r="20171" spans="1:6" x14ac:dyDescent="0.25">
      <c r="A20171">
        <v>20170</v>
      </c>
      <c r="B20171">
        <v>43</v>
      </c>
      <c r="C20171">
        <v>0</v>
      </c>
      <c r="D20171">
        <v>0</v>
      </c>
      <c r="E20171">
        <v>0</v>
      </c>
      <c r="F20171">
        <v>0</v>
      </c>
    </row>
    <row r="20172" spans="1:6" x14ac:dyDescent="0.25">
      <c r="A20172">
        <v>20171</v>
      </c>
      <c r="B20172">
        <v>44</v>
      </c>
      <c r="C20172">
        <v>0</v>
      </c>
      <c r="D20172">
        <v>0</v>
      </c>
      <c r="E20172">
        <v>0</v>
      </c>
      <c r="F20172">
        <v>46.479599999999998</v>
      </c>
    </row>
    <row r="20173" spans="1:6" x14ac:dyDescent="0.25">
      <c r="A20173">
        <v>20172</v>
      </c>
      <c r="B20173" t="s">
        <v>0</v>
      </c>
      <c r="C20173">
        <v>103</v>
      </c>
      <c r="D20173">
        <v>3518</v>
      </c>
      <c r="E20173">
        <v>80935276</v>
      </c>
    </row>
    <row r="20174" spans="1:6" x14ac:dyDescent="0.25">
      <c r="A20174">
        <v>20173</v>
      </c>
      <c r="B20174">
        <v>45</v>
      </c>
      <c r="C20174">
        <v>0</v>
      </c>
      <c r="D20174">
        <v>0</v>
      </c>
      <c r="E20174">
        <v>0</v>
      </c>
      <c r="F20174">
        <v>548.38699999999994</v>
      </c>
    </row>
    <row r="20175" spans="1:6" x14ac:dyDescent="0.25">
      <c r="A20175">
        <v>20174</v>
      </c>
      <c r="B20175">
        <v>46</v>
      </c>
      <c r="C20175">
        <v>0</v>
      </c>
      <c r="D20175">
        <v>0</v>
      </c>
      <c r="E20175">
        <v>0</v>
      </c>
      <c r="F20175">
        <v>0</v>
      </c>
    </row>
    <row r="20176" spans="1:6" x14ac:dyDescent="0.25">
      <c r="A20176">
        <v>20175</v>
      </c>
      <c r="B20176" t="s">
        <v>0</v>
      </c>
      <c r="C20176">
        <v>104</v>
      </c>
      <c r="D20176">
        <v>3518</v>
      </c>
      <c r="E20176">
        <v>80935407</v>
      </c>
    </row>
    <row r="20177" spans="1:6" x14ac:dyDescent="0.25">
      <c r="A20177">
        <v>20176</v>
      </c>
      <c r="B20177">
        <v>2</v>
      </c>
      <c r="C20177">
        <v>0</v>
      </c>
      <c r="D20177">
        <v>0</v>
      </c>
      <c r="E20177">
        <v>0</v>
      </c>
      <c r="F20177">
        <v>253.52199999999999</v>
      </c>
    </row>
    <row r="20178" spans="1:6" x14ac:dyDescent="0.25">
      <c r="A20178">
        <v>20177</v>
      </c>
      <c r="B20178">
        <v>10</v>
      </c>
      <c r="C20178">
        <v>1</v>
      </c>
      <c r="D20178">
        <v>0</v>
      </c>
      <c r="E20178">
        <v>0</v>
      </c>
      <c r="F20178">
        <v>5231</v>
      </c>
    </row>
    <row r="20179" spans="1:6" x14ac:dyDescent="0.25">
      <c r="A20179">
        <v>20178</v>
      </c>
      <c r="B20179" t="s">
        <v>0</v>
      </c>
      <c r="C20179">
        <v>105</v>
      </c>
      <c r="D20179">
        <v>3518</v>
      </c>
      <c r="E20179">
        <v>80935538</v>
      </c>
    </row>
    <row r="20180" spans="1:6" x14ac:dyDescent="0.25">
      <c r="A20180">
        <v>20179</v>
      </c>
      <c r="B20180">
        <v>13</v>
      </c>
      <c r="C20180">
        <v>0</v>
      </c>
      <c r="D20180">
        <v>0</v>
      </c>
      <c r="E20180">
        <v>0</v>
      </c>
      <c r="F20180">
        <v>1620</v>
      </c>
    </row>
    <row r="20181" spans="1:6" x14ac:dyDescent="0.25">
      <c r="A20181">
        <v>20180</v>
      </c>
      <c r="B20181">
        <v>41</v>
      </c>
      <c r="C20181">
        <v>0</v>
      </c>
      <c r="D20181">
        <v>0</v>
      </c>
      <c r="E20181">
        <v>0</v>
      </c>
      <c r="F20181">
        <v>1</v>
      </c>
    </row>
    <row r="20182" spans="1:6" x14ac:dyDescent="0.25">
      <c r="A20182">
        <v>20181</v>
      </c>
      <c r="B20182">
        <v>42</v>
      </c>
      <c r="C20182">
        <v>0</v>
      </c>
      <c r="D20182">
        <v>0</v>
      </c>
      <c r="E20182">
        <v>0</v>
      </c>
      <c r="F20182">
        <v>0.2</v>
      </c>
    </row>
    <row r="20183" spans="1:6" x14ac:dyDescent="0.25">
      <c r="A20183">
        <v>20182</v>
      </c>
      <c r="B20183">
        <v>43</v>
      </c>
      <c r="C20183">
        <v>0</v>
      </c>
      <c r="D20183">
        <v>0</v>
      </c>
      <c r="E20183">
        <v>0</v>
      </c>
      <c r="F20183">
        <v>0</v>
      </c>
    </row>
    <row r="20184" spans="1:6" x14ac:dyDescent="0.25">
      <c r="A20184">
        <v>20183</v>
      </c>
      <c r="B20184">
        <v>44</v>
      </c>
      <c r="C20184">
        <v>0</v>
      </c>
      <c r="D20184">
        <v>0</v>
      </c>
      <c r="E20184">
        <v>0</v>
      </c>
      <c r="F20184">
        <v>46.476300000000002</v>
      </c>
    </row>
    <row r="20185" spans="1:6" x14ac:dyDescent="0.25">
      <c r="A20185">
        <v>20184</v>
      </c>
      <c r="B20185">
        <v>45</v>
      </c>
      <c r="C20185">
        <v>0</v>
      </c>
      <c r="D20185">
        <v>0</v>
      </c>
      <c r="E20185">
        <v>0</v>
      </c>
      <c r="F20185">
        <v>548.43600000000004</v>
      </c>
    </row>
    <row r="20186" spans="1:6" x14ac:dyDescent="0.25">
      <c r="A20186">
        <v>20185</v>
      </c>
      <c r="B20186">
        <v>46</v>
      </c>
      <c r="C20186">
        <v>0</v>
      </c>
      <c r="D20186">
        <v>0</v>
      </c>
      <c r="E20186">
        <v>0</v>
      </c>
      <c r="F20186">
        <v>0</v>
      </c>
    </row>
    <row r="20187" spans="1:6" x14ac:dyDescent="0.25">
      <c r="A20187">
        <v>20186</v>
      </c>
      <c r="B20187">
        <v>2</v>
      </c>
      <c r="C20187">
        <v>0</v>
      </c>
      <c r="D20187">
        <v>0</v>
      </c>
      <c r="E20187">
        <v>0</v>
      </c>
      <c r="F20187">
        <v>253.524</v>
      </c>
    </row>
    <row r="20188" spans="1:6" x14ac:dyDescent="0.25">
      <c r="A20188">
        <v>20187</v>
      </c>
      <c r="B20188">
        <v>10</v>
      </c>
      <c r="C20188">
        <v>1</v>
      </c>
      <c r="D20188">
        <v>0</v>
      </c>
      <c r="E20188">
        <v>0</v>
      </c>
      <c r="F20188">
        <v>5231</v>
      </c>
    </row>
    <row r="20189" spans="1:6" x14ac:dyDescent="0.25">
      <c r="A20189">
        <v>20188</v>
      </c>
      <c r="B20189">
        <v>13</v>
      </c>
      <c r="C20189">
        <v>0</v>
      </c>
      <c r="D20189">
        <v>0</v>
      </c>
      <c r="E20189">
        <v>0</v>
      </c>
      <c r="F20189">
        <v>1620</v>
      </c>
    </row>
    <row r="20190" spans="1:6" x14ac:dyDescent="0.25">
      <c r="A20190">
        <v>20189</v>
      </c>
      <c r="B20190">
        <v>41</v>
      </c>
      <c r="C20190">
        <v>0</v>
      </c>
      <c r="D20190">
        <v>0</v>
      </c>
      <c r="E20190">
        <v>0</v>
      </c>
      <c r="F20190">
        <v>1</v>
      </c>
    </row>
    <row r="20191" spans="1:6" x14ac:dyDescent="0.25">
      <c r="A20191">
        <v>20190</v>
      </c>
      <c r="B20191">
        <v>42</v>
      </c>
      <c r="C20191">
        <v>0</v>
      </c>
      <c r="D20191">
        <v>0</v>
      </c>
      <c r="E20191">
        <v>0</v>
      </c>
      <c r="F20191">
        <v>0.2</v>
      </c>
    </row>
    <row r="20192" spans="1:6" x14ac:dyDescent="0.25">
      <c r="A20192">
        <v>20191</v>
      </c>
      <c r="B20192">
        <v>43</v>
      </c>
      <c r="C20192">
        <v>0</v>
      </c>
      <c r="D20192">
        <v>0</v>
      </c>
      <c r="E20192">
        <v>0</v>
      </c>
      <c r="F20192">
        <v>0</v>
      </c>
    </row>
    <row r="20193" spans="1:6" x14ac:dyDescent="0.25">
      <c r="A20193">
        <v>20192</v>
      </c>
      <c r="B20193">
        <v>44</v>
      </c>
      <c r="C20193">
        <v>0</v>
      </c>
      <c r="D20193">
        <v>0</v>
      </c>
      <c r="E20193">
        <v>0</v>
      </c>
      <c r="F20193">
        <v>46.4739</v>
      </c>
    </row>
    <row r="20194" spans="1:6" x14ac:dyDescent="0.25">
      <c r="A20194">
        <v>20193</v>
      </c>
      <c r="B20194">
        <v>45</v>
      </c>
      <c r="C20194">
        <v>0</v>
      </c>
      <c r="D20194">
        <v>0</v>
      </c>
      <c r="E20194">
        <v>0</v>
      </c>
      <c r="F20194">
        <v>548.49699999999996</v>
      </c>
    </row>
    <row r="20195" spans="1:6" x14ac:dyDescent="0.25">
      <c r="A20195">
        <v>20194</v>
      </c>
      <c r="B20195">
        <v>46</v>
      </c>
      <c r="C20195">
        <v>0</v>
      </c>
      <c r="D20195">
        <v>0</v>
      </c>
      <c r="E20195">
        <v>0</v>
      </c>
      <c r="F20195">
        <v>0</v>
      </c>
    </row>
    <row r="20196" spans="1:6" x14ac:dyDescent="0.25">
      <c r="A20196">
        <v>20195</v>
      </c>
      <c r="B20196">
        <v>2</v>
      </c>
      <c r="C20196">
        <v>0</v>
      </c>
      <c r="D20196">
        <v>0</v>
      </c>
      <c r="E20196">
        <v>0</v>
      </c>
      <c r="F20196">
        <v>253.52699999999999</v>
      </c>
    </row>
    <row r="20197" spans="1:6" x14ac:dyDescent="0.25">
      <c r="A20197">
        <v>20196</v>
      </c>
      <c r="B20197">
        <v>10</v>
      </c>
      <c r="C20197">
        <v>1</v>
      </c>
      <c r="D20197">
        <v>0</v>
      </c>
      <c r="E20197">
        <v>0</v>
      </c>
      <c r="F20197">
        <v>5231</v>
      </c>
    </row>
    <row r="20198" spans="1:6" x14ac:dyDescent="0.25">
      <c r="A20198">
        <v>20197</v>
      </c>
      <c r="B20198">
        <v>13</v>
      </c>
      <c r="C20198">
        <v>0</v>
      </c>
      <c r="D20198">
        <v>0</v>
      </c>
      <c r="E20198">
        <v>0</v>
      </c>
      <c r="F20198">
        <v>1620</v>
      </c>
    </row>
    <row r="20199" spans="1:6" x14ac:dyDescent="0.25">
      <c r="A20199">
        <v>20198</v>
      </c>
      <c r="B20199" t="s">
        <v>0</v>
      </c>
      <c r="C20199">
        <v>115</v>
      </c>
      <c r="D20199">
        <v>3518</v>
      </c>
      <c r="E20199">
        <v>80936847</v>
      </c>
    </row>
    <row r="20200" spans="1:6" x14ac:dyDescent="0.25">
      <c r="A20200">
        <v>20199</v>
      </c>
      <c r="B20200">
        <v>42</v>
      </c>
      <c r="C20200">
        <v>0</v>
      </c>
      <c r="D20200">
        <v>0</v>
      </c>
      <c r="E20200">
        <v>0</v>
      </c>
      <c r="F20200">
        <v>0.2</v>
      </c>
    </row>
    <row r="20201" spans="1:6" x14ac:dyDescent="0.25">
      <c r="A20201">
        <v>20200</v>
      </c>
      <c r="B20201" t="s">
        <v>0</v>
      </c>
      <c r="C20201">
        <v>116</v>
      </c>
      <c r="D20201">
        <v>3518</v>
      </c>
      <c r="E20201">
        <v>80936978</v>
      </c>
    </row>
    <row r="20202" spans="1:6" x14ac:dyDescent="0.25">
      <c r="A20202">
        <v>20201</v>
      </c>
      <c r="B20202">
        <v>44</v>
      </c>
      <c r="C20202">
        <v>0</v>
      </c>
      <c r="D20202">
        <v>0</v>
      </c>
      <c r="E20202">
        <v>0</v>
      </c>
      <c r="F20202">
        <v>46.471699999999998</v>
      </c>
    </row>
    <row r="20203" spans="1:6" x14ac:dyDescent="0.25">
      <c r="A20203">
        <v>20202</v>
      </c>
      <c r="B20203" t="s">
        <v>0</v>
      </c>
      <c r="C20203">
        <v>117</v>
      </c>
      <c r="D20203">
        <v>3518</v>
      </c>
      <c r="E20203">
        <v>80937109</v>
      </c>
    </row>
    <row r="20204" spans="1:6" x14ac:dyDescent="0.25">
      <c r="A20204">
        <v>20203</v>
      </c>
      <c r="B20204">
        <v>46</v>
      </c>
      <c r="C20204">
        <v>0</v>
      </c>
      <c r="D20204">
        <v>0</v>
      </c>
      <c r="E20204">
        <v>0</v>
      </c>
      <c r="F20204">
        <v>0</v>
      </c>
    </row>
    <row r="20205" spans="1:6" x14ac:dyDescent="0.25">
      <c r="A20205">
        <v>20204</v>
      </c>
      <c r="B20205" t="s">
        <v>0</v>
      </c>
      <c r="C20205">
        <v>118</v>
      </c>
      <c r="D20205">
        <v>3518</v>
      </c>
      <c r="E20205">
        <v>80937240</v>
      </c>
    </row>
    <row r="20206" spans="1:6" x14ac:dyDescent="0.25">
      <c r="A20206">
        <v>20205</v>
      </c>
      <c r="B20206">
        <v>10</v>
      </c>
      <c r="C20206">
        <v>1</v>
      </c>
      <c r="D20206">
        <v>0</v>
      </c>
      <c r="E20206">
        <v>0</v>
      </c>
      <c r="F20206">
        <v>5231</v>
      </c>
    </row>
    <row r="20207" spans="1:6" x14ac:dyDescent="0.25">
      <c r="A20207">
        <v>20206</v>
      </c>
      <c r="B20207" t="s">
        <v>0</v>
      </c>
      <c r="C20207">
        <v>119</v>
      </c>
      <c r="D20207">
        <v>3518</v>
      </c>
      <c r="E20207">
        <v>80937371</v>
      </c>
    </row>
    <row r="20208" spans="1:6" x14ac:dyDescent="0.25">
      <c r="A20208">
        <v>20207</v>
      </c>
      <c r="B20208">
        <v>41</v>
      </c>
      <c r="C20208">
        <v>0</v>
      </c>
      <c r="D20208">
        <v>0</v>
      </c>
      <c r="E20208">
        <v>0</v>
      </c>
      <c r="F20208">
        <v>1</v>
      </c>
    </row>
    <row r="20209" spans="1:6" x14ac:dyDescent="0.25">
      <c r="A20209">
        <v>20208</v>
      </c>
      <c r="B20209" t="s">
        <v>0</v>
      </c>
      <c r="C20209">
        <v>120</v>
      </c>
      <c r="D20209">
        <v>3518</v>
      </c>
      <c r="E20209">
        <v>80937502</v>
      </c>
    </row>
    <row r="20210" spans="1:6" x14ac:dyDescent="0.25">
      <c r="A20210">
        <v>20209</v>
      </c>
      <c r="B20210">
        <v>43</v>
      </c>
      <c r="C20210">
        <v>0</v>
      </c>
      <c r="D20210">
        <v>0</v>
      </c>
      <c r="E20210">
        <v>0</v>
      </c>
      <c r="F20210">
        <v>0</v>
      </c>
    </row>
    <row r="20211" spans="1:6" x14ac:dyDescent="0.25">
      <c r="A20211">
        <v>20210</v>
      </c>
      <c r="B20211" t="s">
        <v>0</v>
      </c>
      <c r="C20211">
        <v>121</v>
      </c>
      <c r="D20211">
        <v>3518</v>
      </c>
      <c r="E20211">
        <v>80937633</v>
      </c>
    </row>
    <row r="20212" spans="1:6" x14ac:dyDescent="0.25">
      <c r="A20212">
        <v>20211</v>
      </c>
      <c r="B20212">
        <v>45</v>
      </c>
      <c r="C20212">
        <v>0</v>
      </c>
      <c r="D20212">
        <v>0</v>
      </c>
      <c r="E20212">
        <v>0</v>
      </c>
      <c r="F20212">
        <v>548.60599999999999</v>
      </c>
    </row>
    <row r="20213" spans="1:6" x14ac:dyDescent="0.25">
      <c r="A20213">
        <v>20212</v>
      </c>
      <c r="B20213" t="s">
        <v>0</v>
      </c>
      <c r="C20213">
        <v>122</v>
      </c>
      <c r="D20213">
        <v>3518</v>
      </c>
      <c r="E20213">
        <v>80937763</v>
      </c>
    </row>
    <row r="20214" spans="1:6" x14ac:dyDescent="0.25">
      <c r="A20214">
        <v>20213</v>
      </c>
      <c r="B20214">
        <v>2</v>
      </c>
      <c r="C20214">
        <v>0</v>
      </c>
      <c r="D20214">
        <v>0</v>
      </c>
      <c r="E20214">
        <v>0</v>
      </c>
      <c r="F20214">
        <v>253.58500000000001</v>
      </c>
    </row>
    <row r="20215" spans="1:6" x14ac:dyDescent="0.25">
      <c r="A20215">
        <v>20214</v>
      </c>
      <c r="B20215" t="s">
        <v>0</v>
      </c>
      <c r="C20215">
        <v>123</v>
      </c>
      <c r="D20215">
        <v>3518</v>
      </c>
      <c r="E20215">
        <v>80937894</v>
      </c>
    </row>
    <row r="20216" spans="1:6" x14ac:dyDescent="0.25">
      <c r="A20216">
        <v>20215</v>
      </c>
      <c r="B20216">
        <v>13</v>
      </c>
      <c r="C20216">
        <v>0</v>
      </c>
      <c r="D20216">
        <v>0</v>
      </c>
      <c r="E20216">
        <v>0</v>
      </c>
      <c r="F20216">
        <v>1620</v>
      </c>
    </row>
    <row r="20217" spans="1:6" x14ac:dyDescent="0.25">
      <c r="A20217">
        <v>20216</v>
      </c>
      <c r="B20217" t="s">
        <v>0</v>
      </c>
      <c r="C20217">
        <v>124</v>
      </c>
      <c r="D20217">
        <v>3518</v>
      </c>
      <c r="E20217">
        <v>80938025</v>
      </c>
    </row>
    <row r="20218" spans="1:6" x14ac:dyDescent="0.25">
      <c r="A20218">
        <v>20217</v>
      </c>
      <c r="B20218">
        <v>42</v>
      </c>
      <c r="C20218">
        <v>0</v>
      </c>
      <c r="D20218">
        <v>0</v>
      </c>
      <c r="E20218">
        <v>0</v>
      </c>
      <c r="F20218">
        <v>0.2</v>
      </c>
    </row>
    <row r="20219" spans="1:6" x14ac:dyDescent="0.25">
      <c r="A20219">
        <v>20218</v>
      </c>
      <c r="B20219" t="s">
        <v>0</v>
      </c>
      <c r="C20219">
        <v>125</v>
      </c>
      <c r="D20219">
        <v>3518</v>
      </c>
      <c r="E20219">
        <v>80938155</v>
      </c>
    </row>
    <row r="20220" spans="1:6" x14ac:dyDescent="0.25">
      <c r="A20220">
        <v>20219</v>
      </c>
      <c r="B20220">
        <v>43</v>
      </c>
      <c r="C20220">
        <v>0</v>
      </c>
      <c r="D20220">
        <v>0</v>
      </c>
      <c r="E20220">
        <v>0</v>
      </c>
      <c r="F20220">
        <v>0</v>
      </c>
    </row>
    <row r="20221" spans="1:6" x14ac:dyDescent="0.25">
      <c r="A20221">
        <v>20220</v>
      </c>
      <c r="B20221">
        <v>44</v>
      </c>
      <c r="C20221">
        <v>0</v>
      </c>
      <c r="D20221">
        <v>0</v>
      </c>
      <c r="E20221">
        <v>0</v>
      </c>
      <c r="F20221">
        <v>46.366500000000002</v>
      </c>
    </row>
    <row r="20222" spans="1:6" x14ac:dyDescent="0.25">
      <c r="A20222">
        <v>20221</v>
      </c>
      <c r="B20222" t="s">
        <v>0</v>
      </c>
      <c r="C20222">
        <v>126</v>
      </c>
      <c r="D20222">
        <v>3518</v>
      </c>
      <c r="E20222">
        <v>80938286</v>
      </c>
    </row>
    <row r="20223" spans="1:6" x14ac:dyDescent="0.25">
      <c r="A20223">
        <v>20222</v>
      </c>
      <c r="B20223">
        <v>45</v>
      </c>
      <c r="C20223">
        <v>0</v>
      </c>
      <c r="D20223">
        <v>0</v>
      </c>
      <c r="E20223">
        <v>0</v>
      </c>
      <c r="F20223">
        <v>548.66700000000003</v>
      </c>
    </row>
    <row r="20224" spans="1:6" x14ac:dyDescent="0.25">
      <c r="A20224">
        <v>20223</v>
      </c>
      <c r="B20224">
        <v>46</v>
      </c>
      <c r="C20224">
        <v>0</v>
      </c>
      <c r="D20224">
        <v>0</v>
      </c>
      <c r="E20224">
        <v>0</v>
      </c>
      <c r="F20224">
        <v>0</v>
      </c>
    </row>
    <row r="20225" spans="1:6" x14ac:dyDescent="0.25">
      <c r="A20225">
        <v>20224</v>
      </c>
      <c r="B20225" t="s">
        <v>0</v>
      </c>
      <c r="C20225">
        <v>127</v>
      </c>
      <c r="D20225">
        <v>3518</v>
      </c>
      <c r="E20225">
        <v>80938417</v>
      </c>
    </row>
    <row r="20226" spans="1:6" x14ac:dyDescent="0.25">
      <c r="A20226">
        <v>20225</v>
      </c>
      <c r="B20226">
        <v>2</v>
      </c>
      <c r="C20226">
        <v>0</v>
      </c>
      <c r="D20226">
        <v>0</v>
      </c>
      <c r="E20226">
        <v>0</v>
      </c>
      <c r="F20226">
        <v>253.661</v>
      </c>
    </row>
    <row r="20227" spans="1:6" x14ac:dyDescent="0.25">
      <c r="A20227">
        <v>20226</v>
      </c>
      <c r="B20227">
        <v>10</v>
      </c>
      <c r="C20227">
        <v>1</v>
      </c>
      <c r="D20227">
        <v>0</v>
      </c>
      <c r="E20227">
        <v>0</v>
      </c>
      <c r="F20227">
        <v>5229</v>
      </c>
    </row>
    <row r="20228" spans="1:6" x14ac:dyDescent="0.25">
      <c r="A20228">
        <v>20227</v>
      </c>
      <c r="B20228" t="s">
        <v>0</v>
      </c>
      <c r="C20228">
        <v>128</v>
      </c>
      <c r="D20228">
        <v>3518</v>
      </c>
      <c r="E20228">
        <v>80938547</v>
      </c>
    </row>
    <row r="20229" spans="1:6" x14ac:dyDescent="0.25">
      <c r="A20229">
        <v>20228</v>
      </c>
      <c r="B20229">
        <v>13</v>
      </c>
      <c r="C20229">
        <v>0</v>
      </c>
      <c r="D20229">
        <v>0</v>
      </c>
      <c r="E20229">
        <v>0</v>
      </c>
      <c r="F20229">
        <v>1620</v>
      </c>
    </row>
    <row r="20230" spans="1:6" x14ac:dyDescent="0.25">
      <c r="A20230">
        <v>20229</v>
      </c>
      <c r="B20230">
        <v>41</v>
      </c>
      <c r="C20230">
        <v>0</v>
      </c>
      <c r="D20230">
        <v>0</v>
      </c>
      <c r="E20230">
        <v>0</v>
      </c>
      <c r="F20230">
        <v>1</v>
      </c>
    </row>
    <row r="20231" spans="1:6" x14ac:dyDescent="0.25">
      <c r="A20231">
        <v>20230</v>
      </c>
      <c r="B20231" t="s">
        <v>0</v>
      </c>
      <c r="C20231">
        <v>129</v>
      </c>
      <c r="D20231">
        <v>3518</v>
      </c>
      <c r="E20231">
        <v>80938678</v>
      </c>
    </row>
    <row r="20232" spans="1:6" x14ac:dyDescent="0.25">
      <c r="A20232">
        <v>20231</v>
      </c>
      <c r="B20232">
        <v>42</v>
      </c>
      <c r="C20232">
        <v>0</v>
      </c>
      <c r="D20232">
        <v>0</v>
      </c>
      <c r="E20232">
        <v>0</v>
      </c>
      <c r="F20232">
        <v>0.2</v>
      </c>
    </row>
    <row r="20233" spans="1:6" x14ac:dyDescent="0.25">
      <c r="A20233">
        <v>20232</v>
      </c>
      <c r="B20233">
        <v>43</v>
      </c>
      <c r="C20233">
        <v>0</v>
      </c>
      <c r="D20233">
        <v>0</v>
      </c>
      <c r="E20233">
        <v>0</v>
      </c>
      <c r="F20233">
        <v>0</v>
      </c>
    </row>
    <row r="20234" spans="1:6" x14ac:dyDescent="0.25">
      <c r="A20234">
        <v>20233</v>
      </c>
      <c r="B20234" t="s">
        <v>0</v>
      </c>
      <c r="C20234">
        <v>130</v>
      </c>
      <c r="D20234">
        <v>3518</v>
      </c>
      <c r="E20234">
        <v>80938809</v>
      </c>
    </row>
    <row r="20235" spans="1:6" x14ac:dyDescent="0.25">
      <c r="A20235">
        <v>20234</v>
      </c>
      <c r="B20235">
        <v>44</v>
      </c>
      <c r="C20235">
        <v>0</v>
      </c>
      <c r="D20235">
        <v>0</v>
      </c>
      <c r="E20235">
        <v>0</v>
      </c>
      <c r="F20235">
        <v>46.301400000000001</v>
      </c>
    </row>
    <row r="20236" spans="1:6" x14ac:dyDescent="0.25">
      <c r="A20236">
        <v>20235</v>
      </c>
      <c r="B20236">
        <v>45</v>
      </c>
      <c r="C20236">
        <v>0</v>
      </c>
      <c r="D20236">
        <v>0</v>
      </c>
      <c r="E20236">
        <v>0</v>
      </c>
      <c r="F20236">
        <v>548.71600000000001</v>
      </c>
    </row>
    <row r="20237" spans="1:6" x14ac:dyDescent="0.25">
      <c r="A20237">
        <v>20236</v>
      </c>
      <c r="B20237" t="s">
        <v>0</v>
      </c>
      <c r="C20237">
        <v>131</v>
      </c>
      <c r="D20237">
        <v>3518</v>
      </c>
      <c r="E20237">
        <v>80938939</v>
      </c>
    </row>
    <row r="20238" spans="1:6" x14ac:dyDescent="0.25">
      <c r="A20238">
        <v>20237</v>
      </c>
      <c r="B20238">
        <v>46</v>
      </c>
      <c r="C20238">
        <v>0</v>
      </c>
      <c r="D20238">
        <v>0</v>
      </c>
      <c r="E20238">
        <v>0</v>
      </c>
      <c r="F20238">
        <v>0</v>
      </c>
    </row>
    <row r="20239" spans="1:6" x14ac:dyDescent="0.25">
      <c r="A20239">
        <v>20238</v>
      </c>
      <c r="B20239">
        <v>2</v>
      </c>
      <c r="C20239">
        <v>0</v>
      </c>
      <c r="D20239">
        <v>0</v>
      </c>
      <c r="E20239">
        <v>0</v>
      </c>
      <c r="F20239">
        <v>253.71</v>
      </c>
    </row>
    <row r="20240" spans="1:6" x14ac:dyDescent="0.25">
      <c r="A20240">
        <v>20239</v>
      </c>
      <c r="B20240" t="s">
        <v>0</v>
      </c>
      <c r="C20240">
        <v>132</v>
      </c>
      <c r="D20240">
        <v>3518</v>
      </c>
      <c r="E20240">
        <v>80939070</v>
      </c>
    </row>
    <row r="20241" spans="1:6" x14ac:dyDescent="0.25">
      <c r="A20241">
        <v>20240</v>
      </c>
      <c r="B20241">
        <v>10</v>
      </c>
      <c r="C20241">
        <v>1</v>
      </c>
      <c r="D20241">
        <v>0</v>
      </c>
      <c r="E20241">
        <v>0</v>
      </c>
      <c r="F20241">
        <v>5228</v>
      </c>
    </row>
    <row r="20242" spans="1:6" x14ac:dyDescent="0.25">
      <c r="A20242">
        <v>20241</v>
      </c>
      <c r="B20242">
        <v>13</v>
      </c>
      <c r="C20242">
        <v>0</v>
      </c>
      <c r="D20242">
        <v>0</v>
      </c>
      <c r="E20242">
        <v>0</v>
      </c>
      <c r="F20242">
        <v>1620</v>
      </c>
    </row>
    <row r="20243" spans="1:6" x14ac:dyDescent="0.25">
      <c r="A20243">
        <v>20242</v>
      </c>
      <c r="B20243">
        <v>41</v>
      </c>
      <c r="C20243">
        <v>0</v>
      </c>
      <c r="D20243">
        <v>0</v>
      </c>
      <c r="E20243">
        <v>0</v>
      </c>
      <c r="F20243">
        <v>1</v>
      </c>
    </row>
    <row r="20244" spans="1:6" x14ac:dyDescent="0.25">
      <c r="A20244">
        <v>20243</v>
      </c>
      <c r="B20244">
        <v>42</v>
      </c>
      <c r="C20244">
        <v>0</v>
      </c>
      <c r="D20244">
        <v>0</v>
      </c>
      <c r="E20244">
        <v>0</v>
      </c>
      <c r="F20244">
        <v>0.2</v>
      </c>
    </row>
    <row r="20245" spans="1:6" x14ac:dyDescent="0.25">
      <c r="A20245">
        <v>20244</v>
      </c>
      <c r="B20245">
        <v>43</v>
      </c>
      <c r="C20245">
        <v>0</v>
      </c>
      <c r="D20245">
        <v>0</v>
      </c>
      <c r="E20245">
        <v>0</v>
      </c>
      <c r="F20245">
        <v>0</v>
      </c>
    </row>
    <row r="20246" spans="1:6" x14ac:dyDescent="0.25">
      <c r="A20246">
        <v>20245</v>
      </c>
      <c r="B20246">
        <v>44</v>
      </c>
      <c r="C20246">
        <v>0</v>
      </c>
      <c r="D20246">
        <v>0</v>
      </c>
      <c r="E20246">
        <v>0</v>
      </c>
      <c r="F20246">
        <v>46.260100000000001</v>
      </c>
    </row>
    <row r="20247" spans="1:6" x14ac:dyDescent="0.25">
      <c r="A20247">
        <v>20246</v>
      </c>
      <c r="B20247">
        <v>45</v>
      </c>
      <c r="C20247">
        <v>0</v>
      </c>
      <c r="D20247">
        <v>0</v>
      </c>
      <c r="E20247">
        <v>0</v>
      </c>
      <c r="F20247">
        <v>548.77700000000004</v>
      </c>
    </row>
    <row r="20248" spans="1:6" x14ac:dyDescent="0.25">
      <c r="A20248">
        <v>20247</v>
      </c>
      <c r="B20248">
        <v>46</v>
      </c>
      <c r="C20248">
        <v>0</v>
      </c>
      <c r="D20248">
        <v>0</v>
      </c>
      <c r="E20248">
        <v>0</v>
      </c>
      <c r="F20248">
        <v>0</v>
      </c>
    </row>
    <row r="20249" spans="1:6" x14ac:dyDescent="0.25">
      <c r="A20249">
        <v>20248</v>
      </c>
      <c r="B20249">
        <v>2</v>
      </c>
      <c r="C20249">
        <v>0</v>
      </c>
      <c r="D20249">
        <v>0</v>
      </c>
      <c r="E20249">
        <v>0</v>
      </c>
      <c r="F20249">
        <v>253.75800000000001</v>
      </c>
    </row>
    <row r="20250" spans="1:6" x14ac:dyDescent="0.25">
      <c r="A20250">
        <v>20249</v>
      </c>
      <c r="B20250">
        <v>10</v>
      </c>
      <c r="C20250">
        <v>1</v>
      </c>
      <c r="D20250">
        <v>0</v>
      </c>
      <c r="E20250">
        <v>0</v>
      </c>
      <c r="F20250">
        <v>5227</v>
      </c>
    </row>
    <row r="20251" spans="1:6" x14ac:dyDescent="0.25">
      <c r="A20251">
        <v>20250</v>
      </c>
      <c r="B20251">
        <v>13</v>
      </c>
      <c r="C20251">
        <v>0</v>
      </c>
      <c r="D20251">
        <v>0</v>
      </c>
      <c r="E20251">
        <v>0</v>
      </c>
      <c r="F20251">
        <v>1620</v>
      </c>
    </row>
    <row r="20252" spans="1:6" x14ac:dyDescent="0.25">
      <c r="A20252">
        <v>20251</v>
      </c>
      <c r="B20252">
        <v>41</v>
      </c>
      <c r="C20252">
        <v>0</v>
      </c>
      <c r="D20252">
        <v>0</v>
      </c>
      <c r="E20252">
        <v>0</v>
      </c>
      <c r="F20252">
        <v>1</v>
      </c>
    </row>
    <row r="20253" spans="1:6" x14ac:dyDescent="0.25">
      <c r="A20253">
        <v>20252</v>
      </c>
      <c r="B20253">
        <v>42</v>
      </c>
      <c r="C20253">
        <v>0</v>
      </c>
      <c r="D20253">
        <v>0</v>
      </c>
      <c r="E20253">
        <v>0</v>
      </c>
      <c r="F20253">
        <v>0.2</v>
      </c>
    </row>
    <row r="20254" spans="1:6" x14ac:dyDescent="0.25">
      <c r="A20254">
        <v>20253</v>
      </c>
      <c r="B20254">
        <v>43</v>
      </c>
      <c r="C20254">
        <v>0</v>
      </c>
      <c r="D20254">
        <v>0</v>
      </c>
      <c r="E20254">
        <v>0</v>
      </c>
      <c r="F20254">
        <v>0</v>
      </c>
    </row>
    <row r="20255" spans="1:6" x14ac:dyDescent="0.25">
      <c r="A20255">
        <v>20254</v>
      </c>
      <c r="B20255">
        <v>44</v>
      </c>
      <c r="C20255">
        <v>0</v>
      </c>
      <c r="D20255">
        <v>0</v>
      </c>
      <c r="E20255">
        <v>0</v>
      </c>
      <c r="F20255">
        <v>46.219000000000001</v>
      </c>
    </row>
    <row r="20256" spans="1:6" x14ac:dyDescent="0.25">
      <c r="A20256">
        <v>20255</v>
      </c>
      <c r="B20256">
        <v>45</v>
      </c>
      <c r="C20256">
        <v>0</v>
      </c>
      <c r="D20256">
        <v>0</v>
      </c>
      <c r="E20256">
        <v>0</v>
      </c>
      <c r="F20256">
        <v>548.82500000000005</v>
      </c>
    </row>
    <row r="20257" spans="1:6" x14ac:dyDescent="0.25">
      <c r="A20257">
        <v>20256</v>
      </c>
      <c r="B20257">
        <v>46</v>
      </c>
      <c r="C20257">
        <v>0</v>
      </c>
      <c r="D20257">
        <v>0</v>
      </c>
      <c r="E20257">
        <v>0</v>
      </c>
      <c r="F20257">
        <v>0</v>
      </c>
    </row>
    <row r="20258" spans="1:6" x14ac:dyDescent="0.25">
      <c r="A20258">
        <v>20257</v>
      </c>
      <c r="B20258">
        <v>2</v>
      </c>
      <c r="C20258">
        <v>0</v>
      </c>
      <c r="D20258">
        <v>0</v>
      </c>
      <c r="E20258">
        <v>0</v>
      </c>
      <c r="F20258">
        <v>253.78800000000001</v>
      </c>
    </row>
    <row r="20259" spans="1:6" x14ac:dyDescent="0.25">
      <c r="A20259">
        <v>20258</v>
      </c>
      <c r="B20259">
        <v>10</v>
      </c>
      <c r="C20259">
        <v>1</v>
      </c>
      <c r="D20259">
        <v>0</v>
      </c>
      <c r="E20259">
        <v>0</v>
      </c>
      <c r="F20259">
        <v>5226</v>
      </c>
    </row>
    <row r="20260" spans="1:6" x14ac:dyDescent="0.25">
      <c r="A20260">
        <v>20259</v>
      </c>
      <c r="B20260" t="s">
        <v>0</v>
      </c>
      <c r="C20260">
        <v>142</v>
      </c>
      <c r="D20260">
        <v>3518</v>
      </c>
      <c r="E20260">
        <v>80940377</v>
      </c>
    </row>
    <row r="20261" spans="1:6" x14ac:dyDescent="0.25">
      <c r="A20261">
        <v>20260</v>
      </c>
      <c r="B20261">
        <v>41</v>
      </c>
      <c r="C20261">
        <v>0</v>
      </c>
      <c r="D20261">
        <v>0</v>
      </c>
      <c r="E20261">
        <v>0</v>
      </c>
      <c r="F20261">
        <v>1</v>
      </c>
    </row>
    <row r="20262" spans="1:6" x14ac:dyDescent="0.25">
      <c r="A20262">
        <v>20261</v>
      </c>
      <c r="B20262" t="s">
        <v>0</v>
      </c>
      <c r="C20262">
        <v>143</v>
      </c>
      <c r="D20262">
        <v>3518</v>
      </c>
      <c r="E20262">
        <v>80940507</v>
      </c>
    </row>
    <row r="20263" spans="1:6" x14ac:dyDescent="0.25">
      <c r="A20263">
        <v>20262</v>
      </c>
      <c r="B20263">
        <v>43</v>
      </c>
      <c r="C20263">
        <v>0</v>
      </c>
      <c r="D20263">
        <v>0</v>
      </c>
      <c r="E20263">
        <v>0</v>
      </c>
      <c r="F20263">
        <v>0</v>
      </c>
    </row>
    <row r="20264" spans="1:6" x14ac:dyDescent="0.25">
      <c r="A20264">
        <v>20263</v>
      </c>
      <c r="B20264" t="s">
        <v>0</v>
      </c>
      <c r="C20264">
        <v>144</v>
      </c>
      <c r="D20264">
        <v>3518</v>
      </c>
      <c r="E20264">
        <v>80940638</v>
      </c>
    </row>
    <row r="20265" spans="1:6" x14ac:dyDescent="0.25">
      <c r="A20265">
        <v>20264</v>
      </c>
      <c r="B20265">
        <v>45</v>
      </c>
      <c r="C20265">
        <v>0</v>
      </c>
      <c r="D20265">
        <v>0</v>
      </c>
      <c r="E20265">
        <v>0</v>
      </c>
      <c r="F20265">
        <v>548.88599999999997</v>
      </c>
    </row>
    <row r="20266" spans="1:6" x14ac:dyDescent="0.25">
      <c r="A20266">
        <v>20265</v>
      </c>
      <c r="B20266" t="s">
        <v>0</v>
      </c>
      <c r="C20266">
        <v>145</v>
      </c>
      <c r="D20266">
        <v>3518</v>
      </c>
      <c r="E20266">
        <v>80940769</v>
      </c>
    </row>
    <row r="20267" spans="1:6" x14ac:dyDescent="0.25">
      <c r="A20267">
        <v>20266</v>
      </c>
      <c r="B20267">
        <v>2</v>
      </c>
      <c r="C20267">
        <v>0</v>
      </c>
      <c r="D20267">
        <v>0</v>
      </c>
      <c r="E20267">
        <v>0</v>
      </c>
      <c r="F20267">
        <v>253.81899999999999</v>
      </c>
    </row>
    <row r="20268" spans="1:6" x14ac:dyDescent="0.25">
      <c r="A20268">
        <v>20267</v>
      </c>
      <c r="B20268" t="s">
        <v>0</v>
      </c>
      <c r="C20268">
        <v>146</v>
      </c>
      <c r="D20268">
        <v>3518</v>
      </c>
      <c r="E20268">
        <v>80940899</v>
      </c>
    </row>
    <row r="20269" spans="1:6" x14ac:dyDescent="0.25">
      <c r="A20269">
        <v>20268</v>
      </c>
      <c r="B20269">
        <v>13</v>
      </c>
      <c r="C20269">
        <v>0</v>
      </c>
      <c r="D20269">
        <v>0</v>
      </c>
      <c r="E20269">
        <v>0</v>
      </c>
      <c r="F20269">
        <v>1620</v>
      </c>
    </row>
    <row r="20270" spans="1:6" x14ac:dyDescent="0.25">
      <c r="A20270">
        <v>20269</v>
      </c>
      <c r="B20270" t="s">
        <v>0</v>
      </c>
      <c r="C20270">
        <v>147</v>
      </c>
      <c r="D20270">
        <v>3518</v>
      </c>
      <c r="E20270">
        <v>80941030</v>
      </c>
    </row>
    <row r="20271" spans="1:6" x14ac:dyDescent="0.25">
      <c r="A20271">
        <v>20270</v>
      </c>
      <c r="B20271">
        <v>42</v>
      </c>
      <c r="C20271">
        <v>0</v>
      </c>
      <c r="D20271">
        <v>0</v>
      </c>
      <c r="E20271">
        <v>0</v>
      </c>
      <c r="F20271">
        <v>0.2</v>
      </c>
    </row>
    <row r="20272" spans="1:6" x14ac:dyDescent="0.25">
      <c r="A20272">
        <v>20271</v>
      </c>
      <c r="B20272" t="s">
        <v>0</v>
      </c>
      <c r="C20272">
        <v>148</v>
      </c>
      <c r="D20272">
        <v>3518</v>
      </c>
      <c r="E20272">
        <v>80941161</v>
      </c>
    </row>
    <row r="20273" spans="1:6" x14ac:dyDescent="0.25">
      <c r="A20273">
        <v>20272</v>
      </c>
      <c r="B20273">
        <v>44</v>
      </c>
      <c r="C20273">
        <v>0</v>
      </c>
      <c r="D20273">
        <v>0</v>
      </c>
      <c r="E20273">
        <v>0</v>
      </c>
      <c r="F20273">
        <v>46.166800000000002</v>
      </c>
    </row>
    <row r="20274" spans="1:6" x14ac:dyDescent="0.25">
      <c r="A20274">
        <v>20273</v>
      </c>
      <c r="B20274" t="s">
        <v>0</v>
      </c>
      <c r="C20274">
        <v>149</v>
      </c>
      <c r="D20274">
        <v>3518</v>
      </c>
      <c r="E20274">
        <v>80941291</v>
      </c>
    </row>
    <row r="20275" spans="1:6" x14ac:dyDescent="0.25">
      <c r="A20275">
        <v>20274</v>
      </c>
      <c r="B20275">
        <v>46</v>
      </c>
      <c r="C20275">
        <v>0</v>
      </c>
      <c r="D20275">
        <v>0</v>
      </c>
      <c r="E20275">
        <v>0</v>
      </c>
      <c r="F20275">
        <v>0</v>
      </c>
    </row>
    <row r="20276" spans="1:6" x14ac:dyDescent="0.25">
      <c r="A20276">
        <v>20275</v>
      </c>
      <c r="B20276" t="s">
        <v>0</v>
      </c>
      <c r="C20276">
        <v>150</v>
      </c>
      <c r="D20276">
        <v>3518</v>
      </c>
      <c r="E20276">
        <v>80941422</v>
      </c>
    </row>
    <row r="20277" spans="1:6" x14ac:dyDescent="0.25">
      <c r="A20277">
        <v>20276</v>
      </c>
      <c r="B20277">
        <v>10</v>
      </c>
      <c r="C20277">
        <v>1</v>
      </c>
      <c r="D20277">
        <v>0</v>
      </c>
      <c r="E20277">
        <v>0</v>
      </c>
      <c r="F20277">
        <v>5225</v>
      </c>
    </row>
    <row r="20278" spans="1:6" x14ac:dyDescent="0.25">
      <c r="A20278">
        <v>20277</v>
      </c>
      <c r="B20278" t="s">
        <v>0</v>
      </c>
      <c r="C20278">
        <v>151</v>
      </c>
      <c r="D20278">
        <v>3518</v>
      </c>
      <c r="E20278">
        <v>80941553</v>
      </c>
    </row>
    <row r="20279" spans="1:6" x14ac:dyDescent="0.25">
      <c r="A20279">
        <v>20278</v>
      </c>
      <c r="B20279">
        <v>41</v>
      </c>
      <c r="C20279">
        <v>0</v>
      </c>
      <c r="D20279">
        <v>0</v>
      </c>
      <c r="E20279">
        <v>0</v>
      </c>
      <c r="F20279">
        <v>1</v>
      </c>
    </row>
    <row r="20280" spans="1:6" x14ac:dyDescent="0.25">
      <c r="A20280">
        <v>20279</v>
      </c>
      <c r="B20280" t="s">
        <v>0</v>
      </c>
      <c r="C20280">
        <v>152</v>
      </c>
      <c r="D20280">
        <v>3518</v>
      </c>
      <c r="E20280">
        <v>80941683</v>
      </c>
    </row>
    <row r="20281" spans="1:6" x14ac:dyDescent="0.25">
      <c r="A20281">
        <v>20280</v>
      </c>
      <c r="B20281">
        <v>42</v>
      </c>
      <c r="C20281">
        <v>0</v>
      </c>
      <c r="D20281">
        <v>0</v>
      </c>
      <c r="E20281">
        <v>0</v>
      </c>
      <c r="F20281">
        <v>0.2</v>
      </c>
    </row>
    <row r="20282" spans="1:6" x14ac:dyDescent="0.25">
      <c r="A20282">
        <v>20281</v>
      </c>
      <c r="B20282">
        <v>43</v>
      </c>
      <c r="C20282">
        <v>0</v>
      </c>
      <c r="D20282">
        <v>0</v>
      </c>
      <c r="E20282">
        <v>0</v>
      </c>
      <c r="F20282">
        <v>0</v>
      </c>
    </row>
    <row r="20283" spans="1:6" x14ac:dyDescent="0.25">
      <c r="A20283">
        <v>20282</v>
      </c>
      <c r="B20283" t="s">
        <v>0</v>
      </c>
      <c r="C20283">
        <v>153</v>
      </c>
      <c r="D20283">
        <v>3518</v>
      </c>
      <c r="E20283">
        <v>80941814</v>
      </c>
    </row>
    <row r="20284" spans="1:6" x14ac:dyDescent="0.25">
      <c r="A20284">
        <v>20283</v>
      </c>
      <c r="B20284">
        <v>44</v>
      </c>
      <c r="C20284">
        <v>0</v>
      </c>
      <c r="D20284">
        <v>0</v>
      </c>
      <c r="E20284">
        <v>0</v>
      </c>
      <c r="F20284">
        <v>46.146799999999999</v>
      </c>
    </row>
    <row r="20285" spans="1:6" x14ac:dyDescent="0.25">
      <c r="A20285">
        <v>20284</v>
      </c>
      <c r="B20285">
        <v>45</v>
      </c>
      <c r="C20285">
        <v>0</v>
      </c>
      <c r="D20285">
        <v>0</v>
      </c>
      <c r="E20285">
        <v>0</v>
      </c>
      <c r="F20285">
        <v>548.995</v>
      </c>
    </row>
    <row r="20286" spans="1:6" x14ac:dyDescent="0.25">
      <c r="A20286">
        <v>20285</v>
      </c>
      <c r="B20286" t="s">
        <v>0</v>
      </c>
      <c r="C20286">
        <v>154</v>
      </c>
      <c r="D20286">
        <v>3518</v>
      </c>
      <c r="E20286">
        <v>80941945</v>
      </c>
    </row>
    <row r="20287" spans="1:6" x14ac:dyDescent="0.25">
      <c r="A20287">
        <v>20286</v>
      </c>
      <c r="B20287">
        <v>46</v>
      </c>
      <c r="C20287">
        <v>0</v>
      </c>
      <c r="D20287">
        <v>0</v>
      </c>
      <c r="E20287">
        <v>0</v>
      </c>
      <c r="F20287">
        <v>0</v>
      </c>
    </row>
    <row r="20288" spans="1:6" x14ac:dyDescent="0.25">
      <c r="A20288">
        <v>20287</v>
      </c>
      <c r="B20288">
        <v>2</v>
      </c>
      <c r="C20288">
        <v>0</v>
      </c>
      <c r="D20288">
        <v>0</v>
      </c>
      <c r="E20288">
        <v>0</v>
      </c>
      <c r="F20288">
        <v>253.857</v>
      </c>
    </row>
    <row r="20289" spans="1:6" x14ac:dyDescent="0.25">
      <c r="A20289">
        <v>20288</v>
      </c>
      <c r="B20289" t="s">
        <v>0</v>
      </c>
      <c r="C20289">
        <v>155</v>
      </c>
      <c r="D20289">
        <v>3518</v>
      </c>
      <c r="E20289">
        <v>80942075</v>
      </c>
    </row>
    <row r="20290" spans="1:6" x14ac:dyDescent="0.25">
      <c r="A20290">
        <v>20289</v>
      </c>
      <c r="B20290">
        <v>10</v>
      </c>
      <c r="C20290">
        <v>1</v>
      </c>
      <c r="D20290">
        <v>0</v>
      </c>
      <c r="E20290">
        <v>0</v>
      </c>
      <c r="F20290">
        <v>5225</v>
      </c>
    </row>
    <row r="20291" spans="1:6" x14ac:dyDescent="0.25">
      <c r="A20291">
        <v>20290</v>
      </c>
      <c r="B20291">
        <v>13</v>
      </c>
      <c r="C20291">
        <v>0</v>
      </c>
      <c r="D20291">
        <v>0</v>
      </c>
      <c r="E20291">
        <v>0</v>
      </c>
      <c r="F20291">
        <v>1620</v>
      </c>
    </row>
    <row r="20292" spans="1:6" x14ac:dyDescent="0.25">
      <c r="A20292">
        <v>20291</v>
      </c>
      <c r="B20292" t="s">
        <v>0</v>
      </c>
      <c r="C20292">
        <v>156</v>
      </c>
      <c r="D20292">
        <v>3518</v>
      </c>
      <c r="E20292">
        <v>80942206</v>
      </c>
    </row>
    <row r="20293" spans="1:6" x14ac:dyDescent="0.25">
      <c r="A20293">
        <v>20292</v>
      </c>
      <c r="B20293">
        <v>41</v>
      </c>
      <c r="C20293">
        <v>0</v>
      </c>
      <c r="D20293">
        <v>0</v>
      </c>
      <c r="E20293">
        <v>0</v>
      </c>
      <c r="F20293">
        <v>1</v>
      </c>
    </row>
    <row r="20294" spans="1:6" x14ac:dyDescent="0.25">
      <c r="A20294">
        <v>20293</v>
      </c>
      <c r="B20294">
        <v>42</v>
      </c>
      <c r="C20294">
        <v>0</v>
      </c>
      <c r="D20294">
        <v>0</v>
      </c>
      <c r="E20294">
        <v>0</v>
      </c>
      <c r="F20294">
        <v>0.2</v>
      </c>
    </row>
    <row r="20295" spans="1:6" x14ac:dyDescent="0.25">
      <c r="A20295">
        <v>20294</v>
      </c>
      <c r="B20295" t="s">
        <v>0</v>
      </c>
      <c r="C20295">
        <v>157</v>
      </c>
      <c r="D20295">
        <v>3518</v>
      </c>
      <c r="E20295">
        <v>80942337</v>
      </c>
    </row>
    <row r="20296" spans="1:6" x14ac:dyDescent="0.25">
      <c r="A20296">
        <v>20295</v>
      </c>
      <c r="B20296">
        <v>43</v>
      </c>
      <c r="C20296">
        <v>0</v>
      </c>
      <c r="D20296">
        <v>0</v>
      </c>
      <c r="E20296">
        <v>0</v>
      </c>
      <c r="F20296">
        <v>0</v>
      </c>
    </row>
    <row r="20297" spans="1:6" x14ac:dyDescent="0.25">
      <c r="A20297">
        <v>20296</v>
      </c>
      <c r="B20297">
        <v>44</v>
      </c>
      <c r="C20297">
        <v>0</v>
      </c>
      <c r="D20297">
        <v>0</v>
      </c>
      <c r="E20297">
        <v>0</v>
      </c>
      <c r="F20297">
        <v>46.134</v>
      </c>
    </row>
    <row r="20298" spans="1:6" x14ac:dyDescent="0.25">
      <c r="A20298">
        <v>20297</v>
      </c>
      <c r="B20298" t="s">
        <v>0</v>
      </c>
      <c r="C20298">
        <v>158</v>
      </c>
      <c r="D20298">
        <v>3518</v>
      </c>
      <c r="E20298">
        <v>80942467</v>
      </c>
    </row>
    <row r="20299" spans="1:6" x14ac:dyDescent="0.25">
      <c r="A20299">
        <v>20298</v>
      </c>
      <c r="B20299">
        <v>45</v>
      </c>
      <c r="C20299">
        <v>0</v>
      </c>
      <c r="D20299">
        <v>0</v>
      </c>
      <c r="E20299">
        <v>0</v>
      </c>
      <c r="F20299">
        <v>549.05600000000004</v>
      </c>
    </row>
    <row r="20300" spans="1:6" x14ac:dyDescent="0.25">
      <c r="A20300">
        <v>20299</v>
      </c>
      <c r="B20300">
        <v>46</v>
      </c>
      <c r="C20300">
        <v>0</v>
      </c>
      <c r="D20300">
        <v>0</v>
      </c>
      <c r="E20300">
        <v>0</v>
      </c>
      <c r="F20300">
        <v>0</v>
      </c>
    </row>
    <row r="20301" spans="1:6" x14ac:dyDescent="0.25">
      <c r="A20301">
        <v>20300</v>
      </c>
      <c r="B20301">
        <v>2</v>
      </c>
      <c r="C20301">
        <v>0</v>
      </c>
      <c r="D20301">
        <v>0</v>
      </c>
      <c r="E20301">
        <v>0</v>
      </c>
      <c r="F20301">
        <v>253.87100000000001</v>
      </c>
    </row>
    <row r="20302" spans="1:6" x14ac:dyDescent="0.25">
      <c r="A20302">
        <v>20301</v>
      </c>
      <c r="B20302">
        <v>10</v>
      </c>
      <c r="C20302">
        <v>1</v>
      </c>
      <c r="D20302">
        <v>0</v>
      </c>
      <c r="E20302">
        <v>0</v>
      </c>
      <c r="F20302">
        <v>5225</v>
      </c>
    </row>
    <row r="20303" spans="1:6" x14ac:dyDescent="0.25">
      <c r="A20303">
        <v>20302</v>
      </c>
      <c r="B20303">
        <v>13</v>
      </c>
      <c r="C20303">
        <v>0</v>
      </c>
      <c r="D20303">
        <v>0</v>
      </c>
      <c r="E20303">
        <v>0</v>
      </c>
      <c r="F20303">
        <v>1620</v>
      </c>
    </row>
    <row r="20304" spans="1:6" x14ac:dyDescent="0.25">
      <c r="A20304">
        <v>20303</v>
      </c>
      <c r="B20304">
        <v>41</v>
      </c>
      <c r="C20304">
        <v>0</v>
      </c>
      <c r="D20304">
        <v>0</v>
      </c>
      <c r="E20304">
        <v>0</v>
      </c>
      <c r="F20304">
        <v>1</v>
      </c>
    </row>
    <row r="20305" spans="1:6" x14ac:dyDescent="0.25">
      <c r="A20305">
        <v>20304</v>
      </c>
      <c r="B20305">
        <v>42</v>
      </c>
      <c r="C20305">
        <v>0</v>
      </c>
      <c r="D20305">
        <v>0</v>
      </c>
      <c r="E20305">
        <v>0</v>
      </c>
      <c r="F20305">
        <v>0.2</v>
      </c>
    </row>
    <row r="20306" spans="1:6" x14ac:dyDescent="0.25">
      <c r="A20306">
        <v>20305</v>
      </c>
      <c r="B20306">
        <v>43</v>
      </c>
      <c r="C20306">
        <v>0</v>
      </c>
      <c r="D20306">
        <v>0</v>
      </c>
      <c r="E20306">
        <v>0</v>
      </c>
      <c r="F20306">
        <v>0</v>
      </c>
    </row>
    <row r="20307" spans="1:6" x14ac:dyDescent="0.25">
      <c r="A20307">
        <v>20306</v>
      </c>
      <c r="B20307">
        <v>44</v>
      </c>
      <c r="C20307">
        <v>0</v>
      </c>
      <c r="D20307">
        <v>0</v>
      </c>
      <c r="E20307">
        <v>0</v>
      </c>
      <c r="F20307">
        <v>46.121499999999997</v>
      </c>
    </row>
    <row r="20308" spans="1:6" x14ac:dyDescent="0.25">
      <c r="A20308">
        <v>20307</v>
      </c>
      <c r="B20308">
        <v>45</v>
      </c>
      <c r="C20308">
        <v>0</v>
      </c>
      <c r="D20308">
        <v>0</v>
      </c>
      <c r="E20308">
        <v>0</v>
      </c>
      <c r="F20308">
        <v>549.10400000000004</v>
      </c>
    </row>
    <row r="20309" spans="1:6" x14ac:dyDescent="0.25">
      <c r="A20309">
        <v>20308</v>
      </c>
      <c r="B20309">
        <v>46</v>
      </c>
      <c r="C20309">
        <v>0</v>
      </c>
      <c r="D20309">
        <v>0</v>
      </c>
      <c r="E20309">
        <v>0</v>
      </c>
      <c r="F20309">
        <v>0</v>
      </c>
    </row>
    <row r="20310" spans="1:6" x14ac:dyDescent="0.25">
      <c r="A20310">
        <v>20309</v>
      </c>
      <c r="B20310">
        <v>2</v>
      </c>
      <c r="C20310">
        <v>0</v>
      </c>
      <c r="D20310">
        <v>0</v>
      </c>
      <c r="E20310">
        <v>0</v>
      </c>
      <c r="F20310">
        <v>253.87700000000001</v>
      </c>
    </row>
    <row r="20311" spans="1:6" x14ac:dyDescent="0.25">
      <c r="A20311">
        <v>20310</v>
      </c>
      <c r="B20311">
        <v>10</v>
      </c>
      <c r="C20311">
        <v>1</v>
      </c>
      <c r="D20311">
        <v>0</v>
      </c>
      <c r="E20311">
        <v>0</v>
      </c>
      <c r="F20311">
        <v>5225</v>
      </c>
    </row>
    <row r="20312" spans="1:6" x14ac:dyDescent="0.25">
      <c r="A20312">
        <v>20311</v>
      </c>
      <c r="B20312">
        <v>13</v>
      </c>
      <c r="C20312">
        <v>0</v>
      </c>
      <c r="D20312">
        <v>0</v>
      </c>
      <c r="E20312">
        <v>0</v>
      </c>
      <c r="F20312">
        <v>1620</v>
      </c>
    </row>
    <row r="20313" spans="1:6" x14ac:dyDescent="0.25">
      <c r="A20313">
        <v>20312</v>
      </c>
      <c r="B20313">
        <v>41</v>
      </c>
      <c r="C20313">
        <v>0</v>
      </c>
      <c r="D20313">
        <v>0</v>
      </c>
      <c r="E20313">
        <v>0</v>
      </c>
      <c r="F20313">
        <v>1</v>
      </c>
    </row>
    <row r="20314" spans="1:6" x14ac:dyDescent="0.25">
      <c r="A20314">
        <v>20313</v>
      </c>
      <c r="B20314">
        <v>42</v>
      </c>
      <c r="C20314">
        <v>0</v>
      </c>
      <c r="D20314">
        <v>0</v>
      </c>
      <c r="E20314">
        <v>0</v>
      </c>
      <c r="F20314">
        <v>0.2</v>
      </c>
    </row>
    <row r="20315" spans="1:6" x14ac:dyDescent="0.25">
      <c r="A20315">
        <v>20314</v>
      </c>
      <c r="B20315">
        <v>43</v>
      </c>
      <c r="C20315">
        <v>0</v>
      </c>
      <c r="D20315">
        <v>0</v>
      </c>
      <c r="E20315">
        <v>0</v>
      </c>
      <c r="F20315">
        <v>0</v>
      </c>
    </row>
    <row r="20316" spans="1:6" x14ac:dyDescent="0.25">
      <c r="A20316">
        <v>20315</v>
      </c>
      <c r="B20316">
        <v>44</v>
      </c>
      <c r="C20316">
        <v>0</v>
      </c>
      <c r="D20316">
        <v>0</v>
      </c>
      <c r="E20316">
        <v>0</v>
      </c>
      <c r="F20316">
        <v>46.113300000000002</v>
      </c>
    </row>
    <row r="20317" spans="1:6" x14ac:dyDescent="0.25">
      <c r="A20317">
        <v>20316</v>
      </c>
      <c r="B20317">
        <v>45</v>
      </c>
      <c r="C20317">
        <v>0</v>
      </c>
      <c r="D20317">
        <v>0</v>
      </c>
      <c r="E20317">
        <v>0</v>
      </c>
      <c r="F20317">
        <v>549.16399999999999</v>
      </c>
    </row>
    <row r="20318" spans="1:6" x14ac:dyDescent="0.25">
      <c r="A20318">
        <v>20317</v>
      </c>
      <c r="B20318" t="s">
        <v>0</v>
      </c>
      <c r="C20318">
        <v>168</v>
      </c>
      <c r="D20318">
        <v>3518</v>
      </c>
      <c r="E20318">
        <v>80943775</v>
      </c>
    </row>
    <row r="20319" spans="1:6" x14ac:dyDescent="0.25">
      <c r="A20319">
        <v>20318</v>
      </c>
      <c r="B20319">
        <v>2</v>
      </c>
      <c r="C20319">
        <v>0</v>
      </c>
      <c r="D20319">
        <v>0</v>
      </c>
      <c r="E20319">
        <v>0</v>
      </c>
      <c r="F20319">
        <v>253.89</v>
      </c>
    </row>
    <row r="20320" spans="1:6" x14ac:dyDescent="0.25">
      <c r="A20320">
        <v>20319</v>
      </c>
      <c r="B20320" t="s">
        <v>0</v>
      </c>
      <c r="C20320">
        <v>169</v>
      </c>
      <c r="D20320">
        <v>3518</v>
      </c>
      <c r="E20320">
        <v>80943906</v>
      </c>
    </row>
    <row r="20321" spans="1:6" x14ac:dyDescent="0.25">
      <c r="A20321">
        <v>20320</v>
      </c>
      <c r="B20321">
        <v>13</v>
      </c>
      <c r="C20321">
        <v>0</v>
      </c>
      <c r="D20321">
        <v>0</v>
      </c>
      <c r="E20321">
        <v>0</v>
      </c>
      <c r="F20321">
        <v>1620</v>
      </c>
    </row>
    <row r="20322" spans="1:6" x14ac:dyDescent="0.25">
      <c r="A20322">
        <v>20321</v>
      </c>
      <c r="B20322" t="s">
        <v>0</v>
      </c>
      <c r="C20322">
        <v>170</v>
      </c>
      <c r="D20322">
        <v>3518</v>
      </c>
      <c r="E20322">
        <v>80944036</v>
      </c>
    </row>
    <row r="20323" spans="1:6" x14ac:dyDescent="0.25">
      <c r="A20323">
        <v>20322</v>
      </c>
      <c r="B20323">
        <v>42</v>
      </c>
      <c r="C20323">
        <v>0</v>
      </c>
      <c r="D20323">
        <v>0</v>
      </c>
      <c r="E20323">
        <v>0</v>
      </c>
      <c r="F20323">
        <v>0.2</v>
      </c>
    </row>
    <row r="20324" spans="1:6" x14ac:dyDescent="0.25">
      <c r="A20324">
        <v>20323</v>
      </c>
      <c r="B20324" t="s">
        <v>0</v>
      </c>
      <c r="C20324">
        <v>171</v>
      </c>
      <c r="D20324">
        <v>3518</v>
      </c>
      <c r="E20324">
        <v>80944167</v>
      </c>
    </row>
    <row r="20325" spans="1:6" x14ac:dyDescent="0.25">
      <c r="A20325">
        <v>20324</v>
      </c>
      <c r="B20325">
        <v>44</v>
      </c>
      <c r="C20325">
        <v>0</v>
      </c>
      <c r="D20325">
        <v>0</v>
      </c>
      <c r="E20325">
        <v>0</v>
      </c>
      <c r="F20325">
        <v>46.105400000000003</v>
      </c>
    </row>
    <row r="20326" spans="1:6" x14ac:dyDescent="0.25">
      <c r="A20326">
        <v>20325</v>
      </c>
      <c r="B20326" t="s">
        <v>0</v>
      </c>
      <c r="C20326">
        <v>172</v>
      </c>
      <c r="D20326">
        <v>3518</v>
      </c>
      <c r="E20326">
        <v>80944298</v>
      </c>
    </row>
    <row r="20327" spans="1:6" x14ac:dyDescent="0.25">
      <c r="A20327">
        <v>20326</v>
      </c>
      <c r="B20327">
        <v>46</v>
      </c>
      <c r="C20327">
        <v>0</v>
      </c>
      <c r="D20327">
        <v>0</v>
      </c>
      <c r="E20327">
        <v>0</v>
      </c>
      <c r="F20327">
        <v>0</v>
      </c>
    </row>
    <row r="20328" spans="1:6" x14ac:dyDescent="0.25">
      <c r="A20328">
        <v>20327</v>
      </c>
      <c r="B20328" t="s">
        <v>0</v>
      </c>
      <c r="C20328">
        <v>173</v>
      </c>
      <c r="D20328">
        <v>3518</v>
      </c>
      <c r="E20328">
        <v>80944428</v>
      </c>
    </row>
    <row r="20329" spans="1:6" x14ac:dyDescent="0.25">
      <c r="A20329">
        <v>20328</v>
      </c>
      <c r="B20329">
        <v>10</v>
      </c>
      <c r="C20329">
        <v>1</v>
      </c>
      <c r="D20329">
        <v>0</v>
      </c>
      <c r="E20329">
        <v>0</v>
      </c>
      <c r="F20329">
        <v>5225</v>
      </c>
    </row>
    <row r="20330" spans="1:6" x14ac:dyDescent="0.25">
      <c r="A20330">
        <v>20329</v>
      </c>
      <c r="B20330" t="s">
        <v>0</v>
      </c>
      <c r="C20330">
        <v>174</v>
      </c>
      <c r="D20330">
        <v>3518</v>
      </c>
      <c r="E20330">
        <v>80944559</v>
      </c>
    </row>
    <row r="20331" spans="1:6" x14ac:dyDescent="0.25">
      <c r="A20331">
        <v>20330</v>
      </c>
      <c r="B20331">
        <v>41</v>
      </c>
      <c r="C20331">
        <v>0</v>
      </c>
      <c r="D20331">
        <v>0</v>
      </c>
      <c r="E20331">
        <v>0</v>
      </c>
      <c r="F20331">
        <v>1</v>
      </c>
    </row>
    <row r="20332" spans="1:6" x14ac:dyDescent="0.25">
      <c r="A20332">
        <v>20331</v>
      </c>
      <c r="B20332" t="s">
        <v>0</v>
      </c>
      <c r="C20332">
        <v>175</v>
      </c>
      <c r="D20332">
        <v>3518</v>
      </c>
      <c r="E20332">
        <v>80944690</v>
      </c>
    </row>
    <row r="20333" spans="1:6" x14ac:dyDescent="0.25">
      <c r="A20333">
        <v>20332</v>
      </c>
      <c r="B20333">
        <v>43</v>
      </c>
      <c r="C20333">
        <v>0</v>
      </c>
      <c r="D20333">
        <v>0</v>
      </c>
      <c r="E20333">
        <v>0</v>
      </c>
      <c r="F20333">
        <v>0</v>
      </c>
    </row>
    <row r="20334" spans="1:6" x14ac:dyDescent="0.25">
      <c r="A20334">
        <v>20333</v>
      </c>
      <c r="B20334" t="s">
        <v>0</v>
      </c>
      <c r="C20334">
        <v>176</v>
      </c>
      <c r="D20334">
        <v>3518</v>
      </c>
      <c r="E20334">
        <v>80944820</v>
      </c>
    </row>
    <row r="20335" spans="1:6" x14ac:dyDescent="0.25">
      <c r="A20335">
        <v>20334</v>
      </c>
      <c r="B20335">
        <v>45</v>
      </c>
      <c r="C20335">
        <v>0</v>
      </c>
      <c r="D20335">
        <v>0</v>
      </c>
      <c r="E20335">
        <v>0</v>
      </c>
      <c r="F20335">
        <v>549.27300000000002</v>
      </c>
    </row>
    <row r="20336" spans="1:6" x14ac:dyDescent="0.25">
      <c r="A20336">
        <v>20335</v>
      </c>
      <c r="B20336" t="s">
        <v>0</v>
      </c>
      <c r="C20336">
        <v>177</v>
      </c>
      <c r="D20336">
        <v>3518</v>
      </c>
      <c r="E20336">
        <v>80944951</v>
      </c>
    </row>
    <row r="20337" spans="1:6" x14ac:dyDescent="0.25">
      <c r="A20337">
        <v>20336</v>
      </c>
      <c r="B20337">
        <v>2</v>
      </c>
      <c r="C20337">
        <v>0</v>
      </c>
      <c r="D20337">
        <v>0</v>
      </c>
      <c r="E20337">
        <v>0</v>
      </c>
      <c r="F20337">
        <v>253.90199999999999</v>
      </c>
    </row>
    <row r="20338" spans="1:6" x14ac:dyDescent="0.25">
      <c r="A20338">
        <v>20337</v>
      </c>
      <c r="B20338" t="s">
        <v>0</v>
      </c>
      <c r="C20338">
        <v>178</v>
      </c>
      <c r="D20338">
        <v>3518</v>
      </c>
      <c r="E20338">
        <v>80945082</v>
      </c>
    </row>
    <row r="20339" spans="1:6" x14ac:dyDescent="0.25">
      <c r="A20339">
        <v>20338</v>
      </c>
      <c r="B20339">
        <v>10</v>
      </c>
      <c r="C20339">
        <v>1</v>
      </c>
      <c r="D20339">
        <v>0</v>
      </c>
      <c r="E20339">
        <v>0</v>
      </c>
      <c r="F20339">
        <v>5226</v>
      </c>
    </row>
    <row r="20340" spans="1:6" x14ac:dyDescent="0.25">
      <c r="A20340">
        <v>20339</v>
      </c>
      <c r="B20340">
        <v>13</v>
      </c>
      <c r="C20340">
        <v>0</v>
      </c>
      <c r="D20340">
        <v>0</v>
      </c>
      <c r="E20340">
        <v>0</v>
      </c>
      <c r="F20340">
        <v>1620</v>
      </c>
    </row>
    <row r="20341" spans="1:6" x14ac:dyDescent="0.25">
      <c r="A20341">
        <v>20340</v>
      </c>
      <c r="B20341">
        <v>41</v>
      </c>
      <c r="C20341">
        <v>0</v>
      </c>
      <c r="D20341">
        <v>0</v>
      </c>
      <c r="E20341">
        <v>0</v>
      </c>
      <c r="F20341">
        <v>1</v>
      </c>
    </row>
    <row r="20342" spans="1:6" x14ac:dyDescent="0.25">
      <c r="A20342">
        <v>20341</v>
      </c>
      <c r="B20342">
        <v>42</v>
      </c>
      <c r="C20342">
        <v>0</v>
      </c>
      <c r="D20342">
        <v>0</v>
      </c>
      <c r="E20342">
        <v>0</v>
      </c>
      <c r="F20342">
        <v>0.2</v>
      </c>
    </row>
    <row r="20343" spans="1:6" x14ac:dyDescent="0.25">
      <c r="A20343">
        <v>20342</v>
      </c>
      <c r="B20343" t="s">
        <v>0</v>
      </c>
      <c r="C20343">
        <v>0</v>
      </c>
      <c r="D20343">
        <v>3519</v>
      </c>
      <c r="E20343">
        <v>80945344</v>
      </c>
    </row>
    <row r="20344" spans="1:6" x14ac:dyDescent="0.25">
      <c r="A20344">
        <v>20343</v>
      </c>
      <c r="B20344">
        <v>43</v>
      </c>
      <c r="C20344">
        <v>0</v>
      </c>
      <c r="D20344">
        <v>0</v>
      </c>
      <c r="E20344">
        <v>0</v>
      </c>
      <c r="F20344">
        <v>0</v>
      </c>
    </row>
    <row r="20345" spans="1:6" x14ac:dyDescent="0.25">
      <c r="A20345">
        <v>20344</v>
      </c>
      <c r="B20345">
        <v>44</v>
      </c>
      <c r="C20345">
        <v>0</v>
      </c>
      <c r="D20345">
        <v>0</v>
      </c>
      <c r="E20345">
        <v>0</v>
      </c>
      <c r="F20345">
        <v>46.097299999999997</v>
      </c>
    </row>
    <row r="20346" spans="1:6" x14ac:dyDescent="0.25">
      <c r="A20346">
        <v>20345</v>
      </c>
      <c r="B20346" t="s">
        <v>0</v>
      </c>
      <c r="C20346">
        <v>1</v>
      </c>
      <c r="D20346">
        <v>3519</v>
      </c>
      <c r="E20346">
        <v>80945475</v>
      </c>
    </row>
    <row r="20347" spans="1:6" x14ac:dyDescent="0.25">
      <c r="A20347">
        <v>20346</v>
      </c>
      <c r="B20347">
        <v>45</v>
      </c>
      <c r="C20347">
        <v>0</v>
      </c>
      <c r="D20347">
        <v>0</v>
      </c>
      <c r="E20347">
        <v>0</v>
      </c>
      <c r="F20347">
        <v>549.30999999999995</v>
      </c>
    </row>
    <row r="20348" spans="1:6" x14ac:dyDescent="0.25">
      <c r="A20348">
        <v>20347</v>
      </c>
      <c r="B20348">
        <v>46</v>
      </c>
      <c r="C20348">
        <v>0</v>
      </c>
      <c r="D20348">
        <v>0</v>
      </c>
      <c r="E20348">
        <v>0</v>
      </c>
      <c r="F20348">
        <v>0</v>
      </c>
    </row>
    <row r="20349" spans="1:6" x14ac:dyDescent="0.25">
      <c r="A20349">
        <v>20348</v>
      </c>
      <c r="B20349" t="s">
        <v>0</v>
      </c>
      <c r="C20349">
        <v>2</v>
      </c>
      <c r="D20349">
        <v>3519</v>
      </c>
      <c r="E20349">
        <v>80945605</v>
      </c>
    </row>
    <row r="20350" spans="1:6" x14ac:dyDescent="0.25">
      <c r="A20350">
        <v>20349</v>
      </c>
      <c r="B20350">
        <v>2</v>
      </c>
      <c r="C20350">
        <v>0</v>
      </c>
      <c r="D20350">
        <v>0</v>
      </c>
      <c r="E20350">
        <v>0</v>
      </c>
      <c r="F20350">
        <v>253.905</v>
      </c>
    </row>
    <row r="20351" spans="1:6" x14ac:dyDescent="0.25">
      <c r="A20351">
        <v>20350</v>
      </c>
      <c r="B20351">
        <v>10</v>
      </c>
      <c r="C20351">
        <v>1</v>
      </c>
      <c r="D20351">
        <v>0</v>
      </c>
      <c r="E20351">
        <v>0</v>
      </c>
      <c r="F20351">
        <v>5226</v>
      </c>
    </row>
    <row r="20352" spans="1:6" x14ac:dyDescent="0.25">
      <c r="A20352">
        <v>20351</v>
      </c>
      <c r="B20352" t="s">
        <v>0</v>
      </c>
      <c r="C20352">
        <v>3</v>
      </c>
      <c r="D20352">
        <v>3519</v>
      </c>
      <c r="E20352">
        <v>80945736</v>
      </c>
    </row>
    <row r="20353" spans="1:6" x14ac:dyDescent="0.25">
      <c r="A20353">
        <v>20352</v>
      </c>
      <c r="B20353">
        <v>13</v>
      </c>
      <c r="C20353">
        <v>0</v>
      </c>
      <c r="D20353">
        <v>0</v>
      </c>
      <c r="E20353">
        <v>0</v>
      </c>
      <c r="F20353">
        <v>1620</v>
      </c>
    </row>
    <row r="20354" spans="1:6" x14ac:dyDescent="0.25">
      <c r="A20354">
        <v>20353</v>
      </c>
      <c r="B20354">
        <v>41</v>
      </c>
      <c r="C20354">
        <v>0</v>
      </c>
      <c r="D20354">
        <v>0</v>
      </c>
      <c r="E20354">
        <v>0</v>
      </c>
      <c r="F20354">
        <v>1</v>
      </c>
    </row>
    <row r="20355" spans="1:6" x14ac:dyDescent="0.25">
      <c r="A20355">
        <v>20354</v>
      </c>
      <c r="B20355" t="s">
        <v>0</v>
      </c>
      <c r="C20355">
        <v>4</v>
      </c>
      <c r="D20355">
        <v>3519</v>
      </c>
      <c r="E20355">
        <v>80945867</v>
      </c>
    </row>
    <row r="20356" spans="1:6" x14ac:dyDescent="0.25">
      <c r="A20356">
        <v>20355</v>
      </c>
      <c r="B20356">
        <v>42</v>
      </c>
      <c r="C20356">
        <v>0</v>
      </c>
      <c r="D20356">
        <v>0</v>
      </c>
      <c r="E20356">
        <v>0</v>
      </c>
      <c r="F20356">
        <v>0.2</v>
      </c>
    </row>
    <row r="20357" spans="1:6" x14ac:dyDescent="0.25">
      <c r="A20357">
        <v>20356</v>
      </c>
      <c r="B20357">
        <v>43</v>
      </c>
      <c r="C20357">
        <v>0</v>
      </c>
      <c r="D20357">
        <v>0</v>
      </c>
      <c r="E20357">
        <v>0</v>
      </c>
      <c r="F20357">
        <v>0</v>
      </c>
    </row>
    <row r="20358" spans="1:6" x14ac:dyDescent="0.25">
      <c r="A20358">
        <v>20357</v>
      </c>
      <c r="B20358" t="s">
        <v>0</v>
      </c>
      <c r="C20358">
        <v>5</v>
      </c>
      <c r="D20358">
        <v>3519</v>
      </c>
      <c r="E20358">
        <v>80945997</v>
      </c>
    </row>
    <row r="20359" spans="1:6" x14ac:dyDescent="0.25">
      <c r="A20359">
        <v>20358</v>
      </c>
      <c r="B20359">
        <v>44</v>
      </c>
      <c r="C20359">
        <v>0</v>
      </c>
      <c r="D20359">
        <v>0</v>
      </c>
      <c r="E20359">
        <v>0</v>
      </c>
      <c r="F20359">
        <v>46.093000000000004</v>
      </c>
    </row>
    <row r="20360" spans="1:6" x14ac:dyDescent="0.25">
      <c r="A20360">
        <v>20359</v>
      </c>
      <c r="B20360">
        <v>45</v>
      </c>
      <c r="C20360">
        <v>0</v>
      </c>
      <c r="D20360">
        <v>0</v>
      </c>
      <c r="E20360">
        <v>0</v>
      </c>
      <c r="F20360">
        <v>549.35799999999995</v>
      </c>
    </row>
    <row r="20361" spans="1:6" x14ac:dyDescent="0.25">
      <c r="A20361">
        <v>20360</v>
      </c>
      <c r="B20361" t="s">
        <v>0</v>
      </c>
      <c r="C20361">
        <v>6</v>
      </c>
      <c r="D20361">
        <v>3519</v>
      </c>
      <c r="E20361">
        <v>80946128</v>
      </c>
    </row>
    <row r="20362" spans="1:6" x14ac:dyDescent="0.25">
      <c r="A20362">
        <v>20361</v>
      </c>
      <c r="B20362">
        <v>46</v>
      </c>
      <c r="C20362">
        <v>0</v>
      </c>
      <c r="D20362">
        <v>0</v>
      </c>
      <c r="E20362">
        <v>0</v>
      </c>
      <c r="F20362">
        <v>0</v>
      </c>
    </row>
    <row r="20363" spans="1:6" x14ac:dyDescent="0.25">
      <c r="A20363">
        <v>20362</v>
      </c>
      <c r="B20363">
        <v>2</v>
      </c>
      <c r="C20363">
        <v>0</v>
      </c>
      <c r="D20363">
        <v>0</v>
      </c>
      <c r="E20363">
        <v>0</v>
      </c>
      <c r="F20363">
        <v>253.90799999999999</v>
      </c>
    </row>
    <row r="20364" spans="1:6" x14ac:dyDescent="0.25">
      <c r="A20364">
        <v>20363</v>
      </c>
      <c r="B20364">
        <v>10</v>
      </c>
      <c r="C20364">
        <v>1</v>
      </c>
      <c r="D20364">
        <v>0</v>
      </c>
      <c r="E20364">
        <v>0</v>
      </c>
      <c r="F20364">
        <v>5226</v>
      </c>
    </row>
    <row r="20365" spans="1:6" x14ac:dyDescent="0.25">
      <c r="A20365">
        <v>20364</v>
      </c>
      <c r="B20365">
        <v>13</v>
      </c>
      <c r="C20365">
        <v>0</v>
      </c>
      <c r="D20365">
        <v>0</v>
      </c>
      <c r="E20365">
        <v>0</v>
      </c>
      <c r="F20365">
        <v>1620</v>
      </c>
    </row>
    <row r="20366" spans="1:6" x14ac:dyDescent="0.25">
      <c r="A20366">
        <v>20365</v>
      </c>
      <c r="B20366">
        <v>41</v>
      </c>
      <c r="C20366">
        <v>0</v>
      </c>
      <c r="D20366">
        <v>0</v>
      </c>
      <c r="E20366">
        <v>0</v>
      </c>
      <c r="F20366">
        <v>1</v>
      </c>
    </row>
    <row r="20367" spans="1:6" x14ac:dyDescent="0.25">
      <c r="A20367">
        <v>20366</v>
      </c>
      <c r="B20367">
        <v>42</v>
      </c>
      <c r="C20367">
        <v>0</v>
      </c>
      <c r="D20367">
        <v>0</v>
      </c>
      <c r="E20367">
        <v>0</v>
      </c>
      <c r="F20367">
        <v>0.2</v>
      </c>
    </row>
    <row r="20368" spans="1:6" x14ac:dyDescent="0.25">
      <c r="A20368">
        <v>20367</v>
      </c>
      <c r="B20368">
        <v>43</v>
      </c>
      <c r="C20368">
        <v>0</v>
      </c>
      <c r="D20368">
        <v>0</v>
      </c>
      <c r="E20368">
        <v>0</v>
      </c>
      <c r="F20368">
        <v>0</v>
      </c>
    </row>
    <row r="20369" spans="1:6" x14ac:dyDescent="0.25">
      <c r="A20369">
        <v>20368</v>
      </c>
      <c r="B20369">
        <v>44</v>
      </c>
      <c r="C20369">
        <v>0</v>
      </c>
      <c r="D20369">
        <v>0</v>
      </c>
      <c r="E20369">
        <v>0</v>
      </c>
      <c r="F20369">
        <v>46.089500000000001</v>
      </c>
    </row>
    <row r="20370" spans="1:6" x14ac:dyDescent="0.25">
      <c r="A20370">
        <v>20369</v>
      </c>
      <c r="B20370">
        <v>45</v>
      </c>
      <c r="C20370">
        <v>0</v>
      </c>
      <c r="D20370">
        <v>0</v>
      </c>
      <c r="E20370">
        <v>0</v>
      </c>
      <c r="F20370">
        <v>549.41899999999998</v>
      </c>
    </row>
    <row r="20371" spans="1:6" x14ac:dyDescent="0.25">
      <c r="A20371">
        <v>20370</v>
      </c>
      <c r="B20371">
        <v>46</v>
      </c>
      <c r="C20371">
        <v>0</v>
      </c>
      <c r="D20371">
        <v>0</v>
      </c>
      <c r="E20371">
        <v>0</v>
      </c>
      <c r="F20371">
        <v>0</v>
      </c>
    </row>
    <row r="20372" spans="1:6" x14ac:dyDescent="0.25">
      <c r="A20372">
        <v>20371</v>
      </c>
      <c r="B20372">
        <v>2</v>
      </c>
      <c r="C20372">
        <v>0</v>
      </c>
      <c r="D20372">
        <v>0</v>
      </c>
      <c r="E20372">
        <v>0</v>
      </c>
      <c r="F20372">
        <v>253.91200000000001</v>
      </c>
    </row>
    <row r="20373" spans="1:6" x14ac:dyDescent="0.25">
      <c r="A20373">
        <v>20372</v>
      </c>
      <c r="B20373">
        <v>10</v>
      </c>
      <c r="C20373">
        <v>1</v>
      </c>
      <c r="D20373">
        <v>0</v>
      </c>
      <c r="E20373">
        <v>0</v>
      </c>
      <c r="F20373">
        <v>5226</v>
      </c>
    </row>
    <row r="20374" spans="1:6" x14ac:dyDescent="0.25">
      <c r="A20374">
        <v>20373</v>
      </c>
      <c r="B20374">
        <v>13</v>
      </c>
      <c r="C20374">
        <v>0</v>
      </c>
      <c r="D20374">
        <v>0</v>
      </c>
      <c r="E20374">
        <v>0</v>
      </c>
      <c r="F20374">
        <v>1620</v>
      </c>
    </row>
    <row r="20375" spans="1:6" x14ac:dyDescent="0.25">
      <c r="A20375">
        <v>20374</v>
      </c>
      <c r="B20375">
        <v>41</v>
      </c>
      <c r="C20375">
        <v>0</v>
      </c>
      <c r="D20375">
        <v>0</v>
      </c>
      <c r="E20375">
        <v>0</v>
      </c>
      <c r="F20375">
        <v>1</v>
      </c>
    </row>
    <row r="20376" spans="1:6" x14ac:dyDescent="0.25">
      <c r="A20376">
        <v>20375</v>
      </c>
      <c r="B20376">
        <v>42</v>
      </c>
      <c r="C20376">
        <v>0</v>
      </c>
      <c r="D20376">
        <v>0</v>
      </c>
      <c r="E20376">
        <v>0</v>
      </c>
      <c r="F20376">
        <v>0.2</v>
      </c>
    </row>
    <row r="20377" spans="1:6" x14ac:dyDescent="0.25">
      <c r="A20377">
        <v>20376</v>
      </c>
      <c r="B20377">
        <v>43</v>
      </c>
      <c r="C20377">
        <v>0</v>
      </c>
      <c r="D20377">
        <v>0</v>
      </c>
      <c r="E20377">
        <v>0</v>
      </c>
      <c r="F20377">
        <v>0</v>
      </c>
    </row>
    <row r="20378" spans="1:6" x14ac:dyDescent="0.25">
      <c r="A20378">
        <v>20377</v>
      </c>
      <c r="B20378">
        <v>44</v>
      </c>
      <c r="C20378">
        <v>0</v>
      </c>
      <c r="D20378">
        <v>0</v>
      </c>
      <c r="E20378">
        <v>0</v>
      </c>
      <c r="F20378">
        <v>46.0871</v>
      </c>
    </row>
    <row r="20379" spans="1:6" x14ac:dyDescent="0.25">
      <c r="A20379">
        <v>20378</v>
      </c>
      <c r="B20379" t="s">
        <v>0</v>
      </c>
      <c r="C20379">
        <v>15</v>
      </c>
      <c r="D20379">
        <v>3519</v>
      </c>
      <c r="E20379">
        <v>80947304</v>
      </c>
    </row>
    <row r="20380" spans="1:6" x14ac:dyDescent="0.25">
      <c r="A20380">
        <v>20379</v>
      </c>
      <c r="B20380">
        <v>45</v>
      </c>
      <c r="C20380">
        <v>0</v>
      </c>
      <c r="D20380">
        <v>0</v>
      </c>
      <c r="E20380">
        <v>0</v>
      </c>
      <c r="F20380">
        <v>549.47900000000004</v>
      </c>
    </row>
    <row r="20381" spans="1:6" x14ac:dyDescent="0.25">
      <c r="A20381">
        <v>20380</v>
      </c>
      <c r="B20381" t="s">
        <v>0</v>
      </c>
      <c r="C20381">
        <v>16</v>
      </c>
      <c r="D20381">
        <v>3519</v>
      </c>
      <c r="E20381">
        <v>80947435</v>
      </c>
    </row>
    <row r="20382" spans="1:6" x14ac:dyDescent="0.25">
      <c r="A20382">
        <v>20381</v>
      </c>
      <c r="B20382">
        <v>2</v>
      </c>
      <c r="C20382">
        <v>0</v>
      </c>
      <c r="D20382">
        <v>0</v>
      </c>
      <c r="E20382">
        <v>0</v>
      </c>
      <c r="F20382">
        <v>253.91399999999999</v>
      </c>
    </row>
    <row r="20383" spans="1:6" x14ac:dyDescent="0.25">
      <c r="A20383">
        <v>20382</v>
      </c>
      <c r="B20383" t="s">
        <v>0</v>
      </c>
      <c r="C20383">
        <v>17</v>
      </c>
      <c r="D20383">
        <v>3519</v>
      </c>
      <c r="E20383">
        <v>80947565</v>
      </c>
    </row>
    <row r="20384" spans="1:6" x14ac:dyDescent="0.25">
      <c r="A20384">
        <v>20383</v>
      </c>
      <c r="B20384">
        <v>13</v>
      </c>
      <c r="C20384">
        <v>0</v>
      </c>
      <c r="D20384">
        <v>0</v>
      </c>
      <c r="E20384">
        <v>0</v>
      </c>
      <c r="F20384">
        <v>1620</v>
      </c>
    </row>
    <row r="20385" spans="1:6" x14ac:dyDescent="0.25">
      <c r="A20385">
        <v>20384</v>
      </c>
      <c r="B20385" t="s">
        <v>0</v>
      </c>
      <c r="C20385">
        <v>18</v>
      </c>
      <c r="D20385">
        <v>3519</v>
      </c>
      <c r="E20385">
        <v>80947696</v>
      </c>
    </row>
    <row r="20386" spans="1:6" x14ac:dyDescent="0.25">
      <c r="A20386">
        <v>20385</v>
      </c>
      <c r="B20386">
        <v>42</v>
      </c>
      <c r="C20386">
        <v>0</v>
      </c>
      <c r="D20386">
        <v>0</v>
      </c>
      <c r="E20386">
        <v>0</v>
      </c>
      <c r="F20386">
        <v>0.2</v>
      </c>
    </row>
    <row r="20387" spans="1:6" x14ac:dyDescent="0.25">
      <c r="A20387">
        <v>20386</v>
      </c>
      <c r="B20387" t="s">
        <v>0</v>
      </c>
      <c r="C20387">
        <v>19</v>
      </c>
      <c r="D20387">
        <v>3519</v>
      </c>
      <c r="E20387">
        <v>80947827</v>
      </c>
    </row>
    <row r="20388" spans="1:6" x14ac:dyDescent="0.25">
      <c r="A20388">
        <v>20387</v>
      </c>
      <c r="B20388">
        <v>44</v>
      </c>
      <c r="C20388">
        <v>0</v>
      </c>
      <c r="D20388">
        <v>0</v>
      </c>
      <c r="E20388">
        <v>0</v>
      </c>
      <c r="F20388">
        <v>46.085000000000001</v>
      </c>
    </row>
    <row r="20389" spans="1:6" x14ac:dyDescent="0.25">
      <c r="A20389">
        <v>20388</v>
      </c>
      <c r="B20389" t="s">
        <v>0</v>
      </c>
      <c r="C20389">
        <v>20</v>
      </c>
      <c r="D20389">
        <v>3519</v>
      </c>
      <c r="E20389">
        <v>80947957</v>
      </c>
    </row>
    <row r="20390" spans="1:6" x14ac:dyDescent="0.25">
      <c r="A20390">
        <v>20389</v>
      </c>
      <c r="B20390">
        <v>46</v>
      </c>
      <c r="C20390">
        <v>0</v>
      </c>
      <c r="D20390">
        <v>0</v>
      </c>
      <c r="E20390">
        <v>0</v>
      </c>
      <c r="F20390">
        <v>0</v>
      </c>
    </row>
    <row r="20391" spans="1:6" x14ac:dyDescent="0.25">
      <c r="A20391">
        <v>20390</v>
      </c>
      <c r="B20391" t="s">
        <v>0</v>
      </c>
      <c r="C20391">
        <v>21</v>
      </c>
      <c r="D20391">
        <v>3519</v>
      </c>
      <c r="E20391">
        <v>80948088</v>
      </c>
    </row>
    <row r="20392" spans="1:6" x14ac:dyDescent="0.25">
      <c r="A20392">
        <v>20391</v>
      </c>
      <c r="B20392">
        <v>10</v>
      </c>
      <c r="C20392">
        <v>1</v>
      </c>
      <c r="D20392">
        <v>0</v>
      </c>
      <c r="E20392">
        <v>0</v>
      </c>
      <c r="F20392">
        <v>5227</v>
      </c>
    </row>
    <row r="20393" spans="1:6" x14ac:dyDescent="0.25">
      <c r="A20393">
        <v>20392</v>
      </c>
      <c r="B20393" t="s">
        <v>0</v>
      </c>
      <c r="C20393">
        <v>22</v>
      </c>
      <c r="D20393">
        <v>3519</v>
      </c>
      <c r="E20393">
        <v>80948219</v>
      </c>
    </row>
    <row r="20394" spans="1:6" x14ac:dyDescent="0.25">
      <c r="A20394">
        <v>20393</v>
      </c>
      <c r="B20394">
        <v>41</v>
      </c>
      <c r="C20394">
        <v>0</v>
      </c>
      <c r="D20394">
        <v>0</v>
      </c>
      <c r="E20394">
        <v>0</v>
      </c>
      <c r="F20394">
        <v>1</v>
      </c>
    </row>
    <row r="20395" spans="1:6" x14ac:dyDescent="0.25">
      <c r="A20395">
        <v>20394</v>
      </c>
      <c r="B20395" t="s">
        <v>0</v>
      </c>
      <c r="C20395">
        <v>23</v>
      </c>
      <c r="D20395">
        <v>3519</v>
      </c>
      <c r="E20395">
        <v>80948349</v>
      </c>
    </row>
    <row r="20396" spans="1:6" x14ac:dyDescent="0.25">
      <c r="A20396">
        <v>20395</v>
      </c>
      <c r="B20396">
        <v>43</v>
      </c>
      <c r="C20396">
        <v>0</v>
      </c>
      <c r="D20396">
        <v>0</v>
      </c>
      <c r="E20396">
        <v>0</v>
      </c>
      <c r="F20396">
        <v>0</v>
      </c>
    </row>
    <row r="20397" spans="1:6" x14ac:dyDescent="0.25">
      <c r="A20397">
        <v>20396</v>
      </c>
      <c r="B20397" t="s">
        <v>0</v>
      </c>
      <c r="C20397">
        <v>24</v>
      </c>
      <c r="D20397">
        <v>3519</v>
      </c>
      <c r="E20397">
        <v>80948479</v>
      </c>
    </row>
    <row r="20398" spans="1:6" x14ac:dyDescent="0.25">
      <c r="A20398">
        <v>20397</v>
      </c>
      <c r="B20398">
        <v>45</v>
      </c>
      <c r="C20398">
        <v>0</v>
      </c>
      <c r="D20398">
        <v>0</v>
      </c>
      <c r="E20398">
        <v>0</v>
      </c>
      <c r="F20398">
        <v>549.58799999999997</v>
      </c>
    </row>
    <row r="20399" spans="1:6" x14ac:dyDescent="0.25">
      <c r="A20399">
        <v>20398</v>
      </c>
      <c r="B20399" t="s">
        <v>0</v>
      </c>
      <c r="C20399">
        <v>25</v>
      </c>
      <c r="D20399">
        <v>3519</v>
      </c>
      <c r="E20399">
        <v>80948609</v>
      </c>
    </row>
    <row r="20400" spans="1:6" x14ac:dyDescent="0.25">
      <c r="A20400">
        <v>20399</v>
      </c>
      <c r="B20400">
        <v>46</v>
      </c>
      <c r="C20400">
        <v>0</v>
      </c>
      <c r="D20400">
        <v>0</v>
      </c>
      <c r="E20400">
        <v>0</v>
      </c>
      <c r="F20400">
        <v>0</v>
      </c>
    </row>
    <row r="20401" spans="1:6" x14ac:dyDescent="0.25">
      <c r="A20401">
        <v>20400</v>
      </c>
      <c r="B20401">
        <v>2</v>
      </c>
      <c r="C20401">
        <v>0</v>
      </c>
      <c r="D20401">
        <v>0</v>
      </c>
      <c r="E20401">
        <v>0</v>
      </c>
      <c r="F20401">
        <v>253.97200000000001</v>
      </c>
    </row>
    <row r="20402" spans="1:6" x14ac:dyDescent="0.25">
      <c r="A20402">
        <v>20401</v>
      </c>
      <c r="B20402" t="s">
        <v>0</v>
      </c>
      <c r="C20402">
        <v>26</v>
      </c>
      <c r="D20402">
        <v>3519</v>
      </c>
      <c r="E20402">
        <v>80948740</v>
      </c>
    </row>
    <row r="20403" spans="1:6" x14ac:dyDescent="0.25">
      <c r="A20403">
        <v>20402</v>
      </c>
      <c r="B20403">
        <v>10</v>
      </c>
      <c r="C20403">
        <v>1</v>
      </c>
      <c r="D20403">
        <v>0</v>
      </c>
      <c r="E20403">
        <v>0</v>
      </c>
      <c r="F20403">
        <v>5226</v>
      </c>
    </row>
    <row r="20404" spans="1:6" x14ac:dyDescent="0.25">
      <c r="A20404">
        <v>20403</v>
      </c>
      <c r="B20404">
        <v>13</v>
      </c>
      <c r="C20404">
        <v>0</v>
      </c>
      <c r="D20404">
        <v>0</v>
      </c>
      <c r="E20404">
        <v>0</v>
      </c>
      <c r="F20404">
        <v>1620</v>
      </c>
    </row>
    <row r="20405" spans="1:6" x14ac:dyDescent="0.25">
      <c r="A20405">
        <v>20404</v>
      </c>
      <c r="B20405" t="s">
        <v>0</v>
      </c>
      <c r="C20405">
        <v>27</v>
      </c>
      <c r="D20405">
        <v>3519</v>
      </c>
      <c r="E20405">
        <v>80948871</v>
      </c>
    </row>
    <row r="20406" spans="1:6" x14ac:dyDescent="0.25">
      <c r="A20406">
        <v>20405</v>
      </c>
      <c r="B20406">
        <v>41</v>
      </c>
      <c r="C20406">
        <v>0</v>
      </c>
      <c r="D20406">
        <v>0</v>
      </c>
      <c r="E20406">
        <v>0</v>
      </c>
      <c r="F20406">
        <v>1</v>
      </c>
    </row>
    <row r="20407" spans="1:6" x14ac:dyDescent="0.25">
      <c r="A20407">
        <v>20406</v>
      </c>
      <c r="B20407">
        <v>42</v>
      </c>
      <c r="C20407">
        <v>0</v>
      </c>
      <c r="D20407">
        <v>0</v>
      </c>
      <c r="E20407">
        <v>0</v>
      </c>
      <c r="F20407">
        <v>0.2</v>
      </c>
    </row>
    <row r="20408" spans="1:6" x14ac:dyDescent="0.25">
      <c r="A20408">
        <v>20407</v>
      </c>
      <c r="B20408" t="s">
        <v>0</v>
      </c>
      <c r="C20408">
        <v>28</v>
      </c>
      <c r="D20408">
        <v>3519</v>
      </c>
      <c r="E20408">
        <v>80949002</v>
      </c>
    </row>
    <row r="20409" spans="1:6" x14ac:dyDescent="0.25">
      <c r="A20409">
        <v>20408</v>
      </c>
      <c r="B20409">
        <v>43</v>
      </c>
      <c r="C20409">
        <v>0</v>
      </c>
      <c r="D20409">
        <v>0</v>
      </c>
      <c r="E20409">
        <v>0</v>
      </c>
      <c r="F20409">
        <v>0</v>
      </c>
    </row>
    <row r="20410" spans="1:6" x14ac:dyDescent="0.25">
      <c r="A20410">
        <v>20409</v>
      </c>
      <c r="B20410">
        <v>44</v>
      </c>
      <c r="C20410">
        <v>0</v>
      </c>
      <c r="D20410">
        <v>0</v>
      </c>
      <c r="E20410">
        <v>0</v>
      </c>
      <c r="F20410">
        <v>45.979799999999997</v>
      </c>
    </row>
    <row r="20411" spans="1:6" x14ac:dyDescent="0.25">
      <c r="A20411">
        <v>20410</v>
      </c>
      <c r="B20411" t="s">
        <v>0</v>
      </c>
      <c r="C20411">
        <v>29</v>
      </c>
      <c r="D20411">
        <v>3519</v>
      </c>
      <c r="E20411">
        <v>80949133</v>
      </c>
    </row>
    <row r="20412" spans="1:6" x14ac:dyDescent="0.25">
      <c r="A20412">
        <v>20411</v>
      </c>
      <c r="B20412">
        <v>45</v>
      </c>
      <c r="C20412">
        <v>0</v>
      </c>
      <c r="D20412">
        <v>0</v>
      </c>
      <c r="E20412">
        <v>0</v>
      </c>
      <c r="F20412">
        <v>549.649</v>
      </c>
    </row>
    <row r="20413" spans="1:6" x14ac:dyDescent="0.25">
      <c r="A20413">
        <v>20412</v>
      </c>
      <c r="B20413">
        <v>46</v>
      </c>
      <c r="C20413">
        <v>0</v>
      </c>
      <c r="D20413">
        <v>0</v>
      </c>
      <c r="E20413">
        <v>0</v>
      </c>
      <c r="F20413">
        <v>0</v>
      </c>
    </row>
    <row r="20414" spans="1:6" x14ac:dyDescent="0.25">
      <c r="A20414">
        <v>20413</v>
      </c>
      <c r="B20414" t="s">
        <v>0</v>
      </c>
      <c r="C20414">
        <v>30</v>
      </c>
      <c r="D20414">
        <v>3519</v>
      </c>
      <c r="E20414">
        <v>80949263</v>
      </c>
    </row>
    <row r="20415" spans="1:6" x14ac:dyDescent="0.25">
      <c r="A20415">
        <v>20414</v>
      </c>
      <c r="B20415">
        <v>2</v>
      </c>
      <c r="C20415">
        <v>0</v>
      </c>
      <c r="D20415">
        <v>0</v>
      </c>
      <c r="E20415">
        <v>0</v>
      </c>
      <c r="F20415">
        <v>254.048</v>
      </c>
    </row>
    <row r="20416" spans="1:6" x14ac:dyDescent="0.25">
      <c r="A20416">
        <v>20415</v>
      </c>
      <c r="B20416">
        <v>10</v>
      </c>
      <c r="C20416">
        <v>1</v>
      </c>
      <c r="D20416">
        <v>0</v>
      </c>
      <c r="E20416">
        <v>0</v>
      </c>
      <c r="F20416">
        <v>5224</v>
      </c>
    </row>
    <row r="20417" spans="1:6" x14ac:dyDescent="0.25">
      <c r="A20417">
        <v>20416</v>
      </c>
      <c r="B20417">
        <v>13</v>
      </c>
      <c r="C20417">
        <v>0</v>
      </c>
      <c r="D20417">
        <v>0</v>
      </c>
      <c r="E20417">
        <v>0</v>
      </c>
      <c r="F20417">
        <v>1620</v>
      </c>
    </row>
    <row r="20418" spans="1:6" x14ac:dyDescent="0.25">
      <c r="A20418">
        <v>20417</v>
      </c>
      <c r="B20418">
        <v>41</v>
      </c>
      <c r="C20418">
        <v>0</v>
      </c>
      <c r="D20418">
        <v>0</v>
      </c>
      <c r="E20418">
        <v>0</v>
      </c>
      <c r="F20418">
        <v>1</v>
      </c>
    </row>
    <row r="20419" spans="1:6" x14ac:dyDescent="0.25">
      <c r="A20419">
        <v>20418</v>
      </c>
      <c r="B20419">
        <v>42</v>
      </c>
      <c r="C20419">
        <v>0</v>
      </c>
      <c r="D20419">
        <v>0</v>
      </c>
      <c r="E20419">
        <v>0</v>
      </c>
      <c r="F20419">
        <v>0.2</v>
      </c>
    </row>
    <row r="20420" spans="1:6" x14ac:dyDescent="0.25">
      <c r="A20420">
        <v>20419</v>
      </c>
      <c r="B20420">
        <v>43</v>
      </c>
      <c r="C20420">
        <v>0</v>
      </c>
      <c r="D20420">
        <v>0</v>
      </c>
      <c r="E20420">
        <v>0</v>
      </c>
      <c r="F20420">
        <v>0</v>
      </c>
    </row>
    <row r="20421" spans="1:6" x14ac:dyDescent="0.25">
      <c r="A20421">
        <v>20420</v>
      </c>
      <c r="B20421">
        <v>44</v>
      </c>
      <c r="C20421">
        <v>0</v>
      </c>
      <c r="D20421">
        <v>0</v>
      </c>
      <c r="E20421">
        <v>0</v>
      </c>
      <c r="F20421">
        <v>45.914499999999997</v>
      </c>
    </row>
    <row r="20422" spans="1:6" x14ac:dyDescent="0.25">
      <c r="A20422">
        <v>20421</v>
      </c>
      <c r="B20422">
        <v>45</v>
      </c>
      <c r="C20422">
        <v>0</v>
      </c>
      <c r="D20422">
        <v>0</v>
      </c>
      <c r="E20422">
        <v>0</v>
      </c>
      <c r="F20422">
        <v>549.697</v>
      </c>
    </row>
    <row r="20423" spans="1:6" x14ac:dyDescent="0.25">
      <c r="A20423">
        <v>20422</v>
      </c>
      <c r="B20423">
        <v>46</v>
      </c>
      <c r="C20423">
        <v>0</v>
      </c>
      <c r="D20423">
        <v>0</v>
      </c>
      <c r="E20423">
        <v>0</v>
      </c>
      <c r="F20423">
        <v>0</v>
      </c>
    </row>
    <row r="20424" spans="1:6" x14ac:dyDescent="0.25">
      <c r="A20424">
        <v>20423</v>
      </c>
      <c r="B20424">
        <v>2</v>
      </c>
      <c r="C20424">
        <v>0</v>
      </c>
      <c r="D20424">
        <v>0</v>
      </c>
      <c r="E20424">
        <v>0</v>
      </c>
      <c r="F20424">
        <v>254.09700000000001</v>
      </c>
    </row>
    <row r="20425" spans="1:6" x14ac:dyDescent="0.25">
      <c r="A20425">
        <v>20424</v>
      </c>
      <c r="B20425">
        <v>10</v>
      </c>
      <c r="C20425">
        <v>1</v>
      </c>
      <c r="D20425">
        <v>0</v>
      </c>
      <c r="E20425">
        <v>0</v>
      </c>
      <c r="F20425">
        <v>5223</v>
      </c>
    </row>
    <row r="20426" spans="1:6" x14ac:dyDescent="0.25">
      <c r="A20426">
        <v>20425</v>
      </c>
      <c r="B20426">
        <v>13</v>
      </c>
      <c r="C20426">
        <v>0</v>
      </c>
      <c r="D20426">
        <v>0</v>
      </c>
      <c r="E20426">
        <v>0</v>
      </c>
      <c r="F20426">
        <v>1620</v>
      </c>
    </row>
    <row r="20427" spans="1:6" x14ac:dyDescent="0.25">
      <c r="A20427">
        <v>20426</v>
      </c>
      <c r="B20427">
        <v>41</v>
      </c>
      <c r="C20427">
        <v>0</v>
      </c>
      <c r="D20427">
        <v>0</v>
      </c>
      <c r="E20427">
        <v>0</v>
      </c>
      <c r="F20427">
        <v>1</v>
      </c>
    </row>
    <row r="20428" spans="1:6" x14ac:dyDescent="0.25">
      <c r="A20428">
        <v>20427</v>
      </c>
      <c r="B20428">
        <v>42</v>
      </c>
      <c r="C20428">
        <v>0</v>
      </c>
      <c r="D20428">
        <v>0</v>
      </c>
      <c r="E20428">
        <v>0</v>
      </c>
      <c r="F20428">
        <v>0.2</v>
      </c>
    </row>
    <row r="20429" spans="1:6" x14ac:dyDescent="0.25">
      <c r="A20429">
        <v>20428</v>
      </c>
      <c r="B20429">
        <v>43</v>
      </c>
      <c r="C20429">
        <v>0</v>
      </c>
      <c r="D20429">
        <v>0</v>
      </c>
      <c r="E20429">
        <v>0</v>
      </c>
      <c r="F20429">
        <v>0</v>
      </c>
    </row>
    <row r="20430" spans="1:6" x14ac:dyDescent="0.25">
      <c r="A20430">
        <v>20429</v>
      </c>
      <c r="B20430">
        <v>44</v>
      </c>
      <c r="C20430">
        <v>0</v>
      </c>
      <c r="D20430">
        <v>0</v>
      </c>
      <c r="E20430">
        <v>0</v>
      </c>
      <c r="F20430">
        <v>45.872599999999998</v>
      </c>
    </row>
    <row r="20431" spans="1:6" x14ac:dyDescent="0.25">
      <c r="A20431">
        <v>20430</v>
      </c>
      <c r="B20431">
        <v>45</v>
      </c>
      <c r="C20431">
        <v>0</v>
      </c>
      <c r="D20431">
        <v>0</v>
      </c>
      <c r="E20431">
        <v>0</v>
      </c>
      <c r="F20431">
        <v>549.75699999999995</v>
      </c>
    </row>
    <row r="20432" spans="1:6" x14ac:dyDescent="0.25">
      <c r="A20432">
        <v>20431</v>
      </c>
      <c r="B20432">
        <v>46</v>
      </c>
      <c r="C20432">
        <v>0</v>
      </c>
      <c r="D20432">
        <v>0</v>
      </c>
      <c r="E20432">
        <v>0</v>
      </c>
      <c r="F20432">
        <v>0</v>
      </c>
    </row>
    <row r="20433" spans="1:6" x14ac:dyDescent="0.25">
      <c r="A20433">
        <v>20432</v>
      </c>
      <c r="B20433">
        <v>2</v>
      </c>
      <c r="C20433">
        <v>0</v>
      </c>
      <c r="D20433">
        <v>0</v>
      </c>
      <c r="E20433">
        <v>0</v>
      </c>
      <c r="F20433">
        <v>254.14599999999999</v>
      </c>
    </row>
    <row r="20434" spans="1:6" x14ac:dyDescent="0.25">
      <c r="A20434">
        <v>20433</v>
      </c>
      <c r="B20434" t="s">
        <v>0</v>
      </c>
      <c r="C20434">
        <v>40</v>
      </c>
      <c r="D20434">
        <v>3519</v>
      </c>
      <c r="E20434">
        <v>80950568</v>
      </c>
    </row>
    <row r="20435" spans="1:6" x14ac:dyDescent="0.25">
      <c r="A20435">
        <v>20434</v>
      </c>
      <c r="B20435">
        <v>13</v>
      </c>
      <c r="C20435">
        <v>0</v>
      </c>
      <c r="D20435">
        <v>0</v>
      </c>
      <c r="E20435">
        <v>0</v>
      </c>
      <c r="F20435">
        <v>1620</v>
      </c>
    </row>
    <row r="20436" spans="1:6" x14ac:dyDescent="0.25">
      <c r="A20436">
        <v>20435</v>
      </c>
      <c r="B20436" t="s">
        <v>0</v>
      </c>
      <c r="C20436">
        <v>41</v>
      </c>
      <c r="D20436">
        <v>3519</v>
      </c>
      <c r="E20436">
        <v>80950699</v>
      </c>
    </row>
    <row r="20437" spans="1:6" x14ac:dyDescent="0.25">
      <c r="A20437">
        <v>20436</v>
      </c>
      <c r="B20437">
        <v>42</v>
      </c>
      <c r="C20437">
        <v>0</v>
      </c>
      <c r="D20437">
        <v>0</v>
      </c>
      <c r="E20437">
        <v>0</v>
      </c>
      <c r="F20437">
        <v>0.2</v>
      </c>
    </row>
    <row r="20438" spans="1:6" x14ac:dyDescent="0.25">
      <c r="A20438">
        <v>20437</v>
      </c>
      <c r="B20438" t="s">
        <v>0</v>
      </c>
      <c r="C20438">
        <v>42</v>
      </c>
      <c r="D20438">
        <v>3519</v>
      </c>
      <c r="E20438">
        <v>80950830</v>
      </c>
    </row>
    <row r="20439" spans="1:6" x14ac:dyDescent="0.25">
      <c r="A20439">
        <v>20438</v>
      </c>
      <c r="B20439">
        <v>44</v>
      </c>
      <c r="C20439">
        <v>0</v>
      </c>
      <c r="D20439">
        <v>0</v>
      </c>
      <c r="E20439">
        <v>0</v>
      </c>
      <c r="F20439">
        <v>45.830800000000004</v>
      </c>
    </row>
    <row r="20440" spans="1:6" x14ac:dyDescent="0.25">
      <c r="A20440">
        <v>20439</v>
      </c>
      <c r="B20440" t="s">
        <v>0</v>
      </c>
      <c r="C20440">
        <v>43</v>
      </c>
      <c r="D20440">
        <v>3519</v>
      </c>
      <c r="E20440">
        <v>80950961</v>
      </c>
    </row>
    <row r="20441" spans="1:6" x14ac:dyDescent="0.25">
      <c r="A20441">
        <v>20440</v>
      </c>
      <c r="B20441">
        <v>46</v>
      </c>
      <c r="C20441">
        <v>0</v>
      </c>
      <c r="D20441">
        <v>0</v>
      </c>
      <c r="E20441">
        <v>0</v>
      </c>
      <c r="F20441">
        <v>0</v>
      </c>
    </row>
    <row r="20442" spans="1:6" x14ac:dyDescent="0.25">
      <c r="A20442">
        <v>20441</v>
      </c>
      <c r="B20442" t="s">
        <v>0</v>
      </c>
      <c r="C20442">
        <v>44</v>
      </c>
      <c r="D20442">
        <v>3519</v>
      </c>
      <c r="E20442">
        <v>80951092</v>
      </c>
    </row>
    <row r="20443" spans="1:6" x14ac:dyDescent="0.25">
      <c r="A20443">
        <v>20442</v>
      </c>
      <c r="B20443">
        <v>10</v>
      </c>
      <c r="C20443">
        <v>1</v>
      </c>
      <c r="D20443">
        <v>0</v>
      </c>
      <c r="E20443">
        <v>0</v>
      </c>
      <c r="F20443">
        <v>5221</v>
      </c>
    </row>
    <row r="20444" spans="1:6" x14ac:dyDescent="0.25">
      <c r="A20444">
        <v>20443</v>
      </c>
      <c r="B20444" t="s">
        <v>0</v>
      </c>
      <c r="C20444">
        <v>45</v>
      </c>
      <c r="D20444">
        <v>3519</v>
      </c>
      <c r="E20444">
        <v>80951223</v>
      </c>
    </row>
    <row r="20445" spans="1:6" x14ac:dyDescent="0.25">
      <c r="A20445">
        <v>20444</v>
      </c>
      <c r="B20445">
        <v>41</v>
      </c>
      <c r="C20445">
        <v>0</v>
      </c>
      <c r="D20445">
        <v>0</v>
      </c>
      <c r="E20445">
        <v>0</v>
      </c>
      <c r="F20445">
        <v>1</v>
      </c>
    </row>
    <row r="20446" spans="1:6" x14ac:dyDescent="0.25">
      <c r="A20446">
        <v>20445</v>
      </c>
      <c r="B20446" t="s">
        <v>0</v>
      </c>
      <c r="C20446">
        <v>46</v>
      </c>
      <c r="D20446">
        <v>3519</v>
      </c>
      <c r="E20446">
        <v>80951353</v>
      </c>
    </row>
    <row r="20447" spans="1:6" x14ac:dyDescent="0.25">
      <c r="A20447">
        <v>20446</v>
      </c>
      <c r="B20447">
        <v>43</v>
      </c>
      <c r="C20447">
        <v>0</v>
      </c>
      <c r="D20447">
        <v>0</v>
      </c>
      <c r="E20447">
        <v>0</v>
      </c>
      <c r="F20447">
        <v>0</v>
      </c>
    </row>
    <row r="20448" spans="1:6" x14ac:dyDescent="0.25">
      <c r="A20448">
        <v>20447</v>
      </c>
      <c r="B20448" t="s">
        <v>0</v>
      </c>
      <c r="C20448">
        <v>47</v>
      </c>
      <c r="D20448">
        <v>3519</v>
      </c>
      <c r="E20448">
        <v>80951483</v>
      </c>
    </row>
    <row r="20449" spans="1:6" x14ac:dyDescent="0.25">
      <c r="A20449">
        <v>20448</v>
      </c>
      <c r="B20449">
        <v>45</v>
      </c>
      <c r="C20449">
        <v>0</v>
      </c>
      <c r="D20449">
        <v>0</v>
      </c>
      <c r="E20449">
        <v>0</v>
      </c>
      <c r="F20449">
        <v>549.86500000000001</v>
      </c>
    </row>
    <row r="20450" spans="1:6" x14ac:dyDescent="0.25">
      <c r="A20450">
        <v>20449</v>
      </c>
      <c r="B20450" t="s">
        <v>0</v>
      </c>
      <c r="C20450">
        <v>48</v>
      </c>
      <c r="D20450">
        <v>3519</v>
      </c>
      <c r="E20450">
        <v>80951613</v>
      </c>
    </row>
    <row r="20451" spans="1:6" x14ac:dyDescent="0.25">
      <c r="A20451">
        <v>20450</v>
      </c>
      <c r="B20451">
        <v>46</v>
      </c>
      <c r="C20451">
        <v>0</v>
      </c>
      <c r="D20451">
        <v>0</v>
      </c>
      <c r="E20451">
        <v>0</v>
      </c>
      <c r="F20451">
        <v>0</v>
      </c>
    </row>
    <row r="20452" spans="1:6" x14ac:dyDescent="0.25">
      <c r="A20452">
        <v>20451</v>
      </c>
      <c r="B20452">
        <v>2</v>
      </c>
      <c r="C20452">
        <v>0</v>
      </c>
      <c r="D20452">
        <v>0</v>
      </c>
      <c r="E20452">
        <v>0</v>
      </c>
      <c r="F20452">
        <v>254.20599999999999</v>
      </c>
    </row>
    <row r="20453" spans="1:6" x14ac:dyDescent="0.25">
      <c r="A20453">
        <v>20452</v>
      </c>
      <c r="B20453" t="s">
        <v>0</v>
      </c>
      <c r="C20453">
        <v>49</v>
      </c>
      <c r="D20453">
        <v>3519</v>
      </c>
      <c r="E20453">
        <v>80951744</v>
      </c>
    </row>
    <row r="20454" spans="1:6" x14ac:dyDescent="0.25">
      <c r="A20454">
        <v>20453</v>
      </c>
      <c r="B20454">
        <v>10</v>
      </c>
      <c r="C20454">
        <v>1</v>
      </c>
      <c r="D20454">
        <v>0</v>
      </c>
      <c r="E20454">
        <v>0</v>
      </c>
      <c r="F20454">
        <v>5221</v>
      </c>
    </row>
    <row r="20455" spans="1:6" x14ac:dyDescent="0.25">
      <c r="A20455">
        <v>20454</v>
      </c>
      <c r="B20455">
        <v>13</v>
      </c>
      <c r="C20455">
        <v>0</v>
      </c>
      <c r="D20455">
        <v>0</v>
      </c>
      <c r="E20455">
        <v>0</v>
      </c>
      <c r="F20455">
        <v>1620</v>
      </c>
    </row>
    <row r="20456" spans="1:6" x14ac:dyDescent="0.25">
      <c r="A20456">
        <v>20455</v>
      </c>
      <c r="B20456" t="s">
        <v>0</v>
      </c>
      <c r="C20456">
        <v>50</v>
      </c>
      <c r="D20456">
        <v>3519</v>
      </c>
      <c r="E20456">
        <v>80951875</v>
      </c>
    </row>
    <row r="20457" spans="1:6" x14ac:dyDescent="0.25">
      <c r="A20457">
        <v>20456</v>
      </c>
      <c r="B20457">
        <v>41</v>
      </c>
      <c r="C20457">
        <v>0</v>
      </c>
      <c r="D20457">
        <v>0</v>
      </c>
      <c r="E20457">
        <v>0</v>
      </c>
      <c r="F20457">
        <v>1</v>
      </c>
    </row>
    <row r="20458" spans="1:6" x14ac:dyDescent="0.25">
      <c r="A20458">
        <v>20457</v>
      </c>
      <c r="B20458">
        <v>42</v>
      </c>
      <c r="C20458">
        <v>0</v>
      </c>
      <c r="D20458">
        <v>0</v>
      </c>
      <c r="E20458">
        <v>0</v>
      </c>
      <c r="F20458">
        <v>0.2</v>
      </c>
    </row>
    <row r="20459" spans="1:6" x14ac:dyDescent="0.25">
      <c r="A20459">
        <v>20458</v>
      </c>
      <c r="B20459" t="s">
        <v>0</v>
      </c>
      <c r="C20459">
        <v>51</v>
      </c>
      <c r="D20459">
        <v>3519</v>
      </c>
      <c r="E20459">
        <v>80952006</v>
      </c>
    </row>
    <row r="20460" spans="1:6" x14ac:dyDescent="0.25">
      <c r="A20460">
        <v>20459</v>
      </c>
      <c r="B20460">
        <v>43</v>
      </c>
      <c r="C20460">
        <v>0</v>
      </c>
      <c r="D20460">
        <v>0</v>
      </c>
      <c r="E20460">
        <v>0</v>
      </c>
      <c r="F20460">
        <v>0</v>
      </c>
    </row>
    <row r="20461" spans="1:6" x14ac:dyDescent="0.25">
      <c r="A20461">
        <v>20460</v>
      </c>
      <c r="B20461">
        <v>44</v>
      </c>
      <c r="C20461">
        <v>0</v>
      </c>
      <c r="D20461">
        <v>0</v>
      </c>
      <c r="E20461">
        <v>0</v>
      </c>
      <c r="F20461">
        <v>45.7791</v>
      </c>
    </row>
    <row r="20462" spans="1:6" x14ac:dyDescent="0.25">
      <c r="A20462">
        <v>20461</v>
      </c>
      <c r="B20462" t="s">
        <v>0</v>
      </c>
      <c r="C20462">
        <v>52</v>
      </c>
      <c r="D20462">
        <v>3519</v>
      </c>
      <c r="E20462">
        <v>80952137</v>
      </c>
    </row>
    <row r="20463" spans="1:6" x14ac:dyDescent="0.25">
      <c r="A20463">
        <v>20462</v>
      </c>
      <c r="B20463">
        <v>45</v>
      </c>
      <c r="C20463">
        <v>0</v>
      </c>
      <c r="D20463">
        <v>0</v>
      </c>
      <c r="E20463">
        <v>0</v>
      </c>
      <c r="F20463">
        <v>549.92499999999995</v>
      </c>
    </row>
    <row r="20464" spans="1:6" x14ac:dyDescent="0.25">
      <c r="A20464">
        <v>20463</v>
      </c>
      <c r="B20464">
        <v>46</v>
      </c>
      <c r="C20464">
        <v>0</v>
      </c>
      <c r="D20464">
        <v>0</v>
      </c>
      <c r="E20464">
        <v>0</v>
      </c>
      <c r="F20464">
        <v>0</v>
      </c>
    </row>
    <row r="20465" spans="1:6" x14ac:dyDescent="0.25">
      <c r="A20465">
        <v>20464</v>
      </c>
      <c r="B20465" t="s">
        <v>0</v>
      </c>
      <c r="C20465">
        <v>53</v>
      </c>
      <c r="D20465">
        <v>3519</v>
      </c>
      <c r="E20465">
        <v>80952267</v>
      </c>
    </row>
    <row r="20466" spans="1:6" x14ac:dyDescent="0.25">
      <c r="A20466">
        <v>20465</v>
      </c>
      <c r="B20466">
        <v>2</v>
      </c>
      <c r="C20466">
        <v>0</v>
      </c>
      <c r="D20466">
        <v>0</v>
      </c>
      <c r="E20466">
        <v>0</v>
      </c>
      <c r="F20466">
        <v>254.22900000000001</v>
      </c>
    </row>
    <row r="20467" spans="1:6" x14ac:dyDescent="0.25">
      <c r="A20467">
        <v>20466</v>
      </c>
      <c r="B20467">
        <v>10</v>
      </c>
      <c r="C20467">
        <v>1</v>
      </c>
      <c r="D20467">
        <v>0</v>
      </c>
      <c r="E20467">
        <v>0</v>
      </c>
      <c r="F20467">
        <v>5221</v>
      </c>
    </row>
    <row r="20468" spans="1:6" x14ac:dyDescent="0.25">
      <c r="A20468">
        <v>20467</v>
      </c>
      <c r="B20468" t="s">
        <v>0</v>
      </c>
      <c r="C20468">
        <v>54</v>
      </c>
      <c r="D20468">
        <v>3519</v>
      </c>
      <c r="E20468">
        <v>80952397</v>
      </c>
    </row>
    <row r="20469" spans="1:6" x14ac:dyDescent="0.25">
      <c r="A20469">
        <v>20468</v>
      </c>
      <c r="B20469">
        <v>13</v>
      </c>
      <c r="C20469">
        <v>0</v>
      </c>
      <c r="D20469">
        <v>0</v>
      </c>
      <c r="E20469">
        <v>0</v>
      </c>
      <c r="F20469">
        <v>1620</v>
      </c>
    </row>
    <row r="20470" spans="1:6" x14ac:dyDescent="0.25">
      <c r="A20470">
        <v>20469</v>
      </c>
      <c r="B20470">
        <v>41</v>
      </c>
      <c r="C20470">
        <v>0</v>
      </c>
      <c r="D20470">
        <v>0</v>
      </c>
      <c r="E20470">
        <v>0</v>
      </c>
      <c r="F20470">
        <v>1</v>
      </c>
    </row>
    <row r="20471" spans="1:6" x14ac:dyDescent="0.25">
      <c r="A20471">
        <v>20470</v>
      </c>
      <c r="B20471" t="s">
        <v>0</v>
      </c>
      <c r="C20471">
        <v>55</v>
      </c>
      <c r="D20471">
        <v>3519</v>
      </c>
      <c r="E20471">
        <v>80952527</v>
      </c>
    </row>
    <row r="20472" spans="1:6" x14ac:dyDescent="0.25">
      <c r="A20472">
        <v>20471</v>
      </c>
      <c r="B20472">
        <v>42</v>
      </c>
      <c r="C20472">
        <v>0</v>
      </c>
      <c r="D20472">
        <v>0</v>
      </c>
      <c r="E20472">
        <v>0</v>
      </c>
      <c r="F20472">
        <v>0.2</v>
      </c>
    </row>
    <row r="20473" spans="1:6" x14ac:dyDescent="0.25">
      <c r="A20473">
        <v>20472</v>
      </c>
      <c r="B20473">
        <v>43</v>
      </c>
      <c r="C20473">
        <v>0</v>
      </c>
      <c r="D20473">
        <v>0</v>
      </c>
      <c r="E20473">
        <v>0</v>
      </c>
      <c r="F20473">
        <v>0</v>
      </c>
    </row>
    <row r="20474" spans="1:6" x14ac:dyDescent="0.25">
      <c r="A20474">
        <v>20473</v>
      </c>
      <c r="B20474">
        <v>44</v>
      </c>
      <c r="C20474">
        <v>0</v>
      </c>
      <c r="D20474">
        <v>0</v>
      </c>
      <c r="E20474">
        <v>0</v>
      </c>
      <c r="F20474">
        <v>45.760199999999998</v>
      </c>
    </row>
    <row r="20475" spans="1:6" x14ac:dyDescent="0.25">
      <c r="A20475">
        <v>20474</v>
      </c>
      <c r="B20475">
        <v>45</v>
      </c>
      <c r="C20475">
        <v>0</v>
      </c>
      <c r="D20475">
        <v>0</v>
      </c>
      <c r="E20475">
        <v>0</v>
      </c>
      <c r="F20475">
        <v>549.97299999999996</v>
      </c>
    </row>
    <row r="20476" spans="1:6" x14ac:dyDescent="0.25">
      <c r="A20476">
        <v>20475</v>
      </c>
      <c r="B20476">
        <v>46</v>
      </c>
      <c r="C20476">
        <v>0</v>
      </c>
      <c r="D20476">
        <v>0</v>
      </c>
      <c r="E20476">
        <v>0</v>
      </c>
      <c r="F20476">
        <v>0</v>
      </c>
    </row>
    <row r="20477" spans="1:6" x14ac:dyDescent="0.25">
      <c r="A20477">
        <v>20476</v>
      </c>
      <c r="B20477">
        <v>2</v>
      </c>
      <c r="C20477">
        <v>0</v>
      </c>
      <c r="D20477">
        <v>0</v>
      </c>
      <c r="E20477">
        <v>0</v>
      </c>
      <c r="F20477">
        <v>254.244</v>
      </c>
    </row>
    <row r="20478" spans="1:6" x14ac:dyDescent="0.25">
      <c r="A20478">
        <v>20477</v>
      </c>
      <c r="B20478">
        <v>10</v>
      </c>
      <c r="C20478">
        <v>1</v>
      </c>
      <c r="D20478">
        <v>0</v>
      </c>
      <c r="E20478">
        <v>0</v>
      </c>
      <c r="F20478">
        <v>5221</v>
      </c>
    </row>
    <row r="20479" spans="1:6" x14ac:dyDescent="0.25">
      <c r="A20479">
        <v>20478</v>
      </c>
      <c r="B20479">
        <v>13</v>
      </c>
      <c r="C20479">
        <v>0</v>
      </c>
      <c r="D20479">
        <v>0</v>
      </c>
      <c r="E20479">
        <v>0</v>
      </c>
      <c r="F20479">
        <v>1620</v>
      </c>
    </row>
    <row r="20480" spans="1:6" x14ac:dyDescent="0.25">
      <c r="A20480">
        <v>20479</v>
      </c>
      <c r="B20480">
        <v>41</v>
      </c>
      <c r="C20480">
        <v>0</v>
      </c>
      <c r="D20480">
        <v>0</v>
      </c>
      <c r="E20480">
        <v>0</v>
      </c>
      <c r="F20480">
        <v>1</v>
      </c>
    </row>
    <row r="20481" spans="1:6" x14ac:dyDescent="0.25">
      <c r="A20481">
        <v>20480</v>
      </c>
      <c r="B20481">
        <v>42</v>
      </c>
      <c r="C20481">
        <v>0</v>
      </c>
      <c r="D20481">
        <v>0</v>
      </c>
      <c r="E20481">
        <v>0</v>
      </c>
      <c r="F20481">
        <v>0.2</v>
      </c>
    </row>
    <row r="20482" spans="1:6" x14ac:dyDescent="0.25">
      <c r="A20482">
        <v>20481</v>
      </c>
      <c r="B20482">
        <v>43</v>
      </c>
      <c r="C20482">
        <v>0</v>
      </c>
      <c r="D20482">
        <v>0</v>
      </c>
      <c r="E20482">
        <v>0</v>
      </c>
      <c r="F20482">
        <v>0</v>
      </c>
    </row>
    <row r="20483" spans="1:6" x14ac:dyDescent="0.25">
      <c r="A20483">
        <v>20482</v>
      </c>
      <c r="B20483">
        <v>44</v>
      </c>
      <c r="C20483">
        <v>0</v>
      </c>
      <c r="D20483">
        <v>0</v>
      </c>
      <c r="E20483">
        <v>0</v>
      </c>
      <c r="F20483">
        <v>45.746000000000002</v>
      </c>
    </row>
    <row r="20484" spans="1:6" x14ac:dyDescent="0.25">
      <c r="A20484">
        <v>20483</v>
      </c>
      <c r="B20484">
        <v>45</v>
      </c>
      <c r="C20484">
        <v>0</v>
      </c>
      <c r="D20484">
        <v>0</v>
      </c>
      <c r="E20484">
        <v>0</v>
      </c>
      <c r="F20484">
        <v>550.03300000000002</v>
      </c>
    </row>
    <row r="20485" spans="1:6" x14ac:dyDescent="0.25">
      <c r="A20485">
        <v>20484</v>
      </c>
      <c r="B20485">
        <v>46</v>
      </c>
      <c r="C20485">
        <v>0</v>
      </c>
      <c r="D20485">
        <v>0</v>
      </c>
      <c r="E20485">
        <v>0</v>
      </c>
      <c r="F20485">
        <v>0</v>
      </c>
    </row>
    <row r="20486" spans="1:6" x14ac:dyDescent="0.25">
      <c r="A20486">
        <v>20485</v>
      </c>
      <c r="B20486">
        <v>2</v>
      </c>
      <c r="C20486">
        <v>0</v>
      </c>
      <c r="D20486">
        <v>0</v>
      </c>
      <c r="E20486">
        <v>0</v>
      </c>
      <c r="F20486">
        <v>254.25899999999999</v>
      </c>
    </row>
    <row r="20487" spans="1:6" x14ac:dyDescent="0.25">
      <c r="A20487">
        <v>20486</v>
      </c>
      <c r="B20487">
        <v>10</v>
      </c>
      <c r="C20487">
        <v>1</v>
      </c>
      <c r="D20487">
        <v>0</v>
      </c>
      <c r="E20487">
        <v>0</v>
      </c>
      <c r="F20487">
        <v>5220</v>
      </c>
    </row>
    <row r="20488" spans="1:6" x14ac:dyDescent="0.25">
      <c r="A20488">
        <v>20487</v>
      </c>
      <c r="B20488">
        <v>13</v>
      </c>
      <c r="C20488">
        <v>0</v>
      </c>
      <c r="D20488">
        <v>0</v>
      </c>
      <c r="E20488">
        <v>0</v>
      </c>
      <c r="F20488">
        <v>1620</v>
      </c>
    </row>
    <row r="20489" spans="1:6" x14ac:dyDescent="0.25">
      <c r="A20489">
        <v>20488</v>
      </c>
      <c r="B20489" t="s">
        <v>0</v>
      </c>
      <c r="C20489">
        <v>64</v>
      </c>
      <c r="D20489">
        <v>3519</v>
      </c>
      <c r="E20489">
        <v>80953702</v>
      </c>
    </row>
    <row r="20490" spans="1:6" x14ac:dyDescent="0.25">
      <c r="A20490">
        <v>20489</v>
      </c>
      <c r="B20490">
        <v>42</v>
      </c>
      <c r="C20490">
        <v>0</v>
      </c>
      <c r="D20490">
        <v>0</v>
      </c>
      <c r="E20490">
        <v>0</v>
      </c>
      <c r="F20490">
        <v>0.2</v>
      </c>
    </row>
    <row r="20491" spans="1:6" x14ac:dyDescent="0.25">
      <c r="A20491">
        <v>20490</v>
      </c>
      <c r="B20491" t="s">
        <v>0</v>
      </c>
      <c r="C20491">
        <v>65</v>
      </c>
      <c r="D20491">
        <v>3519</v>
      </c>
      <c r="E20491">
        <v>80953833</v>
      </c>
    </row>
    <row r="20492" spans="1:6" x14ac:dyDescent="0.25">
      <c r="A20492">
        <v>20491</v>
      </c>
      <c r="B20492">
        <v>44</v>
      </c>
      <c r="C20492">
        <v>0</v>
      </c>
      <c r="D20492">
        <v>0</v>
      </c>
      <c r="E20492">
        <v>0</v>
      </c>
      <c r="F20492">
        <v>45.733499999999999</v>
      </c>
    </row>
    <row r="20493" spans="1:6" x14ac:dyDescent="0.25">
      <c r="A20493">
        <v>20492</v>
      </c>
      <c r="B20493" t="s">
        <v>0</v>
      </c>
      <c r="C20493">
        <v>66</v>
      </c>
      <c r="D20493">
        <v>3519</v>
      </c>
      <c r="E20493">
        <v>80953964</v>
      </c>
    </row>
    <row r="20494" spans="1:6" x14ac:dyDescent="0.25">
      <c r="A20494">
        <v>20493</v>
      </c>
      <c r="B20494">
        <v>46</v>
      </c>
      <c r="C20494">
        <v>0</v>
      </c>
      <c r="D20494">
        <v>0</v>
      </c>
      <c r="E20494">
        <v>0</v>
      </c>
      <c r="F20494">
        <v>0</v>
      </c>
    </row>
    <row r="20495" spans="1:6" x14ac:dyDescent="0.25">
      <c r="A20495">
        <v>20494</v>
      </c>
      <c r="B20495" t="s">
        <v>0</v>
      </c>
      <c r="C20495">
        <v>67</v>
      </c>
      <c r="D20495">
        <v>3519</v>
      </c>
      <c r="E20495">
        <v>80954095</v>
      </c>
    </row>
    <row r="20496" spans="1:6" x14ac:dyDescent="0.25">
      <c r="A20496">
        <v>20495</v>
      </c>
      <c r="B20496">
        <v>10</v>
      </c>
      <c r="C20496">
        <v>1</v>
      </c>
      <c r="D20496">
        <v>0</v>
      </c>
      <c r="E20496">
        <v>0</v>
      </c>
      <c r="F20496">
        <v>5221</v>
      </c>
    </row>
    <row r="20497" spans="1:6" x14ac:dyDescent="0.25">
      <c r="A20497">
        <v>20496</v>
      </c>
      <c r="B20497" t="s">
        <v>0</v>
      </c>
      <c r="C20497">
        <v>68</v>
      </c>
      <c r="D20497">
        <v>3519</v>
      </c>
      <c r="E20497">
        <v>80954225</v>
      </c>
    </row>
    <row r="20498" spans="1:6" x14ac:dyDescent="0.25">
      <c r="A20498">
        <v>20497</v>
      </c>
      <c r="B20498">
        <v>41</v>
      </c>
      <c r="C20498">
        <v>0</v>
      </c>
      <c r="D20498">
        <v>0</v>
      </c>
      <c r="E20498">
        <v>0</v>
      </c>
      <c r="F20498">
        <v>1</v>
      </c>
    </row>
    <row r="20499" spans="1:6" x14ac:dyDescent="0.25">
      <c r="A20499">
        <v>20498</v>
      </c>
      <c r="B20499" t="s">
        <v>0</v>
      </c>
      <c r="C20499">
        <v>69</v>
      </c>
      <c r="D20499">
        <v>3519</v>
      </c>
      <c r="E20499">
        <v>80954355</v>
      </c>
    </row>
    <row r="20500" spans="1:6" x14ac:dyDescent="0.25">
      <c r="A20500">
        <v>20499</v>
      </c>
      <c r="B20500">
        <v>43</v>
      </c>
      <c r="C20500">
        <v>0</v>
      </c>
      <c r="D20500">
        <v>0</v>
      </c>
      <c r="E20500">
        <v>0</v>
      </c>
      <c r="F20500">
        <v>0</v>
      </c>
    </row>
    <row r="20501" spans="1:6" x14ac:dyDescent="0.25">
      <c r="A20501">
        <v>20500</v>
      </c>
      <c r="B20501" t="s">
        <v>0</v>
      </c>
      <c r="C20501">
        <v>70</v>
      </c>
      <c r="D20501">
        <v>3519</v>
      </c>
      <c r="E20501">
        <v>80954485</v>
      </c>
    </row>
    <row r="20502" spans="1:6" x14ac:dyDescent="0.25">
      <c r="A20502">
        <v>20501</v>
      </c>
      <c r="B20502">
        <v>45</v>
      </c>
      <c r="C20502">
        <v>0</v>
      </c>
      <c r="D20502">
        <v>0</v>
      </c>
      <c r="E20502">
        <v>0</v>
      </c>
      <c r="F20502">
        <v>550.14099999999996</v>
      </c>
    </row>
    <row r="20503" spans="1:6" x14ac:dyDescent="0.25">
      <c r="A20503">
        <v>20502</v>
      </c>
      <c r="B20503" t="s">
        <v>0</v>
      </c>
      <c r="C20503">
        <v>71</v>
      </c>
      <c r="D20503">
        <v>3519</v>
      </c>
      <c r="E20503">
        <v>80954615</v>
      </c>
    </row>
    <row r="20504" spans="1:6" x14ac:dyDescent="0.25">
      <c r="A20504">
        <v>20503</v>
      </c>
      <c r="B20504">
        <v>2</v>
      </c>
      <c r="C20504">
        <v>0</v>
      </c>
      <c r="D20504">
        <v>0</v>
      </c>
      <c r="E20504">
        <v>0</v>
      </c>
      <c r="F20504">
        <v>254.274</v>
      </c>
    </row>
    <row r="20505" spans="1:6" x14ac:dyDescent="0.25">
      <c r="A20505">
        <v>20504</v>
      </c>
      <c r="B20505" t="s">
        <v>0</v>
      </c>
      <c r="C20505">
        <v>72</v>
      </c>
      <c r="D20505">
        <v>3519</v>
      </c>
      <c r="E20505">
        <v>80954746</v>
      </c>
    </row>
    <row r="20506" spans="1:6" x14ac:dyDescent="0.25">
      <c r="A20506">
        <v>20505</v>
      </c>
      <c r="B20506">
        <v>13</v>
      </c>
      <c r="C20506">
        <v>0</v>
      </c>
      <c r="D20506">
        <v>0</v>
      </c>
      <c r="E20506">
        <v>0</v>
      </c>
      <c r="F20506">
        <v>1620</v>
      </c>
    </row>
    <row r="20507" spans="1:6" x14ac:dyDescent="0.25">
      <c r="A20507">
        <v>20506</v>
      </c>
      <c r="B20507" t="s">
        <v>0</v>
      </c>
      <c r="C20507">
        <v>73</v>
      </c>
      <c r="D20507">
        <v>3519</v>
      </c>
      <c r="E20507">
        <v>80954877</v>
      </c>
    </row>
    <row r="20508" spans="1:6" x14ac:dyDescent="0.25">
      <c r="A20508">
        <v>20507</v>
      </c>
      <c r="B20508">
        <v>41</v>
      </c>
      <c r="C20508">
        <v>0</v>
      </c>
      <c r="D20508">
        <v>0</v>
      </c>
      <c r="E20508">
        <v>0</v>
      </c>
      <c r="F20508">
        <v>1</v>
      </c>
    </row>
    <row r="20509" spans="1:6" x14ac:dyDescent="0.25">
      <c r="A20509">
        <v>20508</v>
      </c>
      <c r="B20509">
        <v>42</v>
      </c>
      <c r="C20509">
        <v>0</v>
      </c>
      <c r="D20509">
        <v>0</v>
      </c>
      <c r="E20509">
        <v>0</v>
      </c>
      <c r="F20509">
        <v>0.2</v>
      </c>
    </row>
    <row r="20510" spans="1:6" x14ac:dyDescent="0.25">
      <c r="A20510">
        <v>20509</v>
      </c>
      <c r="B20510" t="s">
        <v>0</v>
      </c>
      <c r="C20510">
        <v>74</v>
      </c>
      <c r="D20510">
        <v>3519</v>
      </c>
      <c r="E20510">
        <v>80955008</v>
      </c>
    </row>
    <row r="20511" spans="1:6" x14ac:dyDescent="0.25">
      <c r="A20511">
        <v>20510</v>
      </c>
      <c r="B20511">
        <v>43</v>
      </c>
      <c r="C20511">
        <v>0</v>
      </c>
      <c r="D20511">
        <v>0</v>
      </c>
      <c r="E20511">
        <v>0</v>
      </c>
      <c r="F20511">
        <v>0</v>
      </c>
    </row>
    <row r="20512" spans="1:6" x14ac:dyDescent="0.25">
      <c r="A20512">
        <v>20511</v>
      </c>
      <c r="B20512">
        <v>44</v>
      </c>
      <c r="C20512">
        <v>0</v>
      </c>
      <c r="D20512">
        <v>0</v>
      </c>
      <c r="E20512">
        <v>0</v>
      </c>
      <c r="F20512">
        <v>45.717599999999997</v>
      </c>
    </row>
    <row r="20513" spans="1:6" x14ac:dyDescent="0.25">
      <c r="A20513">
        <v>20512</v>
      </c>
      <c r="B20513" t="s">
        <v>0</v>
      </c>
      <c r="C20513">
        <v>75</v>
      </c>
      <c r="D20513">
        <v>3519</v>
      </c>
      <c r="E20513">
        <v>80955139</v>
      </c>
    </row>
    <row r="20514" spans="1:6" x14ac:dyDescent="0.25">
      <c r="A20514">
        <v>20513</v>
      </c>
      <c r="B20514">
        <v>45</v>
      </c>
      <c r="C20514">
        <v>0</v>
      </c>
      <c r="D20514">
        <v>0</v>
      </c>
      <c r="E20514">
        <v>0</v>
      </c>
      <c r="F20514">
        <v>550.20100000000002</v>
      </c>
    </row>
    <row r="20515" spans="1:6" x14ac:dyDescent="0.25">
      <c r="A20515">
        <v>20514</v>
      </c>
      <c r="B20515">
        <v>46</v>
      </c>
      <c r="C20515">
        <v>0</v>
      </c>
      <c r="D20515">
        <v>0</v>
      </c>
      <c r="E20515">
        <v>0</v>
      </c>
      <c r="F20515">
        <v>0</v>
      </c>
    </row>
    <row r="20516" spans="1:6" x14ac:dyDescent="0.25">
      <c r="A20516">
        <v>20515</v>
      </c>
      <c r="B20516" t="s">
        <v>0</v>
      </c>
      <c r="C20516">
        <v>76</v>
      </c>
      <c r="D20516">
        <v>3519</v>
      </c>
      <c r="E20516">
        <v>80955269</v>
      </c>
    </row>
    <row r="20517" spans="1:6" x14ac:dyDescent="0.25">
      <c r="A20517">
        <v>20516</v>
      </c>
      <c r="B20517">
        <v>2</v>
      </c>
      <c r="C20517">
        <v>0</v>
      </c>
      <c r="D20517">
        <v>0</v>
      </c>
      <c r="E20517">
        <v>0</v>
      </c>
      <c r="F20517">
        <v>254.285</v>
      </c>
    </row>
    <row r="20518" spans="1:6" x14ac:dyDescent="0.25">
      <c r="A20518">
        <v>20517</v>
      </c>
      <c r="B20518">
        <v>10</v>
      </c>
      <c r="C20518">
        <v>1</v>
      </c>
      <c r="D20518">
        <v>0</v>
      </c>
      <c r="E20518">
        <v>0</v>
      </c>
      <c r="F20518">
        <v>5221</v>
      </c>
    </row>
    <row r="20519" spans="1:6" x14ac:dyDescent="0.25">
      <c r="A20519">
        <v>20518</v>
      </c>
      <c r="B20519" t="s">
        <v>0</v>
      </c>
      <c r="C20519">
        <v>77</v>
      </c>
      <c r="D20519">
        <v>3519</v>
      </c>
      <c r="E20519">
        <v>80955399</v>
      </c>
    </row>
    <row r="20520" spans="1:6" x14ac:dyDescent="0.25">
      <c r="A20520">
        <v>20519</v>
      </c>
      <c r="B20520">
        <v>13</v>
      </c>
      <c r="C20520">
        <v>0</v>
      </c>
      <c r="D20520">
        <v>0</v>
      </c>
      <c r="E20520">
        <v>0</v>
      </c>
      <c r="F20520">
        <v>1620</v>
      </c>
    </row>
    <row r="20521" spans="1:6" x14ac:dyDescent="0.25">
      <c r="A20521">
        <v>20520</v>
      </c>
      <c r="B20521">
        <v>41</v>
      </c>
      <c r="C20521">
        <v>0</v>
      </c>
      <c r="D20521">
        <v>0</v>
      </c>
      <c r="E20521">
        <v>0</v>
      </c>
      <c r="F20521">
        <v>1</v>
      </c>
    </row>
    <row r="20522" spans="1:6" x14ac:dyDescent="0.25">
      <c r="A20522">
        <v>20521</v>
      </c>
      <c r="B20522" t="s">
        <v>0</v>
      </c>
      <c r="C20522">
        <v>78</v>
      </c>
      <c r="D20522">
        <v>3519</v>
      </c>
      <c r="E20522">
        <v>80955529</v>
      </c>
    </row>
    <row r="20523" spans="1:6" x14ac:dyDescent="0.25">
      <c r="A20523">
        <v>20522</v>
      </c>
      <c r="B20523">
        <v>42</v>
      </c>
      <c r="C20523">
        <v>0</v>
      </c>
      <c r="D20523">
        <v>0</v>
      </c>
      <c r="E20523">
        <v>0</v>
      </c>
      <c r="F20523">
        <v>0.2</v>
      </c>
    </row>
    <row r="20524" spans="1:6" x14ac:dyDescent="0.25">
      <c r="A20524">
        <v>20523</v>
      </c>
      <c r="B20524">
        <v>43</v>
      </c>
      <c r="C20524">
        <v>0</v>
      </c>
      <c r="D20524">
        <v>0</v>
      </c>
      <c r="E20524">
        <v>0</v>
      </c>
      <c r="F20524">
        <v>0</v>
      </c>
    </row>
    <row r="20525" spans="1:6" x14ac:dyDescent="0.25">
      <c r="A20525">
        <v>20524</v>
      </c>
      <c r="B20525" t="s">
        <v>0</v>
      </c>
      <c r="C20525">
        <v>79</v>
      </c>
      <c r="D20525">
        <v>3519</v>
      </c>
      <c r="E20525">
        <v>80955660</v>
      </c>
    </row>
    <row r="20526" spans="1:6" x14ac:dyDescent="0.25">
      <c r="A20526">
        <v>20525</v>
      </c>
      <c r="B20526">
        <v>44</v>
      </c>
      <c r="C20526">
        <v>0</v>
      </c>
      <c r="D20526">
        <v>0</v>
      </c>
      <c r="E20526">
        <v>0</v>
      </c>
      <c r="F20526">
        <v>45.711399999999998</v>
      </c>
    </row>
    <row r="20527" spans="1:6" x14ac:dyDescent="0.25">
      <c r="A20527">
        <v>20526</v>
      </c>
      <c r="B20527">
        <v>45</v>
      </c>
      <c r="C20527">
        <v>0</v>
      </c>
      <c r="D20527">
        <v>0</v>
      </c>
      <c r="E20527">
        <v>0</v>
      </c>
      <c r="F20527">
        <v>550.24900000000002</v>
      </c>
    </row>
    <row r="20528" spans="1:6" x14ac:dyDescent="0.25">
      <c r="A20528">
        <v>20527</v>
      </c>
      <c r="B20528">
        <v>46</v>
      </c>
      <c r="C20528">
        <v>0</v>
      </c>
      <c r="D20528">
        <v>0</v>
      </c>
      <c r="E20528">
        <v>0</v>
      </c>
      <c r="F20528">
        <v>0</v>
      </c>
    </row>
    <row r="20529" spans="1:6" x14ac:dyDescent="0.25">
      <c r="A20529">
        <v>20528</v>
      </c>
      <c r="B20529">
        <v>2</v>
      </c>
      <c r="C20529">
        <v>0</v>
      </c>
      <c r="D20529">
        <v>0</v>
      </c>
      <c r="E20529">
        <v>0</v>
      </c>
      <c r="F20529">
        <v>254.28100000000001</v>
      </c>
    </row>
    <row r="20530" spans="1:6" x14ac:dyDescent="0.25">
      <c r="A20530">
        <v>20529</v>
      </c>
      <c r="B20530">
        <v>10</v>
      </c>
      <c r="C20530">
        <v>1</v>
      </c>
      <c r="D20530">
        <v>0</v>
      </c>
      <c r="E20530">
        <v>0</v>
      </c>
      <c r="F20530">
        <v>5221</v>
      </c>
    </row>
    <row r="20531" spans="1:6" x14ac:dyDescent="0.25">
      <c r="A20531">
        <v>20530</v>
      </c>
      <c r="B20531">
        <v>13</v>
      </c>
      <c r="C20531">
        <v>0</v>
      </c>
      <c r="D20531">
        <v>0</v>
      </c>
      <c r="E20531">
        <v>0</v>
      </c>
      <c r="F20531">
        <v>1620</v>
      </c>
    </row>
    <row r="20532" spans="1:6" x14ac:dyDescent="0.25">
      <c r="A20532">
        <v>20531</v>
      </c>
      <c r="B20532">
        <v>41</v>
      </c>
      <c r="C20532">
        <v>0</v>
      </c>
      <c r="D20532">
        <v>0</v>
      </c>
      <c r="E20532">
        <v>0</v>
      </c>
      <c r="F20532">
        <v>1</v>
      </c>
    </row>
    <row r="20533" spans="1:6" x14ac:dyDescent="0.25">
      <c r="A20533">
        <v>20532</v>
      </c>
      <c r="B20533">
        <v>42</v>
      </c>
      <c r="C20533">
        <v>0</v>
      </c>
      <c r="D20533">
        <v>0</v>
      </c>
      <c r="E20533">
        <v>0</v>
      </c>
      <c r="F20533">
        <v>0.2</v>
      </c>
    </row>
    <row r="20534" spans="1:6" x14ac:dyDescent="0.25">
      <c r="A20534">
        <v>20533</v>
      </c>
      <c r="B20534">
        <v>43</v>
      </c>
      <c r="C20534">
        <v>0</v>
      </c>
      <c r="D20534">
        <v>0</v>
      </c>
      <c r="E20534">
        <v>0</v>
      </c>
      <c r="F20534">
        <v>0</v>
      </c>
    </row>
    <row r="20535" spans="1:6" x14ac:dyDescent="0.25">
      <c r="A20535">
        <v>20534</v>
      </c>
      <c r="B20535">
        <v>44</v>
      </c>
      <c r="C20535">
        <v>0</v>
      </c>
      <c r="D20535">
        <v>0</v>
      </c>
      <c r="E20535">
        <v>0</v>
      </c>
      <c r="F20535">
        <v>45.7072</v>
      </c>
    </row>
    <row r="20536" spans="1:6" x14ac:dyDescent="0.25">
      <c r="A20536">
        <v>20535</v>
      </c>
      <c r="B20536">
        <v>45</v>
      </c>
      <c r="C20536">
        <v>0</v>
      </c>
      <c r="D20536">
        <v>0</v>
      </c>
      <c r="E20536">
        <v>0</v>
      </c>
      <c r="F20536">
        <v>550.30899999999997</v>
      </c>
    </row>
    <row r="20537" spans="1:6" x14ac:dyDescent="0.25">
      <c r="A20537">
        <v>20536</v>
      </c>
      <c r="B20537">
        <v>46</v>
      </c>
      <c r="C20537">
        <v>0</v>
      </c>
      <c r="D20537">
        <v>0</v>
      </c>
      <c r="E20537">
        <v>0</v>
      </c>
      <c r="F20537">
        <v>0</v>
      </c>
    </row>
    <row r="20538" spans="1:6" x14ac:dyDescent="0.25">
      <c r="A20538">
        <v>20537</v>
      </c>
      <c r="B20538">
        <v>2</v>
      </c>
      <c r="C20538">
        <v>0</v>
      </c>
      <c r="D20538">
        <v>0</v>
      </c>
      <c r="E20538">
        <v>0</v>
      </c>
      <c r="F20538">
        <v>254.29400000000001</v>
      </c>
    </row>
    <row r="20539" spans="1:6" x14ac:dyDescent="0.25">
      <c r="A20539">
        <v>20538</v>
      </c>
      <c r="B20539">
        <v>10</v>
      </c>
      <c r="C20539">
        <v>1</v>
      </c>
      <c r="D20539">
        <v>0</v>
      </c>
      <c r="E20539">
        <v>0</v>
      </c>
      <c r="F20539">
        <v>5221</v>
      </c>
    </row>
    <row r="20540" spans="1:6" x14ac:dyDescent="0.25">
      <c r="A20540">
        <v>20539</v>
      </c>
      <c r="B20540">
        <v>13</v>
      </c>
      <c r="C20540">
        <v>0</v>
      </c>
      <c r="D20540">
        <v>0</v>
      </c>
      <c r="E20540">
        <v>0</v>
      </c>
      <c r="F20540">
        <v>1620</v>
      </c>
    </row>
    <row r="20541" spans="1:6" x14ac:dyDescent="0.25">
      <c r="A20541">
        <v>20540</v>
      </c>
      <c r="B20541">
        <v>41</v>
      </c>
      <c r="C20541">
        <v>0</v>
      </c>
      <c r="D20541">
        <v>0</v>
      </c>
      <c r="E20541">
        <v>0</v>
      </c>
      <c r="F20541">
        <v>1</v>
      </c>
    </row>
    <row r="20542" spans="1:6" x14ac:dyDescent="0.25">
      <c r="A20542">
        <v>20541</v>
      </c>
      <c r="B20542">
        <v>42</v>
      </c>
      <c r="C20542">
        <v>0</v>
      </c>
      <c r="D20542">
        <v>0</v>
      </c>
      <c r="E20542">
        <v>0</v>
      </c>
      <c r="F20542">
        <v>0.2</v>
      </c>
    </row>
    <row r="20543" spans="1:6" x14ac:dyDescent="0.25">
      <c r="A20543">
        <v>20542</v>
      </c>
      <c r="B20543" t="s">
        <v>0</v>
      </c>
      <c r="C20543">
        <v>88</v>
      </c>
      <c r="D20543">
        <v>3519</v>
      </c>
      <c r="E20543">
        <v>80956836</v>
      </c>
    </row>
    <row r="20544" spans="1:6" x14ac:dyDescent="0.25">
      <c r="A20544">
        <v>20543</v>
      </c>
      <c r="B20544">
        <v>43</v>
      </c>
      <c r="C20544">
        <v>0</v>
      </c>
      <c r="D20544">
        <v>0</v>
      </c>
      <c r="E20544">
        <v>0</v>
      </c>
      <c r="F20544">
        <v>0</v>
      </c>
    </row>
    <row r="20545" spans="1:6" x14ac:dyDescent="0.25">
      <c r="A20545">
        <v>20544</v>
      </c>
      <c r="B20545" t="s">
        <v>0</v>
      </c>
      <c r="C20545">
        <v>89</v>
      </c>
      <c r="D20545">
        <v>3519</v>
      </c>
      <c r="E20545">
        <v>80956966</v>
      </c>
    </row>
    <row r="20546" spans="1:6" x14ac:dyDescent="0.25">
      <c r="A20546">
        <v>20545</v>
      </c>
      <c r="B20546">
        <v>45</v>
      </c>
      <c r="C20546">
        <v>0</v>
      </c>
      <c r="D20546">
        <v>0</v>
      </c>
      <c r="E20546">
        <v>0</v>
      </c>
      <c r="F20546">
        <v>550.36900000000003</v>
      </c>
    </row>
    <row r="20547" spans="1:6" x14ac:dyDescent="0.25">
      <c r="A20547">
        <v>20546</v>
      </c>
      <c r="B20547" t="s">
        <v>0</v>
      </c>
      <c r="C20547">
        <v>90</v>
      </c>
      <c r="D20547">
        <v>3519</v>
      </c>
      <c r="E20547">
        <v>80957097</v>
      </c>
    </row>
    <row r="20548" spans="1:6" x14ac:dyDescent="0.25">
      <c r="A20548">
        <v>20547</v>
      </c>
      <c r="B20548">
        <v>2</v>
      </c>
      <c r="C20548">
        <v>0</v>
      </c>
      <c r="D20548">
        <v>0</v>
      </c>
      <c r="E20548">
        <v>0</v>
      </c>
      <c r="F20548">
        <v>254.298</v>
      </c>
    </row>
    <row r="20549" spans="1:6" x14ac:dyDescent="0.25">
      <c r="A20549">
        <v>20548</v>
      </c>
      <c r="B20549" t="s">
        <v>0</v>
      </c>
      <c r="C20549">
        <v>91</v>
      </c>
      <c r="D20549">
        <v>3519</v>
      </c>
      <c r="E20549">
        <v>80957227</v>
      </c>
    </row>
    <row r="20550" spans="1:6" x14ac:dyDescent="0.25">
      <c r="A20550">
        <v>20549</v>
      </c>
      <c r="B20550">
        <v>13</v>
      </c>
      <c r="C20550">
        <v>0</v>
      </c>
      <c r="D20550">
        <v>0</v>
      </c>
      <c r="E20550">
        <v>0</v>
      </c>
      <c r="F20550">
        <v>1620</v>
      </c>
    </row>
    <row r="20551" spans="1:6" x14ac:dyDescent="0.25">
      <c r="A20551">
        <v>20550</v>
      </c>
      <c r="B20551" t="s">
        <v>0</v>
      </c>
      <c r="C20551">
        <v>92</v>
      </c>
      <c r="D20551">
        <v>3519</v>
      </c>
      <c r="E20551">
        <v>80957357</v>
      </c>
    </row>
    <row r="20552" spans="1:6" x14ac:dyDescent="0.25">
      <c r="A20552">
        <v>20551</v>
      </c>
      <c r="B20552">
        <v>42</v>
      </c>
      <c r="C20552">
        <v>0</v>
      </c>
      <c r="D20552">
        <v>0</v>
      </c>
      <c r="E20552">
        <v>0</v>
      </c>
      <c r="F20552">
        <v>0.2</v>
      </c>
    </row>
    <row r="20553" spans="1:6" x14ac:dyDescent="0.25">
      <c r="A20553">
        <v>20552</v>
      </c>
      <c r="B20553" t="s">
        <v>0</v>
      </c>
      <c r="C20553">
        <v>93</v>
      </c>
      <c r="D20553">
        <v>3519</v>
      </c>
      <c r="E20553">
        <v>80957487</v>
      </c>
    </row>
    <row r="20554" spans="1:6" x14ac:dyDescent="0.25">
      <c r="A20554">
        <v>20553</v>
      </c>
      <c r="B20554">
        <v>44</v>
      </c>
      <c r="C20554">
        <v>0</v>
      </c>
      <c r="D20554">
        <v>0</v>
      </c>
      <c r="E20554">
        <v>0</v>
      </c>
      <c r="F20554">
        <v>45.700600000000001</v>
      </c>
    </row>
    <row r="20555" spans="1:6" x14ac:dyDescent="0.25">
      <c r="A20555">
        <v>20554</v>
      </c>
      <c r="B20555" t="s">
        <v>0</v>
      </c>
      <c r="C20555">
        <v>94</v>
      </c>
      <c r="D20555">
        <v>3519</v>
      </c>
      <c r="E20555">
        <v>80957618</v>
      </c>
    </row>
    <row r="20556" spans="1:6" x14ac:dyDescent="0.25">
      <c r="A20556">
        <v>20555</v>
      </c>
      <c r="B20556">
        <v>46</v>
      </c>
      <c r="C20556">
        <v>0</v>
      </c>
      <c r="D20556">
        <v>0</v>
      </c>
      <c r="E20556">
        <v>0</v>
      </c>
      <c r="F20556">
        <v>0</v>
      </c>
    </row>
    <row r="20557" spans="1:6" x14ac:dyDescent="0.25">
      <c r="A20557">
        <v>20556</v>
      </c>
      <c r="B20557" t="s">
        <v>0</v>
      </c>
      <c r="C20557">
        <v>95</v>
      </c>
      <c r="D20557">
        <v>3519</v>
      </c>
      <c r="E20557">
        <v>80957749</v>
      </c>
    </row>
    <row r="20558" spans="1:6" x14ac:dyDescent="0.25">
      <c r="A20558">
        <v>20557</v>
      </c>
      <c r="B20558">
        <v>10</v>
      </c>
      <c r="C20558">
        <v>1</v>
      </c>
      <c r="D20558">
        <v>0</v>
      </c>
      <c r="E20558">
        <v>0</v>
      </c>
      <c r="F20558">
        <v>5222</v>
      </c>
    </row>
    <row r="20559" spans="1:6" x14ac:dyDescent="0.25">
      <c r="A20559">
        <v>20558</v>
      </c>
      <c r="B20559" t="s">
        <v>0</v>
      </c>
      <c r="C20559">
        <v>96</v>
      </c>
      <c r="D20559">
        <v>3519</v>
      </c>
      <c r="E20559">
        <v>80957880</v>
      </c>
    </row>
    <row r="20560" spans="1:6" x14ac:dyDescent="0.25">
      <c r="A20560">
        <v>20559</v>
      </c>
      <c r="B20560">
        <v>41</v>
      </c>
      <c r="C20560">
        <v>0</v>
      </c>
      <c r="D20560">
        <v>0</v>
      </c>
      <c r="E20560">
        <v>0</v>
      </c>
      <c r="F20560">
        <v>1</v>
      </c>
    </row>
    <row r="20561" spans="1:6" x14ac:dyDescent="0.25">
      <c r="A20561">
        <v>20560</v>
      </c>
      <c r="B20561" t="s">
        <v>0</v>
      </c>
      <c r="C20561">
        <v>97</v>
      </c>
      <c r="D20561">
        <v>3519</v>
      </c>
      <c r="E20561">
        <v>80958010</v>
      </c>
    </row>
    <row r="20562" spans="1:6" x14ac:dyDescent="0.25">
      <c r="A20562">
        <v>20561</v>
      </c>
      <c r="B20562">
        <v>43</v>
      </c>
      <c r="C20562">
        <v>0</v>
      </c>
      <c r="D20562">
        <v>0</v>
      </c>
      <c r="E20562">
        <v>0</v>
      </c>
      <c r="F20562">
        <v>0</v>
      </c>
    </row>
    <row r="20563" spans="1:6" x14ac:dyDescent="0.25">
      <c r="A20563">
        <v>20562</v>
      </c>
      <c r="B20563" t="s">
        <v>0</v>
      </c>
      <c r="C20563">
        <v>98</v>
      </c>
      <c r="D20563">
        <v>3519</v>
      </c>
      <c r="E20563">
        <v>80958140</v>
      </c>
    </row>
    <row r="20564" spans="1:6" x14ac:dyDescent="0.25">
      <c r="A20564">
        <v>20563</v>
      </c>
      <c r="B20564">
        <v>44</v>
      </c>
      <c r="C20564">
        <v>0</v>
      </c>
      <c r="D20564">
        <v>0</v>
      </c>
      <c r="E20564">
        <v>0</v>
      </c>
      <c r="F20564">
        <v>45.698599999999999</v>
      </c>
    </row>
    <row r="20565" spans="1:6" x14ac:dyDescent="0.25">
      <c r="A20565">
        <v>20564</v>
      </c>
      <c r="B20565">
        <v>45</v>
      </c>
      <c r="C20565">
        <v>0</v>
      </c>
      <c r="D20565">
        <v>0</v>
      </c>
      <c r="E20565">
        <v>0</v>
      </c>
      <c r="F20565">
        <v>550.476</v>
      </c>
    </row>
    <row r="20566" spans="1:6" x14ac:dyDescent="0.25">
      <c r="A20566">
        <v>20565</v>
      </c>
      <c r="B20566" t="s">
        <v>0</v>
      </c>
      <c r="C20566">
        <v>99</v>
      </c>
      <c r="D20566">
        <v>3519</v>
      </c>
      <c r="E20566">
        <v>80958270</v>
      </c>
    </row>
    <row r="20567" spans="1:6" x14ac:dyDescent="0.25">
      <c r="A20567">
        <v>20566</v>
      </c>
      <c r="B20567">
        <v>46</v>
      </c>
      <c r="C20567">
        <v>0</v>
      </c>
      <c r="D20567">
        <v>0</v>
      </c>
      <c r="E20567">
        <v>0</v>
      </c>
      <c r="F20567">
        <v>0</v>
      </c>
    </row>
    <row r="20568" spans="1:6" x14ac:dyDescent="0.25">
      <c r="A20568">
        <v>20567</v>
      </c>
      <c r="B20568">
        <v>2</v>
      </c>
      <c r="C20568">
        <v>0</v>
      </c>
      <c r="D20568">
        <v>0</v>
      </c>
      <c r="E20568">
        <v>0</v>
      </c>
      <c r="F20568">
        <v>254.30199999999999</v>
      </c>
    </row>
    <row r="20569" spans="1:6" x14ac:dyDescent="0.25">
      <c r="A20569">
        <v>20568</v>
      </c>
      <c r="B20569" t="s">
        <v>0</v>
      </c>
      <c r="C20569">
        <v>100</v>
      </c>
      <c r="D20569">
        <v>3519</v>
      </c>
      <c r="E20569">
        <v>80958400</v>
      </c>
    </row>
    <row r="20570" spans="1:6" x14ac:dyDescent="0.25">
      <c r="A20570">
        <v>20569</v>
      </c>
      <c r="B20570">
        <v>10</v>
      </c>
      <c r="C20570">
        <v>1</v>
      </c>
      <c r="D20570">
        <v>0</v>
      </c>
      <c r="E20570">
        <v>0</v>
      </c>
      <c r="F20570">
        <v>5222</v>
      </c>
    </row>
    <row r="20571" spans="1:6" x14ac:dyDescent="0.25">
      <c r="A20571">
        <v>20570</v>
      </c>
      <c r="B20571">
        <v>13</v>
      </c>
      <c r="C20571">
        <v>0</v>
      </c>
      <c r="D20571">
        <v>0</v>
      </c>
      <c r="E20571">
        <v>0</v>
      </c>
      <c r="F20571">
        <v>1620</v>
      </c>
    </row>
    <row r="20572" spans="1:6" x14ac:dyDescent="0.25">
      <c r="A20572">
        <v>20571</v>
      </c>
      <c r="B20572" t="s">
        <v>0</v>
      </c>
      <c r="C20572">
        <v>101</v>
      </c>
      <c r="D20572">
        <v>3519</v>
      </c>
      <c r="E20572">
        <v>80958531</v>
      </c>
    </row>
    <row r="20573" spans="1:6" x14ac:dyDescent="0.25">
      <c r="A20573">
        <v>20572</v>
      </c>
      <c r="B20573">
        <v>41</v>
      </c>
      <c r="C20573">
        <v>0</v>
      </c>
      <c r="D20573">
        <v>0</v>
      </c>
      <c r="E20573">
        <v>0</v>
      </c>
      <c r="F20573">
        <v>1</v>
      </c>
    </row>
    <row r="20574" spans="1:6" x14ac:dyDescent="0.25">
      <c r="A20574">
        <v>20573</v>
      </c>
      <c r="B20574">
        <v>42</v>
      </c>
      <c r="C20574">
        <v>0</v>
      </c>
      <c r="D20574">
        <v>0</v>
      </c>
      <c r="E20574">
        <v>0</v>
      </c>
      <c r="F20574">
        <v>0.2</v>
      </c>
    </row>
    <row r="20575" spans="1:6" x14ac:dyDescent="0.25">
      <c r="A20575">
        <v>20574</v>
      </c>
      <c r="B20575" t="s">
        <v>0</v>
      </c>
      <c r="C20575">
        <v>102</v>
      </c>
      <c r="D20575">
        <v>3519</v>
      </c>
      <c r="E20575">
        <v>80958662</v>
      </c>
    </row>
    <row r="20576" spans="1:6" x14ac:dyDescent="0.25">
      <c r="A20576">
        <v>20575</v>
      </c>
      <c r="B20576">
        <v>43</v>
      </c>
      <c r="C20576">
        <v>0</v>
      </c>
      <c r="D20576">
        <v>0</v>
      </c>
      <c r="E20576">
        <v>0</v>
      </c>
      <c r="F20576">
        <v>0</v>
      </c>
    </row>
    <row r="20577" spans="1:6" x14ac:dyDescent="0.25">
      <c r="A20577">
        <v>20576</v>
      </c>
      <c r="B20577">
        <v>44</v>
      </c>
      <c r="C20577">
        <v>0</v>
      </c>
      <c r="D20577">
        <v>0</v>
      </c>
      <c r="E20577">
        <v>0</v>
      </c>
      <c r="F20577">
        <v>45.697000000000003</v>
      </c>
    </row>
    <row r="20578" spans="1:6" x14ac:dyDescent="0.25">
      <c r="A20578">
        <v>20577</v>
      </c>
      <c r="B20578" t="s">
        <v>0</v>
      </c>
      <c r="C20578">
        <v>103</v>
      </c>
      <c r="D20578">
        <v>3519</v>
      </c>
      <c r="E20578">
        <v>80958793</v>
      </c>
    </row>
    <row r="20579" spans="1:6" x14ac:dyDescent="0.25">
      <c r="A20579">
        <v>20578</v>
      </c>
      <c r="B20579">
        <v>45</v>
      </c>
      <c r="C20579">
        <v>0</v>
      </c>
      <c r="D20579">
        <v>0</v>
      </c>
      <c r="E20579">
        <v>0</v>
      </c>
      <c r="F20579">
        <v>550.53599999999994</v>
      </c>
    </row>
    <row r="20580" spans="1:6" x14ac:dyDescent="0.25">
      <c r="A20580">
        <v>20579</v>
      </c>
      <c r="B20580">
        <v>46</v>
      </c>
      <c r="C20580">
        <v>0</v>
      </c>
      <c r="D20580">
        <v>0</v>
      </c>
      <c r="E20580">
        <v>0</v>
      </c>
      <c r="F20580">
        <v>0</v>
      </c>
    </row>
    <row r="20581" spans="1:6" x14ac:dyDescent="0.25">
      <c r="A20581">
        <v>20580</v>
      </c>
      <c r="B20581" t="s">
        <v>0</v>
      </c>
      <c r="C20581">
        <v>104</v>
      </c>
      <c r="D20581">
        <v>3519</v>
      </c>
      <c r="E20581">
        <v>80958924</v>
      </c>
    </row>
    <row r="20582" spans="1:6" x14ac:dyDescent="0.25">
      <c r="A20582">
        <v>20581</v>
      </c>
      <c r="B20582">
        <v>2</v>
      </c>
      <c r="C20582">
        <v>0</v>
      </c>
      <c r="D20582">
        <v>0</v>
      </c>
      <c r="E20582">
        <v>0</v>
      </c>
      <c r="F20582">
        <v>254.304</v>
      </c>
    </row>
    <row r="20583" spans="1:6" x14ac:dyDescent="0.25">
      <c r="A20583">
        <v>20582</v>
      </c>
      <c r="B20583">
        <v>10</v>
      </c>
      <c r="C20583">
        <v>1</v>
      </c>
      <c r="D20583">
        <v>0</v>
      </c>
      <c r="E20583">
        <v>0</v>
      </c>
      <c r="F20583">
        <v>5222</v>
      </c>
    </row>
    <row r="20584" spans="1:6" x14ac:dyDescent="0.25">
      <c r="A20584">
        <v>20583</v>
      </c>
      <c r="B20584">
        <v>13</v>
      </c>
      <c r="C20584">
        <v>0</v>
      </c>
      <c r="D20584">
        <v>0</v>
      </c>
      <c r="E20584">
        <v>0</v>
      </c>
      <c r="F20584">
        <v>1620</v>
      </c>
    </row>
    <row r="20585" spans="1:6" x14ac:dyDescent="0.25">
      <c r="A20585">
        <v>20584</v>
      </c>
      <c r="B20585">
        <v>41</v>
      </c>
      <c r="C20585">
        <v>0</v>
      </c>
      <c r="D20585">
        <v>0</v>
      </c>
      <c r="E20585">
        <v>0</v>
      </c>
      <c r="F20585">
        <v>1</v>
      </c>
    </row>
    <row r="20586" spans="1:6" x14ac:dyDescent="0.25">
      <c r="A20586">
        <v>20585</v>
      </c>
      <c r="B20586">
        <v>42</v>
      </c>
      <c r="C20586">
        <v>0</v>
      </c>
      <c r="D20586">
        <v>0</v>
      </c>
      <c r="E20586">
        <v>0</v>
      </c>
      <c r="F20586">
        <v>0.2</v>
      </c>
    </row>
    <row r="20587" spans="1:6" x14ac:dyDescent="0.25">
      <c r="A20587">
        <v>20586</v>
      </c>
      <c r="B20587">
        <v>43</v>
      </c>
      <c r="C20587">
        <v>0</v>
      </c>
      <c r="D20587">
        <v>0</v>
      </c>
      <c r="E20587">
        <v>0</v>
      </c>
      <c r="F20587">
        <v>0</v>
      </c>
    </row>
    <row r="20588" spans="1:6" x14ac:dyDescent="0.25">
      <c r="A20588">
        <v>20587</v>
      </c>
      <c r="B20588">
        <v>44</v>
      </c>
      <c r="C20588">
        <v>0</v>
      </c>
      <c r="D20588">
        <v>0</v>
      </c>
      <c r="E20588">
        <v>0</v>
      </c>
      <c r="F20588">
        <v>45.695700000000002</v>
      </c>
    </row>
    <row r="20589" spans="1:6" x14ac:dyDescent="0.25">
      <c r="A20589">
        <v>20588</v>
      </c>
      <c r="B20589">
        <v>45</v>
      </c>
      <c r="C20589">
        <v>0</v>
      </c>
      <c r="D20589">
        <v>0</v>
      </c>
      <c r="E20589">
        <v>0</v>
      </c>
      <c r="F20589">
        <v>550.58399999999995</v>
      </c>
    </row>
    <row r="20590" spans="1:6" x14ac:dyDescent="0.25">
      <c r="A20590">
        <v>20589</v>
      </c>
      <c r="B20590">
        <v>46</v>
      </c>
      <c r="C20590">
        <v>0</v>
      </c>
      <c r="D20590">
        <v>0</v>
      </c>
      <c r="E20590">
        <v>0</v>
      </c>
      <c r="F20590">
        <v>0</v>
      </c>
    </row>
    <row r="20591" spans="1:6" x14ac:dyDescent="0.25">
      <c r="A20591">
        <v>20590</v>
      </c>
      <c r="B20591">
        <v>2</v>
      </c>
      <c r="C20591">
        <v>0</v>
      </c>
      <c r="D20591">
        <v>0</v>
      </c>
      <c r="E20591">
        <v>0</v>
      </c>
      <c r="F20591">
        <v>254.303</v>
      </c>
    </row>
    <row r="20592" spans="1:6" x14ac:dyDescent="0.25">
      <c r="A20592">
        <v>20591</v>
      </c>
      <c r="B20592">
        <v>10</v>
      </c>
      <c r="C20592">
        <v>1</v>
      </c>
      <c r="D20592">
        <v>0</v>
      </c>
      <c r="E20592">
        <v>0</v>
      </c>
      <c r="F20592">
        <v>5222</v>
      </c>
    </row>
    <row r="20593" spans="1:6" x14ac:dyDescent="0.25">
      <c r="A20593">
        <v>20592</v>
      </c>
      <c r="B20593">
        <v>13</v>
      </c>
      <c r="C20593">
        <v>0</v>
      </c>
      <c r="D20593">
        <v>0</v>
      </c>
      <c r="E20593">
        <v>0</v>
      </c>
      <c r="F20593">
        <v>1620</v>
      </c>
    </row>
    <row r="20594" spans="1:6" x14ac:dyDescent="0.25">
      <c r="A20594">
        <v>20593</v>
      </c>
      <c r="B20594">
        <v>41</v>
      </c>
      <c r="C20594">
        <v>0</v>
      </c>
      <c r="D20594">
        <v>0</v>
      </c>
      <c r="E20594">
        <v>0</v>
      </c>
      <c r="F20594">
        <v>1</v>
      </c>
    </row>
    <row r="20595" spans="1:6" x14ac:dyDescent="0.25">
      <c r="A20595">
        <v>20594</v>
      </c>
      <c r="B20595">
        <v>42</v>
      </c>
      <c r="C20595">
        <v>0</v>
      </c>
      <c r="D20595">
        <v>0</v>
      </c>
      <c r="E20595">
        <v>0</v>
      </c>
      <c r="F20595">
        <v>0.2</v>
      </c>
    </row>
    <row r="20596" spans="1:6" x14ac:dyDescent="0.25">
      <c r="A20596">
        <v>20595</v>
      </c>
      <c r="B20596">
        <v>43</v>
      </c>
      <c r="C20596">
        <v>0</v>
      </c>
      <c r="D20596">
        <v>0</v>
      </c>
      <c r="E20596">
        <v>0</v>
      </c>
      <c r="F20596">
        <v>0</v>
      </c>
    </row>
    <row r="20597" spans="1:6" x14ac:dyDescent="0.25">
      <c r="A20597">
        <v>20596</v>
      </c>
      <c r="B20597">
        <v>44</v>
      </c>
      <c r="C20597">
        <v>0</v>
      </c>
      <c r="D20597">
        <v>0</v>
      </c>
      <c r="E20597">
        <v>0</v>
      </c>
      <c r="F20597">
        <v>45.6753</v>
      </c>
    </row>
    <row r="20598" spans="1:6" x14ac:dyDescent="0.25">
      <c r="A20598">
        <v>20597</v>
      </c>
      <c r="B20598">
        <v>45</v>
      </c>
      <c r="C20598">
        <v>0</v>
      </c>
      <c r="D20598">
        <v>0</v>
      </c>
      <c r="E20598">
        <v>0</v>
      </c>
      <c r="F20598">
        <v>550.64400000000001</v>
      </c>
    </row>
    <row r="20599" spans="1:6" x14ac:dyDescent="0.25">
      <c r="A20599">
        <v>20598</v>
      </c>
      <c r="B20599" t="s">
        <v>0</v>
      </c>
      <c r="C20599">
        <v>113</v>
      </c>
      <c r="D20599">
        <v>3519</v>
      </c>
      <c r="E20599">
        <v>80960099</v>
      </c>
    </row>
    <row r="20600" spans="1:6" x14ac:dyDescent="0.25">
      <c r="A20600">
        <v>20599</v>
      </c>
      <c r="B20600">
        <v>2</v>
      </c>
      <c r="C20600">
        <v>0</v>
      </c>
      <c r="D20600">
        <v>0</v>
      </c>
      <c r="E20600">
        <v>0</v>
      </c>
      <c r="F20600">
        <v>254.36099999999999</v>
      </c>
    </row>
    <row r="20601" spans="1:6" x14ac:dyDescent="0.25">
      <c r="A20601">
        <v>20600</v>
      </c>
      <c r="B20601" t="s">
        <v>0</v>
      </c>
      <c r="C20601">
        <v>114</v>
      </c>
      <c r="D20601">
        <v>3519</v>
      </c>
      <c r="E20601">
        <v>80960229</v>
      </c>
    </row>
    <row r="20602" spans="1:6" x14ac:dyDescent="0.25">
      <c r="A20602">
        <v>20601</v>
      </c>
      <c r="B20602">
        <v>13</v>
      </c>
      <c r="C20602">
        <v>0</v>
      </c>
      <c r="D20602">
        <v>0</v>
      </c>
      <c r="E20602">
        <v>0</v>
      </c>
      <c r="F20602">
        <v>1620</v>
      </c>
    </row>
    <row r="20603" spans="1:6" x14ac:dyDescent="0.25">
      <c r="A20603">
        <v>20602</v>
      </c>
      <c r="B20603" t="s">
        <v>0</v>
      </c>
      <c r="C20603">
        <v>115</v>
      </c>
      <c r="D20603">
        <v>3519</v>
      </c>
      <c r="E20603">
        <v>80960359</v>
      </c>
    </row>
    <row r="20604" spans="1:6" x14ac:dyDescent="0.25">
      <c r="A20604">
        <v>20603</v>
      </c>
      <c r="B20604">
        <v>42</v>
      </c>
      <c r="C20604">
        <v>0</v>
      </c>
      <c r="D20604">
        <v>0</v>
      </c>
      <c r="E20604">
        <v>0</v>
      </c>
      <c r="F20604">
        <v>0.2</v>
      </c>
    </row>
    <row r="20605" spans="1:6" x14ac:dyDescent="0.25">
      <c r="A20605">
        <v>20604</v>
      </c>
      <c r="B20605" t="s">
        <v>0</v>
      </c>
      <c r="C20605">
        <v>116</v>
      </c>
      <c r="D20605">
        <v>3519</v>
      </c>
      <c r="E20605">
        <v>80960489</v>
      </c>
    </row>
    <row r="20606" spans="1:6" x14ac:dyDescent="0.25">
      <c r="A20606">
        <v>20605</v>
      </c>
      <c r="B20606">
        <v>44</v>
      </c>
      <c r="C20606">
        <v>0</v>
      </c>
      <c r="D20606">
        <v>0</v>
      </c>
      <c r="E20606">
        <v>0</v>
      </c>
      <c r="F20606">
        <v>45.590899999999998</v>
      </c>
    </row>
    <row r="20607" spans="1:6" x14ac:dyDescent="0.25">
      <c r="A20607">
        <v>20606</v>
      </c>
      <c r="B20607" t="s">
        <v>0</v>
      </c>
      <c r="C20607">
        <v>117</v>
      </c>
      <c r="D20607">
        <v>3519</v>
      </c>
      <c r="E20607">
        <v>80960619</v>
      </c>
    </row>
    <row r="20608" spans="1:6" x14ac:dyDescent="0.25">
      <c r="A20608">
        <v>20607</v>
      </c>
      <c r="B20608">
        <v>46</v>
      </c>
      <c r="C20608">
        <v>0</v>
      </c>
      <c r="D20608">
        <v>0</v>
      </c>
      <c r="E20608">
        <v>0</v>
      </c>
      <c r="F20608">
        <v>0</v>
      </c>
    </row>
    <row r="20609" spans="1:6" x14ac:dyDescent="0.25">
      <c r="A20609">
        <v>20608</v>
      </c>
      <c r="B20609" t="s">
        <v>0</v>
      </c>
      <c r="C20609">
        <v>118</v>
      </c>
      <c r="D20609">
        <v>3519</v>
      </c>
      <c r="E20609">
        <v>80960749</v>
      </c>
    </row>
    <row r="20610" spans="1:6" x14ac:dyDescent="0.25">
      <c r="A20610">
        <v>20609</v>
      </c>
      <c r="B20610">
        <v>10</v>
      </c>
      <c r="C20610">
        <v>1</v>
      </c>
      <c r="D20610">
        <v>0</v>
      </c>
      <c r="E20610">
        <v>0</v>
      </c>
      <c r="F20610">
        <v>5220</v>
      </c>
    </row>
    <row r="20611" spans="1:6" x14ac:dyDescent="0.25">
      <c r="A20611">
        <v>20610</v>
      </c>
      <c r="B20611" t="s">
        <v>0</v>
      </c>
      <c r="C20611">
        <v>119</v>
      </c>
      <c r="D20611">
        <v>3519</v>
      </c>
      <c r="E20611">
        <v>80960879</v>
      </c>
    </row>
    <row r="20612" spans="1:6" x14ac:dyDescent="0.25">
      <c r="A20612">
        <v>20611</v>
      </c>
      <c r="B20612">
        <v>41</v>
      </c>
      <c r="C20612">
        <v>0</v>
      </c>
      <c r="D20612">
        <v>0</v>
      </c>
      <c r="E20612">
        <v>0</v>
      </c>
      <c r="F20612">
        <v>1</v>
      </c>
    </row>
    <row r="20613" spans="1:6" x14ac:dyDescent="0.25">
      <c r="A20613">
        <v>20612</v>
      </c>
      <c r="B20613" t="s">
        <v>0</v>
      </c>
      <c r="C20613">
        <v>120</v>
      </c>
      <c r="D20613">
        <v>3519</v>
      </c>
      <c r="E20613">
        <v>80961009</v>
      </c>
    </row>
    <row r="20614" spans="1:6" x14ac:dyDescent="0.25">
      <c r="A20614">
        <v>20613</v>
      </c>
      <c r="B20614">
        <v>42</v>
      </c>
      <c r="C20614">
        <v>0</v>
      </c>
      <c r="D20614">
        <v>0</v>
      </c>
      <c r="E20614">
        <v>0</v>
      </c>
      <c r="F20614">
        <v>0.2</v>
      </c>
    </row>
    <row r="20615" spans="1:6" x14ac:dyDescent="0.25">
      <c r="A20615">
        <v>20614</v>
      </c>
      <c r="B20615">
        <v>43</v>
      </c>
      <c r="C20615">
        <v>0</v>
      </c>
      <c r="D20615">
        <v>0</v>
      </c>
      <c r="E20615">
        <v>0</v>
      </c>
      <c r="F20615">
        <v>0</v>
      </c>
    </row>
    <row r="20616" spans="1:6" x14ac:dyDescent="0.25">
      <c r="A20616">
        <v>20615</v>
      </c>
      <c r="B20616" t="s">
        <v>0</v>
      </c>
      <c r="C20616">
        <v>121</v>
      </c>
      <c r="D20616">
        <v>3519</v>
      </c>
      <c r="E20616">
        <v>80961139</v>
      </c>
    </row>
    <row r="20617" spans="1:6" x14ac:dyDescent="0.25">
      <c r="A20617">
        <v>20616</v>
      </c>
      <c r="B20617">
        <v>44</v>
      </c>
      <c r="C20617">
        <v>0</v>
      </c>
      <c r="D20617">
        <v>0</v>
      </c>
      <c r="E20617">
        <v>0</v>
      </c>
      <c r="F20617">
        <v>45.525799999999997</v>
      </c>
    </row>
    <row r="20618" spans="1:6" x14ac:dyDescent="0.25">
      <c r="A20618">
        <v>20617</v>
      </c>
      <c r="B20618">
        <v>45</v>
      </c>
      <c r="C20618">
        <v>0</v>
      </c>
      <c r="D20618">
        <v>0</v>
      </c>
      <c r="E20618">
        <v>0</v>
      </c>
      <c r="F20618">
        <v>550.75099999999998</v>
      </c>
    </row>
    <row r="20619" spans="1:6" x14ac:dyDescent="0.25">
      <c r="A20619">
        <v>20618</v>
      </c>
      <c r="B20619" t="s">
        <v>0</v>
      </c>
      <c r="C20619">
        <v>122</v>
      </c>
      <c r="D20619">
        <v>3519</v>
      </c>
      <c r="E20619">
        <v>80961269</v>
      </c>
    </row>
    <row r="20620" spans="1:6" x14ac:dyDescent="0.25">
      <c r="A20620">
        <v>20619</v>
      </c>
      <c r="B20620">
        <v>46</v>
      </c>
      <c r="C20620">
        <v>0</v>
      </c>
      <c r="D20620">
        <v>0</v>
      </c>
      <c r="E20620">
        <v>0</v>
      </c>
      <c r="F20620">
        <v>0</v>
      </c>
    </row>
    <row r="20621" spans="1:6" x14ac:dyDescent="0.25">
      <c r="A20621">
        <v>20620</v>
      </c>
      <c r="B20621">
        <v>2</v>
      </c>
      <c r="C20621">
        <v>0</v>
      </c>
      <c r="D20621">
        <v>0</v>
      </c>
      <c r="E20621">
        <v>0</v>
      </c>
      <c r="F20621">
        <v>254.48599999999999</v>
      </c>
    </row>
    <row r="20622" spans="1:6" x14ac:dyDescent="0.25">
      <c r="A20622">
        <v>20621</v>
      </c>
      <c r="B20622" t="s">
        <v>0</v>
      </c>
      <c r="C20622">
        <v>123</v>
      </c>
      <c r="D20622">
        <v>3519</v>
      </c>
      <c r="E20622">
        <v>80961400</v>
      </c>
    </row>
    <row r="20623" spans="1:6" x14ac:dyDescent="0.25">
      <c r="A20623">
        <v>20622</v>
      </c>
      <c r="B20623">
        <v>10</v>
      </c>
      <c r="C20623">
        <v>1</v>
      </c>
      <c r="D20623">
        <v>0</v>
      </c>
      <c r="E20623">
        <v>0</v>
      </c>
      <c r="F20623">
        <v>5219</v>
      </c>
    </row>
    <row r="20624" spans="1:6" x14ac:dyDescent="0.25">
      <c r="A20624">
        <v>20623</v>
      </c>
      <c r="B20624">
        <v>13</v>
      </c>
      <c r="C20624">
        <v>0</v>
      </c>
      <c r="D20624">
        <v>0</v>
      </c>
      <c r="E20624">
        <v>0</v>
      </c>
      <c r="F20624">
        <v>1620</v>
      </c>
    </row>
    <row r="20625" spans="1:6" x14ac:dyDescent="0.25">
      <c r="A20625">
        <v>20624</v>
      </c>
      <c r="B20625" t="s">
        <v>0</v>
      </c>
      <c r="C20625">
        <v>124</v>
      </c>
      <c r="D20625">
        <v>3519</v>
      </c>
      <c r="E20625">
        <v>80961530</v>
      </c>
    </row>
    <row r="20626" spans="1:6" x14ac:dyDescent="0.25">
      <c r="A20626">
        <v>20625</v>
      </c>
      <c r="B20626">
        <v>41</v>
      </c>
      <c r="C20626">
        <v>0</v>
      </c>
      <c r="D20626">
        <v>0</v>
      </c>
      <c r="E20626">
        <v>0</v>
      </c>
      <c r="F20626">
        <v>1</v>
      </c>
    </row>
    <row r="20627" spans="1:6" x14ac:dyDescent="0.25">
      <c r="A20627">
        <v>20626</v>
      </c>
      <c r="B20627">
        <v>42</v>
      </c>
      <c r="C20627">
        <v>0</v>
      </c>
      <c r="D20627">
        <v>0</v>
      </c>
      <c r="E20627">
        <v>0</v>
      </c>
      <c r="F20627">
        <v>0.2</v>
      </c>
    </row>
    <row r="20628" spans="1:6" x14ac:dyDescent="0.25">
      <c r="A20628">
        <v>20627</v>
      </c>
      <c r="B20628" t="s">
        <v>0</v>
      </c>
      <c r="C20628">
        <v>125</v>
      </c>
      <c r="D20628">
        <v>3519</v>
      </c>
      <c r="E20628">
        <v>80961660</v>
      </c>
    </row>
    <row r="20629" spans="1:6" x14ac:dyDescent="0.25">
      <c r="A20629">
        <v>20628</v>
      </c>
      <c r="B20629">
        <v>43</v>
      </c>
      <c r="C20629">
        <v>0</v>
      </c>
      <c r="D20629">
        <v>0</v>
      </c>
      <c r="E20629">
        <v>0</v>
      </c>
      <c r="F20629">
        <v>0</v>
      </c>
    </row>
    <row r="20630" spans="1:6" x14ac:dyDescent="0.25">
      <c r="A20630">
        <v>20629</v>
      </c>
      <c r="B20630">
        <v>44</v>
      </c>
      <c r="C20630">
        <v>0</v>
      </c>
      <c r="D20630">
        <v>0</v>
      </c>
      <c r="E20630">
        <v>0</v>
      </c>
      <c r="F20630">
        <v>45.484200000000001</v>
      </c>
    </row>
    <row r="20631" spans="1:6" x14ac:dyDescent="0.25">
      <c r="A20631">
        <v>20630</v>
      </c>
      <c r="B20631" t="s">
        <v>0</v>
      </c>
      <c r="C20631">
        <v>126</v>
      </c>
      <c r="D20631">
        <v>3519</v>
      </c>
      <c r="E20631">
        <v>80961791</v>
      </c>
    </row>
    <row r="20632" spans="1:6" x14ac:dyDescent="0.25">
      <c r="A20632">
        <v>20631</v>
      </c>
      <c r="B20632">
        <v>45</v>
      </c>
      <c r="C20632">
        <v>0</v>
      </c>
      <c r="D20632">
        <v>0</v>
      </c>
      <c r="E20632">
        <v>0</v>
      </c>
      <c r="F20632">
        <v>550.81100000000004</v>
      </c>
    </row>
    <row r="20633" spans="1:6" x14ac:dyDescent="0.25">
      <c r="A20633">
        <v>20632</v>
      </c>
      <c r="B20633">
        <v>46</v>
      </c>
      <c r="C20633">
        <v>0</v>
      </c>
      <c r="D20633">
        <v>0</v>
      </c>
      <c r="E20633">
        <v>0</v>
      </c>
      <c r="F20633">
        <v>0</v>
      </c>
    </row>
    <row r="20634" spans="1:6" x14ac:dyDescent="0.25">
      <c r="A20634">
        <v>20633</v>
      </c>
      <c r="B20634">
        <v>2</v>
      </c>
      <c r="C20634">
        <v>0</v>
      </c>
      <c r="D20634">
        <v>0</v>
      </c>
      <c r="E20634">
        <v>0</v>
      </c>
      <c r="F20634">
        <v>254.53399999999999</v>
      </c>
    </row>
    <row r="20635" spans="1:6" x14ac:dyDescent="0.25">
      <c r="A20635">
        <v>20634</v>
      </c>
      <c r="B20635">
        <v>10</v>
      </c>
      <c r="C20635">
        <v>1</v>
      </c>
      <c r="D20635">
        <v>0</v>
      </c>
      <c r="E20635">
        <v>0</v>
      </c>
      <c r="F20635">
        <v>5218</v>
      </c>
    </row>
    <row r="20636" spans="1:6" x14ac:dyDescent="0.25">
      <c r="A20636">
        <v>20635</v>
      </c>
      <c r="B20636">
        <v>13</v>
      </c>
      <c r="C20636">
        <v>0</v>
      </c>
      <c r="D20636">
        <v>0</v>
      </c>
      <c r="E20636">
        <v>0</v>
      </c>
      <c r="F20636">
        <v>1620</v>
      </c>
    </row>
    <row r="20637" spans="1:6" x14ac:dyDescent="0.25">
      <c r="A20637">
        <v>20636</v>
      </c>
      <c r="B20637">
        <v>41</v>
      </c>
      <c r="C20637">
        <v>0</v>
      </c>
      <c r="D20637">
        <v>0</v>
      </c>
      <c r="E20637">
        <v>0</v>
      </c>
      <c r="F20637">
        <v>1</v>
      </c>
    </row>
    <row r="20638" spans="1:6" x14ac:dyDescent="0.25">
      <c r="A20638">
        <v>20637</v>
      </c>
      <c r="B20638">
        <v>42</v>
      </c>
      <c r="C20638">
        <v>0</v>
      </c>
      <c r="D20638">
        <v>0</v>
      </c>
      <c r="E20638">
        <v>0</v>
      </c>
      <c r="F20638">
        <v>0.2</v>
      </c>
    </row>
    <row r="20639" spans="1:6" x14ac:dyDescent="0.25">
      <c r="A20639">
        <v>20638</v>
      </c>
      <c r="B20639">
        <v>43</v>
      </c>
      <c r="C20639">
        <v>0</v>
      </c>
      <c r="D20639">
        <v>0</v>
      </c>
      <c r="E20639">
        <v>0</v>
      </c>
      <c r="F20639">
        <v>0</v>
      </c>
    </row>
    <row r="20640" spans="1:6" x14ac:dyDescent="0.25">
      <c r="A20640">
        <v>20639</v>
      </c>
      <c r="B20640">
        <v>44</v>
      </c>
      <c r="C20640">
        <v>0</v>
      </c>
      <c r="D20640">
        <v>0</v>
      </c>
      <c r="E20640">
        <v>0</v>
      </c>
      <c r="F20640">
        <v>45.442999999999998</v>
      </c>
    </row>
    <row r="20641" spans="1:6" x14ac:dyDescent="0.25">
      <c r="A20641">
        <v>20640</v>
      </c>
      <c r="B20641">
        <v>45</v>
      </c>
      <c r="C20641">
        <v>0</v>
      </c>
      <c r="D20641">
        <v>0</v>
      </c>
      <c r="E20641">
        <v>0</v>
      </c>
      <c r="F20641">
        <v>550.85799999999995</v>
      </c>
    </row>
    <row r="20642" spans="1:6" x14ac:dyDescent="0.25">
      <c r="A20642">
        <v>20641</v>
      </c>
      <c r="B20642">
        <v>46</v>
      </c>
      <c r="C20642">
        <v>0</v>
      </c>
      <c r="D20642">
        <v>0</v>
      </c>
      <c r="E20642">
        <v>0</v>
      </c>
      <c r="F20642">
        <v>0</v>
      </c>
    </row>
    <row r="20643" spans="1:6" x14ac:dyDescent="0.25">
      <c r="A20643">
        <v>20642</v>
      </c>
      <c r="B20643">
        <v>2</v>
      </c>
      <c r="C20643">
        <v>0</v>
      </c>
      <c r="D20643">
        <v>0</v>
      </c>
      <c r="E20643">
        <v>0</v>
      </c>
      <c r="F20643">
        <v>254.56399999999999</v>
      </c>
    </row>
    <row r="20644" spans="1:6" x14ac:dyDescent="0.25">
      <c r="A20644">
        <v>20643</v>
      </c>
      <c r="B20644">
        <v>10</v>
      </c>
      <c r="C20644">
        <v>1</v>
      </c>
      <c r="D20644">
        <v>0</v>
      </c>
      <c r="E20644">
        <v>0</v>
      </c>
      <c r="F20644">
        <v>5217</v>
      </c>
    </row>
    <row r="20645" spans="1:6" x14ac:dyDescent="0.25">
      <c r="A20645">
        <v>20644</v>
      </c>
      <c r="B20645">
        <v>13</v>
      </c>
      <c r="C20645">
        <v>0</v>
      </c>
      <c r="D20645">
        <v>0</v>
      </c>
      <c r="E20645">
        <v>0</v>
      </c>
      <c r="F20645">
        <v>1620</v>
      </c>
    </row>
    <row r="20646" spans="1:6" x14ac:dyDescent="0.25">
      <c r="A20646">
        <v>20645</v>
      </c>
      <c r="B20646">
        <v>41</v>
      </c>
      <c r="C20646">
        <v>0</v>
      </c>
      <c r="D20646">
        <v>0</v>
      </c>
      <c r="E20646">
        <v>0</v>
      </c>
      <c r="F20646">
        <v>1</v>
      </c>
    </row>
    <row r="20647" spans="1:6" x14ac:dyDescent="0.25">
      <c r="A20647">
        <v>20646</v>
      </c>
      <c r="B20647">
        <v>42</v>
      </c>
      <c r="C20647">
        <v>0</v>
      </c>
      <c r="D20647">
        <v>0</v>
      </c>
      <c r="E20647">
        <v>0</v>
      </c>
      <c r="F20647">
        <v>0.2</v>
      </c>
    </row>
    <row r="20648" spans="1:6" x14ac:dyDescent="0.25">
      <c r="A20648">
        <v>20647</v>
      </c>
      <c r="B20648">
        <v>43</v>
      </c>
      <c r="C20648">
        <v>0</v>
      </c>
      <c r="D20648">
        <v>0</v>
      </c>
      <c r="E20648">
        <v>0</v>
      </c>
      <c r="F20648">
        <v>0</v>
      </c>
    </row>
    <row r="20649" spans="1:6" x14ac:dyDescent="0.25">
      <c r="A20649">
        <v>20648</v>
      </c>
      <c r="B20649" t="s">
        <v>0</v>
      </c>
      <c r="C20649">
        <v>135</v>
      </c>
      <c r="D20649">
        <v>3519</v>
      </c>
      <c r="E20649">
        <v>80962964</v>
      </c>
    </row>
    <row r="20650" spans="1:6" x14ac:dyDescent="0.25">
      <c r="A20650">
        <v>20649</v>
      </c>
      <c r="B20650">
        <v>44</v>
      </c>
      <c r="C20650">
        <v>0</v>
      </c>
      <c r="D20650">
        <v>0</v>
      </c>
      <c r="E20650">
        <v>0</v>
      </c>
      <c r="F20650">
        <v>45.411299999999997</v>
      </c>
    </row>
    <row r="20651" spans="1:6" x14ac:dyDescent="0.25">
      <c r="A20651">
        <v>20650</v>
      </c>
      <c r="B20651" t="s">
        <v>0</v>
      </c>
      <c r="C20651">
        <v>136</v>
      </c>
      <c r="D20651">
        <v>3519</v>
      </c>
      <c r="E20651">
        <v>80963094</v>
      </c>
    </row>
    <row r="20652" spans="1:6" x14ac:dyDescent="0.25">
      <c r="A20652">
        <v>20651</v>
      </c>
      <c r="B20652">
        <v>46</v>
      </c>
      <c r="C20652">
        <v>0</v>
      </c>
      <c r="D20652">
        <v>0</v>
      </c>
      <c r="E20652">
        <v>0</v>
      </c>
      <c r="F20652">
        <v>0</v>
      </c>
    </row>
    <row r="20653" spans="1:6" x14ac:dyDescent="0.25">
      <c r="A20653">
        <v>20652</v>
      </c>
      <c r="B20653" t="s">
        <v>0</v>
      </c>
      <c r="C20653">
        <v>137</v>
      </c>
      <c r="D20653">
        <v>3519</v>
      </c>
      <c r="E20653">
        <v>80963224</v>
      </c>
    </row>
    <row r="20654" spans="1:6" x14ac:dyDescent="0.25">
      <c r="A20654">
        <v>20653</v>
      </c>
      <c r="B20654">
        <v>10</v>
      </c>
      <c r="C20654">
        <v>1</v>
      </c>
      <c r="D20654">
        <v>0</v>
      </c>
      <c r="E20654">
        <v>0</v>
      </c>
      <c r="F20654">
        <v>5217</v>
      </c>
    </row>
    <row r="20655" spans="1:6" x14ac:dyDescent="0.25">
      <c r="A20655">
        <v>20654</v>
      </c>
      <c r="B20655" t="s">
        <v>0</v>
      </c>
      <c r="C20655">
        <v>138</v>
      </c>
      <c r="D20655">
        <v>3519</v>
      </c>
      <c r="E20655">
        <v>80963355</v>
      </c>
    </row>
    <row r="20656" spans="1:6" x14ac:dyDescent="0.25">
      <c r="A20656">
        <v>20655</v>
      </c>
      <c r="B20656">
        <v>41</v>
      </c>
      <c r="C20656">
        <v>0</v>
      </c>
      <c r="D20656">
        <v>0</v>
      </c>
      <c r="E20656">
        <v>0</v>
      </c>
      <c r="F20656">
        <v>1</v>
      </c>
    </row>
    <row r="20657" spans="1:6" x14ac:dyDescent="0.25">
      <c r="A20657">
        <v>20656</v>
      </c>
      <c r="B20657" t="s">
        <v>0</v>
      </c>
      <c r="C20657">
        <v>139</v>
      </c>
      <c r="D20657">
        <v>3519</v>
      </c>
      <c r="E20657">
        <v>80963486</v>
      </c>
    </row>
    <row r="20658" spans="1:6" x14ac:dyDescent="0.25">
      <c r="A20658">
        <v>20657</v>
      </c>
      <c r="B20658">
        <v>43</v>
      </c>
      <c r="C20658">
        <v>0</v>
      </c>
      <c r="D20658">
        <v>0</v>
      </c>
      <c r="E20658">
        <v>0</v>
      </c>
      <c r="F20658">
        <v>0</v>
      </c>
    </row>
    <row r="20659" spans="1:6" x14ac:dyDescent="0.25">
      <c r="A20659">
        <v>20658</v>
      </c>
      <c r="B20659" t="s">
        <v>0</v>
      </c>
      <c r="C20659">
        <v>140</v>
      </c>
      <c r="D20659">
        <v>3519</v>
      </c>
      <c r="E20659">
        <v>80963617</v>
      </c>
    </row>
    <row r="20660" spans="1:6" x14ac:dyDescent="0.25">
      <c r="A20660">
        <v>20659</v>
      </c>
      <c r="B20660">
        <v>45</v>
      </c>
      <c r="C20660">
        <v>0</v>
      </c>
      <c r="D20660">
        <v>0</v>
      </c>
      <c r="E20660">
        <v>0</v>
      </c>
      <c r="F20660">
        <v>550.97699999999998</v>
      </c>
    </row>
    <row r="20661" spans="1:6" x14ac:dyDescent="0.25">
      <c r="A20661">
        <v>20660</v>
      </c>
      <c r="B20661" t="s">
        <v>0</v>
      </c>
      <c r="C20661">
        <v>141</v>
      </c>
      <c r="D20661">
        <v>3519</v>
      </c>
      <c r="E20661">
        <v>80963748</v>
      </c>
    </row>
    <row r="20662" spans="1:6" x14ac:dyDescent="0.25">
      <c r="A20662">
        <v>20661</v>
      </c>
      <c r="B20662">
        <v>2</v>
      </c>
      <c r="C20662">
        <v>0</v>
      </c>
      <c r="D20662">
        <v>0</v>
      </c>
      <c r="E20662">
        <v>0</v>
      </c>
      <c r="F20662">
        <v>254.61799999999999</v>
      </c>
    </row>
    <row r="20663" spans="1:6" x14ac:dyDescent="0.25">
      <c r="A20663">
        <v>20662</v>
      </c>
      <c r="B20663" t="s">
        <v>0</v>
      </c>
      <c r="C20663">
        <v>142</v>
      </c>
      <c r="D20663">
        <v>3519</v>
      </c>
      <c r="E20663">
        <v>80963879</v>
      </c>
    </row>
    <row r="20664" spans="1:6" x14ac:dyDescent="0.25">
      <c r="A20664">
        <v>20663</v>
      </c>
      <c r="B20664">
        <v>13</v>
      </c>
      <c r="C20664">
        <v>0</v>
      </c>
      <c r="D20664">
        <v>0</v>
      </c>
      <c r="E20664">
        <v>0</v>
      </c>
      <c r="F20664">
        <v>1620</v>
      </c>
    </row>
    <row r="20665" spans="1:6" x14ac:dyDescent="0.25">
      <c r="A20665">
        <v>20664</v>
      </c>
      <c r="B20665" t="s">
        <v>0</v>
      </c>
      <c r="C20665">
        <v>143</v>
      </c>
      <c r="D20665">
        <v>3519</v>
      </c>
      <c r="E20665">
        <v>80964010</v>
      </c>
    </row>
    <row r="20666" spans="1:6" x14ac:dyDescent="0.25">
      <c r="A20666">
        <v>20665</v>
      </c>
      <c r="B20666">
        <v>41</v>
      </c>
      <c r="C20666">
        <v>0</v>
      </c>
      <c r="D20666">
        <v>0</v>
      </c>
      <c r="E20666">
        <v>0</v>
      </c>
      <c r="F20666">
        <v>1</v>
      </c>
    </row>
    <row r="20667" spans="1:6" x14ac:dyDescent="0.25">
      <c r="A20667">
        <v>20666</v>
      </c>
      <c r="B20667">
        <v>42</v>
      </c>
      <c r="C20667">
        <v>0</v>
      </c>
      <c r="D20667">
        <v>0</v>
      </c>
      <c r="E20667">
        <v>0</v>
      </c>
      <c r="F20667">
        <v>0.2</v>
      </c>
    </row>
    <row r="20668" spans="1:6" x14ac:dyDescent="0.25">
      <c r="A20668">
        <v>20667</v>
      </c>
      <c r="B20668" t="s">
        <v>0</v>
      </c>
      <c r="C20668">
        <v>144</v>
      </c>
      <c r="D20668">
        <v>3519</v>
      </c>
      <c r="E20668">
        <v>80964141</v>
      </c>
    </row>
    <row r="20669" spans="1:6" x14ac:dyDescent="0.25">
      <c r="A20669">
        <v>20668</v>
      </c>
      <c r="B20669">
        <v>43</v>
      </c>
      <c r="C20669">
        <v>0</v>
      </c>
      <c r="D20669">
        <v>0</v>
      </c>
      <c r="E20669">
        <v>0</v>
      </c>
      <c r="F20669">
        <v>0</v>
      </c>
    </row>
    <row r="20670" spans="1:6" x14ac:dyDescent="0.25">
      <c r="A20670">
        <v>20669</v>
      </c>
      <c r="B20670">
        <v>44</v>
      </c>
      <c r="C20670">
        <v>0</v>
      </c>
      <c r="D20670">
        <v>0</v>
      </c>
      <c r="E20670">
        <v>0</v>
      </c>
      <c r="F20670">
        <v>45.3765</v>
      </c>
    </row>
    <row r="20671" spans="1:6" x14ac:dyDescent="0.25">
      <c r="A20671">
        <v>20670</v>
      </c>
      <c r="B20671" t="s">
        <v>0</v>
      </c>
      <c r="C20671">
        <v>145</v>
      </c>
      <c r="D20671">
        <v>3519</v>
      </c>
      <c r="E20671">
        <v>80964271</v>
      </c>
    </row>
    <row r="20672" spans="1:6" x14ac:dyDescent="0.25">
      <c r="A20672">
        <v>20671</v>
      </c>
      <c r="B20672">
        <v>45</v>
      </c>
      <c r="C20672">
        <v>0</v>
      </c>
      <c r="D20672">
        <v>0</v>
      </c>
      <c r="E20672">
        <v>0</v>
      </c>
      <c r="F20672">
        <v>551.03599999999994</v>
      </c>
    </row>
    <row r="20673" spans="1:6" x14ac:dyDescent="0.25">
      <c r="A20673">
        <v>20672</v>
      </c>
      <c r="B20673">
        <v>46</v>
      </c>
      <c r="C20673">
        <v>0</v>
      </c>
      <c r="D20673">
        <v>0</v>
      </c>
      <c r="E20673">
        <v>0</v>
      </c>
      <c r="F20673">
        <v>0</v>
      </c>
    </row>
    <row r="20674" spans="1:6" x14ac:dyDescent="0.25">
      <c r="A20674">
        <v>20673</v>
      </c>
      <c r="B20674" t="s">
        <v>0</v>
      </c>
      <c r="C20674">
        <v>146</v>
      </c>
      <c r="D20674">
        <v>3519</v>
      </c>
      <c r="E20674">
        <v>80964401</v>
      </c>
    </row>
    <row r="20675" spans="1:6" x14ac:dyDescent="0.25">
      <c r="A20675">
        <v>20674</v>
      </c>
      <c r="B20675">
        <v>2</v>
      </c>
      <c r="C20675">
        <v>0</v>
      </c>
      <c r="D20675">
        <v>0</v>
      </c>
      <c r="E20675">
        <v>0</v>
      </c>
      <c r="F20675">
        <v>254.636</v>
      </c>
    </row>
    <row r="20676" spans="1:6" x14ac:dyDescent="0.25">
      <c r="A20676">
        <v>20675</v>
      </c>
      <c r="B20676">
        <v>10</v>
      </c>
      <c r="C20676">
        <v>1</v>
      </c>
      <c r="D20676">
        <v>0</v>
      </c>
      <c r="E20676">
        <v>0</v>
      </c>
      <c r="F20676">
        <v>5216</v>
      </c>
    </row>
    <row r="20677" spans="1:6" x14ac:dyDescent="0.25">
      <c r="A20677">
        <v>20676</v>
      </c>
      <c r="B20677" t="s">
        <v>0</v>
      </c>
      <c r="C20677">
        <v>147</v>
      </c>
      <c r="D20677">
        <v>3519</v>
      </c>
      <c r="E20677">
        <v>80964531</v>
      </c>
    </row>
    <row r="20678" spans="1:6" x14ac:dyDescent="0.25">
      <c r="A20678">
        <v>20677</v>
      </c>
      <c r="B20678">
        <v>13</v>
      </c>
      <c r="C20678">
        <v>0</v>
      </c>
      <c r="D20678">
        <v>0</v>
      </c>
      <c r="E20678">
        <v>0</v>
      </c>
      <c r="F20678">
        <v>1620</v>
      </c>
    </row>
    <row r="20679" spans="1:6" x14ac:dyDescent="0.25">
      <c r="A20679">
        <v>20678</v>
      </c>
      <c r="B20679">
        <v>41</v>
      </c>
      <c r="C20679">
        <v>0</v>
      </c>
      <c r="D20679">
        <v>0</v>
      </c>
      <c r="E20679">
        <v>0</v>
      </c>
      <c r="F20679">
        <v>1</v>
      </c>
    </row>
    <row r="20680" spans="1:6" x14ac:dyDescent="0.25">
      <c r="A20680">
        <v>20679</v>
      </c>
      <c r="B20680" t="s">
        <v>0</v>
      </c>
      <c r="C20680">
        <v>148</v>
      </c>
      <c r="D20680">
        <v>3519</v>
      </c>
      <c r="E20680">
        <v>80964661</v>
      </c>
    </row>
    <row r="20681" spans="1:6" x14ac:dyDescent="0.25">
      <c r="A20681">
        <v>20680</v>
      </c>
      <c r="B20681">
        <v>42</v>
      </c>
      <c r="C20681">
        <v>0</v>
      </c>
      <c r="D20681">
        <v>0</v>
      </c>
      <c r="E20681">
        <v>0</v>
      </c>
      <c r="F20681">
        <v>0.2</v>
      </c>
    </row>
    <row r="20682" spans="1:6" x14ac:dyDescent="0.25">
      <c r="A20682">
        <v>20681</v>
      </c>
      <c r="B20682">
        <v>43</v>
      </c>
      <c r="C20682">
        <v>0</v>
      </c>
      <c r="D20682">
        <v>0</v>
      </c>
      <c r="E20682">
        <v>0</v>
      </c>
      <c r="F20682">
        <v>0</v>
      </c>
    </row>
    <row r="20683" spans="1:6" x14ac:dyDescent="0.25">
      <c r="A20683">
        <v>20682</v>
      </c>
      <c r="B20683" t="s">
        <v>0</v>
      </c>
      <c r="C20683">
        <v>149</v>
      </c>
      <c r="D20683">
        <v>3519</v>
      </c>
      <c r="E20683">
        <v>80964791</v>
      </c>
    </row>
    <row r="20684" spans="1:6" x14ac:dyDescent="0.25">
      <c r="A20684">
        <v>20683</v>
      </c>
      <c r="B20684">
        <v>44</v>
      </c>
      <c r="C20684">
        <v>0</v>
      </c>
      <c r="D20684">
        <v>0</v>
      </c>
      <c r="E20684">
        <v>0</v>
      </c>
      <c r="F20684">
        <v>45.355200000000004</v>
      </c>
    </row>
    <row r="20685" spans="1:6" x14ac:dyDescent="0.25">
      <c r="A20685">
        <v>20684</v>
      </c>
      <c r="B20685">
        <v>45</v>
      </c>
      <c r="C20685">
        <v>0</v>
      </c>
      <c r="D20685">
        <v>0</v>
      </c>
      <c r="E20685">
        <v>0</v>
      </c>
      <c r="F20685">
        <v>551.08399999999995</v>
      </c>
    </row>
    <row r="20686" spans="1:6" x14ac:dyDescent="0.25">
      <c r="A20686">
        <v>20685</v>
      </c>
      <c r="B20686" t="s">
        <v>0</v>
      </c>
      <c r="C20686">
        <v>150</v>
      </c>
      <c r="D20686">
        <v>3519</v>
      </c>
      <c r="E20686">
        <v>80964921</v>
      </c>
    </row>
    <row r="20687" spans="1:6" x14ac:dyDescent="0.25">
      <c r="A20687">
        <v>20686</v>
      </c>
      <c r="B20687">
        <v>46</v>
      </c>
      <c r="C20687">
        <v>0</v>
      </c>
      <c r="D20687">
        <v>0</v>
      </c>
      <c r="E20687">
        <v>0</v>
      </c>
      <c r="F20687">
        <v>0</v>
      </c>
    </row>
    <row r="20688" spans="1:6" x14ac:dyDescent="0.25">
      <c r="A20688">
        <v>20687</v>
      </c>
      <c r="B20688">
        <v>2</v>
      </c>
      <c r="C20688">
        <v>0</v>
      </c>
      <c r="D20688">
        <v>0</v>
      </c>
      <c r="E20688">
        <v>0</v>
      </c>
      <c r="F20688">
        <v>254.64699999999999</v>
      </c>
    </row>
    <row r="20689" spans="1:6" x14ac:dyDescent="0.25">
      <c r="A20689">
        <v>20688</v>
      </c>
      <c r="B20689">
        <v>10</v>
      </c>
      <c r="C20689">
        <v>1</v>
      </c>
      <c r="D20689">
        <v>0</v>
      </c>
      <c r="E20689">
        <v>0</v>
      </c>
      <c r="F20689">
        <v>5216</v>
      </c>
    </row>
    <row r="20690" spans="1:6" x14ac:dyDescent="0.25">
      <c r="A20690">
        <v>20689</v>
      </c>
      <c r="B20690">
        <v>13</v>
      </c>
      <c r="C20690">
        <v>0</v>
      </c>
      <c r="D20690">
        <v>0</v>
      </c>
      <c r="E20690">
        <v>0</v>
      </c>
      <c r="F20690">
        <v>1620</v>
      </c>
    </row>
    <row r="20691" spans="1:6" x14ac:dyDescent="0.25">
      <c r="A20691">
        <v>20690</v>
      </c>
      <c r="B20691">
        <v>41</v>
      </c>
      <c r="C20691">
        <v>0</v>
      </c>
      <c r="D20691">
        <v>0</v>
      </c>
      <c r="E20691">
        <v>0</v>
      </c>
      <c r="F20691">
        <v>1</v>
      </c>
    </row>
    <row r="20692" spans="1:6" x14ac:dyDescent="0.25">
      <c r="A20692">
        <v>20691</v>
      </c>
      <c r="B20692">
        <v>42</v>
      </c>
      <c r="C20692">
        <v>0</v>
      </c>
      <c r="D20692">
        <v>0</v>
      </c>
      <c r="E20692">
        <v>0</v>
      </c>
      <c r="F20692">
        <v>0.2</v>
      </c>
    </row>
    <row r="20693" spans="1:6" x14ac:dyDescent="0.25">
      <c r="A20693">
        <v>20692</v>
      </c>
      <c r="B20693">
        <v>43</v>
      </c>
      <c r="C20693">
        <v>0</v>
      </c>
      <c r="D20693">
        <v>0</v>
      </c>
      <c r="E20693">
        <v>0</v>
      </c>
      <c r="F20693">
        <v>0</v>
      </c>
    </row>
    <row r="20694" spans="1:6" x14ac:dyDescent="0.25">
      <c r="A20694">
        <v>20693</v>
      </c>
      <c r="B20694">
        <v>44</v>
      </c>
      <c r="C20694">
        <v>0</v>
      </c>
      <c r="D20694">
        <v>0</v>
      </c>
      <c r="E20694">
        <v>0</v>
      </c>
      <c r="F20694">
        <v>45.345399999999998</v>
      </c>
    </row>
    <row r="20695" spans="1:6" x14ac:dyDescent="0.25">
      <c r="A20695">
        <v>20694</v>
      </c>
      <c r="B20695">
        <v>45</v>
      </c>
      <c r="C20695">
        <v>0</v>
      </c>
      <c r="D20695">
        <v>0</v>
      </c>
      <c r="E20695">
        <v>0</v>
      </c>
      <c r="F20695">
        <v>551.14300000000003</v>
      </c>
    </row>
    <row r="20696" spans="1:6" x14ac:dyDescent="0.25">
      <c r="A20696">
        <v>20695</v>
      </c>
      <c r="B20696">
        <v>46</v>
      </c>
      <c r="C20696">
        <v>0</v>
      </c>
      <c r="D20696">
        <v>0</v>
      </c>
      <c r="E20696">
        <v>0</v>
      </c>
      <c r="F20696">
        <v>0</v>
      </c>
    </row>
    <row r="20697" spans="1:6" x14ac:dyDescent="0.25">
      <c r="A20697">
        <v>20696</v>
      </c>
      <c r="B20697">
        <v>2</v>
      </c>
      <c r="C20697">
        <v>0</v>
      </c>
      <c r="D20697">
        <v>0</v>
      </c>
      <c r="E20697">
        <v>0</v>
      </c>
      <c r="F20697">
        <v>254.65899999999999</v>
      </c>
    </row>
    <row r="20698" spans="1:6" x14ac:dyDescent="0.25">
      <c r="A20698">
        <v>20697</v>
      </c>
      <c r="B20698">
        <v>10</v>
      </c>
      <c r="C20698">
        <v>1</v>
      </c>
      <c r="D20698">
        <v>0</v>
      </c>
      <c r="E20698">
        <v>0</v>
      </c>
      <c r="F20698">
        <v>5216</v>
      </c>
    </row>
    <row r="20699" spans="1:6" x14ac:dyDescent="0.25">
      <c r="A20699">
        <v>20698</v>
      </c>
      <c r="B20699">
        <v>13</v>
      </c>
      <c r="C20699">
        <v>0</v>
      </c>
      <c r="D20699">
        <v>0</v>
      </c>
      <c r="E20699">
        <v>0</v>
      </c>
      <c r="F20699">
        <v>1620</v>
      </c>
    </row>
    <row r="20700" spans="1:6" x14ac:dyDescent="0.25">
      <c r="A20700">
        <v>20699</v>
      </c>
      <c r="B20700">
        <v>41</v>
      </c>
      <c r="C20700">
        <v>0</v>
      </c>
      <c r="D20700">
        <v>0</v>
      </c>
      <c r="E20700">
        <v>0</v>
      </c>
      <c r="F20700">
        <v>1</v>
      </c>
    </row>
    <row r="20701" spans="1:6" x14ac:dyDescent="0.25">
      <c r="A20701">
        <v>20700</v>
      </c>
      <c r="B20701">
        <v>42</v>
      </c>
      <c r="C20701">
        <v>0</v>
      </c>
      <c r="D20701">
        <v>0</v>
      </c>
      <c r="E20701">
        <v>0</v>
      </c>
      <c r="F20701">
        <v>0.2</v>
      </c>
    </row>
    <row r="20702" spans="1:6" x14ac:dyDescent="0.25">
      <c r="A20702">
        <v>20701</v>
      </c>
      <c r="B20702" t="s">
        <v>0</v>
      </c>
      <c r="C20702">
        <v>158</v>
      </c>
      <c r="D20702">
        <v>3519</v>
      </c>
      <c r="E20702">
        <v>80965965</v>
      </c>
    </row>
    <row r="20703" spans="1:6" x14ac:dyDescent="0.25">
      <c r="A20703">
        <v>20702</v>
      </c>
      <c r="B20703">
        <v>44</v>
      </c>
      <c r="C20703">
        <v>0</v>
      </c>
      <c r="D20703">
        <v>0</v>
      </c>
      <c r="E20703">
        <v>0</v>
      </c>
      <c r="F20703">
        <v>45.335700000000003</v>
      </c>
    </row>
    <row r="20704" spans="1:6" x14ac:dyDescent="0.25">
      <c r="A20704">
        <v>20703</v>
      </c>
      <c r="B20704" t="s">
        <v>1</v>
      </c>
      <c r="C20704">
        <v>158</v>
      </c>
      <c r="D20704">
        <v>3519</v>
      </c>
      <c r="E20704">
        <v>80966091</v>
      </c>
    </row>
    <row r="20705" spans="1:6" x14ac:dyDescent="0.25">
      <c r="A20705">
        <v>20704</v>
      </c>
      <c r="B20705">
        <v>46</v>
      </c>
      <c r="C20705">
        <v>0</v>
      </c>
      <c r="D20705">
        <v>0</v>
      </c>
      <c r="E20705">
        <v>0</v>
      </c>
      <c r="F20705">
        <v>0</v>
      </c>
    </row>
    <row r="20706" spans="1:6" x14ac:dyDescent="0.25">
      <c r="A20706">
        <v>20705</v>
      </c>
      <c r="B20706" t="s">
        <v>0</v>
      </c>
      <c r="C20706">
        <v>160</v>
      </c>
      <c r="D20706">
        <v>3519</v>
      </c>
      <c r="E20706">
        <v>80966226</v>
      </c>
    </row>
    <row r="20707" spans="1:6" x14ac:dyDescent="0.25">
      <c r="A20707">
        <v>20706</v>
      </c>
      <c r="B20707">
        <v>10</v>
      </c>
      <c r="C20707">
        <v>1</v>
      </c>
      <c r="D20707">
        <v>0</v>
      </c>
      <c r="E20707">
        <v>0</v>
      </c>
      <c r="F20707">
        <v>5216</v>
      </c>
    </row>
    <row r="20708" spans="1:6" x14ac:dyDescent="0.25">
      <c r="A20708">
        <v>20707</v>
      </c>
      <c r="B20708" t="s">
        <v>0</v>
      </c>
      <c r="C20708">
        <v>161</v>
      </c>
      <c r="D20708">
        <v>3519</v>
      </c>
      <c r="E20708">
        <v>80966356</v>
      </c>
    </row>
    <row r="20709" spans="1:6" x14ac:dyDescent="0.25">
      <c r="A20709">
        <v>20708</v>
      </c>
      <c r="B20709">
        <v>41</v>
      </c>
      <c r="C20709">
        <v>0</v>
      </c>
      <c r="D20709">
        <v>0</v>
      </c>
      <c r="E20709">
        <v>0</v>
      </c>
      <c r="F20709">
        <v>1</v>
      </c>
    </row>
    <row r="20710" spans="1:6" x14ac:dyDescent="0.25">
      <c r="A20710">
        <v>20709</v>
      </c>
      <c r="B20710" t="s">
        <v>0</v>
      </c>
      <c r="C20710">
        <v>162</v>
      </c>
      <c r="D20710">
        <v>3519</v>
      </c>
      <c r="E20710">
        <v>80966486</v>
      </c>
    </row>
    <row r="20711" spans="1:6" x14ac:dyDescent="0.25">
      <c r="A20711">
        <v>20710</v>
      </c>
      <c r="B20711">
        <v>43</v>
      </c>
      <c r="C20711">
        <v>0</v>
      </c>
      <c r="D20711">
        <v>0</v>
      </c>
      <c r="E20711">
        <v>0</v>
      </c>
      <c r="F20711">
        <v>0</v>
      </c>
    </row>
    <row r="20712" spans="1:6" x14ac:dyDescent="0.25">
      <c r="A20712">
        <v>20711</v>
      </c>
      <c r="B20712" t="s">
        <v>0</v>
      </c>
      <c r="C20712">
        <v>163</v>
      </c>
      <c r="D20712">
        <v>3519</v>
      </c>
      <c r="E20712">
        <v>80966616</v>
      </c>
    </row>
    <row r="20713" spans="1:6" x14ac:dyDescent="0.25">
      <c r="A20713">
        <v>20712</v>
      </c>
      <c r="B20713">
        <v>45</v>
      </c>
      <c r="C20713">
        <v>0</v>
      </c>
      <c r="D20713">
        <v>0</v>
      </c>
      <c r="E20713">
        <v>0</v>
      </c>
      <c r="F20713">
        <v>551.25</v>
      </c>
    </row>
    <row r="20714" spans="1:6" x14ac:dyDescent="0.25">
      <c r="A20714">
        <v>20713</v>
      </c>
      <c r="B20714" t="s">
        <v>0</v>
      </c>
      <c r="C20714">
        <v>164</v>
      </c>
      <c r="D20714">
        <v>3519</v>
      </c>
      <c r="E20714">
        <v>80966746</v>
      </c>
    </row>
    <row r="20715" spans="1:6" x14ac:dyDescent="0.25">
      <c r="A20715">
        <v>20714</v>
      </c>
      <c r="B20715">
        <v>2</v>
      </c>
      <c r="C20715">
        <v>0</v>
      </c>
      <c r="D20715">
        <v>0</v>
      </c>
      <c r="E20715">
        <v>0</v>
      </c>
      <c r="F20715">
        <v>254.666</v>
      </c>
    </row>
    <row r="20716" spans="1:6" x14ac:dyDescent="0.25">
      <c r="A20716">
        <v>20715</v>
      </c>
      <c r="B20716" t="s">
        <v>0</v>
      </c>
      <c r="C20716">
        <v>165</v>
      </c>
      <c r="D20716">
        <v>3519</v>
      </c>
      <c r="E20716">
        <v>80966876</v>
      </c>
    </row>
    <row r="20717" spans="1:6" x14ac:dyDescent="0.25">
      <c r="A20717">
        <v>20716</v>
      </c>
      <c r="B20717">
        <v>13</v>
      </c>
      <c r="C20717">
        <v>0</v>
      </c>
      <c r="D20717">
        <v>0</v>
      </c>
      <c r="E20717">
        <v>0</v>
      </c>
      <c r="F20717">
        <v>1621</v>
      </c>
    </row>
    <row r="20718" spans="1:6" x14ac:dyDescent="0.25">
      <c r="A20718">
        <v>20717</v>
      </c>
      <c r="B20718" t="s">
        <v>0</v>
      </c>
      <c r="C20718">
        <v>166</v>
      </c>
      <c r="D20718">
        <v>3519</v>
      </c>
      <c r="E20718">
        <v>80967006</v>
      </c>
    </row>
    <row r="20719" spans="1:6" x14ac:dyDescent="0.25">
      <c r="A20719">
        <v>20718</v>
      </c>
      <c r="B20719">
        <v>41</v>
      </c>
      <c r="C20719">
        <v>0</v>
      </c>
      <c r="D20719">
        <v>0</v>
      </c>
      <c r="E20719">
        <v>0</v>
      </c>
      <c r="F20719">
        <v>1</v>
      </c>
    </row>
    <row r="20720" spans="1:6" x14ac:dyDescent="0.25">
      <c r="A20720">
        <v>20719</v>
      </c>
      <c r="B20720">
        <v>42</v>
      </c>
      <c r="C20720">
        <v>0</v>
      </c>
      <c r="D20720">
        <v>0</v>
      </c>
      <c r="E20720">
        <v>0</v>
      </c>
      <c r="F20720">
        <v>0.2</v>
      </c>
    </row>
    <row r="20721" spans="1:6" x14ac:dyDescent="0.25">
      <c r="A20721">
        <v>20720</v>
      </c>
      <c r="B20721" t="s">
        <v>0</v>
      </c>
      <c r="C20721">
        <v>167</v>
      </c>
      <c r="D20721">
        <v>3519</v>
      </c>
      <c r="E20721">
        <v>80967136</v>
      </c>
    </row>
    <row r="20722" spans="1:6" x14ac:dyDescent="0.25">
      <c r="A20722">
        <v>20721</v>
      </c>
      <c r="B20722">
        <v>43</v>
      </c>
      <c r="C20722">
        <v>0</v>
      </c>
      <c r="D20722">
        <v>0</v>
      </c>
      <c r="E20722">
        <v>0</v>
      </c>
      <c r="F20722">
        <v>0</v>
      </c>
    </row>
    <row r="20723" spans="1:6" x14ac:dyDescent="0.25">
      <c r="A20723">
        <v>20722</v>
      </c>
      <c r="B20723">
        <v>44</v>
      </c>
      <c r="C20723">
        <v>0</v>
      </c>
      <c r="D20723">
        <v>0</v>
      </c>
      <c r="E20723">
        <v>0</v>
      </c>
      <c r="F20723">
        <v>45.322800000000001</v>
      </c>
    </row>
    <row r="20724" spans="1:6" x14ac:dyDescent="0.25">
      <c r="A20724">
        <v>20723</v>
      </c>
      <c r="B20724" t="s">
        <v>0</v>
      </c>
      <c r="C20724">
        <v>168</v>
      </c>
      <c r="D20724">
        <v>3519</v>
      </c>
      <c r="E20724">
        <v>80967266</v>
      </c>
    </row>
    <row r="20725" spans="1:6" x14ac:dyDescent="0.25">
      <c r="A20725">
        <v>20724</v>
      </c>
      <c r="B20725">
        <v>45</v>
      </c>
      <c r="C20725">
        <v>0</v>
      </c>
      <c r="D20725">
        <v>0</v>
      </c>
      <c r="E20725">
        <v>0</v>
      </c>
      <c r="F20725">
        <v>551.30899999999997</v>
      </c>
    </row>
    <row r="20726" spans="1:6" x14ac:dyDescent="0.25">
      <c r="A20726">
        <v>20725</v>
      </c>
      <c r="B20726">
        <v>46</v>
      </c>
      <c r="C20726">
        <v>0</v>
      </c>
      <c r="D20726">
        <v>0</v>
      </c>
      <c r="E20726">
        <v>0</v>
      </c>
      <c r="F20726">
        <v>0</v>
      </c>
    </row>
    <row r="20727" spans="1:6" x14ac:dyDescent="0.25">
      <c r="A20727">
        <v>20726</v>
      </c>
      <c r="B20727" t="s">
        <v>0</v>
      </c>
      <c r="C20727">
        <v>169</v>
      </c>
      <c r="D20727">
        <v>3519</v>
      </c>
      <c r="E20727">
        <v>80967397</v>
      </c>
    </row>
    <row r="20728" spans="1:6" x14ac:dyDescent="0.25">
      <c r="A20728">
        <v>20727</v>
      </c>
      <c r="B20728">
        <v>2</v>
      </c>
      <c r="C20728">
        <v>0</v>
      </c>
      <c r="D20728">
        <v>0</v>
      </c>
      <c r="E20728">
        <v>0</v>
      </c>
      <c r="F20728">
        <v>254.679</v>
      </c>
    </row>
    <row r="20729" spans="1:6" x14ac:dyDescent="0.25">
      <c r="A20729">
        <v>20728</v>
      </c>
      <c r="B20729">
        <v>10</v>
      </c>
      <c r="C20729">
        <v>1</v>
      </c>
      <c r="D20729">
        <v>0</v>
      </c>
      <c r="E20729">
        <v>0</v>
      </c>
      <c r="F20729">
        <v>5217</v>
      </c>
    </row>
    <row r="20730" spans="1:6" x14ac:dyDescent="0.25">
      <c r="A20730">
        <v>20729</v>
      </c>
      <c r="B20730" t="s">
        <v>0</v>
      </c>
      <c r="C20730">
        <v>170</v>
      </c>
      <c r="D20730">
        <v>3519</v>
      </c>
      <c r="E20730">
        <v>80967528</v>
      </c>
    </row>
    <row r="20731" spans="1:6" x14ac:dyDescent="0.25">
      <c r="A20731">
        <v>20730</v>
      </c>
      <c r="B20731">
        <v>13</v>
      </c>
      <c r="C20731">
        <v>0</v>
      </c>
      <c r="D20731">
        <v>0</v>
      </c>
      <c r="E20731">
        <v>0</v>
      </c>
      <c r="F20731">
        <v>1621</v>
      </c>
    </row>
    <row r="20732" spans="1:6" x14ac:dyDescent="0.25">
      <c r="A20732">
        <v>20731</v>
      </c>
      <c r="B20732">
        <v>41</v>
      </c>
      <c r="C20732">
        <v>0</v>
      </c>
      <c r="D20732">
        <v>0</v>
      </c>
      <c r="E20732">
        <v>0</v>
      </c>
      <c r="F20732">
        <v>1</v>
      </c>
    </row>
    <row r="20733" spans="1:6" x14ac:dyDescent="0.25">
      <c r="A20733">
        <v>20732</v>
      </c>
      <c r="B20733" t="s">
        <v>0</v>
      </c>
      <c r="C20733">
        <v>171</v>
      </c>
      <c r="D20733">
        <v>3519</v>
      </c>
      <c r="E20733">
        <v>80967659</v>
      </c>
    </row>
    <row r="20734" spans="1:6" x14ac:dyDescent="0.25">
      <c r="A20734">
        <v>20733</v>
      </c>
      <c r="B20734">
        <v>42</v>
      </c>
      <c r="C20734">
        <v>0</v>
      </c>
      <c r="D20734">
        <v>0</v>
      </c>
      <c r="E20734">
        <v>0</v>
      </c>
      <c r="F20734">
        <v>0.2</v>
      </c>
    </row>
    <row r="20735" spans="1:6" x14ac:dyDescent="0.25">
      <c r="A20735">
        <v>20734</v>
      </c>
      <c r="B20735">
        <v>43</v>
      </c>
      <c r="C20735">
        <v>0</v>
      </c>
      <c r="D20735">
        <v>0</v>
      </c>
      <c r="E20735">
        <v>0</v>
      </c>
      <c r="F20735">
        <v>0</v>
      </c>
    </row>
    <row r="20736" spans="1:6" x14ac:dyDescent="0.25">
      <c r="A20736">
        <v>20735</v>
      </c>
      <c r="B20736" t="s">
        <v>0</v>
      </c>
      <c r="C20736">
        <v>172</v>
      </c>
      <c r="D20736">
        <v>3519</v>
      </c>
      <c r="E20736">
        <v>80967790</v>
      </c>
    </row>
    <row r="20737" spans="1:6" x14ac:dyDescent="0.25">
      <c r="A20737">
        <v>20736</v>
      </c>
      <c r="B20737">
        <v>44</v>
      </c>
      <c r="C20737">
        <v>0</v>
      </c>
      <c r="D20737">
        <v>0</v>
      </c>
      <c r="E20737">
        <v>0</v>
      </c>
      <c r="F20737">
        <v>45.318199999999997</v>
      </c>
    </row>
    <row r="20738" spans="1:6" x14ac:dyDescent="0.25">
      <c r="A20738">
        <v>20737</v>
      </c>
      <c r="B20738">
        <v>45</v>
      </c>
      <c r="C20738">
        <v>0</v>
      </c>
      <c r="D20738">
        <v>0</v>
      </c>
      <c r="E20738">
        <v>0</v>
      </c>
      <c r="F20738">
        <v>551.35699999999997</v>
      </c>
    </row>
    <row r="20739" spans="1:6" x14ac:dyDescent="0.25">
      <c r="A20739">
        <v>20738</v>
      </c>
      <c r="B20739" t="s">
        <v>0</v>
      </c>
      <c r="C20739">
        <v>173</v>
      </c>
      <c r="D20739">
        <v>3519</v>
      </c>
      <c r="E20739">
        <v>80967921</v>
      </c>
    </row>
    <row r="20740" spans="1:6" x14ac:dyDescent="0.25">
      <c r="A20740">
        <v>20739</v>
      </c>
      <c r="B20740">
        <v>46</v>
      </c>
      <c r="C20740">
        <v>0</v>
      </c>
      <c r="D20740">
        <v>0</v>
      </c>
      <c r="E20740">
        <v>0</v>
      </c>
      <c r="F20740">
        <v>0</v>
      </c>
    </row>
    <row r="20741" spans="1:6" x14ac:dyDescent="0.25">
      <c r="A20741">
        <v>20740</v>
      </c>
      <c r="B20741">
        <v>2</v>
      </c>
      <c r="C20741">
        <v>0</v>
      </c>
      <c r="D20741">
        <v>0</v>
      </c>
      <c r="E20741">
        <v>0</v>
      </c>
      <c r="F20741">
        <v>254.68299999999999</v>
      </c>
    </row>
    <row r="20742" spans="1:6" x14ac:dyDescent="0.25">
      <c r="A20742">
        <v>20741</v>
      </c>
      <c r="B20742">
        <v>10</v>
      </c>
      <c r="C20742">
        <v>1</v>
      </c>
      <c r="D20742">
        <v>0</v>
      </c>
      <c r="E20742">
        <v>0</v>
      </c>
      <c r="F20742">
        <v>5217</v>
      </c>
    </row>
    <row r="20743" spans="1:6" x14ac:dyDescent="0.25">
      <c r="A20743">
        <v>20742</v>
      </c>
      <c r="B20743">
        <v>13</v>
      </c>
      <c r="C20743">
        <v>0</v>
      </c>
      <c r="D20743">
        <v>0</v>
      </c>
      <c r="E20743">
        <v>0</v>
      </c>
      <c r="F20743">
        <v>1621</v>
      </c>
    </row>
    <row r="20744" spans="1:6" x14ac:dyDescent="0.25">
      <c r="A20744">
        <v>20743</v>
      </c>
      <c r="B20744">
        <v>41</v>
      </c>
      <c r="C20744">
        <v>0</v>
      </c>
      <c r="D20744">
        <v>0</v>
      </c>
      <c r="E20744">
        <v>0</v>
      </c>
      <c r="F20744">
        <v>1</v>
      </c>
    </row>
    <row r="20745" spans="1:6" x14ac:dyDescent="0.25">
      <c r="A20745">
        <v>20744</v>
      </c>
      <c r="B20745">
        <v>42</v>
      </c>
      <c r="C20745">
        <v>0</v>
      </c>
      <c r="D20745">
        <v>0</v>
      </c>
      <c r="E20745">
        <v>0</v>
      </c>
      <c r="F20745">
        <v>0.2</v>
      </c>
    </row>
    <row r="20746" spans="1:6" x14ac:dyDescent="0.25">
      <c r="A20746">
        <v>20745</v>
      </c>
      <c r="B20746">
        <v>43</v>
      </c>
      <c r="C20746">
        <v>0</v>
      </c>
      <c r="D20746">
        <v>0</v>
      </c>
      <c r="E20746">
        <v>0</v>
      </c>
      <c r="F20746">
        <v>0</v>
      </c>
    </row>
    <row r="20747" spans="1:6" x14ac:dyDescent="0.25">
      <c r="A20747">
        <v>20746</v>
      </c>
      <c r="B20747">
        <v>44</v>
      </c>
      <c r="C20747">
        <v>0</v>
      </c>
      <c r="D20747">
        <v>0</v>
      </c>
      <c r="E20747">
        <v>0</v>
      </c>
      <c r="F20747">
        <v>45.323999999999998</v>
      </c>
    </row>
    <row r="20748" spans="1:6" x14ac:dyDescent="0.25">
      <c r="A20748">
        <v>20747</v>
      </c>
      <c r="B20748">
        <v>45</v>
      </c>
      <c r="C20748">
        <v>0</v>
      </c>
      <c r="D20748">
        <v>0</v>
      </c>
      <c r="E20748">
        <v>0</v>
      </c>
      <c r="F20748">
        <v>551.41600000000005</v>
      </c>
    </row>
    <row r="20749" spans="1:6" x14ac:dyDescent="0.25">
      <c r="A20749">
        <v>20748</v>
      </c>
      <c r="B20749">
        <v>46</v>
      </c>
      <c r="C20749">
        <v>0</v>
      </c>
      <c r="D20749">
        <v>0</v>
      </c>
      <c r="E20749">
        <v>0</v>
      </c>
      <c r="F20749">
        <v>0</v>
      </c>
    </row>
    <row r="20750" spans="1:6" x14ac:dyDescent="0.25">
      <c r="A20750">
        <v>20749</v>
      </c>
      <c r="B20750">
        <v>2</v>
      </c>
      <c r="C20750">
        <v>0</v>
      </c>
      <c r="D20750">
        <v>0</v>
      </c>
      <c r="E20750">
        <v>0</v>
      </c>
      <c r="F20750">
        <v>254.68700000000001</v>
      </c>
    </row>
    <row r="20751" spans="1:6" x14ac:dyDescent="0.25">
      <c r="A20751">
        <v>20750</v>
      </c>
      <c r="B20751">
        <v>10</v>
      </c>
      <c r="C20751">
        <v>1</v>
      </c>
      <c r="D20751">
        <v>0</v>
      </c>
      <c r="E20751">
        <v>0</v>
      </c>
      <c r="F20751">
        <v>5217</v>
      </c>
    </row>
    <row r="20752" spans="1:6" x14ac:dyDescent="0.25">
      <c r="A20752">
        <v>20751</v>
      </c>
      <c r="B20752">
        <v>13</v>
      </c>
      <c r="C20752">
        <v>0</v>
      </c>
      <c r="D20752">
        <v>0</v>
      </c>
      <c r="E20752">
        <v>0</v>
      </c>
      <c r="F20752">
        <v>1621</v>
      </c>
    </row>
    <row r="20753" spans="1:6" x14ac:dyDescent="0.25">
      <c r="A20753">
        <v>20752</v>
      </c>
      <c r="B20753">
        <v>41</v>
      </c>
      <c r="C20753">
        <v>0</v>
      </c>
      <c r="D20753">
        <v>0</v>
      </c>
      <c r="E20753">
        <v>0</v>
      </c>
      <c r="F20753">
        <v>1</v>
      </c>
    </row>
    <row r="20754" spans="1:6" x14ac:dyDescent="0.25">
      <c r="A20754">
        <v>20753</v>
      </c>
      <c r="B20754">
        <v>42</v>
      </c>
      <c r="C20754">
        <v>0</v>
      </c>
      <c r="D20754">
        <v>0</v>
      </c>
      <c r="E20754">
        <v>0</v>
      </c>
      <c r="F20754">
        <v>0.2</v>
      </c>
    </row>
    <row r="20755" spans="1:6" x14ac:dyDescent="0.25">
      <c r="A20755">
        <v>20754</v>
      </c>
      <c r="B20755" t="s">
        <v>0</v>
      </c>
      <c r="C20755">
        <v>1</v>
      </c>
      <c r="D20755">
        <v>3520</v>
      </c>
      <c r="E20755">
        <v>80968964</v>
      </c>
    </row>
    <row r="20756" spans="1:6" x14ac:dyDescent="0.25">
      <c r="A20756">
        <v>20755</v>
      </c>
      <c r="B20756">
        <v>44</v>
      </c>
      <c r="C20756">
        <v>0</v>
      </c>
      <c r="D20756">
        <v>0</v>
      </c>
      <c r="E20756">
        <v>0</v>
      </c>
      <c r="F20756">
        <v>45.3127</v>
      </c>
    </row>
    <row r="20757" spans="1:6" x14ac:dyDescent="0.25">
      <c r="A20757">
        <v>20756</v>
      </c>
      <c r="B20757" t="s">
        <v>0</v>
      </c>
      <c r="C20757">
        <v>2</v>
      </c>
      <c r="D20757">
        <v>3520</v>
      </c>
      <c r="E20757">
        <v>80969094</v>
      </c>
    </row>
    <row r="20758" spans="1:6" x14ac:dyDescent="0.25">
      <c r="A20758">
        <v>20757</v>
      </c>
      <c r="B20758">
        <v>46</v>
      </c>
      <c r="C20758">
        <v>0</v>
      </c>
      <c r="D20758">
        <v>0</v>
      </c>
      <c r="E20758">
        <v>0</v>
      </c>
      <c r="F20758">
        <v>0</v>
      </c>
    </row>
    <row r="20759" spans="1:6" x14ac:dyDescent="0.25">
      <c r="A20759">
        <v>20758</v>
      </c>
      <c r="B20759" t="s">
        <v>0</v>
      </c>
      <c r="C20759">
        <v>3</v>
      </c>
      <c r="D20759">
        <v>3520</v>
      </c>
      <c r="E20759">
        <v>80969224</v>
      </c>
    </row>
    <row r="20760" spans="1:6" x14ac:dyDescent="0.25">
      <c r="A20760">
        <v>20759</v>
      </c>
      <c r="B20760">
        <v>10</v>
      </c>
      <c r="C20760">
        <v>1</v>
      </c>
      <c r="D20760">
        <v>0</v>
      </c>
      <c r="E20760">
        <v>0</v>
      </c>
      <c r="F20760">
        <v>5217</v>
      </c>
    </row>
    <row r="20761" spans="1:6" x14ac:dyDescent="0.25">
      <c r="A20761">
        <v>20760</v>
      </c>
      <c r="B20761" t="s">
        <v>0</v>
      </c>
      <c r="C20761">
        <v>4</v>
      </c>
      <c r="D20761">
        <v>3520</v>
      </c>
      <c r="E20761">
        <v>80969355</v>
      </c>
    </row>
    <row r="20762" spans="1:6" x14ac:dyDescent="0.25">
      <c r="A20762">
        <v>20761</v>
      </c>
      <c r="B20762">
        <v>41</v>
      </c>
      <c r="C20762">
        <v>0</v>
      </c>
      <c r="D20762">
        <v>0</v>
      </c>
      <c r="E20762">
        <v>0</v>
      </c>
      <c r="F20762">
        <v>1</v>
      </c>
    </row>
    <row r="20763" spans="1:6" x14ac:dyDescent="0.25">
      <c r="A20763">
        <v>20762</v>
      </c>
      <c r="B20763" t="s">
        <v>0</v>
      </c>
      <c r="C20763">
        <v>5</v>
      </c>
      <c r="D20763">
        <v>3520</v>
      </c>
      <c r="E20763">
        <v>80969485</v>
      </c>
    </row>
    <row r="20764" spans="1:6" x14ac:dyDescent="0.25">
      <c r="A20764">
        <v>20763</v>
      </c>
      <c r="B20764">
        <v>43</v>
      </c>
      <c r="C20764">
        <v>0</v>
      </c>
      <c r="D20764">
        <v>0</v>
      </c>
      <c r="E20764">
        <v>0</v>
      </c>
      <c r="F20764">
        <v>0</v>
      </c>
    </row>
    <row r="20765" spans="1:6" x14ac:dyDescent="0.25">
      <c r="A20765">
        <v>20764</v>
      </c>
      <c r="B20765" t="s">
        <v>0</v>
      </c>
      <c r="C20765">
        <v>6</v>
      </c>
      <c r="D20765">
        <v>3520</v>
      </c>
      <c r="E20765">
        <v>80969616</v>
      </c>
    </row>
    <row r="20766" spans="1:6" x14ac:dyDescent="0.25">
      <c r="A20766">
        <v>20765</v>
      </c>
      <c r="B20766">
        <v>45</v>
      </c>
      <c r="C20766">
        <v>0</v>
      </c>
      <c r="D20766">
        <v>0</v>
      </c>
      <c r="E20766">
        <v>0</v>
      </c>
      <c r="F20766">
        <v>551.49900000000002</v>
      </c>
    </row>
    <row r="20767" spans="1:6" x14ac:dyDescent="0.25">
      <c r="A20767">
        <v>20766</v>
      </c>
      <c r="B20767" t="s">
        <v>0</v>
      </c>
      <c r="C20767">
        <v>7</v>
      </c>
      <c r="D20767">
        <v>3520</v>
      </c>
      <c r="E20767">
        <v>80969747</v>
      </c>
    </row>
    <row r="20768" spans="1:6" x14ac:dyDescent="0.25">
      <c r="A20768">
        <v>20767</v>
      </c>
      <c r="B20768">
        <v>2</v>
      </c>
      <c r="C20768">
        <v>0</v>
      </c>
      <c r="D20768">
        <v>0</v>
      </c>
      <c r="E20768">
        <v>0</v>
      </c>
      <c r="F20768">
        <v>254.69</v>
      </c>
    </row>
    <row r="20769" spans="1:6" x14ac:dyDescent="0.25">
      <c r="A20769">
        <v>20768</v>
      </c>
      <c r="B20769" t="s">
        <v>0</v>
      </c>
      <c r="C20769">
        <v>8</v>
      </c>
      <c r="D20769">
        <v>3520</v>
      </c>
      <c r="E20769">
        <v>80969878</v>
      </c>
    </row>
    <row r="20770" spans="1:6" x14ac:dyDescent="0.25">
      <c r="A20770">
        <v>20769</v>
      </c>
      <c r="B20770">
        <v>13</v>
      </c>
      <c r="C20770">
        <v>0</v>
      </c>
      <c r="D20770">
        <v>0</v>
      </c>
      <c r="E20770">
        <v>0</v>
      </c>
      <c r="F20770">
        <v>1621</v>
      </c>
    </row>
    <row r="20771" spans="1:6" x14ac:dyDescent="0.25">
      <c r="A20771">
        <v>20770</v>
      </c>
      <c r="B20771" t="s">
        <v>0</v>
      </c>
      <c r="C20771">
        <v>9</v>
      </c>
      <c r="D20771">
        <v>3520</v>
      </c>
      <c r="E20771">
        <v>80970009</v>
      </c>
    </row>
    <row r="20772" spans="1:6" x14ac:dyDescent="0.25">
      <c r="A20772">
        <v>20771</v>
      </c>
      <c r="B20772">
        <v>42</v>
      </c>
      <c r="C20772">
        <v>0</v>
      </c>
      <c r="D20772">
        <v>0</v>
      </c>
      <c r="E20772">
        <v>0</v>
      </c>
      <c r="F20772">
        <v>0.2</v>
      </c>
    </row>
    <row r="20773" spans="1:6" x14ac:dyDescent="0.25">
      <c r="A20773">
        <v>20772</v>
      </c>
      <c r="B20773" t="s">
        <v>0</v>
      </c>
      <c r="C20773">
        <v>10</v>
      </c>
      <c r="D20773">
        <v>3520</v>
      </c>
      <c r="E20773">
        <v>80970139</v>
      </c>
    </row>
    <row r="20774" spans="1:6" x14ac:dyDescent="0.25">
      <c r="A20774">
        <v>20773</v>
      </c>
      <c r="B20774">
        <v>43</v>
      </c>
      <c r="C20774">
        <v>0</v>
      </c>
      <c r="D20774">
        <v>0</v>
      </c>
      <c r="E20774">
        <v>0</v>
      </c>
      <c r="F20774">
        <v>0</v>
      </c>
    </row>
    <row r="20775" spans="1:6" x14ac:dyDescent="0.25">
      <c r="A20775">
        <v>20774</v>
      </c>
      <c r="B20775">
        <v>44</v>
      </c>
      <c r="C20775">
        <v>0</v>
      </c>
      <c r="D20775">
        <v>0</v>
      </c>
      <c r="E20775">
        <v>0</v>
      </c>
      <c r="F20775">
        <v>45.308700000000002</v>
      </c>
    </row>
    <row r="20776" spans="1:6" x14ac:dyDescent="0.25">
      <c r="A20776">
        <v>20775</v>
      </c>
      <c r="B20776" t="s">
        <v>0</v>
      </c>
      <c r="C20776">
        <v>11</v>
      </c>
      <c r="D20776">
        <v>3520</v>
      </c>
      <c r="E20776">
        <v>80970269</v>
      </c>
    </row>
    <row r="20777" spans="1:6" x14ac:dyDescent="0.25">
      <c r="A20777">
        <v>20776</v>
      </c>
      <c r="B20777">
        <v>45</v>
      </c>
      <c r="C20777">
        <v>0</v>
      </c>
      <c r="D20777">
        <v>0</v>
      </c>
      <c r="E20777">
        <v>0</v>
      </c>
      <c r="F20777">
        <v>551.55799999999999</v>
      </c>
    </row>
    <row r="20778" spans="1:6" x14ac:dyDescent="0.25">
      <c r="A20778">
        <v>20777</v>
      </c>
      <c r="B20778">
        <v>46</v>
      </c>
      <c r="C20778">
        <v>0</v>
      </c>
      <c r="D20778">
        <v>0</v>
      </c>
      <c r="E20778">
        <v>0</v>
      </c>
      <c r="F20778">
        <v>0</v>
      </c>
    </row>
    <row r="20779" spans="1:6" x14ac:dyDescent="0.25">
      <c r="A20779">
        <v>20778</v>
      </c>
      <c r="B20779" t="s">
        <v>0</v>
      </c>
      <c r="C20779">
        <v>12</v>
      </c>
      <c r="D20779">
        <v>3520</v>
      </c>
      <c r="E20779">
        <v>80970399</v>
      </c>
    </row>
    <row r="20780" spans="1:6" x14ac:dyDescent="0.25">
      <c r="A20780">
        <v>20779</v>
      </c>
      <c r="B20780">
        <v>2</v>
      </c>
      <c r="C20780">
        <v>0</v>
      </c>
      <c r="D20780">
        <v>0</v>
      </c>
      <c r="E20780">
        <v>0</v>
      </c>
      <c r="F20780">
        <v>254.69200000000001</v>
      </c>
    </row>
    <row r="20781" spans="1:6" x14ac:dyDescent="0.25">
      <c r="A20781">
        <v>20780</v>
      </c>
      <c r="B20781">
        <v>10</v>
      </c>
      <c r="C20781">
        <v>1</v>
      </c>
      <c r="D20781">
        <v>0</v>
      </c>
      <c r="E20781">
        <v>0</v>
      </c>
      <c r="F20781">
        <v>5218</v>
      </c>
    </row>
    <row r="20782" spans="1:6" x14ac:dyDescent="0.25">
      <c r="A20782">
        <v>20781</v>
      </c>
      <c r="B20782" t="s">
        <v>0</v>
      </c>
      <c r="C20782">
        <v>13</v>
      </c>
      <c r="D20782">
        <v>3520</v>
      </c>
      <c r="E20782">
        <v>80970529</v>
      </c>
    </row>
    <row r="20783" spans="1:6" x14ac:dyDescent="0.25">
      <c r="A20783">
        <v>20782</v>
      </c>
      <c r="B20783">
        <v>13</v>
      </c>
      <c r="C20783">
        <v>0</v>
      </c>
      <c r="D20783">
        <v>0</v>
      </c>
      <c r="E20783">
        <v>0</v>
      </c>
      <c r="F20783">
        <v>1621</v>
      </c>
    </row>
    <row r="20784" spans="1:6" x14ac:dyDescent="0.25">
      <c r="A20784">
        <v>20783</v>
      </c>
      <c r="B20784">
        <v>41</v>
      </c>
      <c r="C20784">
        <v>0</v>
      </c>
      <c r="D20784">
        <v>0</v>
      </c>
      <c r="E20784">
        <v>0</v>
      </c>
      <c r="F20784">
        <v>1</v>
      </c>
    </row>
    <row r="20785" spans="1:6" x14ac:dyDescent="0.25">
      <c r="A20785">
        <v>20784</v>
      </c>
      <c r="B20785" t="s">
        <v>0</v>
      </c>
      <c r="C20785">
        <v>14</v>
      </c>
      <c r="D20785">
        <v>3520</v>
      </c>
      <c r="E20785">
        <v>80970659</v>
      </c>
    </row>
    <row r="20786" spans="1:6" x14ac:dyDescent="0.25">
      <c r="A20786">
        <v>20785</v>
      </c>
      <c r="B20786">
        <v>42</v>
      </c>
      <c r="C20786">
        <v>0</v>
      </c>
      <c r="D20786">
        <v>0</v>
      </c>
      <c r="E20786">
        <v>0</v>
      </c>
      <c r="F20786">
        <v>0.2</v>
      </c>
    </row>
    <row r="20787" spans="1:6" x14ac:dyDescent="0.25">
      <c r="A20787">
        <v>20786</v>
      </c>
      <c r="B20787">
        <v>43</v>
      </c>
      <c r="C20787">
        <v>0</v>
      </c>
      <c r="D20787">
        <v>0</v>
      </c>
      <c r="E20787">
        <v>0</v>
      </c>
      <c r="F20787">
        <v>0</v>
      </c>
    </row>
    <row r="20788" spans="1:6" x14ac:dyDescent="0.25">
      <c r="A20788">
        <v>20787</v>
      </c>
      <c r="B20788" t="s">
        <v>0</v>
      </c>
      <c r="C20788">
        <v>15</v>
      </c>
      <c r="D20788">
        <v>3520</v>
      </c>
      <c r="E20788">
        <v>80970789</v>
      </c>
    </row>
    <row r="20789" spans="1:6" x14ac:dyDescent="0.25">
      <c r="A20789">
        <v>20788</v>
      </c>
      <c r="B20789">
        <v>44</v>
      </c>
      <c r="C20789">
        <v>0</v>
      </c>
      <c r="D20789">
        <v>0</v>
      </c>
      <c r="E20789">
        <v>0</v>
      </c>
      <c r="F20789">
        <v>45.307099999999998</v>
      </c>
    </row>
    <row r="20790" spans="1:6" x14ac:dyDescent="0.25">
      <c r="A20790">
        <v>20789</v>
      </c>
      <c r="B20790">
        <v>45</v>
      </c>
      <c r="C20790">
        <v>0</v>
      </c>
      <c r="D20790">
        <v>0</v>
      </c>
      <c r="E20790">
        <v>0</v>
      </c>
      <c r="F20790">
        <v>551.60599999999999</v>
      </c>
    </row>
    <row r="20791" spans="1:6" x14ac:dyDescent="0.25">
      <c r="A20791">
        <v>20790</v>
      </c>
      <c r="B20791" t="s">
        <v>0</v>
      </c>
      <c r="C20791">
        <v>16</v>
      </c>
      <c r="D20791">
        <v>3520</v>
      </c>
      <c r="E20791">
        <v>80970919</v>
      </c>
    </row>
    <row r="20792" spans="1:6" x14ac:dyDescent="0.25">
      <c r="A20792">
        <v>20791</v>
      </c>
      <c r="B20792">
        <v>46</v>
      </c>
      <c r="C20792">
        <v>0</v>
      </c>
      <c r="D20792">
        <v>0</v>
      </c>
      <c r="E20792">
        <v>0</v>
      </c>
      <c r="F20792">
        <v>0</v>
      </c>
    </row>
    <row r="20793" spans="1:6" x14ac:dyDescent="0.25">
      <c r="A20793">
        <v>20792</v>
      </c>
      <c r="B20793">
        <v>2</v>
      </c>
      <c r="C20793">
        <v>0</v>
      </c>
      <c r="D20793">
        <v>0</v>
      </c>
      <c r="E20793">
        <v>0</v>
      </c>
      <c r="F20793">
        <v>254.69300000000001</v>
      </c>
    </row>
    <row r="20794" spans="1:6" x14ac:dyDescent="0.25">
      <c r="A20794">
        <v>20793</v>
      </c>
      <c r="B20794">
        <v>10</v>
      </c>
      <c r="C20794">
        <v>1</v>
      </c>
      <c r="D20794">
        <v>0</v>
      </c>
      <c r="E20794">
        <v>0</v>
      </c>
      <c r="F20794">
        <v>5218</v>
      </c>
    </row>
    <row r="20795" spans="1:6" x14ac:dyDescent="0.25">
      <c r="A20795">
        <v>20794</v>
      </c>
      <c r="B20795">
        <v>13</v>
      </c>
      <c r="C20795">
        <v>0</v>
      </c>
      <c r="D20795">
        <v>0</v>
      </c>
      <c r="E20795">
        <v>0</v>
      </c>
      <c r="F20795">
        <v>1621</v>
      </c>
    </row>
    <row r="20796" spans="1:6" x14ac:dyDescent="0.25">
      <c r="A20796">
        <v>20795</v>
      </c>
      <c r="B20796">
        <v>41</v>
      </c>
      <c r="C20796">
        <v>0</v>
      </c>
      <c r="D20796">
        <v>0</v>
      </c>
      <c r="E20796">
        <v>0</v>
      </c>
      <c r="F20796">
        <v>1</v>
      </c>
    </row>
    <row r="20797" spans="1:6" x14ac:dyDescent="0.25">
      <c r="A20797">
        <v>20796</v>
      </c>
      <c r="B20797">
        <v>42</v>
      </c>
      <c r="C20797">
        <v>0</v>
      </c>
      <c r="D20797">
        <v>0</v>
      </c>
      <c r="E20797">
        <v>0</v>
      </c>
      <c r="F20797">
        <v>0.2</v>
      </c>
    </row>
    <row r="20798" spans="1:6" x14ac:dyDescent="0.25">
      <c r="A20798">
        <v>20797</v>
      </c>
      <c r="B20798">
        <v>43</v>
      </c>
      <c r="C20798">
        <v>0</v>
      </c>
      <c r="D20798">
        <v>0</v>
      </c>
      <c r="E20798">
        <v>0</v>
      </c>
      <c r="F20798">
        <v>0</v>
      </c>
    </row>
    <row r="20799" spans="1:6" x14ac:dyDescent="0.25">
      <c r="A20799">
        <v>20798</v>
      </c>
      <c r="B20799">
        <v>44</v>
      </c>
      <c r="C20799">
        <v>0</v>
      </c>
      <c r="D20799">
        <v>0</v>
      </c>
      <c r="E20799">
        <v>0</v>
      </c>
      <c r="F20799">
        <v>45.3063</v>
      </c>
    </row>
    <row r="20800" spans="1:6" x14ac:dyDescent="0.25">
      <c r="A20800">
        <v>20799</v>
      </c>
      <c r="B20800">
        <v>45</v>
      </c>
      <c r="C20800">
        <v>0</v>
      </c>
      <c r="D20800">
        <v>0</v>
      </c>
      <c r="E20800">
        <v>0</v>
      </c>
      <c r="F20800">
        <v>551.66499999999996</v>
      </c>
    </row>
    <row r="20801" spans="1:6" x14ac:dyDescent="0.25">
      <c r="A20801">
        <v>20800</v>
      </c>
      <c r="B20801">
        <v>46</v>
      </c>
      <c r="C20801">
        <v>0</v>
      </c>
      <c r="D20801">
        <v>0</v>
      </c>
      <c r="E20801">
        <v>0</v>
      </c>
      <c r="F20801">
        <v>0</v>
      </c>
    </row>
    <row r="20802" spans="1:6" x14ac:dyDescent="0.25">
      <c r="A20802">
        <v>20801</v>
      </c>
      <c r="B20802">
        <v>2</v>
      </c>
      <c r="C20802">
        <v>0</v>
      </c>
      <c r="D20802">
        <v>0</v>
      </c>
      <c r="E20802">
        <v>0</v>
      </c>
      <c r="F20802">
        <v>254.69399999999999</v>
      </c>
    </row>
    <row r="20803" spans="1:6" x14ac:dyDescent="0.25">
      <c r="A20803">
        <v>20802</v>
      </c>
      <c r="B20803">
        <v>10</v>
      </c>
      <c r="C20803">
        <v>1</v>
      </c>
      <c r="D20803">
        <v>0</v>
      </c>
      <c r="E20803">
        <v>0</v>
      </c>
      <c r="F20803">
        <v>5218</v>
      </c>
    </row>
    <row r="20804" spans="1:6" x14ac:dyDescent="0.25">
      <c r="A20804">
        <v>20803</v>
      </c>
      <c r="B20804">
        <v>13</v>
      </c>
      <c r="C20804">
        <v>0</v>
      </c>
      <c r="D20804">
        <v>0</v>
      </c>
      <c r="E20804">
        <v>0</v>
      </c>
      <c r="F20804">
        <v>1621</v>
      </c>
    </row>
    <row r="20805" spans="1:6" x14ac:dyDescent="0.25">
      <c r="A20805">
        <v>20804</v>
      </c>
      <c r="B20805">
        <v>41</v>
      </c>
      <c r="C20805">
        <v>0</v>
      </c>
      <c r="D20805">
        <v>0</v>
      </c>
      <c r="E20805">
        <v>0</v>
      </c>
      <c r="F20805">
        <v>1</v>
      </c>
    </row>
    <row r="20806" spans="1:6" x14ac:dyDescent="0.25">
      <c r="A20806">
        <v>20805</v>
      </c>
      <c r="B20806">
        <v>42</v>
      </c>
      <c r="C20806">
        <v>0</v>
      </c>
      <c r="D20806">
        <v>0</v>
      </c>
      <c r="E20806">
        <v>0</v>
      </c>
      <c r="F20806">
        <v>0.2</v>
      </c>
    </row>
    <row r="20807" spans="1:6" x14ac:dyDescent="0.25">
      <c r="A20807">
        <v>20806</v>
      </c>
      <c r="B20807" t="s">
        <v>0</v>
      </c>
      <c r="C20807">
        <v>24</v>
      </c>
      <c r="D20807">
        <v>3520</v>
      </c>
      <c r="E20807">
        <v>80971965</v>
      </c>
    </row>
    <row r="20808" spans="1:6" x14ac:dyDescent="0.25">
      <c r="A20808">
        <v>20807</v>
      </c>
      <c r="B20808">
        <v>44</v>
      </c>
      <c r="C20808">
        <v>0</v>
      </c>
      <c r="D20808">
        <v>0</v>
      </c>
      <c r="E20808">
        <v>0</v>
      </c>
      <c r="F20808">
        <v>45.308999999999997</v>
      </c>
    </row>
    <row r="20809" spans="1:6" x14ac:dyDescent="0.25">
      <c r="A20809">
        <v>20808</v>
      </c>
      <c r="B20809" t="s">
        <v>0</v>
      </c>
      <c r="C20809">
        <v>25</v>
      </c>
      <c r="D20809">
        <v>3520</v>
      </c>
      <c r="E20809">
        <v>80972095</v>
      </c>
    </row>
    <row r="20810" spans="1:6" x14ac:dyDescent="0.25">
      <c r="A20810">
        <v>20809</v>
      </c>
      <c r="B20810">
        <v>46</v>
      </c>
      <c r="C20810">
        <v>0</v>
      </c>
      <c r="D20810">
        <v>0</v>
      </c>
      <c r="E20810">
        <v>0</v>
      </c>
      <c r="F20810">
        <v>0</v>
      </c>
    </row>
    <row r="20811" spans="1:6" x14ac:dyDescent="0.25">
      <c r="A20811">
        <v>20810</v>
      </c>
      <c r="B20811" t="s">
        <v>0</v>
      </c>
      <c r="C20811">
        <v>26</v>
      </c>
      <c r="D20811">
        <v>3520</v>
      </c>
      <c r="E20811">
        <v>80972225</v>
      </c>
    </row>
    <row r="20812" spans="1:6" x14ac:dyDescent="0.25">
      <c r="A20812">
        <v>20811</v>
      </c>
      <c r="B20812">
        <v>10</v>
      </c>
      <c r="C20812">
        <v>1</v>
      </c>
      <c r="D20812">
        <v>0</v>
      </c>
      <c r="E20812">
        <v>0</v>
      </c>
      <c r="F20812">
        <v>5218</v>
      </c>
    </row>
    <row r="20813" spans="1:6" x14ac:dyDescent="0.25">
      <c r="A20813">
        <v>20812</v>
      </c>
      <c r="B20813" t="s">
        <v>0</v>
      </c>
      <c r="C20813">
        <v>27</v>
      </c>
      <c r="D20813">
        <v>3520</v>
      </c>
      <c r="E20813">
        <v>80972355</v>
      </c>
    </row>
    <row r="20814" spans="1:6" x14ac:dyDescent="0.25">
      <c r="A20814">
        <v>20813</v>
      </c>
      <c r="B20814">
        <v>41</v>
      </c>
      <c r="C20814">
        <v>0</v>
      </c>
      <c r="D20814">
        <v>0</v>
      </c>
      <c r="E20814">
        <v>0</v>
      </c>
      <c r="F20814">
        <v>1</v>
      </c>
    </row>
    <row r="20815" spans="1:6" x14ac:dyDescent="0.25">
      <c r="A20815">
        <v>20814</v>
      </c>
      <c r="B20815" t="s">
        <v>0</v>
      </c>
      <c r="C20815">
        <v>28</v>
      </c>
      <c r="D20815">
        <v>3520</v>
      </c>
      <c r="E20815">
        <v>80972485</v>
      </c>
    </row>
    <row r="20816" spans="1:6" x14ac:dyDescent="0.25">
      <c r="A20816">
        <v>20815</v>
      </c>
      <c r="B20816">
        <v>43</v>
      </c>
      <c r="C20816">
        <v>0</v>
      </c>
      <c r="D20816">
        <v>0</v>
      </c>
      <c r="E20816">
        <v>0</v>
      </c>
      <c r="F20816">
        <v>0</v>
      </c>
    </row>
    <row r="20817" spans="1:6" x14ac:dyDescent="0.25">
      <c r="A20817">
        <v>20816</v>
      </c>
      <c r="B20817" t="s">
        <v>0</v>
      </c>
      <c r="C20817">
        <v>29</v>
      </c>
      <c r="D20817">
        <v>3520</v>
      </c>
      <c r="E20817">
        <v>80972615</v>
      </c>
    </row>
    <row r="20818" spans="1:6" x14ac:dyDescent="0.25">
      <c r="A20818">
        <v>20817</v>
      </c>
      <c r="B20818">
        <v>45</v>
      </c>
      <c r="C20818">
        <v>0</v>
      </c>
      <c r="D20818">
        <v>0</v>
      </c>
      <c r="E20818">
        <v>0</v>
      </c>
      <c r="F20818">
        <v>551.77200000000005</v>
      </c>
    </row>
    <row r="20819" spans="1:6" x14ac:dyDescent="0.25">
      <c r="A20819">
        <v>20818</v>
      </c>
      <c r="B20819" t="s">
        <v>0</v>
      </c>
      <c r="C20819">
        <v>30</v>
      </c>
      <c r="D20819">
        <v>3520</v>
      </c>
      <c r="E20819">
        <v>80972745</v>
      </c>
    </row>
    <row r="20820" spans="1:6" x14ac:dyDescent="0.25">
      <c r="A20820">
        <v>20819</v>
      </c>
      <c r="B20820">
        <v>2</v>
      </c>
      <c r="C20820">
        <v>0</v>
      </c>
      <c r="D20820">
        <v>0</v>
      </c>
      <c r="E20820">
        <v>0</v>
      </c>
      <c r="F20820">
        <v>254.696</v>
      </c>
    </row>
    <row r="20821" spans="1:6" x14ac:dyDescent="0.25">
      <c r="A20821">
        <v>20820</v>
      </c>
      <c r="B20821" t="s">
        <v>0</v>
      </c>
      <c r="C20821">
        <v>31</v>
      </c>
      <c r="D20821">
        <v>3520</v>
      </c>
      <c r="E20821">
        <v>80972875</v>
      </c>
    </row>
    <row r="20822" spans="1:6" x14ac:dyDescent="0.25">
      <c r="A20822">
        <v>20821</v>
      </c>
      <c r="B20822">
        <v>10</v>
      </c>
      <c r="C20822">
        <v>1</v>
      </c>
      <c r="D20822">
        <v>0</v>
      </c>
      <c r="E20822">
        <v>0</v>
      </c>
      <c r="F20822">
        <v>5219</v>
      </c>
    </row>
    <row r="20823" spans="1:6" x14ac:dyDescent="0.25">
      <c r="A20823">
        <v>20822</v>
      </c>
      <c r="B20823">
        <v>13</v>
      </c>
      <c r="C20823">
        <v>0</v>
      </c>
      <c r="D20823">
        <v>0</v>
      </c>
      <c r="E20823">
        <v>0</v>
      </c>
      <c r="F20823">
        <v>1621</v>
      </c>
    </row>
    <row r="20824" spans="1:6" x14ac:dyDescent="0.25">
      <c r="A20824">
        <v>20823</v>
      </c>
      <c r="B20824" t="s">
        <v>0</v>
      </c>
      <c r="C20824">
        <v>32</v>
      </c>
      <c r="D20824">
        <v>3520</v>
      </c>
      <c r="E20824">
        <v>80973005</v>
      </c>
    </row>
    <row r="20825" spans="1:6" x14ac:dyDescent="0.25">
      <c r="A20825">
        <v>20824</v>
      </c>
      <c r="B20825">
        <v>41</v>
      </c>
      <c r="C20825">
        <v>0</v>
      </c>
      <c r="D20825">
        <v>0</v>
      </c>
      <c r="E20825">
        <v>0</v>
      </c>
      <c r="F20825">
        <v>1</v>
      </c>
    </row>
    <row r="20826" spans="1:6" x14ac:dyDescent="0.25">
      <c r="A20826">
        <v>20825</v>
      </c>
      <c r="B20826">
        <v>42</v>
      </c>
      <c r="C20826">
        <v>0</v>
      </c>
      <c r="D20826">
        <v>0</v>
      </c>
      <c r="E20826">
        <v>0</v>
      </c>
      <c r="F20826">
        <v>0.2</v>
      </c>
    </row>
    <row r="20827" spans="1:6" x14ac:dyDescent="0.25">
      <c r="A20827">
        <v>20826</v>
      </c>
      <c r="B20827" t="s">
        <v>0</v>
      </c>
      <c r="C20827">
        <v>33</v>
      </c>
      <c r="D20827">
        <v>3520</v>
      </c>
      <c r="E20827">
        <v>80973135</v>
      </c>
    </row>
    <row r="20828" spans="1:6" x14ac:dyDescent="0.25">
      <c r="A20828">
        <v>20827</v>
      </c>
      <c r="B20828">
        <v>43</v>
      </c>
      <c r="C20828">
        <v>0</v>
      </c>
      <c r="D20828">
        <v>0</v>
      </c>
      <c r="E20828">
        <v>0</v>
      </c>
      <c r="F20828">
        <v>0</v>
      </c>
    </row>
    <row r="20829" spans="1:6" x14ac:dyDescent="0.25">
      <c r="A20829">
        <v>20828</v>
      </c>
      <c r="B20829">
        <v>44</v>
      </c>
      <c r="C20829">
        <v>0</v>
      </c>
      <c r="D20829">
        <v>0</v>
      </c>
      <c r="E20829">
        <v>0</v>
      </c>
      <c r="F20829">
        <v>45.305399999999999</v>
      </c>
    </row>
    <row r="20830" spans="1:6" x14ac:dyDescent="0.25">
      <c r="A20830">
        <v>20829</v>
      </c>
      <c r="B20830" t="s">
        <v>0</v>
      </c>
      <c r="C20830">
        <v>34</v>
      </c>
      <c r="D20830">
        <v>3520</v>
      </c>
      <c r="E20830">
        <v>80973266</v>
      </c>
    </row>
    <row r="20831" spans="1:6" x14ac:dyDescent="0.25">
      <c r="A20831">
        <v>20830</v>
      </c>
      <c r="B20831">
        <v>45</v>
      </c>
      <c r="C20831">
        <v>0</v>
      </c>
      <c r="D20831">
        <v>0</v>
      </c>
      <c r="E20831">
        <v>0</v>
      </c>
      <c r="F20831">
        <v>551.83100000000002</v>
      </c>
    </row>
    <row r="20832" spans="1:6" x14ac:dyDescent="0.25">
      <c r="A20832">
        <v>20831</v>
      </c>
      <c r="B20832">
        <v>46</v>
      </c>
      <c r="C20832">
        <v>0</v>
      </c>
      <c r="D20832">
        <v>0</v>
      </c>
      <c r="E20832">
        <v>0</v>
      </c>
      <c r="F20832">
        <v>0</v>
      </c>
    </row>
    <row r="20833" spans="1:6" x14ac:dyDescent="0.25">
      <c r="A20833">
        <v>20832</v>
      </c>
      <c r="B20833" t="s">
        <v>0</v>
      </c>
      <c r="C20833">
        <v>35</v>
      </c>
      <c r="D20833">
        <v>3520</v>
      </c>
      <c r="E20833">
        <v>80973396</v>
      </c>
    </row>
    <row r="20834" spans="1:6" x14ac:dyDescent="0.25">
      <c r="A20834">
        <v>20833</v>
      </c>
      <c r="B20834">
        <v>2</v>
      </c>
      <c r="C20834">
        <v>0</v>
      </c>
      <c r="D20834">
        <v>0</v>
      </c>
      <c r="E20834">
        <v>0</v>
      </c>
      <c r="F20834">
        <v>254.68700000000001</v>
      </c>
    </row>
    <row r="20835" spans="1:6" x14ac:dyDescent="0.25">
      <c r="A20835">
        <v>20834</v>
      </c>
      <c r="B20835">
        <v>10</v>
      </c>
      <c r="C20835">
        <v>1</v>
      </c>
      <c r="D20835">
        <v>0</v>
      </c>
      <c r="E20835">
        <v>0</v>
      </c>
      <c r="F20835">
        <v>5219</v>
      </c>
    </row>
    <row r="20836" spans="1:6" x14ac:dyDescent="0.25">
      <c r="A20836">
        <v>20835</v>
      </c>
      <c r="B20836" t="s">
        <v>0</v>
      </c>
      <c r="C20836">
        <v>36</v>
      </c>
      <c r="D20836">
        <v>3520</v>
      </c>
      <c r="E20836">
        <v>80973527</v>
      </c>
    </row>
    <row r="20837" spans="1:6" x14ac:dyDescent="0.25">
      <c r="A20837">
        <v>20836</v>
      </c>
      <c r="B20837">
        <v>13</v>
      </c>
      <c r="C20837">
        <v>0</v>
      </c>
      <c r="D20837">
        <v>0</v>
      </c>
      <c r="E20837">
        <v>0</v>
      </c>
      <c r="F20837">
        <v>1621</v>
      </c>
    </row>
    <row r="20838" spans="1:6" x14ac:dyDescent="0.25">
      <c r="A20838">
        <v>20837</v>
      </c>
      <c r="B20838">
        <v>41</v>
      </c>
      <c r="C20838">
        <v>0</v>
      </c>
      <c r="D20838">
        <v>0</v>
      </c>
      <c r="E20838">
        <v>0</v>
      </c>
      <c r="F20838">
        <v>1</v>
      </c>
    </row>
    <row r="20839" spans="1:6" x14ac:dyDescent="0.25">
      <c r="A20839">
        <v>20838</v>
      </c>
      <c r="B20839" t="s">
        <v>0</v>
      </c>
      <c r="C20839">
        <v>37</v>
      </c>
      <c r="D20839">
        <v>3520</v>
      </c>
      <c r="E20839">
        <v>80973658</v>
      </c>
    </row>
    <row r="20840" spans="1:6" x14ac:dyDescent="0.25">
      <c r="A20840">
        <v>20839</v>
      </c>
      <c r="B20840">
        <v>42</v>
      </c>
      <c r="C20840">
        <v>0</v>
      </c>
      <c r="D20840">
        <v>0</v>
      </c>
      <c r="E20840">
        <v>0</v>
      </c>
      <c r="F20840">
        <v>0.2</v>
      </c>
    </row>
    <row r="20841" spans="1:6" x14ac:dyDescent="0.25">
      <c r="A20841">
        <v>20840</v>
      </c>
      <c r="B20841">
        <v>43</v>
      </c>
      <c r="C20841">
        <v>0</v>
      </c>
      <c r="D20841">
        <v>0</v>
      </c>
      <c r="E20841">
        <v>0</v>
      </c>
      <c r="F20841">
        <v>0</v>
      </c>
    </row>
    <row r="20842" spans="1:6" x14ac:dyDescent="0.25">
      <c r="A20842">
        <v>20841</v>
      </c>
      <c r="B20842">
        <v>44</v>
      </c>
      <c r="C20842">
        <v>0</v>
      </c>
      <c r="D20842">
        <v>0</v>
      </c>
      <c r="E20842">
        <v>0</v>
      </c>
      <c r="F20842">
        <v>45.303199999999997</v>
      </c>
    </row>
    <row r="20843" spans="1:6" x14ac:dyDescent="0.25">
      <c r="A20843">
        <v>20842</v>
      </c>
      <c r="B20843">
        <v>45</v>
      </c>
      <c r="C20843">
        <v>0</v>
      </c>
      <c r="D20843">
        <v>0</v>
      </c>
      <c r="E20843">
        <v>0</v>
      </c>
      <c r="F20843">
        <v>551.87900000000002</v>
      </c>
    </row>
    <row r="20844" spans="1:6" x14ac:dyDescent="0.25">
      <c r="A20844">
        <v>20843</v>
      </c>
      <c r="B20844">
        <v>46</v>
      </c>
      <c r="C20844">
        <v>0</v>
      </c>
      <c r="D20844">
        <v>0</v>
      </c>
      <c r="E20844">
        <v>0</v>
      </c>
      <c r="F20844">
        <v>0</v>
      </c>
    </row>
    <row r="20845" spans="1:6" x14ac:dyDescent="0.25">
      <c r="A20845">
        <v>20844</v>
      </c>
      <c r="B20845">
        <v>2</v>
      </c>
      <c r="C20845">
        <v>0</v>
      </c>
      <c r="D20845">
        <v>0</v>
      </c>
      <c r="E20845">
        <v>0</v>
      </c>
      <c r="F20845">
        <v>254.69399999999999</v>
      </c>
    </row>
    <row r="20846" spans="1:6" x14ac:dyDescent="0.25">
      <c r="A20846">
        <v>20845</v>
      </c>
      <c r="B20846">
        <v>10</v>
      </c>
      <c r="C20846">
        <v>1</v>
      </c>
      <c r="D20846">
        <v>0</v>
      </c>
      <c r="E20846">
        <v>0</v>
      </c>
      <c r="F20846">
        <v>5219</v>
      </c>
    </row>
    <row r="20847" spans="1:6" x14ac:dyDescent="0.25">
      <c r="A20847">
        <v>20846</v>
      </c>
      <c r="B20847">
        <v>13</v>
      </c>
      <c r="C20847">
        <v>0</v>
      </c>
      <c r="D20847">
        <v>0</v>
      </c>
      <c r="E20847">
        <v>0</v>
      </c>
      <c r="F20847">
        <v>1621</v>
      </c>
    </row>
    <row r="20848" spans="1:6" x14ac:dyDescent="0.25">
      <c r="A20848">
        <v>20847</v>
      </c>
      <c r="B20848">
        <v>41</v>
      </c>
      <c r="C20848">
        <v>0</v>
      </c>
      <c r="D20848">
        <v>0</v>
      </c>
      <c r="E20848">
        <v>0</v>
      </c>
      <c r="F20848">
        <v>1</v>
      </c>
    </row>
    <row r="20849" spans="1:6" x14ac:dyDescent="0.25">
      <c r="A20849">
        <v>20848</v>
      </c>
      <c r="B20849">
        <v>42</v>
      </c>
      <c r="C20849">
        <v>0</v>
      </c>
      <c r="D20849">
        <v>0</v>
      </c>
      <c r="E20849">
        <v>0</v>
      </c>
      <c r="F20849">
        <v>0.2</v>
      </c>
    </row>
    <row r="20850" spans="1:6" x14ac:dyDescent="0.25">
      <c r="A20850">
        <v>20849</v>
      </c>
      <c r="B20850">
        <v>43</v>
      </c>
      <c r="C20850">
        <v>0</v>
      </c>
      <c r="D20850">
        <v>0</v>
      </c>
      <c r="E20850">
        <v>0</v>
      </c>
      <c r="F20850">
        <v>0</v>
      </c>
    </row>
    <row r="20851" spans="1:6" x14ac:dyDescent="0.25">
      <c r="A20851">
        <v>20850</v>
      </c>
      <c r="B20851">
        <v>44</v>
      </c>
      <c r="C20851">
        <v>0</v>
      </c>
      <c r="D20851">
        <v>0</v>
      </c>
      <c r="E20851">
        <v>0</v>
      </c>
      <c r="F20851">
        <v>45.302999999999997</v>
      </c>
    </row>
    <row r="20852" spans="1:6" x14ac:dyDescent="0.25">
      <c r="A20852">
        <v>20851</v>
      </c>
      <c r="B20852">
        <v>45</v>
      </c>
      <c r="C20852">
        <v>0</v>
      </c>
      <c r="D20852">
        <v>0</v>
      </c>
      <c r="E20852">
        <v>0</v>
      </c>
      <c r="F20852">
        <v>551.93799999999999</v>
      </c>
    </row>
    <row r="20853" spans="1:6" x14ac:dyDescent="0.25">
      <c r="A20853">
        <v>20852</v>
      </c>
      <c r="B20853">
        <v>46</v>
      </c>
      <c r="C20853">
        <v>0</v>
      </c>
      <c r="D20853">
        <v>0</v>
      </c>
      <c r="E20853">
        <v>0</v>
      </c>
      <c r="F20853">
        <v>0</v>
      </c>
    </row>
    <row r="20854" spans="1:6" x14ac:dyDescent="0.25">
      <c r="A20854">
        <v>20853</v>
      </c>
      <c r="B20854">
        <v>2</v>
      </c>
      <c r="C20854">
        <v>0</v>
      </c>
      <c r="D20854">
        <v>0</v>
      </c>
      <c r="E20854">
        <v>0</v>
      </c>
      <c r="F20854">
        <v>254.697</v>
      </c>
    </row>
    <row r="20855" spans="1:6" x14ac:dyDescent="0.25">
      <c r="A20855">
        <v>20854</v>
      </c>
      <c r="B20855">
        <v>10</v>
      </c>
      <c r="C20855">
        <v>1</v>
      </c>
      <c r="D20855">
        <v>0</v>
      </c>
      <c r="E20855">
        <v>0</v>
      </c>
      <c r="F20855">
        <v>5219</v>
      </c>
    </row>
    <row r="20856" spans="1:6" x14ac:dyDescent="0.25">
      <c r="A20856">
        <v>20855</v>
      </c>
      <c r="B20856">
        <v>13</v>
      </c>
      <c r="C20856">
        <v>0</v>
      </c>
      <c r="D20856">
        <v>0</v>
      </c>
      <c r="E20856">
        <v>0</v>
      </c>
      <c r="F20856">
        <v>1621</v>
      </c>
    </row>
    <row r="20857" spans="1:6" x14ac:dyDescent="0.25">
      <c r="A20857">
        <v>20856</v>
      </c>
      <c r="B20857" t="s">
        <v>0</v>
      </c>
      <c r="C20857">
        <v>46</v>
      </c>
      <c r="D20857">
        <v>3520</v>
      </c>
      <c r="E20857">
        <v>80974831</v>
      </c>
    </row>
    <row r="20858" spans="1:6" x14ac:dyDescent="0.25">
      <c r="A20858">
        <v>20857</v>
      </c>
      <c r="B20858">
        <v>42</v>
      </c>
      <c r="C20858">
        <v>0</v>
      </c>
      <c r="D20858">
        <v>0</v>
      </c>
      <c r="E20858">
        <v>0</v>
      </c>
      <c r="F20858">
        <v>0.2</v>
      </c>
    </row>
    <row r="20859" spans="1:6" x14ac:dyDescent="0.25">
      <c r="A20859">
        <v>20858</v>
      </c>
      <c r="B20859" t="s">
        <v>0</v>
      </c>
      <c r="C20859">
        <v>47</v>
      </c>
      <c r="D20859">
        <v>3520</v>
      </c>
      <c r="E20859">
        <v>80974961</v>
      </c>
    </row>
    <row r="20860" spans="1:6" x14ac:dyDescent="0.25">
      <c r="A20860">
        <v>20859</v>
      </c>
      <c r="B20860">
        <v>44</v>
      </c>
      <c r="C20860">
        <v>0</v>
      </c>
      <c r="D20860">
        <v>0</v>
      </c>
      <c r="E20860">
        <v>0</v>
      </c>
      <c r="F20860">
        <v>45.301900000000003</v>
      </c>
    </row>
    <row r="20861" spans="1:6" x14ac:dyDescent="0.25">
      <c r="A20861">
        <v>20860</v>
      </c>
      <c r="B20861" t="s">
        <v>0</v>
      </c>
      <c r="C20861">
        <v>48</v>
      </c>
      <c r="D20861">
        <v>3520</v>
      </c>
      <c r="E20861">
        <v>80975092</v>
      </c>
    </row>
    <row r="20862" spans="1:6" x14ac:dyDescent="0.25">
      <c r="A20862">
        <v>20861</v>
      </c>
      <c r="B20862">
        <v>46</v>
      </c>
      <c r="C20862">
        <v>0</v>
      </c>
      <c r="D20862">
        <v>0</v>
      </c>
      <c r="E20862">
        <v>0</v>
      </c>
      <c r="F20862">
        <v>0</v>
      </c>
    </row>
    <row r="20863" spans="1:6" x14ac:dyDescent="0.25">
      <c r="A20863">
        <v>20862</v>
      </c>
      <c r="B20863" t="s">
        <v>0</v>
      </c>
      <c r="C20863">
        <v>49</v>
      </c>
      <c r="D20863">
        <v>3520</v>
      </c>
      <c r="E20863">
        <v>80975223</v>
      </c>
    </row>
    <row r="20864" spans="1:6" x14ac:dyDescent="0.25">
      <c r="A20864">
        <v>20863</v>
      </c>
      <c r="B20864">
        <v>10</v>
      </c>
      <c r="C20864">
        <v>1</v>
      </c>
      <c r="D20864">
        <v>0</v>
      </c>
      <c r="E20864">
        <v>0</v>
      </c>
      <c r="F20864">
        <v>5220</v>
      </c>
    </row>
    <row r="20865" spans="1:6" x14ac:dyDescent="0.25">
      <c r="A20865">
        <v>20864</v>
      </c>
      <c r="B20865" t="s">
        <v>0</v>
      </c>
      <c r="C20865">
        <v>50</v>
      </c>
      <c r="D20865">
        <v>3520</v>
      </c>
      <c r="E20865">
        <v>80975354</v>
      </c>
    </row>
    <row r="20866" spans="1:6" x14ac:dyDescent="0.25">
      <c r="A20866">
        <v>20865</v>
      </c>
      <c r="B20866">
        <v>41</v>
      </c>
      <c r="C20866">
        <v>0</v>
      </c>
      <c r="D20866">
        <v>0</v>
      </c>
      <c r="E20866">
        <v>0</v>
      </c>
      <c r="F20866">
        <v>1</v>
      </c>
    </row>
    <row r="20867" spans="1:6" x14ac:dyDescent="0.25">
      <c r="A20867">
        <v>20866</v>
      </c>
      <c r="B20867" t="s">
        <v>0</v>
      </c>
      <c r="C20867">
        <v>51</v>
      </c>
      <c r="D20867">
        <v>3520</v>
      </c>
      <c r="E20867">
        <v>80975485</v>
      </c>
    </row>
    <row r="20868" spans="1:6" x14ac:dyDescent="0.25">
      <c r="A20868">
        <v>20867</v>
      </c>
      <c r="B20868">
        <v>43</v>
      </c>
      <c r="C20868">
        <v>0</v>
      </c>
      <c r="D20868">
        <v>0</v>
      </c>
      <c r="E20868">
        <v>0</v>
      </c>
      <c r="F20868">
        <v>0</v>
      </c>
    </row>
    <row r="20869" spans="1:6" x14ac:dyDescent="0.25">
      <c r="A20869">
        <v>20868</v>
      </c>
      <c r="B20869" t="s">
        <v>0</v>
      </c>
      <c r="C20869">
        <v>52</v>
      </c>
      <c r="D20869">
        <v>3520</v>
      </c>
      <c r="E20869">
        <v>80975616</v>
      </c>
    </row>
    <row r="20870" spans="1:6" x14ac:dyDescent="0.25">
      <c r="A20870">
        <v>20869</v>
      </c>
      <c r="B20870">
        <v>45</v>
      </c>
      <c r="C20870">
        <v>0</v>
      </c>
      <c r="D20870">
        <v>0</v>
      </c>
      <c r="E20870">
        <v>0</v>
      </c>
      <c r="F20870">
        <v>552.04499999999996</v>
      </c>
    </row>
    <row r="20871" spans="1:6" x14ac:dyDescent="0.25">
      <c r="A20871">
        <v>20870</v>
      </c>
      <c r="B20871" t="s">
        <v>0</v>
      </c>
      <c r="C20871">
        <v>53</v>
      </c>
      <c r="D20871">
        <v>3520</v>
      </c>
      <c r="E20871">
        <v>80975747</v>
      </c>
    </row>
    <row r="20872" spans="1:6" x14ac:dyDescent="0.25">
      <c r="A20872">
        <v>20871</v>
      </c>
      <c r="B20872">
        <v>2</v>
      </c>
      <c r="C20872">
        <v>0</v>
      </c>
      <c r="D20872">
        <v>0</v>
      </c>
      <c r="E20872">
        <v>0</v>
      </c>
      <c r="F20872">
        <v>254.69800000000001</v>
      </c>
    </row>
    <row r="20873" spans="1:6" x14ac:dyDescent="0.25">
      <c r="A20873">
        <v>20872</v>
      </c>
      <c r="B20873" t="s">
        <v>0</v>
      </c>
      <c r="C20873">
        <v>54</v>
      </c>
      <c r="D20873">
        <v>3520</v>
      </c>
      <c r="E20873">
        <v>80975878</v>
      </c>
    </row>
    <row r="20874" spans="1:6" x14ac:dyDescent="0.25">
      <c r="A20874">
        <v>20873</v>
      </c>
      <c r="B20874">
        <v>10</v>
      </c>
      <c r="C20874">
        <v>1</v>
      </c>
      <c r="D20874">
        <v>0</v>
      </c>
      <c r="E20874">
        <v>0</v>
      </c>
      <c r="F20874">
        <v>5220</v>
      </c>
    </row>
    <row r="20875" spans="1:6" x14ac:dyDescent="0.25">
      <c r="A20875">
        <v>20874</v>
      </c>
      <c r="B20875">
        <v>13</v>
      </c>
      <c r="C20875">
        <v>0</v>
      </c>
      <c r="D20875">
        <v>0</v>
      </c>
      <c r="E20875">
        <v>0</v>
      </c>
      <c r="F20875">
        <v>1621</v>
      </c>
    </row>
    <row r="20876" spans="1:6" x14ac:dyDescent="0.25">
      <c r="A20876">
        <v>20875</v>
      </c>
      <c r="B20876" t="s">
        <v>0</v>
      </c>
      <c r="C20876">
        <v>55</v>
      </c>
      <c r="D20876">
        <v>3520</v>
      </c>
      <c r="E20876">
        <v>80976008</v>
      </c>
    </row>
    <row r="20877" spans="1:6" x14ac:dyDescent="0.25">
      <c r="A20877">
        <v>20876</v>
      </c>
      <c r="B20877">
        <v>41</v>
      </c>
      <c r="C20877">
        <v>0</v>
      </c>
      <c r="D20877">
        <v>0</v>
      </c>
      <c r="E20877">
        <v>0</v>
      </c>
      <c r="F20877">
        <v>1</v>
      </c>
    </row>
    <row r="20878" spans="1:6" x14ac:dyDescent="0.25">
      <c r="A20878">
        <v>20877</v>
      </c>
      <c r="B20878">
        <v>42</v>
      </c>
      <c r="C20878">
        <v>0</v>
      </c>
      <c r="D20878">
        <v>0</v>
      </c>
      <c r="E20878">
        <v>0</v>
      </c>
      <c r="F20878">
        <v>0.2</v>
      </c>
    </row>
    <row r="20879" spans="1:6" x14ac:dyDescent="0.25">
      <c r="A20879">
        <v>20878</v>
      </c>
      <c r="B20879" t="s">
        <v>0</v>
      </c>
      <c r="C20879">
        <v>56</v>
      </c>
      <c r="D20879">
        <v>3520</v>
      </c>
      <c r="E20879">
        <v>80976138</v>
      </c>
    </row>
    <row r="20880" spans="1:6" x14ac:dyDescent="0.25">
      <c r="A20880">
        <v>20879</v>
      </c>
      <c r="B20880">
        <v>43</v>
      </c>
      <c r="C20880">
        <v>0</v>
      </c>
      <c r="D20880">
        <v>0</v>
      </c>
      <c r="E20880">
        <v>0</v>
      </c>
      <c r="F20880">
        <v>0</v>
      </c>
    </row>
    <row r="20881" spans="1:6" x14ac:dyDescent="0.25">
      <c r="A20881">
        <v>20880</v>
      </c>
      <c r="B20881">
        <v>44</v>
      </c>
      <c r="C20881">
        <v>0</v>
      </c>
      <c r="D20881">
        <v>0</v>
      </c>
      <c r="E20881">
        <v>0</v>
      </c>
      <c r="F20881">
        <v>45.301600000000001</v>
      </c>
    </row>
    <row r="20882" spans="1:6" x14ac:dyDescent="0.25">
      <c r="A20882">
        <v>20881</v>
      </c>
      <c r="B20882" t="s">
        <v>0</v>
      </c>
      <c r="C20882">
        <v>57</v>
      </c>
      <c r="D20882">
        <v>3520</v>
      </c>
      <c r="E20882">
        <v>80976268</v>
      </c>
    </row>
    <row r="20883" spans="1:6" x14ac:dyDescent="0.25">
      <c r="A20883">
        <v>20882</v>
      </c>
      <c r="B20883">
        <v>45</v>
      </c>
      <c r="C20883">
        <v>0</v>
      </c>
      <c r="D20883">
        <v>0</v>
      </c>
      <c r="E20883">
        <v>0</v>
      </c>
      <c r="F20883">
        <v>552.10400000000004</v>
      </c>
    </row>
    <row r="20884" spans="1:6" x14ac:dyDescent="0.25">
      <c r="A20884">
        <v>20883</v>
      </c>
      <c r="B20884">
        <v>46</v>
      </c>
      <c r="C20884">
        <v>0</v>
      </c>
      <c r="D20884">
        <v>0</v>
      </c>
      <c r="E20884">
        <v>0</v>
      </c>
      <c r="F20884">
        <v>0</v>
      </c>
    </row>
    <row r="20885" spans="1:6" x14ac:dyDescent="0.25">
      <c r="A20885">
        <v>20884</v>
      </c>
      <c r="B20885" t="s">
        <v>0</v>
      </c>
      <c r="C20885">
        <v>58</v>
      </c>
      <c r="D20885">
        <v>3520</v>
      </c>
      <c r="E20885">
        <v>80976398</v>
      </c>
    </row>
    <row r="20886" spans="1:6" x14ac:dyDescent="0.25">
      <c r="A20886">
        <v>20885</v>
      </c>
      <c r="B20886">
        <v>2</v>
      </c>
      <c r="C20886">
        <v>0</v>
      </c>
      <c r="D20886">
        <v>0</v>
      </c>
      <c r="E20886">
        <v>0</v>
      </c>
      <c r="F20886">
        <v>254.69800000000001</v>
      </c>
    </row>
    <row r="20887" spans="1:6" x14ac:dyDescent="0.25">
      <c r="A20887">
        <v>20886</v>
      </c>
      <c r="B20887">
        <v>10</v>
      </c>
      <c r="C20887">
        <v>1</v>
      </c>
      <c r="D20887">
        <v>0</v>
      </c>
      <c r="E20887">
        <v>0</v>
      </c>
      <c r="F20887">
        <v>5220</v>
      </c>
    </row>
    <row r="20888" spans="1:6" x14ac:dyDescent="0.25">
      <c r="A20888">
        <v>20887</v>
      </c>
      <c r="B20888" t="s">
        <v>0</v>
      </c>
      <c r="C20888">
        <v>59</v>
      </c>
      <c r="D20888">
        <v>3520</v>
      </c>
      <c r="E20888">
        <v>80976528</v>
      </c>
    </row>
    <row r="20889" spans="1:6" x14ac:dyDescent="0.25">
      <c r="A20889">
        <v>20888</v>
      </c>
      <c r="B20889">
        <v>13</v>
      </c>
      <c r="C20889">
        <v>0</v>
      </c>
      <c r="D20889">
        <v>0</v>
      </c>
      <c r="E20889">
        <v>0</v>
      </c>
      <c r="F20889">
        <v>1621</v>
      </c>
    </row>
    <row r="20890" spans="1:6" x14ac:dyDescent="0.25">
      <c r="A20890">
        <v>20889</v>
      </c>
      <c r="B20890">
        <v>41</v>
      </c>
      <c r="C20890">
        <v>0</v>
      </c>
      <c r="D20890">
        <v>0</v>
      </c>
      <c r="E20890">
        <v>0</v>
      </c>
      <c r="F20890">
        <v>1</v>
      </c>
    </row>
    <row r="20891" spans="1:6" x14ac:dyDescent="0.25">
      <c r="A20891">
        <v>20890</v>
      </c>
      <c r="B20891">
        <v>42</v>
      </c>
      <c r="C20891">
        <v>0</v>
      </c>
      <c r="D20891">
        <v>0</v>
      </c>
      <c r="E20891">
        <v>0</v>
      </c>
      <c r="F20891">
        <v>0.2</v>
      </c>
    </row>
    <row r="20892" spans="1:6" x14ac:dyDescent="0.25">
      <c r="A20892">
        <v>20891</v>
      </c>
      <c r="B20892">
        <v>43</v>
      </c>
      <c r="C20892">
        <v>0</v>
      </c>
      <c r="D20892">
        <v>0</v>
      </c>
      <c r="E20892">
        <v>0</v>
      </c>
      <c r="F20892">
        <v>0</v>
      </c>
    </row>
    <row r="20893" spans="1:6" x14ac:dyDescent="0.25">
      <c r="A20893">
        <v>20892</v>
      </c>
      <c r="B20893">
        <v>44</v>
      </c>
      <c r="C20893">
        <v>0</v>
      </c>
      <c r="D20893">
        <v>0</v>
      </c>
      <c r="E20893">
        <v>0</v>
      </c>
      <c r="F20893">
        <v>45.301699999999997</v>
      </c>
    </row>
    <row r="20894" spans="1:6" x14ac:dyDescent="0.25">
      <c r="A20894">
        <v>20893</v>
      </c>
      <c r="B20894">
        <v>45</v>
      </c>
      <c r="C20894">
        <v>0</v>
      </c>
      <c r="D20894">
        <v>0</v>
      </c>
      <c r="E20894">
        <v>0</v>
      </c>
      <c r="F20894">
        <v>552.15200000000004</v>
      </c>
    </row>
    <row r="20895" spans="1:6" x14ac:dyDescent="0.25">
      <c r="A20895">
        <v>20894</v>
      </c>
      <c r="B20895">
        <v>46</v>
      </c>
      <c r="C20895">
        <v>0</v>
      </c>
      <c r="D20895">
        <v>0</v>
      </c>
      <c r="E20895">
        <v>0</v>
      </c>
      <c r="F20895">
        <v>0</v>
      </c>
    </row>
    <row r="20896" spans="1:6" x14ac:dyDescent="0.25">
      <c r="A20896">
        <v>20895</v>
      </c>
      <c r="B20896">
        <v>2</v>
      </c>
      <c r="C20896">
        <v>0</v>
      </c>
      <c r="D20896">
        <v>0</v>
      </c>
      <c r="E20896">
        <v>0</v>
      </c>
      <c r="F20896">
        <v>254.69800000000001</v>
      </c>
    </row>
    <row r="20897" spans="1:6" x14ac:dyDescent="0.25">
      <c r="A20897">
        <v>20896</v>
      </c>
      <c r="B20897">
        <v>10</v>
      </c>
      <c r="C20897">
        <v>1</v>
      </c>
      <c r="D20897">
        <v>0</v>
      </c>
      <c r="E20897">
        <v>0</v>
      </c>
      <c r="F20897">
        <v>5221</v>
      </c>
    </row>
    <row r="20898" spans="1:6" x14ac:dyDescent="0.25">
      <c r="A20898">
        <v>20897</v>
      </c>
      <c r="B20898">
        <v>13</v>
      </c>
      <c r="C20898">
        <v>0</v>
      </c>
      <c r="D20898">
        <v>0</v>
      </c>
      <c r="E20898">
        <v>0</v>
      </c>
      <c r="F20898">
        <v>1621</v>
      </c>
    </row>
    <row r="20899" spans="1:6" x14ac:dyDescent="0.25">
      <c r="A20899">
        <v>20898</v>
      </c>
      <c r="B20899">
        <v>41</v>
      </c>
      <c r="C20899">
        <v>0</v>
      </c>
      <c r="D20899">
        <v>0</v>
      </c>
      <c r="E20899">
        <v>0</v>
      </c>
      <c r="F20899">
        <v>1</v>
      </c>
    </row>
    <row r="20900" spans="1:6" x14ac:dyDescent="0.25">
      <c r="A20900">
        <v>20899</v>
      </c>
      <c r="B20900">
        <v>42</v>
      </c>
      <c r="C20900">
        <v>0</v>
      </c>
      <c r="D20900">
        <v>0</v>
      </c>
      <c r="E20900">
        <v>0</v>
      </c>
      <c r="F20900">
        <v>0.2</v>
      </c>
    </row>
    <row r="20901" spans="1:6" x14ac:dyDescent="0.25">
      <c r="A20901">
        <v>20900</v>
      </c>
      <c r="B20901">
        <v>43</v>
      </c>
      <c r="C20901">
        <v>0</v>
      </c>
      <c r="D20901">
        <v>0</v>
      </c>
      <c r="E20901">
        <v>0</v>
      </c>
      <c r="F20901">
        <v>0</v>
      </c>
    </row>
    <row r="20902" spans="1:6" x14ac:dyDescent="0.25">
      <c r="A20902">
        <v>20901</v>
      </c>
      <c r="B20902">
        <v>44</v>
      </c>
      <c r="C20902">
        <v>0</v>
      </c>
      <c r="D20902">
        <v>0</v>
      </c>
      <c r="E20902">
        <v>0</v>
      </c>
      <c r="F20902">
        <v>45.301900000000003</v>
      </c>
    </row>
    <row r="20903" spans="1:6" x14ac:dyDescent="0.25">
      <c r="A20903">
        <v>20902</v>
      </c>
      <c r="B20903">
        <v>45</v>
      </c>
      <c r="C20903">
        <v>0</v>
      </c>
      <c r="D20903">
        <v>0</v>
      </c>
      <c r="E20903">
        <v>0</v>
      </c>
      <c r="F20903">
        <v>552.21100000000001</v>
      </c>
    </row>
    <row r="20904" spans="1:6" x14ac:dyDescent="0.25">
      <c r="A20904">
        <v>20903</v>
      </c>
      <c r="B20904">
        <v>46</v>
      </c>
      <c r="C20904">
        <v>0</v>
      </c>
      <c r="D20904">
        <v>0</v>
      </c>
      <c r="E20904">
        <v>0</v>
      </c>
      <c r="F20904">
        <v>0</v>
      </c>
    </row>
    <row r="20905" spans="1:6" x14ac:dyDescent="0.25">
      <c r="A20905">
        <v>20904</v>
      </c>
      <c r="B20905">
        <v>2</v>
      </c>
      <c r="C20905">
        <v>0</v>
      </c>
      <c r="D20905">
        <v>0</v>
      </c>
      <c r="E20905">
        <v>0</v>
      </c>
      <c r="F20905">
        <v>254.69800000000001</v>
      </c>
    </row>
    <row r="20906" spans="1:6" x14ac:dyDescent="0.25">
      <c r="A20906">
        <v>20905</v>
      </c>
      <c r="B20906" t="s">
        <v>0</v>
      </c>
      <c r="C20906">
        <v>68</v>
      </c>
      <c r="D20906">
        <v>3520</v>
      </c>
      <c r="E20906">
        <v>80977701</v>
      </c>
    </row>
    <row r="20907" spans="1:6" x14ac:dyDescent="0.25">
      <c r="A20907">
        <v>20906</v>
      </c>
      <c r="B20907">
        <v>13</v>
      </c>
      <c r="C20907">
        <v>0</v>
      </c>
      <c r="D20907">
        <v>0</v>
      </c>
      <c r="E20907">
        <v>0</v>
      </c>
      <c r="F20907">
        <v>1621</v>
      </c>
    </row>
    <row r="20908" spans="1:6" x14ac:dyDescent="0.25">
      <c r="A20908">
        <v>20907</v>
      </c>
      <c r="B20908" t="s">
        <v>0</v>
      </c>
      <c r="C20908">
        <v>69</v>
      </c>
      <c r="D20908">
        <v>3520</v>
      </c>
      <c r="E20908">
        <v>80977832</v>
      </c>
    </row>
    <row r="20909" spans="1:6" x14ac:dyDescent="0.25">
      <c r="A20909">
        <v>20908</v>
      </c>
      <c r="B20909">
        <v>42</v>
      </c>
      <c r="C20909">
        <v>0</v>
      </c>
      <c r="D20909">
        <v>0</v>
      </c>
      <c r="E20909">
        <v>0</v>
      </c>
      <c r="F20909">
        <v>0.2</v>
      </c>
    </row>
    <row r="20910" spans="1:6" x14ac:dyDescent="0.25">
      <c r="A20910">
        <v>20909</v>
      </c>
      <c r="B20910" t="s">
        <v>0</v>
      </c>
      <c r="C20910">
        <v>70</v>
      </c>
      <c r="D20910">
        <v>3520</v>
      </c>
      <c r="E20910">
        <v>80977962</v>
      </c>
    </row>
    <row r="20911" spans="1:6" x14ac:dyDescent="0.25">
      <c r="A20911">
        <v>20910</v>
      </c>
      <c r="B20911">
        <v>44</v>
      </c>
      <c r="C20911">
        <v>0</v>
      </c>
      <c r="D20911">
        <v>0</v>
      </c>
      <c r="E20911">
        <v>0</v>
      </c>
      <c r="F20911">
        <v>45.3018</v>
      </c>
    </row>
    <row r="20912" spans="1:6" x14ac:dyDescent="0.25">
      <c r="A20912">
        <v>20911</v>
      </c>
      <c r="B20912" t="s">
        <v>0</v>
      </c>
      <c r="C20912">
        <v>71</v>
      </c>
      <c r="D20912">
        <v>3520</v>
      </c>
      <c r="E20912">
        <v>80978092</v>
      </c>
    </row>
    <row r="20913" spans="1:6" x14ac:dyDescent="0.25">
      <c r="A20913">
        <v>20912</v>
      </c>
      <c r="B20913">
        <v>46</v>
      </c>
      <c r="C20913">
        <v>0</v>
      </c>
      <c r="D20913">
        <v>0</v>
      </c>
      <c r="E20913">
        <v>0</v>
      </c>
      <c r="F20913">
        <v>0</v>
      </c>
    </row>
    <row r="20914" spans="1:6" x14ac:dyDescent="0.25">
      <c r="A20914">
        <v>20913</v>
      </c>
      <c r="B20914" t="s">
        <v>0</v>
      </c>
      <c r="C20914">
        <v>72</v>
      </c>
      <c r="D20914">
        <v>3520</v>
      </c>
      <c r="E20914">
        <v>80978222</v>
      </c>
    </row>
    <row r="20915" spans="1:6" x14ac:dyDescent="0.25">
      <c r="A20915">
        <v>20914</v>
      </c>
      <c r="B20915">
        <v>10</v>
      </c>
      <c r="C20915">
        <v>1</v>
      </c>
      <c r="D20915">
        <v>0</v>
      </c>
      <c r="E20915">
        <v>0</v>
      </c>
      <c r="F20915">
        <v>5221</v>
      </c>
    </row>
    <row r="20916" spans="1:6" x14ac:dyDescent="0.25">
      <c r="A20916">
        <v>20915</v>
      </c>
      <c r="B20916" t="s">
        <v>0</v>
      </c>
      <c r="C20916">
        <v>73</v>
      </c>
      <c r="D20916">
        <v>3520</v>
      </c>
      <c r="E20916">
        <v>80978352</v>
      </c>
    </row>
    <row r="20917" spans="1:6" x14ac:dyDescent="0.25">
      <c r="A20917">
        <v>20916</v>
      </c>
      <c r="B20917">
        <v>41</v>
      </c>
      <c r="C20917">
        <v>0</v>
      </c>
      <c r="D20917">
        <v>0</v>
      </c>
      <c r="E20917">
        <v>0</v>
      </c>
      <c r="F20917">
        <v>1</v>
      </c>
    </row>
    <row r="20918" spans="1:6" x14ac:dyDescent="0.25">
      <c r="A20918">
        <v>20917</v>
      </c>
      <c r="B20918" t="s">
        <v>0</v>
      </c>
      <c r="C20918">
        <v>74</v>
      </c>
      <c r="D20918">
        <v>3520</v>
      </c>
      <c r="E20918">
        <v>80978482</v>
      </c>
    </row>
    <row r="20919" spans="1:6" x14ac:dyDescent="0.25">
      <c r="A20919">
        <v>20918</v>
      </c>
      <c r="B20919">
        <v>43</v>
      </c>
      <c r="C20919">
        <v>0</v>
      </c>
      <c r="D20919">
        <v>0</v>
      </c>
      <c r="E20919">
        <v>0</v>
      </c>
      <c r="F20919">
        <v>0</v>
      </c>
    </row>
    <row r="20920" spans="1:6" x14ac:dyDescent="0.25">
      <c r="A20920">
        <v>20919</v>
      </c>
      <c r="B20920" t="s">
        <v>0</v>
      </c>
      <c r="C20920">
        <v>75</v>
      </c>
      <c r="D20920">
        <v>3520</v>
      </c>
      <c r="E20920">
        <v>80978612</v>
      </c>
    </row>
    <row r="20921" spans="1:6" x14ac:dyDescent="0.25">
      <c r="A20921">
        <v>20920</v>
      </c>
      <c r="B20921">
        <v>45</v>
      </c>
      <c r="C20921">
        <v>0</v>
      </c>
      <c r="D20921">
        <v>0</v>
      </c>
      <c r="E20921">
        <v>0</v>
      </c>
      <c r="F20921">
        <v>552.31799999999998</v>
      </c>
    </row>
    <row r="20922" spans="1:6" x14ac:dyDescent="0.25">
      <c r="A20922">
        <v>20921</v>
      </c>
      <c r="B20922" t="s">
        <v>0</v>
      </c>
      <c r="C20922">
        <v>76</v>
      </c>
      <c r="D20922">
        <v>3520</v>
      </c>
      <c r="E20922">
        <v>80978742</v>
      </c>
    </row>
    <row r="20923" spans="1:6" x14ac:dyDescent="0.25">
      <c r="A20923">
        <v>20922</v>
      </c>
      <c r="B20923">
        <v>2</v>
      </c>
      <c r="C20923">
        <v>0</v>
      </c>
      <c r="D20923">
        <v>0</v>
      </c>
      <c r="E20923">
        <v>0</v>
      </c>
      <c r="F20923">
        <v>254.69800000000001</v>
      </c>
    </row>
    <row r="20924" spans="1:6" x14ac:dyDescent="0.25">
      <c r="A20924">
        <v>20923</v>
      </c>
      <c r="B20924" t="s">
        <v>0</v>
      </c>
      <c r="C20924">
        <v>77</v>
      </c>
      <c r="D20924">
        <v>3520</v>
      </c>
      <c r="E20924">
        <v>80978873</v>
      </c>
    </row>
    <row r="20925" spans="1:6" x14ac:dyDescent="0.25">
      <c r="A20925">
        <v>20924</v>
      </c>
      <c r="B20925">
        <v>10</v>
      </c>
      <c r="C20925">
        <v>1</v>
      </c>
      <c r="D20925">
        <v>0</v>
      </c>
      <c r="E20925">
        <v>0</v>
      </c>
      <c r="F20925">
        <v>5222</v>
      </c>
    </row>
    <row r="20926" spans="1:6" x14ac:dyDescent="0.25">
      <c r="A20926">
        <v>20925</v>
      </c>
      <c r="B20926">
        <v>13</v>
      </c>
      <c r="C20926">
        <v>0</v>
      </c>
      <c r="D20926">
        <v>0</v>
      </c>
      <c r="E20926">
        <v>0</v>
      </c>
      <c r="F20926">
        <v>1621</v>
      </c>
    </row>
    <row r="20927" spans="1:6" x14ac:dyDescent="0.25">
      <c r="A20927">
        <v>20926</v>
      </c>
      <c r="B20927" t="s">
        <v>0</v>
      </c>
      <c r="C20927">
        <v>78</v>
      </c>
      <c r="D20927">
        <v>3520</v>
      </c>
      <c r="E20927">
        <v>80979003</v>
      </c>
    </row>
    <row r="20928" spans="1:6" x14ac:dyDescent="0.25">
      <c r="A20928">
        <v>20927</v>
      </c>
      <c r="B20928">
        <v>41</v>
      </c>
      <c r="C20928">
        <v>0</v>
      </c>
      <c r="D20928">
        <v>0</v>
      </c>
      <c r="E20928">
        <v>0</v>
      </c>
      <c r="F20928">
        <v>1</v>
      </c>
    </row>
    <row r="20929" spans="1:6" x14ac:dyDescent="0.25">
      <c r="A20929">
        <v>20928</v>
      </c>
      <c r="B20929">
        <v>42</v>
      </c>
      <c r="C20929">
        <v>0</v>
      </c>
      <c r="D20929">
        <v>0</v>
      </c>
      <c r="E20929">
        <v>0</v>
      </c>
      <c r="F20929">
        <v>0.2</v>
      </c>
    </row>
    <row r="20930" spans="1:6" x14ac:dyDescent="0.25">
      <c r="A20930">
        <v>20929</v>
      </c>
      <c r="B20930" t="s">
        <v>0</v>
      </c>
      <c r="C20930">
        <v>79</v>
      </c>
      <c r="D20930">
        <v>3520</v>
      </c>
      <c r="E20930">
        <v>80979134</v>
      </c>
    </row>
    <row r="20931" spans="1:6" x14ac:dyDescent="0.25">
      <c r="A20931">
        <v>20930</v>
      </c>
      <c r="B20931">
        <v>43</v>
      </c>
      <c r="C20931">
        <v>0</v>
      </c>
      <c r="D20931">
        <v>0</v>
      </c>
      <c r="E20931">
        <v>0</v>
      </c>
      <c r="F20931">
        <v>0</v>
      </c>
    </row>
    <row r="20932" spans="1:6" x14ac:dyDescent="0.25">
      <c r="A20932">
        <v>20931</v>
      </c>
      <c r="B20932">
        <v>44</v>
      </c>
      <c r="C20932">
        <v>0</v>
      </c>
      <c r="D20932">
        <v>0</v>
      </c>
      <c r="E20932">
        <v>0</v>
      </c>
      <c r="F20932">
        <v>45.301900000000003</v>
      </c>
    </row>
    <row r="20933" spans="1:6" x14ac:dyDescent="0.25">
      <c r="A20933">
        <v>20932</v>
      </c>
      <c r="B20933" t="s">
        <v>0</v>
      </c>
      <c r="C20933">
        <v>80</v>
      </c>
      <c r="D20933">
        <v>3520</v>
      </c>
      <c r="E20933">
        <v>80979265</v>
      </c>
    </row>
    <row r="20934" spans="1:6" x14ac:dyDescent="0.25">
      <c r="A20934">
        <v>20933</v>
      </c>
      <c r="B20934">
        <v>45</v>
      </c>
      <c r="C20934">
        <v>0</v>
      </c>
      <c r="D20934">
        <v>0</v>
      </c>
      <c r="E20934">
        <v>0</v>
      </c>
      <c r="F20934">
        <v>552.37699999999995</v>
      </c>
    </row>
    <row r="20935" spans="1:6" x14ac:dyDescent="0.25">
      <c r="A20935">
        <v>20934</v>
      </c>
      <c r="B20935">
        <v>46</v>
      </c>
      <c r="C20935">
        <v>0</v>
      </c>
      <c r="D20935">
        <v>0</v>
      </c>
      <c r="E20935">
        <v>0</v>
      </c>
      <c r="F20935">
        <v>0</v>
      </c>
    </row>
    <row r="20936" spans="1:6" x14ac:dyDescent="0.25">
      <c r="A20936">
        <v>20935</v>
      </c>
      <c r="B20936" t="s">
        <v>0</v>
      </c>
      <c r="C20936">
        <v>81</v>
      </c>
      <c r="D20936">
        <v>3520</v>
      </c>
      <c r="E20936">
        <v>80979396</v>
      </c>
    </row>
    <row r="20937" spans="1:6" x14ac:dyDescent="0.25">
      <c r="A20937">
        <v>20936</v>
      </c>
      <c r="B20937">
        <v>2</v>
      </c>
      <c r="C20937">
        <v>0</v>
      </c>
      <c r="D20937">
        <v>0</v>
      </c>
      <c r="E20937">
        <v>0</v>
      </c>
      <c r="F20937">
        <v>254.69800000000001</v>
      </c>
    </row>
    <row r="20938" spans="1:6" x14ac:dyDescent="0.25">
      <c r="A20938">
        <v>20937</v>
      </c>
      <c r="B20938">
        <v>10</v>
      </c>
      <c r="C20938">
        <v>1</v>
      </c>
      <c r="D20938">
        <v>0</v>
      </c>
      <c r="E20938">
        <v>0</v>
      </c>
      <c r="F20938">
        <v>5222</v>
      </c>
    </row>
    <row r="20939" spans="1:6" x14ac:dyDescent="0.25">
      <c r="A20939">
        <v>20938</v>
      </c>
      <c r="B20939" t="s">
        <v>0</v>
      </c>
      <c r="C20939">
        <v>82</v>
      </c>
      <c r="D20939">
        <v>3520</v>
      </c>
      <c r="E20939">
        <v>80979527</v>
      </c>
    </row>
    <row r="20940" spans="1:6" x14ac:dyDescent="0.25">
      <c r="A20940">
        <v>20939</v>
      </c>
      <c r="B20940">
        <v>13</v>
      </c>
      <c r="C20940">
        <v>0</v>
      </c>
      <c r="D20940">
        <v>0</v>
      </c>
      <c r="E20940">
        <v>0</v>
      </c>
      <c r="F20940">
        <v>1621</v>
      </c>
    </row>
    <row r="20941" spans="1:6" x14ac:dyDescent="0.25">
      <c r="A20941">
        <v>20940</v>
      </c>
      <c r="B20941">
        <v>41</v>
      </c>
      <c r="C20941">
        <v>0</v>
      </c>
      <c r="D20941">
        <v>0</v>
      </c>
      <c r="E20941">
        <v>0</v>
      </c>
      <c r="F20941">
        <v>1</v>
      </c>
    </row>
    <row r="20942" spans="1:6" x14ac:dyDescent="0.25">
      <c r="A20942">
        <v>20941</v>
      </c>
      <c r="B20942" t="s">
        <v>0</v>
      </c>
      <c r="C20942">
        <v>83</v>
      </c>
      <c r="D20942">
        <v>3520</v>
      </c>
      <c r="E20942">
        <v>80979658</v>
      </c>
    </row>
    <row r="20943" spans="1:6" x14ac:dyDescent="0.25">
      <c r="A20943">
        <v>20942</v>
      </c>
      <c r="B20943">
        <v>42</v>
      </c>
      <c r="C20943">
        <v>0</v>
      </c>
      <c r="D20943">
        <v>0</v>
      </c>
      <c r="E20943">
        <v>0</v>
      </c>
      <c r="F20943">
        <v>0.2</v>
      </c>
    </row>
    <row r="20944" spans="1:6" x14ac:dyDescent="0.25">
      <c r="A20944">
        <v>20943</v>
      </c>
      <c r="B20944">
        <v>43</v>
      </c>
      <c r="C20944">
        <v>0</v>
      </c>
      <c r="D20944">
        <v>0</v>
      </c>
      <c r="E20944">
        <v>0</v>
      </c>
      <c r="F20944">
        <v>0</v>
      </c>
    </row>
    <row r="20945" spans="1:6" x14ac:dyDescent="0.25">
      <c r="A20945">
        <v>20944</v>
      </c>
      <c r="B20945">
        <v>44</v>
      </c>
      <c r="C20945">
        <v>0</v>
      </c>
      <c r="D20945">
        <v>0</v>
      </c>
      <c r="E20945">
        <v>0</v>
      </c>
      <c r="F20945">
        <v>45.304000000000002</v>
      </c>
    </row>
    <row r="20946" spans="1:6" x14ac:dyDescent="0.25">
      <c r="A20946">
        <v>20945</v>
      </c>
      <c r="B20946">
        <v>45</v>
      </c>
      <c r="C20946">
        <v>0</v>
      </c>
      <c r="D20946">
        <v>0</v>
      </c>
      <c r="E20946">
        <v>0</v>
      </c>
      <c r="F20946">
        <v>552.42499999999995</v>
      </c>
    </row>
    <row r="20947" spans="1:6" x14ac:dyDescent="0.25">
      <c r="A20947">
        <v>20946</v>
      </c>
      <c r="B20947">
        <v>46</v>
      </c>
      <c r="C20947">
        <v>0</v>
      </c>
      <c r="D20947">
        <v>0</v>
      </c>
      <c r="E20947">
        <v>0</v>
      </c>
      <c r="F20947">
        <v>0</v>
      </c>
    </row>
    <row r="20948" spans="1:6" x14ac:dyDescent="0.25">
      <c r="A20948">
        <v>20947</v>
      </c>
      <c r="B20948">
        <v>2</v>
      </c>
      <c r="C20948">
        <v>0</v>
      </c>
      <c r="D20948">
        <v>0</v>
      </c>
      <c r="E20948">
        <v>0</v>
      </c>
      <c r="F20948">
        <v>254.69800000000001</v>
      </c>
    </row>
    <row r="20949" spans="1:6" x14ac:dyDescent="0.25">
      <c r="A20949">
        <v>20948</v>
      </c>
      <c r="B20949">
        <v>10</v>
      </c>
      <c r="C20949">
        <v>1</v>
      </c>
      <c r="D20949">
        <v>0</v>
      </c>
      <c r="E20949">
        <v>0</v>
      </c>
      <c r="F20949">
        <v>5222</v>
      </c>
    </row>
    <row r="20950" spans="1:6" x14ac:dyDescent="0.25">
      <c r="A20950">
        <v>20949</v>
      </c>
      <c r="B20950">
        <v>13</v>
      </c>
      <c r="C20950">
        <v>0</v>
      </c>
      <c r="D20950">
        <v>0</v>
      </c>
      <c r="E20950">
        <v>0</v>
      </c>
      <c r="F20950">
        <v>1621</v>
      </c>
    </row>
    <row r="20951" spans="1:6" x14ac:dyDescent="0.25">
      <c r="A20951">
        <v>20950</v>
      </c>
      <c r="B20951">
        <v>41</v>
      </c>
      <c r="C20951">
        <v>0</v>
      </c>
      <c r="D20951">
        <v>0</v>
      </c>
      <c r="E20951">
        <v>0</v>
      </c>
      <c r="F20951">
        <v>1</v>
      </c>
    </row>
    <row r="20952" spans="1:6" x14ac:dyDescent="0.25">
      <c r="A20952">
        <v>20951</v>
      </c>
      <c r="B20952">
        <v>42</v>
      </c>
      <c r="C20952">
        <v>0</v>
      </c>
      <c r="D20952">
        <v>0</v>
      </c>
      <c r="E20952">
        <v>0</v>
      </c>
      <c r="F20952">
        <v>0.2</v>
      </c>
    </row>
    <row r="20953" spans="1:6" x14ac:dyDescent="0.25">
      <c r="A20953">
        <v>20952</v>
      </c>
      <c r="B20953">
        <v>43</v>
      </c>
      <c r="C20953">
        <v>0</v>
      </c>
      <c r="D20953">
        <v>0</v>
      </c>
      <c r="E20953">
        <v>0</v>
      </c>
      <c r="F20953">
        <v>0</v>
      </c>
    </row>
    <row r="20954" spans="1:6" x14ac:dyDescent="0.25">
      <c r="A20954">
        <v>20953</v>
      </c>
      <c r="B20954">
        <v>44</v>
      </c>
      <c r="C20954">
        <v>0</v>
      </c>
      <c r="D20954">
        <v>0</v>
      </c>
      <c r="E20954">
        <v>0</v>
      </c>
      <c r="F20954">
        <v>45.302100000000003</v>
      </c>
    </row>
    <row r="20955" spans="1:6" x14ac:dyDescent="0.25">
      <c r="A20955">
        <v>20954</v>
      </c>
      <c r="B20955">
        <v>45</v>
      </c>
      <c r="C20955">
        <v>0</v>
      </c>
      <c r="D20955">
        <v>0</v>
      </c>
      <c r="E20955">
        <v>0</v>
      </c>
      <c r="F20955">
        <v>552.48400000000004</v>
      </c>
    </row>
    <row r="20956" spans="1:6" x14ac:dyDescent="0.25">
      <c r="A20956">
        <v>20955</v>
      </c>
      <c r="B20956">
        <v>46</v>
      </c>
      <c r="C20956">
        <v>0</v>
      </c>
      <c r="D20956">
        <v>0</v>
      </c>
      <c r="E20956">
        <v>0</v>
      </c>
      <c r="F20956">
        <v>0</v>
      </c>
    </row>
    <row r="20957" spans="1:6" x14ac:dyDescent="0.25">
      <c r="A20957">
        <v>20956</v>
      </c>
      <c r="B20957">
        <v>2</v>
      </c>
      <c r="C20957">
        <v>0</v>
      </c>
      <c r="D20957">
        <v>0</v>
      </c>
      <c r="E20957">
        <v>0</v>
      </c>
      <c r="F20957">
        <v>254.69800000000001</v>
      </c>
    </row>
    <row r="20958" spans="1:6" x14ac:dyDescent="0.25">
      <c r="A20958">
        <v>20957</v>
      </c>
      <c r="B20958" t="s">
        <v>0</v>
      </c>
      <c r="C20958">
        <v>91</v>
      </c>
      <c r="D20958">
        <v>3520</v>
      </c>
      <c r="E20958">
        <v>80980699</v>
      </c>
    </row>
    <row r="20959" spans="1:6" x14ac:dyDescent="0.25">
      <c r="A20959">
        <v>20958</v>
      </c>
      <c r="B20959">
        <v>10</v>
      </c>
      <c r="C20959">
        <v>1</v>
      </c>
      <c r="D20959">
        <v>0</v>
      </c>
      <c r="E20959">
        <v>0</v>
      </c>
      <c r="F20959">
        <v>5223</v>
      </c>
    </row>
    <row r="20960" spans="1:6" x14ac:dyDescent="0.25">
      <c r="A20960">
        <v>20959</v>
      </c>
      <c r="B20960" t="s">
        <v>0</v>
      </c>
      <c r="C20960">
        <v>92</v>
      </c>
      <c r="D20960">
        <v>3520</v>
      </c>
      <c r="E20960">
        <v>80980829</v>
      </c>
    </row>
    <row r="20961" spans="1:6" x14ac:dyDescent="0.25">
      <c r="A20961">
        <v>20960</v>
      </c>
      <c r="B20961">
        <v>41</v>
      </c>
      <c r="C20961">
        <v>0</v>
      </c>
      <c r="D20961">
        <v>0</v>
      </c>
      <c r="E20961">
        <v>0</v>
      </c>
      <c r="F20961">
        <v>1</v>
      </c>
    </row>
    <row r="20962" spans="1:6" x14ac:dyDescent="0.25">
      <c r="A20962">
        <v>20961</v>
      </c>
      <c r="B20962" t="s">
        <v>0</v>
      </c>
      <c r="C20962">
        <v>93</v>
      </c>
      <c r="D20962">
        <v>3520</v>
      </c>
      <c r="E20962">
        <v>80980959</v>
      </c>
    </row>
    <row r="20963" spans="1:6" x14ac:dyDescent="0.25">
      <c r="A20963">
        <v>20962</v>
      </c>
      <c r="B20963">
        <v>43</v>
      </c>
      <c r="C20963">
        <v>0</v>
      </c>
      <c r="D20963">
        <v>0</v>
      </c>
      <c r="E20963">
        <v>0</v>
      </c>
      <c r="F20963">
        <v>0</v>
      </c>
    </row>
    <row r="20964" spans="1:6" x14ac:dyDescent="0.25">
      <c r="A20964">
        <v>20963</v>
      </c>
      <c r="B20964" t="s">
        <v>0</v>
      </c>
      <c r="C20964">
        <v>94</v>
      </c>
      <c r="D20964">
        <v>3520</v>
      </c>
      <c r="E20964">
        <v>80981090</v>
      </c>
    </row>
    <row r="20965" spans="1:6" x14ac:dyDescent="0.25">
      <c r="A20965">
        <v>20964</v>
      </c>
      <c r="B20965">
        <v>45</v>
      </c>
      <c r="C20965">
        <v>0</v>
      </c>
      <c r="D20965">
        <v>0</v>
      </c>
      <c r="E20965">
        <v>0</v>
      </c>
      <c r="F20965">
        <v>552.54300000000001</v>
      </c>
    </row>
    <row r="20966" spans="1:6" x14ac:dyDescent="0.25">
      <c r="A20966">
        <v>20965</v>
      </c>
      <c r="B20966" t="s">
        <v>0</v>
      </c>
      <c r="C20966">
        <v>95</v>
      </c>
      <c r="D20966">
        <v>3520</v>
      </c>
      <c r="E20966">
        <v>80981221</v>
      </c>
    </row>
    <row r="20967" spans="1:6" x14ac:dyDescent="0.25">
      <c r="A20967">
        <v>20966</v>
      </c>
      <c r="B20967">
        <v>2</v>
      </c>
      <c r="C20967">
        <v>0</v>
      </c>
      <c r="D20967">
        <v>0</v>
      </c>
      <c r="E20967">
        <v>0</v>
      </c>
      <c r="F20967">
        <v>254.69800000000001</v>
      </c>
    </row>
    <row r="20968" spans="1:6" x14ac:dyDescent="0.25">
      <c r="A20968">
        <v>20967</v>
      </c>
      <c r="B20968" t="s">
        <v>0</v>
      </c>
      <c r="C20968">
        <v>96</v>
      </c>
      <c r="D20968">
        <v>3520</v>
      </c>
      <c r="E20968">
        <v>80981351</v>
      </c>
    </row>
    <row r="20969" spans="1:6" x14ac:dyDescent="0.25">
      <c r="A20969">
        <v>20968</v>
      </c>
      <c r="B20969">
        <v>13</v>
      </c>
      <c r="C20969">
        <v>0</v>
      </c>
      <c r="D20969">
        <v>0</v>
      </c>
      <c r="E20969">
        <v>0</v>
      </c>
      <c r="F20969">
        <v>1621</v>
      </c>
    </row>
    <row r="20970" spans="1:6" x14ac:dyDescent="0.25">
      <c r="A20970">
        <v>20969</v>
      </c>
      <c r="B20970" t="s">
        <v>0</v>
      </c>
      <c r="C20970">
        <v>97</v>
      </c>
      <c r="D20970">
        <v>3520</v>
      </c>
      <c r="E20970">
        <v>80981482</v>
      </c>
    </row>
    <row r="20971" spans="1:6" x14ac:dyDescent="0.25">
      <c r="A20971">
        <v>20970</v>
      </c>
      <c r="B20971">
        <v>42</v>
      </c>
      <c r="C20971">
        <v>0</v>
      </c>
      <c r="D20971">
        <v>0</v>
      </c>
      <c r="E20971">
        <v>0</v>
      </c>
      <c r="F20971">
        <v>0.2</v>
      </c>
    </row>
    <row r="20972" spans="1:6" x14ac:dyDescent="0.25">
      <c r="A20972">
        <v>20971</v>
      </c>
      <c r="B20972" t="s">
        <v>0</v>
      </c>
      <c r="C20972">
        <v>98</v>
      </c>
      <c r="D20972">
        <v>3520</v>
      </c>
      <c r="E20972">
        <v>80981613</v>
      </c>
    </row>
    <row r="20973" spans="1:6" x14ac:dyDescent="0.25">
      <c r="A20973">
        <v>20972</v>
      </c>
      <c r="B20973">
        <v>44</v>
      </c>
      <c r="C20973">
        <v>0</v>
      </c>
      <c r="D20973">
        <v>0</v>
      </c>
      <c r="E20973">
        <v>0</v>
      </c>
      <c r="F20973">
        <v>45.302100000000003</v>
      </c>
    </row>
    <row r="20974" spans="1:6" x14ac:dyDescent="0.25">
      <c r="A20974">
        <v>20973</v>
      </c>
      <c r="B20974" t="s">
        <v>0</v>
      </c>
      <c r="C20974">
        <v>99</v>
      </c>
      <c r="D20974">
        <v>3520</v>
      </c>
      <c r="E20974">
        <v>80981744</v>
      </c>
    </row>
    <row r="20975" spans="1:6" x14ac:dyDescent="0.25">
      <c r="A20975">
        <v>20974</v>
      </c>
      <c r="B20975">
        <v>45</v>
      </c>
      <c r="C20975">
        <v>0</v>
      </c>
      <c r="D20975">
        <v>0</v>
      </c>
      <c r="E20975">
        <v>0</v>
      </c>
      <c r="F20975">
        <v>552.60299999999995</v>
      </c>
    </row>
    <row r="20976" spans="1:6" x14ac:dyDescent="0.25">
      <c r="A20976">
        <v>20975</v>
      </c>
      <c r="B20976">
        <v>46</v>
      </c>
      <c r="C20976">
        <v>0</v>
      </c>
      <c r="D20976">
        <v>0</v>
      </c>
      <c r="E20976">
        <v>0</v>
      </c>
      <c r="F20976">
        <v>0</v>
      </c>
    </row>
    <row r="20977" spans="1:6" x14ac:dyDescent="0.25">
      <c r="A20977">
        <v>20976</v>
      </c>
      <c r="B20977" t="s">
        <v>0</v>
      </c>
      <c r="C20977">
        <v>100</v>
      </c>
      <c r="D20977">
        <v>3520</v>
      </c>
      <c r="E20977">
        <v>80981874</v>
      </c>
    </row>
    <row r="20978" spans="1:6" x14ac:dyDescent="0.25">
      <c r="A20978">
        <v>20977</v>
      </c>
      <c r="B20978">
        <v>2</v>
      </c>
      <c r="C20978">
        <v>0</v>
      </c>
      <c r="D20978">
        <v>0</v>
      </c>
      <c r="E20978">
        <v>0</v>
      </c>
      <c r="F20978">
        <v>254.696</v>
      </c>
    </row>
    <row r="20979" spans="1:6" x14ac:dyDescent="0.25">
      <c r="A20979">
        <v>20978</v>
      </c>
      <c r="B20979">
        <v>10</v>
      </c>
      <c r="C20979">
        <v>1</v>
      </c>
      <c r="D20979">
        <v>0</v>
      </c>
      <c r="E20979">
        <v>0</v>
      </c>
      <c r="F20979">
        <v>5223</v>
      </c>
    </row>
    <row r="20980" spans="1:6" x14ac:dyDescent="0.25">
      <c r="A20980">
        <v>20979</v>
      </c>
      <c r="B20980" t="s">
        <v>0</v>
      </c>
      <c r="C20980">
        <v>101</v>
      </c>
      <c r="D20980">
        <v>3520</v>
      </c>
      <c r="E20980">
        <v>80982004</v>
      </c>
    </row>
    <row r="20981" spans="1:6" x14ac:dyDescent="0.25">
      <c r="A20981">
        <v>20980</v>
      </c>
      <c r="B20981">
        <v>13</v>
      </c>
      <c r="C20981">
        <v>0</v>
      </c>
      <c r="D20981">
        <v>0</v>
      </c>
      <c r="E20981">
        <v>0</v>
      </c>
      <c r="F20981">
        <v>1621</v>
      </c>
    </row>
    <row r="20982" spans="1:6" x14ac:dyDescent="0.25">
      <c r="A20982">
        <v>20981</v>
      </c>
      <c r="B20982">
        <v>41</v>
      </c>
      <c r="C20982">
        <v>0</v>
      </c>
      <c r="D20982">
        <v>0</v>
      </c>
      <c r="E20982">
        <v>0</v>
      </c>
      <c r="F20982">
        <v>1</v>
      </c>
    </row>
    <row r="20983" spans="1:6" x14ac:dyDescent="0.25">
      <c r="A20983">
        <v>20982</v>
      </c>
      <c r="B20983" t="s">
        <v>0</v>
      </c>
      <c r="C20983">
        <v>102</v>
      </c>
      <c r="D20983">
        <v>3520</v>
      </c>
      <c r="E20983">
        <v>80982134</v>
      </c>
    </row>
    <row r="20984" spans="1:6" x14ac:dyDescent="0.25">
      <c r="A20984">
        <v>20983</v>
      </c>
      <c r="B20984">
        <v>42</v>
      </c>
      <c r="C20984">
        <v>0</v>
      </c>
      <c r="D20984">
        <v>0</v>
      </c>
      <c r="E20984">
        <v>0</v>
      </c>
      <c r="F20984">
        <v>0.2</v>
      </c>
    </row>
    <row r="20985" spans="1:6" x14ac:dyDescent="0.25">
      <c r="A20985">
        <v>20984</v>
      </c>
      <c r="B20985">
        <v>43</v>
      </c>
      <c r="C20985">
        <v>0</v>
      </c>
      <c r="D20985">
        <v>0</v>
      </c>
      <c r="E20985">
        <v>0</v>
      </c>
      <c r="F20985">
        <v>0</v>
      </c>
    </row>
    <row r="20986" spans="1:6" x14ac:dyDescent="0.25">
      <c r="A20986">
        <v>20985</v>
      </c>
      <c r="B20986" t="s">
        <v>0</v>
      </c>
      <c r="C20986">
        <v>103</v>
      </c>
      <c r="D20986">
        <v>3520</v>
      </c>
      <c r="E20986">
        <v>80982264</v>
      </c>
    </row>
    <row r="20987" spans="1:6" x14ac:dyDescent="0.25">
      <c r="A20987">
        <v>20986</v>
      </c>
      <c r="B20987">
        <v>44</v>
      </c>
      <c r="C20987">
        <v>0</v>
      </c>
      <c r="D20987">
        <v>0</v>
      </c>
      <c r="E20987">
        <v>0</v>
      </c>
      <c r="F20987">
        <v>45.302100000000003</v>
      </c>
    </row>
    <row r="20988" spans="1:6" x14ac:dyDescent="0.25">
      <c r="A20988">
        <v>20987</v>
      </c>
      <c r="B20988">
        <v>45</v>
      </c>
      <c r="C20988">
        <v>0</v>
      </c>
      <c r="D20988">
        <v>0</v>
      </c>
      <c r="E20988">
        <v>0</v>
      </c>
      <c r="F20988">
        <v>552.65</v>
      </c>
    </row>
    <row r="20989" spans="1:6" x14ac:dyDescent="0.25">
      <c r="A20989">
        <v>20988</v>
      </c>
      <c r="B20989" t="s">
        <v>0</v>
      </c>
      <c r="C20989">
        <v>104</v>
      </c>
      <c r="D20989">
        <v>3520</v>
      </c>
      <c r="E20989">
        <v>80982394</v>
      </c>
    </row>
    <row r="20990" spans="1:6" x14ac:dyDescent="0.25">
      <c r="A20990">
        <v>20989</v>
      </c>
      <c r="B20990">
        <v>46</v>
      </c>
      <c r="C20990">
        <v>0</v>
      </c>
      <c r="D20990">
        <v>0</v>
      </c>
      <c r="E20990">
        <v>0</v>
      </c>
      <c r="F20990">
        <v>0</v>
      </c>
    </row>
    <row r="20991" spans="1:6" x14ac:dyDescent="0.25">
      <c r="A20991">
        <v>20990</v>
      </c>
      <c r="B20991">
        <v>2</v>
      </c>
      <c r="C20991">
        <v>0</v>
      </c>
      <c r="D20991">
        <v>0</v>
      </c>
      <c r="E20991">
        <v>0</v>
      </c>
      <c r="F20991">
        <v>254.69800000000001</v>
      </c>
    </row>
    <row r="20992" spans="1:6" x14ac:dyDescent="0.25">
      <c r="A20992">
        <v>20991</v>
      </c>
      <c r="B20992" t="s">
        <v>0</v>
      </c>
      <c r="C20992">
        <v>105</v>
      </c>
      <c r="D20992">
        <v>3520</v>
      </c>
      <c r="E20992">
        <v>80982524</v>
      </c>
    </row>
    <row r="20993" spans="1:6" x14ac:dyDescent="0.25">
      <c r="A20993">
        <v>20992</v>
      </c>
      <c r="B20993">
        <v>10</v>
      </c>
      <c r="C20993">
        <v>1</v>
      </c>
      <c r="D20993">
        <v>0</v>
      </c>
      <c r="E20993">
        <v>0</v>
      </c>
      <c r="F20993">
        <v>5223</v>
      </c>
    </row>
    <row r="20994" spans="1:6" x14ac:dyDescent="0.25">
      <c r="A20994">
        <v>20993</v>
      </c>
      <c r="B20994">
        <v>13</v>
      </c>
      <c r="C20994">
        <v>0</v>
      </c>
      <c r="D20994">
        <v>0</v>
      </c>
      <c r="E20994">
        <v>0</v>
      </c>
      <c r="F20994">
        <v>1621</v>
      </c>
    </row>
    <row r="20995" spans="1:6" x14ac:dyDescent="0.25">
      <c r="A20995">
        <v>20994</v>
      </c>
      <c r="B20995">
        <v>41</v>
      </c>
      <c r="C20995">
        <v>0</v>
      </c>
      <c r="D20995">
        <v>0</v>
      </c>
      <c r="E20995">
        <v>0</v>
      </c>
      <c r="F20995">
        <v>1</v>
      </c>
    </row>
    <row r="20996" spans="1:6" x14ac:dyDescent="0.25">
      <c r="A20996">
        <v>20995</v>
      </c>
      <c r="B20996">
        <v>42</v>
      </c>
      <c r="C20996">
        <v>0</v>
      </c>
      <c r="D20996">
        <v>0</v>
      </c>
      <c r="E20996">
        <v>0</v>
      </c>
      <c r="F20996">
        <v>0.2</v>
      </c>
    </row>
    <row r="20997" spans="1:6" x14ac:dyDescent="0.25">
      <c r="A20997">
        <v>20996</v>
      </c>
      <c r="B20997">
        <v>43</v>
      </c>
      <c r="C20997">
        <v>0</v>
      </c>
      <c r="D20997">
        <v>0</v>
      </c>
      <c r="E20997">
        <v>0</v>
      </c>
      <c r="F20997">
        <v>0</v>
      </c>
    </row>
    <row r="20998" spans="1:6" x14ac:dyDescent="0.25">
      <c r="A20998">
        <v>20997</v>
      </c>
      <c r="B20998">
        <v>44</v>
      </c>
      <c r="C20998">
        <v>0</v>
      </c>
      <c r="D20998">
        <v>0</v>
      </c>
      <c r="E20998">
        <v>0</v>
      </c>
      <c r="F20998">
        <v>45.302199999999999</v>
      </c>
    </row>
    <row r="20999" spans="1:6" x14ac:dyDescent="0.25">
      <c r="A20999">
        <v>20998</v>
      </c>
      <c r="B20999">
        <v>45</v>
      </c>
      <c r="C20999">
        <v>0</v>
      </c>
      <c r="D20999">
        <v>0</v>
      </c>
      <c r="E20999">
        <v>0</v>
      </c>
      <c r="F20999">
        <v>552.70899999999995</v>
      </c>
    </row>
    <row r="21000" spans="1:6" x14ac:dyDescent="0.25">
      <c r="A21000">
        <v>20999</v>
      </c>
      <c r="B21000">
        <v>46</v>
      </c>
      <c r="C21000">
        <v>0</v>
      </c>
      <c r="D21000">
        <v>0</v>
      </c>
      <c r="E21000">
        <v>0</v>
      </c>
      <c r="F21000">
        <v>0</v>
      </c>
    </row>
    <row r="21001" spans="1:6" x14ac:dyDescent="0.25">
      <c r="A21001">
        <v>21000</v>
      </c>
      <c r="B21001">
        <v>2</v>
      </c>
      <c r="C21001">
        <v>0</v>
      </c>
      <c r="D21001">
        <v>0</v>
      </c>
      <c r="E21001">
        <v>0</v>
      </c>
      <c r="F21001">
        <v>254.68899999999999</v>
      </c>
    </row>
    <row r="21002" spans="1:6" x14ac:dyDescent="0.25">
      <c r="A21002">
        <v>21001</v>
      </c>
      <c r="B21002">
        <v>10</v>
      </c>
      <c r="C21002">
        <v>1</v>
      </c>
      <c r="D21002">
        <v>0</v>
      </c>
      <c r="E21002">
        <v>0</v>
      </c>
      <c r="F21002">
        <v>5224</v>
      </c>
    </row>
    <row r="21003" spans="1:6" x14ac:dyDescent="0.25">
      <c r="A21003">
        <v>21002</v>
      </c>
      <c r="B21003">
        <v>13</v>
      </c>
      <c r="C21003">
        <v>0</v>
      </c>
      <c r="D21003">
        <v>0</v>
      </c>
      <c r="E21003">
        <v>0</v>
      </c>
      <c r="F21003">
        <v>1621</v>
      </c>
    </row>
    <row r="21004" spans="1:6" x14ac:dyDescent="0.25">
      <c r="A21004">
        <v>21003</v>
      </c>
      <c r="B21004">
        <v>41</v>
      </c>
      <c r="C21004">
        <v>0</v>
      </c>
      <c r="D21004">
        <v>0</v>
      </c>
      <c r="E21004">
        <v>0</v>
      </c>
      <c r="F21004">
        <v>1</v>
      </c>
    </row>
    <row r="21005" spans="1:6" x14ac:dyDescent="0.25">
      <c r="A21005">
        <v>21004</v>
      </c>
      <c r="B21005">
        <v>42</v>
      </c>
      <c r="C21005">
        <v>0</v>
      </c>
      <c r="D21005">
        <v>0</v>
      </c>
      <c r="E21005">
        <v>0</v>
      </c>
      <c r="F21005">
        <v>0.2</v>
      </c>
    </row>
    <row r="21006" spans="1:6" x14ac:dyDescent="0.25">
      <c r="A21006">
        <v>21005</v>
      </c>
      <c r="B21006">
        <v>43</v>
      </c>
      <c r="C21006">
        <v>0</v>
      </c>
      <c r="D21006">
        <v>0</v>
      </c>
      <c r="E21006">
        <v>0</v>
      </c>
      <c r="F21006">
        <v>0</v>
      </c>
    </row>
    <row r="21007" spans="1:6" x14ac:dyDescent="0.25">
      <c r="A21007">
        <v>21006</v>
      </c>
      <c r="B21007">
        <v>44</v>
      </c>
      <c r="C21007">
        <v>0</v>
      </c>
      <c r="D21007">
        <v>0</v>
      </c>
      <c r="E21007">
        <v>0</v>
      </c>
      <c r="F21007">
        <v>45.3018</v>
      </c>
    </row>
    <row r="21008" spans="1:6" x14ac:dyDescent="0.25">
      <c r="A21008">
        <v>21007</v>
      </c>
      <c r="B21008" t="s">
        <v>0</v>
      </c>
      <c r="C21008">
        <v>113</v>
      </c>
      <c r="D21008">
        <v>3520</v>
      </c>
      <c r="E21008">
        <v>80983569</v>
      </c>
    </row>
    <row r="21009" spans="1:6" x14ac:dyDescent="0.25">
      <c r="A21009">
        <v>21008</v>
      </c>
      <c r="B21009">
        <v>46</v>
      </c>
      <c r="C21009">
        <v>0</v>
      </c>
      <c r="D21009">
        <v>0</v>
      </c>
      <c r="E21009">
        <v>0</v>
      </c>
      <c r="F21009">
        <v>0</v>
      </c>
    </row>
    <row r="21010" spans="1:6" x14ac:dyDescent="0.25">
      <c r="A21010">
        <v>21009</v>
      </c>
      <c r="B21010" t="s">
        <v>0</v>
      </c>
      <c r="C21010">
        <v>114</v>
      </c>
      <c r="D21010">
        <v>3520</v>
      </c>
      <c r="E21010">
        <v>80983700</v>
      </c>
    </row>
    <row r="21011" spans="1:6" x14ac:dyDescent="0.25">
      <c r="A21011">
        <v>21010</v>
      </c>
      <c r="B21011">
        <v>10</v>
      </c>
      <c r="C21011">
        <v>1</v>
      </c>
      <c r="D21011">
        <v>0</v>
      </c>
      <c r="E21011">
        <v>0</v>
      </c>
      <c r="F21011">
        <v>5224</v>
      </c>
    </row>
    <row r="21012" spans="1:6" x14ac:dyDescent="0.25">
      <c r="A21012">
        <v>21011</v>
      </c>
      <c r="B21012" t="s">
        <v>0</v>
      </c>
      <c r="C21012">
        <v>115</v>
      </c>
      <c r="D21012">
        <v>3520</v>
      </c>
      <c r="E21012">
        <v>80983830</v>
      </c>
    </row>
    <row r="21013" spans="1:6" x14ac:dyDescent="0.25">
      <c r="A21013">
        <v>21012</v>
      </c>
      <c r="B21013">
        <v>41</v>
      </c>
      <c r="C21013">
        <v>0</v>
      </c>
      <c r="D21013">
        <v>0</v>
      </c>
      <c r="E21013">
        <v>0</v>
      </c>
      <c r="F21013">
        <v>1</v>
      </c>
    </row>
    <row r="21014" spans="1:6" x14ac:dyDescent="0.25">
      <c r="A21014">
        <v>21013</v>
      </c>
      <c r="B21014" t="s">
        <v>0</v>
      </c>
      <c r="C21014">
        <v>116</v>
      </c>
      <c r="D21014">
        <v>3520</v>
      </c>
      <c r="E21014">
        <v>80983960</v>
      </c>
    </row>
    <row r="21015" spans="1:6" x14ac:dyDescent="0.25">
      <c r="A21015">
        <v>21014</v>
      </c>
      <c r="B21015">
        <v>43</v>
      </c>
      <c r="C21015">
        <v>0</v>
      </c>
      <c r="D21015">
        <v>0</v>
      </c>
      <c r="E21015">
        <v>0</v>
      </c>
      <c r="F21015">
        <v>0</v>
      </c>
    </row>
    <row r="21016" spans="1:6" x14ac:dyDescent="0.25">
      <c r="A21016">
        <v>21015</v>
      </c>
      <c r="B21016" t="s">
        <v>0</v>
      </c>
      <c r="C21016">
        <v>117</v>
      </c>
      <c r="D21016">
        <v>3520</v>
      </c>
      <c r="E21016">
        <v>80984090</v>
      </c>
    </row>
    <row r="21017" spans="1:6" x14ac:dyDescent="0.25">
      <c r="A21017">
        <v>21016</v>
      </c>
      <c r="B21017">
        <v>45</v>
      </c>
      <c r="C21017">
        <v>0</v>
      </c>
      <c r="D21017">
        <v>0</v>
      </c>
      <c r="E21017">
        <v>0</v>
      </c>
      <c r="F21017">
        <v>552.81600000000003</v>
      </c>
    </row>
    <row r="21018" spans="1:6" x14ac:dyDescent="0.25">
      <c r="A21018">
        <v>21017</v>
      </c>
      <c r="B21018" t="s">
        <v>0</v>
      </c>
      <c r="C21018">
        <v>118</v>
      </c>
      <c r="D21018">
        <v>3520</v>
      </c>
      <c r="E21018">
        <v>80984220</v>
      </c>
    </row>
    <row r="21019" spans="1:6" x14ac:dyDescent="0.25">
      <c r="A21019">
        <v>21018</v>
      </c>
      <c r="B21019">
        <v>2</v>
      </c>
      <c r="C21019">
        <v>0</v>
      </c>
      <c r="D21019">
        <v>0</v>
      </c>
      <c r="E21019">
        <v>0</v>
      </c>
      <c r="F21019">
        <v>254.69800000000001</v>
      </c>
    </row>
    <row r="21020" spans="1:6" x14ac:dyDescent="0.25">
      <c r="A21020">
        <v>21019</v>
      </c>
      <c r="B21020" t="s">
        <v>0</v>
      </c>
      <c r="C21020">
        <v>119</v>
      </c>
      <c r="D21020">
        <v>3520</v>
      </c>
      <c r="E21020">
        <v>80984350</v>
      </c>
    </row>
    <row r="21021" spans="1:6" x14ac:dyDescent="0.25">
      <c r="A21021">
        <v>21020</v>
      </c>
      <c r="B21021">
        <v>13</v>
      </c>
      <c r="C21021">
        <v>0</v>
      </c>
      <c r="D21021">
        <v>0</v>
      </c>
      <c r="E21021">
        <v>0</v>
      </c>
      <c r="F21021">
        <v>1621</v>
      </c>
    </row>
    <row r="21022" spans="1:6" x14ac:dyDescent="0.25">
      <c r="A21022">
        <v>21021</v>
      </c>
      <c r="B21022" t="s">
        <v>0</v>
      </c>
      <c r="C21022">
        <v>120</v>
      </c>
      <c r="D21022">
        <v>3520</v>
      </c>
      <c r="E21022">
        <v>80984480</v>
      </c>
    </row>
    <row r="21023" spans="1:6" x14ac:dyDescent="0.25">
      <c r="A21023">
        <v>21022</v>
      </c>
      <c r="B21023">
        <v>42</v>
      </c>
      <c r="C21023">
        <v>0</v>
      </c>
      <c r="D21023">
        <v>0</v>
      </c>
      <c r="E21023">
        <v>0</v>
      </c>
      <c r="F21023">
        <v>0.2</v>
      </c>
    </row>
    <row r="21024" spans="1:6" x14ac:dyDescent="0.25">
      <c r="A21024">
        <v>21023</v>
      </c>
      <c r="B21024" t="s">
        <v>0</v>
      </c>
      <c r="C21024">
        <v>121</v>
      </c>
      <c r="D21024">
        <v>3520</v>
      </c>
      <c r="E21024">
        <v>80984610</v>
      </c>
    </row>
    <row r="21025" spans="1:6" x14ac:dyDescent="0.25">
      <c r="A21025">
        <v>21024</v>
      </c>
      <c r="B21025">
        <v>44</v>
      </c>
      <c r="C21025">
        <v>0</v>
      </c>
      <c r="D21025">
        <v>0</v>
      </c>
      <c r="E21025">
        <v>0</v>
      </c>
      <c r="F21025">
        <v>45.3018</v>
      </c>
    </row>
    <row r="21026" spans="1:6" x14ac:dyDescent="0.25">
      <c r="A21026">
        <v>21025</v>
      </c>
      <c r="B21026" t="s">
        <v>0</v>
      </c>
      <c r="C21026">
        <v>122</v>
      </c>
      <c r="D21026">
        <v>3520</v>
      </c>
      <c r="E21026">
        <v>80984740</v>
      </c>
    </row>
    <row r="21027" spans="1:6" x14ac:dyDescent="0.25">
      <c r="A21027">
        <v>21026</v>
      </c>
      <c r="B21027">
        <v>45</v>
      </c>
      <c r="C21027">
        <v>0</v>
      </c>
      <c r="D21027">
        <v>0</v>
      </c>
      <c r="E21027">
        <v>0</v>
      </c>
      <c r="F21027">
        <v>552.875</v>
      </c>
    </row>
    <row r="21028" spans="1:6" x14ac:dyDescent="0.25">
      <c r="A21028">
        <v>21027</v>
      </c>
      <c r="B21028">
        <v>46</v>
      </c>
      <c r="C21028">
        <v>0</v>
      </c>
      <c r="D21028">
        <v>0</v>
      </c>
      <c r="E21028">
        <v>0</v>
      </c>
      <c r="F21028">
        <v>0</v>
      </c>
    </row>
    <row r="21029" spans="1:6" x14ac:dyDescent="0.25">
      <c r="A21029">
        <v>21028</v>
      </c>
      <c r="B21029" t="s">
        <v>0</v>
      </c>
      <c r="C21029">
        <v>123</v>
      </c>
      <c r="D21029">
        <v>3520</v>
      </c>
      <c r="E21029">
        <v>80984870</v>
      </c>
    </row>
    <row r="21030" spans="1:6" x14ac:dyDescent="0.25">
      <c r="A21030">
        <v>21029</v>
      </c>
      <c r="B21030">
        <v>2</v>
      </c>
      <c r="C21030">
        <v>0</v>
      </c>
      <c r="D21030">
        <v>0</v>
      </c>
      <c r="E21030">
        <v>0</v>
      </c>
      <c r="F21030">
        <v>254.69800000000001</v>
      </c>
    </row>
    <row r="21031" spans="1:6" x14ac:dyDescent="0.25">
      <c r="A21031">
        <v>21030</v>
      </c>
      <c r="B21031">
        <v>10</v>
      </c>
      <c r="C21031">
        <v>1</v>
      </c>
      <c r="D21031">
        <v>0</v>
      </c>
      <c r="E21031">
        <v>0</v>
      </c>
      <c r="F21031">
        <v>5225</v>
      </c>
    </row>
    <row r="21032" spans="1:6" x14ac:dyDescent="0.25">
      <c r="A21032">
        <v>21031</v>
      </c>
      <c r="B21032" t="s">
        <v>0</v>
      </c>
      <c r="C21032">
        <v>124</v>
      </c>
      <c r="D21032">
        <v>3520</v>
      </c>
      <c r="E21032">
        <v>80985001</v>
      </c>
    </row>
    <row r="21033" spans="1:6" x14ac:dyDescent="0.25">
      <c r="A21033">
        <v>21032</v>
      </c>
      <c r="B21033">
        <v>13</v>
      </c>
      <c r="C21033">
        <v>0</v>
      </c>
      <c r="D21033">
        <v>0</v>
      </c>
      <c r="E21033">
        <v>0</v>
      </c>
      <c r="F21033">
        <v>1621</v>
      </c>
    </row>
    <row r="21034" spans="1:6" x14ac:dyDescent="0.25">
      <c r="A21034">
        <v>21033</v>
      </c>
      <c r="B21034">
        <v>41</v>
      </c>
      <c r="C21034">
        <v>0</v>
      </c>
      <c r="D21034">
        <v>0</v>
      </c>
      <c r="E21034">
        <v>0</v>
      </c>
      <c r="F21034">
        <v>1</v>
      </c>
    </row>
    <row r="21035" spans="1:6" x14ac:dyDescent="0.25">
      <c r="A21035">
        <v>21034</v>
      </c>
      <c r="B21035" t="s">
        <v>0</v>
      </c>
      <c r="C21035">
        <v>125</v>
      </c>
      <c r="D21035">
        <v>3520</v>
      </c>
      <c r="E21035">
        <v>80985132</v>
      </c>
    </row>
    <row r="21036" spans="1:6" x14ac:dyDescent="0.25">
      <c r="A21036">
        <v>21035</v>
      </c>
      <c r="B21036">
        <v>42</v>
      </c>
      <c r="C21036">
        <v>0</v>
      </c>
      <c r="D21036">
        <v>0</v>
      </c>
      <c r="E21036">
        <v>0</v>
      </c>
      <c r="F21036">
        <v>0.2</v>
      </c>
    </row>
    <row r="21037" spans="1:6" x14ac:dyDescent="0.25">
      <c r="A21037">
        <v>21036</v>
      </c>
      <c r="B21037">
        <v>43</v>
      </c>
      <c r="C21037">
        <v>0</v>
      </c>
      <c r="D21037">
        <v>0</v>
      </c>
      <c r="E21037">
        <v>0</v>
      </c>
      <c r="F21037">
        <v>0</v>
      </c>
    </row>
    <row r="21038" spans="1:6" x14ac:dyDescent="0.25">
      <c r="A21038">
        <v>21037</v>
      </c>
      <c r="B21038" t="s">
        <v>0</v>
      </c>
      <c r="C21038">
        <v>126</v>
      </c>
      <c r="D21038">
        <v>3520</v>
      </c>
      <c r="E21038">
        <v>80985262</v>
      </c>
    </row>
    <row r="21039" spans="1:6" x14ac:dyDescent="0.25">
      <c r="A21039">
        <v>21038</v>
      </c>
      <c r="B21039">
        <v>44</v>
      </c>
      <c r="C21039">
        <v>0</v>
      </c>
      <c r="D21039">
        <v>0</v>
      </c>
      <c r="E21039">
        <v>0</v>
      </c>
      <c r="F21039">
        <v>45.330599999999997</v>
      </c>
    </row>
    <row r="21040" spans="1:6" x14ac:dyDescent="0.25">
      <c r="A21040">
        <v>21039</v>
      </c>
      <c r="B21040">
        <v>45</v>
      </c>
      <c r="C21040">
        <v>0</v>
      </c>
      <c r="D21040">
        <v>0</v>
      </c>
      <c r="E21040">
        <v>0</v>
      </c>
      <c r="F21040">
        <v>552.923</v>
      </c>
    </row>
    <row r="21041" spans="1:6" x14ac:dyDescent="0.25">
      <c r="A21041">
        <v>21040</v>
      </c>
      <c r="B21041" t="s">
        <v>0</v>
      </c>
      <c r="C21041">
        <v>127</v>
      </c>
      <c r="D21041">
        <v>3520</v>
      </c>
      <c r="E21041">
        <v>80985392</v>
      </c>
    </row>
    <row r="21042" spans="1:6" x14ac:dyDescent="0.25">
      <c r="A21042">
        <v>21041</v>
      </c>
      <c r="B21042">
        <v>46</v>
      </c>
      <c r="C21042">
        <v>0</v>
      </c>
      <c r="D21042">
        <v>0</v>
      </c>
      <c r="E21042">
        <v>0</v>
      </c>
      <c r="F21042">
        <v>0</v>
      </c>
    </row>
    <row r="21043" spans="1:6" x14ac:dyDescent="0.25">
      <c r="A21043">
        <v>21042</v>
      </c>
      <c r="B21043">
        <v>2</v>
      </c>
      <c r="C21043">
        <v>0</v>
      </c>
      <c r="D21043">
        <v>0</v>
      </c>
      <c r="E21043">
        <v>0</v>
      </c>
      <c r="F21043">
        <v>254.65100000000001</v>
      </c>
    </row>
    <row r="21044" spans="1:6" x14ac:dyDescent="0.25">
      <c r="A21044">
        <v>21043</v>
      </c>
      <c r="B21044" t="s">
        <v>0</v>
      </c>
      <c r="C21044">
        <v>128</v>
      </c>
      <c r="D21044">
        <v>3520</v>
      </c>
      <c r="E21044">
        <v>80985522</v>
      </c>
    </row>
    <row r="21045" spans="1:6" x14ac:dyDescent="0.25">
      <c r="A21045">
        <v>21044</v>
      </c>
      <c r="B21045">
        <v>10</v>
      </c>
      <c r="C21045">
        <v>1</v>
      </c>
      <c r="D21045">
        <v>0</v>
      </c>
      <c r="E21045">
        <v>0</v>
      </c>
      <c r="F21045">
        <v>5226</v>
      </c>
    </row>
    <row r="21046" spans="1:6" x14ac:dyDescent="0.25">
      <c r="A21046">
        <v>21045</v>
      </c>
      <c r="B21046">
        <v>13</v>
      </c>
      <c r="C21046">
        <v>0</v>
      </c>
      <c r="D21046">
        <v>0</v>
      </c>
      <c r="E21046">
        <v>0</v>
      </c>
      <c r="F21046">
        <v>1621</v>
      </c>
    </row>
    <row r="21047" spans="1:6" x14ac:dyDescent="0.25">
      <c r="A21047">
        <v>21046</v>
      </c>
      <c r="B21047">
        <v>41</v>
      </c>
      <c r="C21047">
        <v>0</v>
      </c>
      <c r="D21047">
        <v>0</v>
      </c>
      <c r="E21047">
        <v>0</v>
      </c>
      <c r="F21047">
        <v>1</v>
      </c>
    </row>
    <row r="21048" spans="1:6" x14ac:dyDescent="0.25">
      <c r="A21048">
        <v>21047</v>
      </c>
      <c r="B21048">
        <v>42</v>
      </c>
      <c r="C21048">
        <v>0</v>
      </c>
      <c r="D21048">
        <v>0</v>
      </c>
      <c r="E21048">
        <v>0</v>
      </c>
      <c r="F21048">
        <v>0.2</v>
      </c>
    </row>
    <row r="21049" spans="1:6" x14ac:dyDescent="0.25">
      <c r="A21049">
        <v>21048</v>
      </c>
      <c r="B21049">
        <v>43</v>
      </c>
      <c r="C21049">
        <v>0</v>
      </c>
      <c r="D21049">
        <v>0</v>
      </c>
      <c r="E21049">
        <v>0</v>
      </c>
      <c r="F21049">
        <v>0</v>
      </c>
    </row>
    <row r="21050" spans="1:6" x14ac:dyDescent="0.25">
      <c r="A21050">
        <v>21049</v>
      </c>
      <c r="B21050">
        <v>44</v>
      </c>
      <c r="C21050">
        <v>0</v>
      </c>
      <c r="D21050">
        <v>0</v>
      </c>
      <c r="E21050">
        <v>0</v>
      </c>
      <c r="F21050">
        <v>45.397599999999997</v>
      </c>
    </row>
    <row r="21051" spans="1:6" x14ac:dyDescent="0.25">
      <c r="A21051">
        <v>21050</v>
      </c>
      <c r="B21051">
        <v>45</v>
      </c>
      <c r="C21051">
        <v>0</v>
      </c>
      <c r="D21051">
        <v>0</v>
      </c>
      <c r="E21051">
        <v>0</v>
      </c>
      <c r="F21051">
        <v>552.98199999999997</v>
      </c>
    </row>
    <row r="21052" spans="1:6" x14ac:dyDescent="0.25">
      <c r="A21052">
        <v>21051</v>
      </c>
      <c r="B21052">
        <v>46</v>
      </c>
      <c r="C21052">
        <v>0</v>
      </c>
      <c r="D21052">
        <v>0</v>
      </c>
      <c r="E21052">
        <v>0</v>
      </c>
      <c r="F21052">
        <v>0</v>
      </c>
    </row>
    <row r="21053" spans="1:6" x14ac:dyDescent="0.25">
      <c r="A21053">
        <v>21052</v>
      </c>
      <c r="B21053">
        <v>2</v>
      </c>
      <c r="C21053">
        <v>0</v>
      </c>
      <c r="D21053">
        <v>0</v>
      </c>
      <c r="E21053">
        <v>0</v>
      </c>
      <c r="F21053">
        <v>254.57400000000001</v>
      </c>
    </row>
    <row r="21054" spans="1:6" x14ac:dyDescent="0.25">
      <c r="A21054">
        <v>21053</v>
      </c>
      <c r="B21054">
        <v>10</v>
      </c>
      <c r="C21054">
        <v>1</v>
      </c>
      <c r="D21054">
        <v>0</v>
      </c>
      <c r="E21054">
        <v>0</v>
      </c>
      <c r="F21054">
        <v>5228</v>
      </c>
    </row>
    <row r="21055" spans="1:6" x14ac:dyDescent="0.25">
      <c r="A21055">
        <v>21054</v>
      </c>
      <c r="B21055">
        <v>13</v>
      </c>
      <c r="C21055">
        <v>0</v>
      </c>
      <c r="D21055">
        <v>0</v>
      </c>
      <c r="E21055">
        <v>0</v>
      </c>
      <c r="F21055">
        <v>1621</v>
      </c>
    </row>
    <row r="21056" spans="1:6" x14ac:dyDescent="0.25">
      <c r="A21056">
        <v>21055</v>
      </c>
      <c r="B21056">
        <v>41</v>
      </c>
      <c r="C21056">
        <v>0</v>
      </c>
      <c r="D21056">
        <v>0</v>
      </c>
      <c r="E21056">
        <v>0</v>
      </c>
      <c r="F21056">
        <v>1</v>
      </c>
    </row>
    <row r="21057" spans="1:6" x14ac:dyDescent="0.25">
      <c r="A21057">
        <v>21056</v>
      </c>
      <c r="B21057">
        <v>42</v>
      </c>
      <c r="C21057">
        <v>0</v>
      </c>
      <c r="D21057">
        <v>0</v>
      </c>
      <c r="E21057">
        <v>0</v>
      </c>
      <c r="F21057">
        <v>0.2</v>
      </c>
    </row>
    <row r="21058" spans="1:6" x14ac:dyDescent="0.25">
      <c r="A21058">
        <v>21057</v>
      </c>
      <c r="B21058">
        <v>43</v>
      </c>
      <c r="C21058">
        <v>0</v>
      </c>
      <c r="D21058">
        <v>0</v>
      </c>
      <c r="E21058">
        <v>0</v>
      </c>
      <c r="F21058">
        <v>0</v>
      </c>
    </row>
    <row r="21059" spans="1:6" x14ac:dyDescent="0.25">
      <c r="A21059">
        <v>21058</v>
      </c>
      <c r="B21059">
        <v>44</v>
      </c>
      <c r="C21059">
        <v>0</v>
      </c>
      <c r="D21059">
        <v>0</v>
      </c>
      <c r="E21059">
        <v>0</v>
      </c>
      <c r="F21059">
        <v>45.463999999999999</v>
      </c>
    </row>
    <row r="21060" spans="1:6" x14ac:dyDescent="0.25">
      <c r="A21060">
        <v>21059</v>
      </c>
      <c r="B21060" t="s">
        <v>0</v>
      </c>
      <c r="C21060">
        <v>136</v>
      </c>
      <c r="D21060">
        <v>3520</v>
      </c>
      <c r="E21060">
        <v>80986566</v>
      </c>
    </row>
    <row r="21061" spans="1:6" x14ac:dyDescent="0.25">
      <c r="A21061">
        <v>21060</v>
      </c>
      <c r="B21061">
        <v>46</v>
      </c>
      <c r="C21061">
        <v>0</v>
      </c>
      <c r="D21061">
        <v>0</v>
      </c>
      <c r="E21061">
        <v>0</v>
      </c>
      <c r="F21061">
        <v>0</v>
      </c>
    </row>
    <row r="21062" spans="1:6" x14ac:dyDescent="0.25">
      <c r="A21062">
        <v>21061</v>
      </c>
      <c r="B21062" t="s">
        <v>0</v>
      </c>
      <c r="C21062">
        <v>137</v>
      </c>
      <c r="D21062">
        <v>3520</v>
      </c>
      <c r="E21062">
        <v>80986697</v>
      </c>
    </row>
    <row r="21063" spans="1:6" x14ac:dyDescent="0.25">
      <c r="A21063">
        <v>21062</v>
      </c>
      <c r="B21063">
        <v>10</v>
      </c>
      <c r="C21063">
        <v>1</v>
      </c>
      <c r="D21063">
        <v>0</v>
      </c>
      <c r="E21063">
        <v>0</v>
      </c>
      <c r="F21063">
        <v>5230</v>
      </c>
    </row>
    <row r="21064" spans="1:6" x14ac:dyDescent="0.25">
      <c r="A21064">
        <v>21063</v>
      </c>
      <c r="B21064" t="s">
        <v>0</v>
      </c>
      <c r="C21064">
        <v>138</v>
      </c>
      <c r="D21064">
        <v>3520</v>
      </c>
      <c r="E21064">
        <v>80986828</v>
      </c>
    </row>
    <row r="21065" spans="1:6" x14ac:dyDescent="0.25">
      <c r="A21065">
        <v>21064</v>
      </c>
      <c r="B21065">
        <v>41</v>
      </c>
      <c r="C21065">
        <v>0</v>
      </c>
      <c r="D21065">
        <v>0</v>
      </c>
      <c r="E21065">
        <v>0</v>
      </c>
      <c r="F21065">
        <v>1</v>
      </c>
    </row>
    <row r="21066" spans="1:6" x14ac:dyDescent="0.25">
      <c r="A21066">
        <v>21065</v>
      </c>
      <c r="B21066" t="s">
        <v>0</v>
      </c>
      <c r="C21066">
        <v>139</v>
      </c>
      <c r="D21066">
        <v>3520</v>
      </c>
      <c r="E21066">
        <v>80986959</v>
      </c>
    </row>
    <row r="21067" spans="1:6" x14ac:dyDescent="0.25">
      <c r="A21067">
        <v>21066</v>
      </c>
      <c r="B21067">
        <v>43</v>
      </c>
      <c r="C21067">
        <v>0</v>
      </c>
      <c r="D21067">
        <v>0</v>
      </c>
      <c r="E21067">
        <v>0</v>
      </c>
      <c r="F21067">
        <v>0</v>
      </c>
    </row>
    <row r="21068" spans="1:6" x14ac:dyDescent="0.25">
      <c r="A21068">
        <v>21067</v>
      </c>
      <c r="B21068" t="s">
        <v>0</v>
      </c>
      <c r="C21068">
        <v>140</v>
      </c>
      <c r="D21068">
        <v>3520</v>
      </c>
      <c r="E21068">
        <v>80987090</v>
      </c>
    </row>
    <row r="21069" spans="1:6" x14ac:dyDescent="0.25">
      <c r="A21069">
        <v>21068</v>
      </c>
      <c r="B21069">
        <v>45</v>
      </c>
      <c r="C21069">
        <v>0</v>
      </c>
      <c r="D21069">
        <v>0</v>
      </c>
      <c r="E21069">
        <v>0</v>
      </c>
      <c r="F21069">
        <v>553.09</v>
      </c>
    </row>
    <row r="21070" spans="1:6" x14ac:dyDescent="0.25">
      <c r="A21070">
        <v>21069</v>
      </c>
      <c r="B21070" t="s">
        <v>0</v>
      </c>
      <c r="C21070">
        <v>141</v>
      </c>
      <c r="D21070">
        <v>3520</v>
      </c>
      <c r="E21070">
        <v>80987221</v>
      </c>
    </row>
    <row r="21071" spans="1:6" x14ac:dyDescent="0.25">
      <c r="A21071">
        <v>21070</v>
      </c>
      <c r="B21071">
        <v>2</v>
      </c>
      <c r="C21071">
        <v>0</v>
      </c>
      <c r="D21071">
        <v>0</v>
      </c>
      <c r="E21071">
        <v>0</v>
      </c>
      <c r="F21071">
        <v>254.476</v>
      </c>
    </row>
    <row r="21072" spans="1:6" x14ac:dyDescent="0.25">
      <c r="A21072">
        <v>21071</v>
      </c>
      <c r="B21072" t="s">
        <v>0</v>
      </c>
      <c r="C21072">
        <v>142</v>
      </c>
      <c r="D21072">
        <v>3520</v>
      </c>
      <c r="E21072">
        <v>80987351</v>
      </c>
    </row>
    <row r="21073" spans="1:6" x14ac:dyDescent="0.25">
      <c r="A21073">
        <v>21072</v>
      </c>
      <c r="B21073">
        <v>13</v>
      </c>
      <c r="C21073">
        <v>0</v>
      </c>
      <c r="D21073">
        <v>0</v>
      </c>
      <c r="E21073">
        <v>0</v>
      </c>
      <c r="F21073">
        <v>1621</v>
      </c>
    </row>
    <row r="21074" spans="1:6" x14ac:dyDescent="0.25">
      <c r="A21074">
        <v>21073</v>
      </c>
      <c r="B21074" t="s">
        <v>0</v>
      </c>
      <c r="C21074">
        <v>143</v>
      </c>
      <c r="D21074">
        <v>3520</v>
      </c>
      <c r="E21074">
        <v>80987481</v>
      </c>
    </row>
    <row r="21075" spans="1:6" x14ac:dyDescent="0.25">
      <c r="A21075">
        <v>21074</v>
      </c>
      <c r="B21075">
        <v>42</v>
      </c>
      <c r="C21075">
        <v>0</v>
      </c>
      <c r="D21075">
        <v>0</v>
      </c>
      <c r="E21075">
        <v>0</v>
      </c>
      <c r="F21075">
        <v>0.2</v>
      </c>
    </row>
    <row r="21076" spans="1:6" x14ac:dyDescent="0.25">
      <c r="A21076">
        <v>21075</v>
      </c>
      <c r="B21076" t="s">
        <v>0</v>
      </c>
      <c r="C21076">
        <v>144</v>
      </c>
      <c r="D21076">
        <v>3520</v>
      </c>
      <c r="E21076">
        <v>80987611</v>
      </c>
    </row>
    <row r="21077" spans="1:6" x14ac:dyDescent="0.25">
      <c r="A21077">
        <v>21076</v>
      </c>
      <c r="B21077">
        <v>44</v>
      </c>
      <c r="C21077">
        <v>0</v>
      </c>
      <c r="D21077">
        <v>0</v>
      </c>
      <c r="E21077">
        <v>0</v>
      </c>
      <c r="F21077">
        <v>45.5473</v>
      </c>
    </row>
    <row r="21078" spans="1:6" x14ac:dyDescent="0.25">
      <c r="A21078">
        <v>21077</v>
      </c>
      <c r="B21078" t="s">
        <v>0</v>
      </c>
      <c r="C21078">
        <v>145</v>
      </c>
      <c r="D21078">
        <v>3520</v>
      </c>
      <c r="E21078">
        <v>80987742</v>
      </c>
    </row>
    <row r="21079" spans="1:6" x14ac:dyDescent="0.25">
      <c r="A21079">
        <v>21078</v>
      </c>
      <c r="B21079">
        <v>45</v>
      </c>
      <c r="C21079">
        <v>0</v>
      </c>
      <c r="D21079">
        <v>0</v>
      </c>
      <c r="E21079">
        <v>0</v>
      </c>
      <c r="F21079">
        <v>553.149</v>
      </c>
    </row>
    <row r="21080" spans="1:6" x14ac:dyDescent="0.25">
      <c r="A21080">
        <v>21079</v>
      </c>
      <c r="B21080">
        <v>46</v>
      </c>
      <c r="C21080">
        <v>0</v>
      </c>
      <c r="D21080">
        <v>0</v>
      </c>
      <c r="E21080">
        <v>0</v>
      </c>
      <c r="F21080">
        <v>0</v>
      </c>
    </row>
    <row r="21081" spans="1:6" x14ac:dyDescent="0.25">
      <c r="A21081">
        <v>21080</v>
      </c>
      <c r="B21081" t="s">
        <v>0</v>
      </c>
      <c r="C21081">
        <v>146</v>
      </c>
      <c r="D21081">
        <v>3520</v>
      </c>
      <c r="E21081">
        <v>80987873</v>
      </c>
    </row>
    <row r="21082" spans="1:6" x14ac:dyDescent="0.25">
      <c r="A21082">
        <v>21081</v>
      </c>
      <c r="B21082">
        <v>2</v>
      </c>
      <c r="C21082">
        <v>0</v>
      </c>
      <c r="D21082">
        <v>0</v>
      </c>
      <c r="E21082">
        <v>0</v>
      </c>
      <c r="F21082">
        <v>254.43899999999999</v>
      </c>
    </row>
    <row r="21083" spans="1:6" x14ac:dyDescent="0.25">
      <c r="A21083">
        <v>21082</v>
      </c>
      <c r="B21083">
        <v>10</v>
      </c>
      <c r="C21083">
        <v>1</v>
      </c>
      <c r="D21083">
        <v>0</v>
      </c>
      <c r="E21083">
        <v>0</v>
      </c>
      <c r="F21083">
        <v>5233</v>
      </c>
    </row>
    <row r="21084" spans="1:6" x14ac:dyDescent="0.25">
      <c r="A21084">
        <v>21083</v>
      </c>
      <c r="B21084" t="s">
        <v>0</v>
      </c>
      <c r="C21084">
        <v>147</v>
      </c>
      <c r="D21084">
        <v>3520</v>
      </c>
      <c r="E21084">
        <v>80988004</v>
      </c>
    </row>
    <row r="21085" spans="1:6" x14ac:dyDescent="0.25">
      <c r="A21085">
        <v>21084</v>
      </c>
      <c r="B21085">
        <v>13</v>
      </c>
      <c r="C21085">
        <v>0</v>
      </c>
      <c r="D21085">
        <v>0</v>
      </c>
      <c r="E21085">
        <v>0</v>
      </c>
      <c r="F21085">
        <v>1621</v>
      </c>
    </row>
    <row r="21086" spans="1:6" x14ac:dyDescent="0.25">
      <c r="A21086">
        <v>21085</v>
      </c>
      <c r="B21086">
        <v>41</v>
      </c>
      <c r="C21086">
        <v>0</v>
      </c>
      <c r="D21086">
        <v>0</v>
      </c>
      <c r="E21086">
        <v>0</v>
      </c>
      <c r="F21086">
        <v>1</v>
      </c>
    </row>
    <row r="21087" spans="1:6" x14ac:dyDescent="0.25">
      <c r="A21087">
        <v>21086</v>
      </c>
      <c r="B21087" t="s">
        <v>0</v>
      </c>
      <c r="C21087">
        <v>148</v>
      </c>
      <c r="D21087">
        <v>3520</v>
      </c>
      <c r="E21087">
        <v>80988135</v>
      </c>
    </row>
    <row r="21088" spans="1:6" x14ac:dyDescent="0.25">
      <c r="A21088">
        <v>21087</v>
      </c>
      <c r="B21088">
        <v>42</v>
      </c>
      <c r="C21088">
        <v>0</v>
      </c>
      <c r="D21088">
        <v>0</v>
      </c>
      <c r="E21088">
        <v>0</v>
      </c>
      <c r="F21088">
        <v>0.2</v>
      </c>
    </row>
    <row r="21089" spans="1:6" x14ac:dyDescent="0.25">
      <c r="A21089">
        <v>21088</v>
      </c>
      <c r="B21089">
        <v>43</v>
      </c>
      <c r="C21089">
        <v>0</v>
      </c>
      <c r="D21089">
        <v>0</v>
      </c>
      <c r="E21089">
        <v>0</v>
      </c>
      <c r="F21089">
        <v>0</v>
      </c>
    </row>
    <row r="21090" spans="1:6" x14ac:dyDescent="0.25">
      <c r="A21090">
        <v>21089</v>
      </c>
      <c r="B21090" t="s">
        <v>0</v>
      </c>
      <c r="C21090">
        <v>149</v>
      </c>
      <c r="D21090">
        <v>3520</v>
      </c>
      <c r="E21090">
        <v>80988265</v>
      </c>
    </row>
    <row r="21091" spans="1:6" x14ac:dyDescent="0.25">
      <c r="A21091">
        <v>21090</v>
      </c>
      <c r="B21091">
        <v>44</v>
      </c>
      <c r="C21091">
        <v>0</v>
      </c>
      <c r="D21091">
        <v>0</v>
      </c>
      <c r="E21091">
        <v>0</v>
      </c>
      <c r="F21091">
        <v>45.579900000000002</v>
      </c>
    </row>
    <row r="21092" spans="1:6" x14ac:dyDescent="0.25">
      <c r="A21092">
        <v>21091</v>
      </c>
      <c r="B21092">
        <v>45</v>
      </c>
      <c r="C21092">
        <v>0</v>
      </c>
      <c r="D21092">
        <v>0</v>
      </c>
      <c r="E21092">
        <v>0</v>
      </c>
      <c r="F21092">
        <v>553.197</v>
      </c>
    </row>
    <row r="21093" spans="1:6" x14ac:dyDescent="0.25">
      <c r="A21093">
        <v>21092</v>
      </c>
      <c r="B21093" t="s">
        <v>0</v>
      </c>
      <c r="C21093">
        <v>150</v>
      </c>
      <c r="D21093">
        <v>3520</v>
      </c>
      <c r="E21093">
        <v>80988395</v>
      </c>
    </row>
    <row r="21094" spans="1:6" x14ac:dyDescent="0.25">
      <c r="A21094">
        <v>21093</v>
      </c>
      <c r="B21094">
        <v>46</v>
      </c>
      <c r="C21094">
        <v>0</v>
      </c>
      <c r="D21094">
        <v>0</v>
      </c>
      <c r="E21094">
        <v>0</v>
      </c>
      <c r="F21094">
        <v>0</v>
      </c>
    </row>
    <row r="21095" spans="1:6" x14ac:dyDescent="0.25">
      <c r="A21095">
        <v>21094</v>
      </c>
      <c r="B21095">
        <v>2</v>
      </c>
      <c r="C21095">
        <v>0</v>
      </c>
      <c r="D21095">
        <v>0</v>
      </c>
      <c r="E21095">
        <v>0</v>
      </c>
      <c r="F21095">
        <v>254.41499999999999</v>
      </c>
    </row>
    <row r="21096" spans="1:6" x14ac:dyDescent="0.25">
      <c r="A21096">
        <v>21095</v>
      </c>
      <c r="B21096" t="s">
        <v>0</v>
      </c>
      <c r="C21096">
        <v>151</v>
      </c>
      <c r="D21096">
        <v>3520</v>
      </c>
      <c r="E21096">
        <v>80988525</v>
      </c>
    </row>
    <row r="21097" spans="1:6" x14ac:dyDescent="0.25">
      <c r="A21097">
        <v>21096</v>
      </c>
      <c r="B21097">
        <v>10</v>
      </c>
      <c r="C21097">
        <v>1</v>
      </c>
      <c r="D21097">
        <v>0</v>
      </c>
      <c r="E21097">
        <v>0</v>
      </c>
      <c r="F21097">
        <v>5234</v>
      </c>
    </row>
    <row r="21098" spans="1:6" x14ac:dyDescent="0.25">
      <c r="A21098">
        <v>21097</v>
      </c>
      <c r="B21098">
        <v>13</v>
      </c>
      <c r="C21098">
        <v>0</v>
      </c>
      <c r="D21098">
        <v>0</v>
      </c>
      <c r="E21098">
        <v>0</v>
      </c>
      <c r="F21098">
        <v>1621</v>
      </c>
    </row>
    <row r="21099" spans="1:6" x14ac:dyDescent="0.25">
      <c r="A21099">
        <v>21098</v>
      </c>
      <c r="B21099" t="s">
        <v>0</v>
      </c>
      <c r="C21099">
        <v>152</v>
      </c>
      <c r="D21099">
        <v>3520</v>
      </c>
      <c r="E21099">
        <v>80988656</v>
      </c>
    </row>
    <row r="21100" spans="1:6" x14ac:dyDescent="0.25">
      <c r="A21100">
        <v>21099</v>
      </c>
      <c r="B21100">
        <v>41</v>
      </c>
      <c r="C21100">
        <v>0</v>
      </c>
      <c r="D21100">
        <v>0</v>
      </c>
      <c r="E21100">
        <v>0</v>
      </c>
      <c r="F21100">
        <v>1</v>
      </c>
    </row>
    <row r="21101" spans="1:6" x14ac:dyDescent="0.25">
      <c r="A21101">
        <v>21100</v>
      </c>
      <c r="B21101">
        <v>42</v>
      </c>
      <c r="C21101">
        <v>0</v>
      </c>
      <c r="D21101">
        <v>0</v>
      </c>
      <c r="E21101">
        <v>0</v>
      </c>
      <c r="F21101">
        <v>0.2</v>
      </c>
    </row>
    <row r="21102" spans="1:6" x14ac:dyDescent="0.25">
      <c r="A21102">
        <v>21101</v>
      </c>
      <c r="B21102">
        <v>43</v>
      </c>
      <c r="C21102">
        <v>0</v>
      </c>
      <c r="D21102">
        <v>0</v>
      </c>
      <c r="E21102">
        <v>0</v>
      </c>
      <c r="F21102">
        <v>0</v>
      </c>
    </row>
    <row r="21103" spans="1:6" x14ac:dyDescent="0.25">
      <c r="A21103">
        <v>21102</v>
      </c>
      <c r="B21103">
        <v>44</v>
      </c>
      <c r="C21103">
        <v>0</v>
      </c>
      <c r="D21103">
        <v>0</v>
      </c>
      <c r="E21103">
        <v>0</v>
      </c>
      <c r="F21103">
        <v>45.600200000000001</v>
      </c>
    </row>
    <row r="21104" spans="1:6" x14ac:dyDescent="0.25">
      <c r="A21104">
        <v>21103</v>
      </c>
      <c r="B21104">
        <v>45</v>
      </c>
      <c r="C21104">
        <v>0</v>
      </c>
      <c r="D21104">
        <v>0</v>
      </c>
      <c r="E21104">
        <v>0</v>
      </c>
      <c r="F21104">
        <v>553.25699999999995</v>
      </c>
    </row>
    <row r="21105" spans="1:6" x14ac:dyDescent="0.25">
      <c r="A21105">
        <v>21104</v>
      </c>
      <c r="B21105">
        <v>46</v>
      </c>
      <c r="C21105">
        <v>0</v>
      </c>
      <c r="D21105">
        <v>0</v>
      </c>
      <c r="E21105">
        <v>0</v>
      </c>
      <c r="F21105">
        <v>0</v>
      </c>
    </row>
    <row r="21106" spans="1:6" x14ac:dyDescent="0.25">
      <c r="A21106">
        <v>21105</v>
      </c>
      <c r="B21106">
        <v>2</v>
      </c>
      <c r="C21106">
        <v>0</v>
      </c>
      <c r="D21106">
        <v>0</v>
      </c>
      <c r="E21106">
        <v>0</v>
      </c>
      <c r="F21106">
        <v>254.39099999999999</v>
      </c>
    </row>
    <row r="21107" spans="1:6" x14ac:dyDescent="0.25">
      <c r="A21107">
        <v>21106</v>
      </c>
      <c r="B21107">
        <v>10</v>
      </c>
      <c r="C21107">
        <v>1</v>
      </c>
      <c r="D21107">
        <v>0</v>
      </c>
      <c r="E21107">
        <v>0</v>
      </c>
      <c r="F21107">
        <v>5235</v>
      </c>
    </row>
    <row r="21108" spans="1:6" x14ac:dyDescent="0.25">
      <c r="A21108">
        <v>21107</v>
      </c>
      <c r="B21108">
        <v>13</v>
      </c>
      <c r="C21108">
        <v>0</v>
      </c>
      <c r="D21108">
        <v>0</v>
      </c>
      <c r="E21108">
        <v>0</v>
      </c>
      <c r="F21108">
        <v>1621</v>
      </c>
    </row>
    <row r="21109" spans="1:6" x14ac:dyDescent="0.25">
      <c r="A21109">
        <v>21108</v>
      </c>
      <c r="B21109">
        <v>41</v>
      </c>
      <c r="C21109">
        <v>0</v>
      </c>
      <c r="D21109">
        <v>0</v>
      </c>
      <c r="E21109">
        <v>0</v>
      </c>
      <c r="F21109">
        <v>1</v>
      </c>
    </row>
    <row r="21110" spans="1:6" x14ac:dyDescent="0.25">
      <c r="A21110">
        <v>21109</v>
      </c>
      <c r="B21110">
        <v>42</v>
      </c>
      <c r="C21110">
        <v>0</v>
      </c>
      <c r="D21110">
        <v>0</v>
      </c>
      <c r="E21110">
        <v>0</v>
      </c>
      <c r="F21110">
        <v>0.2</v>
      </c>
    </row>
    <row r="21111" spans="1:6" x14ac:dyDescent="0.25">
      <c r="A21111">
        <v>21110</v>
      </c>
      <c r="B21111">
        <v>43</v>
      </c>
      <c r="C21111">
        <v>0</v>
      </c>
      <c r="D21111">
        <v>0</v>
      </c>
      <c r="E21111">
        <v>0</v>
      </c>
      <c r="F21111">
        <v>0</v>
      </c>
    </row>
    <row r="21112" spans="1:6" x14ac:dyDescent="0.25">
      <c r="A21112">
        <v>21111</v>
      </c>
      <c r="B21112">
        <v>44</v>
      </c>
      <c r="C21112">
        <v>0</v>
      </c>
      <c r="D21112">
        <v>0</v>
      </c>
      <c r="E21112">
        <v>0</v>
      </c>
      <c r="F21112">
        <v>45.620699999999999</v>
      </c>
    </row>
    <row r="21113" spans="1:6" x14ac:dyDescent="0.25">
      <c r="A21113">
        <v>21112</v>
      </c>
      <c r="B21113">
        <v>45</v>
      </c>
      <c r="C21113">
        <v>0</v>
      </c>
      <c r="D21113">
        <v>0</v>
      </c>
      <c r="E21113">
        <v>0</v>
      </c>
      <c r="F21113">
        <v>553.30499999999995</v>
      </c>
    </row>
    <row r="21114" spans="1:6" x14ac:dyDescent="0.25">
      <c r="A21114">
        <v>21113</v>
      </c>
      <c r="B21114">
        <v>46</v>
      </c>
      <c r="C21114">
        <v>0</v>
      </c>
      <c r="D21114">
        <v>0</v>
      </c>
      <c r="E21114">
        <v>0</v>
      </c>
      <c r="F21114">
        <v>0</v>
      </c>
    </row>
    <row r="21115" spans="1:6" x14ac:dyDescent="0.25">
      <c r="A21115">
        <v>21114</v>
      </c>
      <c r="B21115">
        <v>2</v>
      </c>
      <c r="C21115">
        <v>0</v>
      </c>
      <c r="D21115">
        <v>0</v>
      </c>
      <c r="E21115">
        <v>0</v>
      </c>
      <c r="F21115">
        <v>254.36500000000001</v>
      </c>
    </row>
    <row r="21116" spans="1:6" x14ac:dyDescent="0.25">
      <c r="A21116">
        <v>21115</v>
      </c>
      <c r="B21116">
        <v>10</v>
      </c>
      <c r="C21116">
        <v>1</v>
      </c>
      <c r="D21116">
        <v>0</v>
      </c>
      <c r="E21116">
        <v>0</v>
      </c>
      <c r="F21116">
        <v>5235</v>
      </c>
    </row>
    <row r="21117" spans="1:6" x14ac:dyDescent="0.25">
      <c r="A21117">
        <v>21116</v>
      </c>
      <c r="B21117" t="s">
        <v>0</v>
      </c>
      <c r="C21117">
        <v>161</v>
      </c>
      <c r="D21117">
        <v>3520</v>
      </c>
      <c r="E21117">
        <v>80989832</v>
      </c>
    </row>
    <row r="21118" spans="1:6" x14ac:dyDescent="0.25">
      <c r="A21118">
        <v>21117</v>
      </c>
      <c r="B21118">
        <v>41</v>
      </c>
      <c r="C21118">
        <v>0</v>
      </c>
      <c r="D21118">
        <v>0</v>
      </c>
      <c r="E21118">
        <v>0</v>
      </c>
      <c r="F21118">
        <v>1</v>
      </c>
    </row>
    <row r="21119" spans="1:6" x14ac:dyDescent="0.25">
      <c r="A21119">
        <v>21118</v>
      </c>
      <c r="B21119" t="s">
        <v>0</v>
      </c>
      <c r="C21119">
        <v>162</v>
      </c>
      <c r="D21119">
        <v>3520</v>
      </c>
      <c r="E21119">
        <v>80989963</v>
      </c>
    </row>
    <row r="21120" spans="1:6" x14ac:dyDescent="0.25">
      <c r="A21120">
        <v>21119</v>
      </c>
      <c r="B21120">
        <v>43</v>
      </c>
      <c r="C21120">
        <v>0</v>
      </c>
      <c r="D21120">
        <v>0</v>
      </c>
      <c r="E21120">
        <v>0</v>
      </c>
      <c r="F21120">
        <v>0</v>
      </c>
    </row>
    <row r="21121" spans="1:6" x14ac:dyDescent="0.25">
      <c r="A21121">
        <v>21120</v>
      </c>
      <c r="B21121" t="s">
        <v>0</v>
      </c>
      <c r="C21121">
        <v>163</v>
      </c>
      <c r="D21121">
        <v>3520</v>
      </c>
      <c r="E21121">
        <v>80990094</v>
      </c>
    </row>
    <row r="21122" spans="1:6" x14ac:dyDescent="0.25">
      <c r="A21122">
        <v>21121</v>
      </c>
      <c r="B21122">
        <v>45</v>
      </c>
      <c r="C21122">
        <v>0</v>
      </c>
      <c r="D21122">
        <v>0</v>
      </c>
      <c r="E21122">
        <v>0</v>
      </c>
      <c r="F21122">
        <v>553.36500000000001</v>
      </c>
    </row>
    <row r="21123" spans="1:6" x14ac:dyDescent="0.25">
      <c r="A21123">
        <v>21122</v>
      </c>
      <c r="B21123" t="s">
        <v>0</v>
      </c>
      <c r="C21123">
        <v>164</v>
      </c>
      <c r="D21123">
        <v>3520</v>
      </c>
      <c r="E21123">
        <v>80990224</v>
      </c>
    </row>
    <row r="21124" spans="1:6" x14ac:dyDescent="0.25">
      <c r="A21124">
        <v>21123</v>
      </c>
      <c r="B21124">
        <v>2</v>
      </c>
      <c r="C21124">
        <v>0</v>
      </c>
      <c r="D21124">
        <v>0</v>
      </c>
      <c r="E21124">
        <v>0</v>
      </c>
      <c r="F21124">
        <v>254.36099999999999</v>
      </c>
    </row>
    <row r="21125" spans="1:6" x14ac:dyDescent="0.25">
      <c r="A21125">
        <v>21124</v>
      </c>
      <c r="B21125" t="s">
        <v>0</v>
      </c>
      <c r="C21125">
        <v>165</v>
      </c>
      <c r="D21125">
        <v>3520</v>
      </c>
      <c r="E21125">
        <v>80990354</v>
      </c>
    </row>
    <row r="21126" spans="1:6" x14ac:dyDescent="0.25">
      <c r="A21126">
        <v>21125</v>
      </c>
      <c r="B21126">
        <v>13</v>
      </c>
      <c r="C21126">
        <v>0</v>
      </c>
      <c r="D21126">
        <v>0</v>
      </c>
      <c r="E21126">
        <v>0</v>
      </c>
      <c r="F21126">
        <v>1621</v>
      </c>
    </row>
    <row r="21127" spans="1:6" x14ac:dyDescent="0.25">
      <c r="A21127">
        <v>21126</v>
      </c>
      <c r="B21127" t="s">
        <v>0</v>
      </c>
      <c r="C21127">
        <v>166</v>
      </c>
      <c r="D21127">
        <v>3520</v>
      </c>
      <c r="E21127">
        <v>80990484</v>
      </c>
    </row>
    <row r="21128" spans="1:6" x14ac:dyDescent="0.25">
      <c r="A21128">
        <v>21127</v>
      </c>
      <c r="B21128">
        <v>42</v>
      </c>
      <c r="C21128">
        <v>0</v>
      </c>
      <c r="D21128">
        <v>0</v>
      </c>
      <c r="E21128">
        <v>0</v>
      </c>
      <c r="F21128">
        <v>0.2</v>
      </c>
    </row>
    <row r="21129" spans="1:6" x14ac:dyDescent="0.25">
      <c r="A21129">
        <v>21128</v>
      </c>
      <c r="B21129" t="s">
        <v>0</v>
      </c>
      <c r="C21129">
        <v>167</v>
      </c>
      <c r="D21129">
        <v>3520</v>
      </c>
      <c r="E21129">
        <v>80990615</v>
      </c>
    </row>
    <row r="21130" spans="1:6" x14ac:dyDescent="0.25">
      <c r="A21130">
        <v>21129</v>
      </c>
      <c r="B21130">
        <v>44</v>
      </c>
      <c r="C21130">
        <v>0</v>
      </c>
      <c r="D21130">
        <v>0</v>
      </c>
      <c r="E21130">
        <v>0</v>
      </c>
      <c r="F21130">
        <v>45.649299999999997</v>
      </c>
    </row>
    <row r="21131" spans="1:6" x14ac:dyDescent="0.25">
      <c r="A21131">
        <v>21130</v>
      </c>
      <c r="B21131" t="s">
        <v>0</v>
      </c>
      <c r="C21131">
        <v>168</v>
      </c>
      <c r="D21131">
        <v>3520</v>
      </c>
      <c r="E21131">
        <v>80990746</v>
      </c>
    </row>
    <row r="21132" spans="1:6" x14ac:dyDescent="0.25">
      <c r="A21132">
        <v>21131</v>
      </c>
      <c r="B21132">
        <v>45</v>
      </c>
      <c r="C21132">
        <v>0</v>
      </c>
      <c r="D21132">
        <v>0</v>
      </c>
      <c r="E21132">
        <v>0</v>
      </c>
      <c r="F21132">
        <v>553.42399999999998</v>
      </c>
    </row>
    <row r="21133" spans="1:6" x14ac:dyDescent="0.25">
      <c r="A21133">
        <v>21132</v>
      </c>
      <c r="B21133">
        <v>46</v>
      </c>
      <c r="C21133">
        <v>0</v>
      </c>
      <c r="D21133">
        <v>0</v>
      </c>
      <c r="E21133">
        <v>0</v>
      </c>
      <c r="F21133">
        <v>0</v>
      </c>
    </row>
    <row r="21134" spans="1:6" x14ac:dyDescent="0.25">
      <c r="A21134">
        <v>21133</v>
      </c>
      <c r="B21134" t="s">
        <v>0</v>
      </c>
      <c r="C21134">
        <v>169</v>
      </c>
      <c r="D21134">
        <v>3520</v>
      </c>
      <c r="E21134">
        <v>80990877</v>
      </c>
    </row>
    <row r="21135" spans="1:6" x14ac:dyDescent="0.25">
      <c r="A21135">
        <v>21134</v>
      </c>
      <c r="B21135">
        <v>2</v>
      </c>
      <c r="C21135">
        <v>0</v>
      </c>
      <c r="D21135">
        <v>0</v>
      </c>
      <c r="E21135">
        <v>0</v>
      </c>
      <c r="F21135">
        <v>254.35</v>
      </c>
    </row>
    <row r="21136" spans="1:6" x14ac:dyDescent="0.25">
      <c r="A21136">
        <v>21135</v>
      </c>
      <c r="B21136">
        <v>10</v>
      </c>
      <c r="C21136">
        <v>1</v>
      </c>
      <c r="D21136">
        <v>0</v>
      </c>
      <c r="E21136">
        <v>0</v>
      </c>
      <c r="F21136">
        <v>5237</v>
      </c>
    </row>
    <row r="21137" spans="1:6" x14ac:dyDescent="0.25">
      <c r="A21137">
        <v>21136</v>
      </c>
      <c r="B21137" t="s">
        <v>0</v>
      </c>
      <c r="C21137">
        <v>170</v>
      </c>
      <c r="D21137">
        <v>3520</v>
      </c>
      <c r="E21137">
        <v>80991008</v>
      </c>
    </row>
    <row r="21138" spans="1:6" x14ac:dyDescent="0.25">
      <c r="A21138">
        <v>21137</v>
      </c>
      <c r="B21138">
        <v>13</v>
      </c>
      <c r="C21138">
        <v>0</v>
      </c>
      <c r="D21138">
        <v>0</v>
      </c>
      <c r="E21138">
        <v>0</v>
      </c>
      <c r="F21138">
        <v>1621</v>
      </c>
    </row>
    <row r="21139" spans="1:6" x14ac:dyDescent="0.25">
      <c r="A21139">
        <v>21138</v>
      </c>
      <c r="B21139">
        <v>41</v>
      </c>
      <c r="C21139">
        <v>0</v>
      </c>
      <c r="D21139">
        <v>0</v>
      </c>
      <c r="E21139">
        <v>0</v>
      </c>
      <c r="F21139">
        <v>1</v>
      </c>
    </row>
    <row r="21140" spans="1:6" x14ac:dyDescent="0.25">
      <c r="A21140">
        <v>21139</v>
      </c>
      <c r="B21140" t="s">
        <v>0</v>
      </c>
      <c r="C21140">
        <v>171</v>
      </c>
      <c r="D21140">
        <v>3520</v>
      </c>
      <c r="E21140">
        <v>80991139</v>
      </c>
    </row>
    <row r="21141" spans="1:6" x14ac:dyDescent="0.25">
      <c r="A21141">
        <v>21140</v>
      </c>
      <c r="B21141">
        <v>42</v>
      </c>
      <c r="C21141">
        <v>0</v>
      </c>
      <c r="D21141">
        <v>0</v>
      </c>
      <c r="E21141">
        <v>0</v>
      </c>
      <c r="F21141">
        <v>0.2</v>
      </c>
    </row>
    <row r="21142" spans="1:6" x14ac:dyDescent="0.25">
      <c r="A21142">
        <v>21141</v>
      </c>
      <c r="B21142">
        <v>43</v>
      </c>
      <c r="C21142">
        <v>0</v>
      </c>
      <c r="D21142">
        <v>0</v>
      </c>
      <c r="E21142">
        <v>0</v>
      </c>
      <c r="F21142">
        <v>0</v>
      </c>
    </row>
    <row r="21143" spans="1:6" x14ac:dyDescent="0.25">
      <c r="A21143">
        <v>21142</v>
      </c>
      <c r="B21143" t="s">
        <v>0</v>
      </c>
      <c r="C21143">
        <v>172</v>
      </c>
      <c r="D21143">
        <v>3520</v>
      </c>
      <c r="E21143">
        <v>80991269</v>
      </c>
    </row>
    <row r="21144" spans="1:6" x14ac:dyDescent="0.25">
      <c r="A21144">
        <v>21143</v>
      </c>
      <c r="B21144">
        <v>44</v>
      </c>
      <c r="C21144">
        <v>0</v>
      </c>
      <c r="D21144">
        <v>0</v>
      </c>
      <c r="E21144">
        <v>0</v>
      </c>
      <c r="F21144">
        <v>45.656199999999998</v>
      </c>
    </row>
    <row r="21145" spans="1:6" x14ac:dyDescent="0.25">
      <c r="A21145">
        <v>21144</v>
      </c>
      <c r="B21145">
        <v>45</v>
      </c>
      <c r="C21145">
        <v>0</v>
      </c>
      <c r="D21145">
        <v>0</v>
      </c>
      <c r="E21145">
        <v>0</v>
      </c>
      <c r="F21145">
        <v>553.47199999999998</v>
      </c>
    </row>
    <row r="21146" spans="1:6" x14ac:dyDescent="0.25">
      <c r="A21146">
        <v>21145</v>
      </c>
      <c r="B21146" t="s">
        <v>0</v>
      </c>
      <c r="C21146">
        <v>173</v>
      </c>
      <c r="D21146">
        <v>3520</v>
      </c>
      <c r="E21146">
        <v>80991399</v>
      </c>
    </row>
    <row r="21147" spans="1:6" x14ac:dyDescent="0.25">
      <c r="A21147">
        <v>21146</v>
      </c>
      <c r="B21147">
        <v>46</v>
      </c>
      <c r="C21147">
        <v>0</v>
      </c>
      <c r="D21147">
        <v>0</v>
      </c>
      <c r="E21147">
        <v>0</v>
      </c>
      <c r="F21147">
        <v>0</v>
      </c>
    </row>
    <row r="21148" spans="1:6" x14ac:dyDescent="0.25">
      <c r="A21148">
        <v>21147</v>
      </c>
      <c r="B21148">
        <v>2</v>
      </c>
      <c r="C21148">
        <v>0</v>
      </c>
      <c r="D21148">
        <v>0</v>
      </c>
      <c r="E21148">
        <v>0</v>
      </c>
      <c r="F21148">
        <v>254.34200000000001</v>
      </c>
    </row>
    <row r="21149" spans="1:6" x14ac:dyDescent="0.25">
      <c r="A21149">
        <v>21148</v>
      </c>
      <c r="B21149" t="s">
        <v>0</v>
      </c>
      <c r="C21149">
        <v>174</v>
      </c>
      <c r="D21149">
        <v>3520</v>
      </c>
      <c r="E21149">
        <v>80991529</v>
      </c>
    </row>
    <row r="21150" spans="1:6" x14ac:dyDescent="0.25">
      <c r="A21150">
        <v>21149</v>
      </c>
      <c r="B21150">
        <v>10</v>
      </c>
      <c r="C21150">
        <v>1</v>
      </c>
      <c r="D21150">
        <v>0</v>
      </c>
      <c r="E21150">
        <v>0</v>
      </c>
      <c r="F21150">
        <v>5237</v>
      </c>
    </row>
    <row r="21151" spans="1:6" x14ac:dyDescent="0.25">
      <c r="A21151">
        <v>21150</v>
      </c>
      <c r="B21151">
        <v>13</v>
      </c>
      <c r="C21151">
        <v>0</v>
      </c>
      <c r="D21151">
        <v>0</v>
      </c>
      <c r="E21151">
        <v>0</v>
      </c>
      <c r="F21151">
        <v>1621</v>
      </c>
    </row>
    <row r="21152" spans="1:6" x14ac:dyDescent="0.25">
      <c r="A21152">
        <v>21151</v>
      </c>
      <c r="B21152" t="s">
        <v>0</v>
      </c>
      <c r="C21152">
        <v>175</v>
      </c>
      <c r="D21152">
        <v>3520</v>
      </c>
      <c r="E21152">
        <v>80991660</v>
      </c>
    </row>
    <row r="21153" spans="1:6" x14ac:dyDescent="0.25">
      <c r="A21153">
        <v>21152</v>
      </c>
      <c r="B21153">
        <v>41</v>
      </c>
      <c r="C21153">
        <v>0</v>
      </c>
      <c r="D21153">
        <v>0</v>
      </c>
      <c r="E21153">
        <v>0</v>
      </c>
      <c r="F21153">
        <v>1</v>
      </c>
    </row>
    <row r="21154" spans="1:6" x14ac:dyDescent="0.25">
      <c r="A21154">
        <v>21153</v>
      </c>
      <c r="B21154">
        <v>42</v>
      </c>
      <c r="C21154">
        <v>0</v>
      </c>
      <c r="D21154">
        <v>0</v>
      </c>
      <c r="E21154">
        <v>0</v>
      </c>
      <c r="F21154">
        <v>0.2</v>
      </c>
    </row>
    <row r="21155" spans="1:6" x14ac:dyDescent="0.25">
      <c r="A21155">
        <v>21154</v>
      </c>
      <c r="B21155">
        <v>43</v>
      </c>
      <c r="C21155">
        <v>0</v>
      </c>
      <c r="D21155">
        <v>0</v>
      </c>
      <c r="E21155">
        <v>0</v>
      </c>
      <c r="F21155">
        <v>0</v>
      </c>
    </row>
    <row r="21156" spans="1:6" x14ac:dyDescent="0.25">
      <c r="A21156">
        <v>21155</v>
      </c>
      <c r="B21156">
        <v>44</v>
      </c>
      <c r="C21156">
        <v>0</v>
      </c>
      <c r="D21156">
        <v>0</v>
      </c>
      <c r="E21156">
        <v>0</v>
      </c>
      <c r="F21156">
        <v>45.662799999999997</v>
      </c>
    </row>
    <row r="21157" spans="1:6" x14ac:dyDescent="0.25">
      <c r="A21157">
        <v>21156</v>
      </c>
      <c r="B21157">
        <v>45</v>
      </c>
      <c r="C21157">
        <v>0</v>
      </c>
      <c r="D21157">
        <v>0</v>
      </c>
      <c r="E21157">
        <v>0</v>
      </c>
      <c r="F21157">
        <v>553.53200000000004</v>
      </c>
    </row>
    <row r="21158" spans="1:6" x14ac:dyDescent="0.25">
      <c r="A21158">
        <v>21157</v>
      </c>
      <c r="B21158">
        <v>46</v>
      </c>
      <c r="C21158">
        <v>0</v>
      </c>
      <c r="D21158">
        <v>0</v>
      </c>
      <c r="E21158">
        <v>0</v>
      </c>
      <c r="F21158">
        <v>0</v>
      </c>
    </row>
    <row r="21159" spans="1:6" x14ac:dyDescent="0.25">
      <c r="A21159">
        <v>21158</v>
      </c>
      <c r="B21159">
        <v>2</v>
      </c>
      <c r="C21159">
        <v>0</v>
      </c>
      <c r="D21159">
        <v>0</v>
      </c>
      <c r="E21159">
        <v>0</v>
      </c>
      <c r="F21159">
        <v>254.33500000000001</v>
      </c>
    </row>
    <row r="21160" spans="1:6" x14ac:dyDescent="0.25">
      <c r="A21160">
        <v>21159</v>
      </c>
      <c r="B21160">
        <v>10</v>
      </c>
      <c r="C21160">
        <v>1</v>
      </c>
      <c r="D21160">
        <v>0</v>
      </c>
      <c r="E21160">
        <v>0</v>
      </c>
      <c r="F21160">
        <v>5238</v>
      </c>
    </row>
    <row r="21161" spans="1:6" x14ac:dyDescent="0.25">
      <c r="A21161">
        <v>21160</v>
      </c>
      <c r="B21161">
        <v>13</v>
      </c>
      <c r="C21161">
        <v>0</v>
      </c>
      <c r="D21161">
        <v>0</v>
      </c>
      <c r="E21161">
        <v>0</v>
      </c>
      <c r="F21161">
        <v>1621</v>
      </c>
    </row>
    <row r="21162" spans="1:6" x14ac:dyDescent="0.25">
      <c r="A21162">
        <v>21161</v>
      </c>
      <c r="B21162">
        <v>41</v>
      </c>
      <c r="C21162">
        <v>0</v>
      </c>
      <c r="D21162">
        <v>0</v>
      </c>
      <c r="E21162">
        <v>0</v>
      </c>
      <c r="F21162">
        <v>1</v>
      </c>
    </row>
    <row r="21163" spans="1:6" x14ac:dyDescent="0.25">
      <c r="A21163">
        <v>21162</v>
      </c>
      <c r="B21163">
        <v>42</v>
      </c>
      <c r="C21163">
        <v>0</v>
      </c>
      <c r="D21163">
        <v>0</v>
      </c>
      <c r="E21163">
        <v>0</v>
      </c>
      <c r="F21163">
        <v>0.2</v>
      </c>
    </row>
    <row r="21164" spans="1:6" x14ac:dyDescent="0.25">
      <c r="A21164">
        <v>21163</v>
      </c>
      <c r="B21164">
        <v>43</v>
      </c>
      <c r="C21164">
        <v>0</v>
      </c>
      <c r="D21164">
        <v>0</v>
      </c>
      <c r="E21164">
        <v>0</v>
      </c>
      <c r="F21164">
        <v>0</v>
      </c>
    </row>
    <row r="21165" spans="1:6" x14ac:dyDescent="0.25">
      <c r="A21165">
        <v>21164</v>
      </c>
      <c r="B21165">
        <v>44</v>
      </c>
      <c r="C21165">
        <v>0</v>
      </c>
      <c r="D21165">
        <v>0</v>
      </c>
      <c r="E21165">
        <v>0</v>
      </c>
      <c r="F21165">
        <v>45.666699999999999</v>
      </c>
    </row>
    <row r="21166" spans="1:6" x14ac:dyDescent="0.25">
      <c r="A21166">
        <v>21165</v>
      </c>
      <c r="B21166">
        <v>45</v>
      </c>
      <c r="C21166">
        <v>0</v>
      </c>
      <c r="D21166">
        <v>0</v>
      </c>
      <c r="E21166">
        <v>0</v>
      </c>
      <c r="F21166">
        <v>553.55600000000004</v>
      </c>
    </row>
    <row r="21167" spans="1:6" x14ac:dyDescent="0.25">
      <c r="A21167">
        <v>21166</v>
      </c>
      <c r="B21167">
        <v>46</v>
      </c>
      <c r="C21167">
        <v>0</v>
      </c>
      <c r="D21167">
        <v>0</v>
      </c>
      <c r="E21167">
        <v>0</v>
      </c>
      <c r="F21167">
        <v>0</v>
      </c>
    </row>
    <row r="21168" spans="1:6" x14ac:dyDescent="0.25">
      <c r="A21168">
        <v>21167</v>
      </c>
      <c r="B21168">
        <v>2</v>
      </c>
      <c r="C21168">
        <v>0</v>
      </c>
      <c r="D21168">
        <v>0</v>
      </c>
      <c r="E21168">
        <v>0</v>
      </c>
      <c r="F21168">
        <v>254.32900000000001</v>
      </c>
    </row>
    <row r="21169" spans="1:6" x14ac:dyDescent="0.25">
      <c r="A21169">
        <v>21168</v>
      </c>
      <c r="B21169">
        <v>10</v>
      </c>
      <c r="C21169">
        <v>1</v>
      </c>
      <c r="D21169">
        <v>0</v>
      </c>
      <c r="E21169">
        <v>0</v>
      </c>
      <c r="F21169">
        <v>5238</v>
      </c>
    </row>
    <row r="21170" spans="1:6" x14ac:dyDescent="0.25">
      <c r="A21170">
        <v>21169</v>
      </c>
      <c r="B21170" t="s">
        <v>0</v>
      </c>
      <c r="C21170">
        <v>4</v>
      </c>
      <c r="D21170">
        <v>3521</v>
      </c>
      <c r="E21170">
        <v>80992838</v>
      </c>
    </row>
    <row r="21171" spans="1:6" x14ac:dyDescent="0.25">
      <c r="A21171">
        <v>21170</v>
      </c>
      <c r="B21171">
        <v>41</v>
      </c>
      <c r="C21171">
        <v>0</v>
      </c>
      <c r="D21171">
        <v>0</v>
      </c>
      <c r="E21171">
        <v>0</v>
      </c>
      <c r="F21171">
        <v>1</v>
      </c>
    </row>
    <row r="21172" spans="1:6" x14ac:dyDescent="0.25">
      <c r="A21172">
        <v>21171</v>
      </c>
      <c r="B21172" t="s">
        <v>0</v>
      </c>
      <c r="C21172">
        <v>5</v>
      </c>
      <c r="D21172">
        <v>3521</v>
      </c>
      <c r="E21172">
        <v>80992969</v>
      </c>
    </row>
    <row r="21173" spans="1:6" x14ac:dyDescent="0.25">
      <c r="A21173">
        <v>21172</v>
      </c>
      <c r="B21173">
        <v>43</v>
      </c>
      <c r="C21173">
        <v>0</v>
      </c>
      <c r="D21173">
        <v>0</v>
      </c>
      <c r="E21173">
        <v>0</v>
      </c>
      <c r="F21173">
        <v>0</v>
      </c>
    </row>
    <row r="21174" spans="1:6" x14ac:dyDescent="0.25">
      <c r="A21174">
        <v>21173</v>
      </c>
      <c r="B21174" t="s">
        <v>0</v>
      </c>
      <c r="C21174">
        <v>6</v>
      </c>
      <c r="D21174">
        <v>3521</v>
      </c>
      <c r="E21174">
        <v>80993100</v>
      </c>
    </row>
    <row r="21175" spans="1:6" x14ac:dyDescent="0.25">
      <c r="A21175">
        <v>21174</v>
      </c>
      <c r="B21175">
        <v>45</v>
      </c>
      <c r="C21175">
        <v>0</v>
      </c>
      <c r="D21175">
        <v>0</v>
      </c>
      <c r="E21175">
        <v>0</v>
      </c>
      <c r="F21175">
        <v>553.61599999999999</v>
      </c>
    </row>
    <row r="21176" spans="1:6" x14ac:dyDescent="0.25">
      <c r="A21176">
        <v>21175</v>
      </c>
      <c r="B21176" t="s">
        <v>0</v>
      </c>
      <c r="C21176">
        <v>7</v>
      </c>
      <c r="D21176">
        <v>3521</v>
      </c>
      <c r="E21176">
        <v>80993230</v>
      </c>
    </row>
    <row r="21177" spans="1:6" x14ac:dyDescent="0.25">
      <c r="A21177">
        <v>21176</v>
      </c>
      <c r="B21177">
        <v>2</v>
      </c>
      <c r="C21177">
        <v>0</v>
      </c>
      <c r="D21177">
        <v>0</v>
      </c>
      <c r="E21177">
        <v>0</v>
      </c>
      <c r="F21177">
        <v>254.327</v>
      </c>
    </row>
    <row r="21178" spans="1:6" x14ac:dyDescent="0.25">
      <c r="A21178">
        <v>21177</v>
      </c>
      <c r="B21178" t="s">
        <v>0</v>
      </c>
      <c r="C21178">
        <v>8</v>
      </c>
      <c r="D21178">
        <v>3521</v>
      </c>
      <c r="E21178">
        <v>80993360</v>
      </c>
    </row>
    <row r="21179" spans="1:6" x14ac:dyDescent="0.25">
      <c r="A21179">
        <v>21178</v>
      </c>
      <c r="B21179">
        <v>13</v>
      </c>
      <c r="C21179">
        <v>0</v>
      </c>
      <c r="D21179">
        <v>0</v>
      </c>
      <c r="E21179">
        <v>0</v>
      </c>
      <c r="F21179">
        <v>1621</v>
      </c>
    </row>
    <row r="21180" spans="1:6" x14ac:dyDescent="0.25">
      <c r="A21180">
        <v>21179</v>
      </c>
      <c r="B21180" t="s">
        <v>0</v>
      </c>
      <c r="C21180">
        <v>9</v>
      </c>
      <c r="D21180">
        <v>3521</v>
      </c>
      <c r="E21180">
        <v>80993490</v>
      </c>
    </row>
    <row r="21181" spans="1:6" x14ac:dyDescent="0.25">
      <c r="A21181">
        <v>21180</v>
      </c>
      <c r="B21181">
        <v>42</v>
      </c>
      <c r="C21181">
        <v>0</v>
      </c>
      <c r="D21181">
        <v>0</v>
      </c>
      <c r="E21181">
        <v>0</v>
      </c>
      <c r="F21181">
        <v>0.2</v>
      </c>
    </row>
    <row r="21182" spans="1:6" x14ac:dyDescent="0.25">
      <c r="A21182">
        <v>21181</v>
      </c>
      <c r="B21182" t="s">
        <v>0</v>
      </c>
      <c r="C21182">
        <v>10</v>
      </c>
      <c r="D21182">
        <v>3521</v>
      </c>
      <c r="E21182">
        <v>80993621</v>
      </c>
    </row>
    <row r="21183" spans="1:6" x14ac:dyDescent="0.25">
      <c r="A21183">
        <v>21182</v>
      </c>
      <c r="B21183">
        <v>44</v>
      </c>
      <c r="C21183">
        <v>0</v>
      </c>
      <c r="D21183">
        <v>0</v>
      </c>
      <c r="E21183">
        <v>0</v>
      </c>
      <c r="F21183">
        <v>45.675600000000003</v>
      </c>
    </row>
    <row r="21184" spans="1:6" x14ac:dyDescent="0.25">
      <c r="A21184">
        <v>21183</v>
      </c>
      <c r="B21184" t="s">
        <v>0</v>
      </c>
      <c r="C21184">
        <v>11</v>
      </c>
      <c r="D21184">
        <v>3521</v>
      </c>
      <c r="E21184">
        <v>80993752</v>
      </c>
    </row>
    <row r="21185" spans="1:6" x14ac:dyDescent="0.25">
      <c r="A21185">
        <v>21184</v>
      </c>
      <c r="B21185">
        <v>46</v>
      </c>
      <c r="C21185">
        <v>0</v>
      </c>
      <c r="D21185">
        <v>0</v>
      </c>
      <c r="E21185">
        <v>0</v>
      </c>
      <c r="F21185">
        <v>0</v>
      </c>
    </row>
    <row r="21186" spans="1:6" x14ac:dyDescent="0.25">
      <c r="A21186">
        <v>21185</v>
      </c>
      <c r="B21186" t="s">
        <v>0</v>
      </c>
      <c r="C21186">
        <v>12</v>
      </c>
      <c r="D21186">
        <v>3521</v>
      </c>
      <c r="E21186">
        <v>80993883</v>
      </c>
    </row>
    <row r="21187" spans="1:6" x14ac:dyDescent="0.25">
      <c r="A21187">
        <v>21186</v>
      </c>
      <c r="B21187">
        <v>10</v>
      </c>
      <c r="C21187">
        <v>1</v>
      </c>
      <c r="D21187">
        <v>0</v>
      </c>
      <c r="E21187">
        <v>0</v>
      </c>
      <c r="F21187">
        <v>5239</v>
      </c>
    </row>
    <row r="21188" spans="1:6" x14ac:dyDescent="0.25">
      <c r="A21188">
        <v>21187</v>
      </c>
      <c r="B21188" t="s">
        <v>0</v>
      </c>
      <c r="C21188">
        <v>13</v>
      </c>
      <c r="D21188">
        <v>3521</v>
      </c>
      <c r="E21188">
        <v>80994013</v>
      </c>
    </row>
    <row r="21189" spans="1:6" x14ac:dyDescent="0.25">
      <c r="A21189">
        <v>21188</v>
      </c>
      <c r="B21189">
        <v>13</v>
      </c>
      <c r="C21189">
        <v>0</v>
      </c>
      <c r="D21189">
        <v>0</v>
      </c>
      <c r="E21189">
        <v>0</v>
      </c>
      <c r="F21189">
        <v>1621</v>
      </c>
    </row>
    <row r="21190" spans="1:6" x14ac:dyDescent="0.25">
      <c r="A21190">
        <v>21189</v>
      </c>
      <c r="B21190">
        <v>41</v>
      </c>
      <c r="C21190">
        <v>0</v>
      </c>
      <c r="D21190">
        <v>0</v>
      </c>
      <c r="E21190">
        <v>0</v>
      </c>
      <c r="F21190">
        <v>1</v>
      </c>
    </row>
    <row r="21191" spans="1:6" x14ac:dyDescent="0.25">
      <c r="A21191">
        <v>21190</v>
      </c>
      <c r="B21191" t="s">
        <v>0</v>
      </c>
      <c r="C21191">
        <v>14</v>
      </c>
      <c r="D21191">
        <v>3521</v>
      </c>
      <c r="E21191">
        <v>80994143</v>
      </c>
    </row>
    <row r="21192" spans="1:6" x14ac:dyDescent="0.25">
      <c r="A21192">
        <v>21191</v>
      </c>
      <c r="B21192">
        <v>42</v>
      </c>
      <c r="C21192">
        <v>0</v>
      </c>
      <c r="D21192">
        <v>0</v>
      </c>
      <c r="E21192">
        <v>0</v>
      </c>
      <c r="F21192">
        <v>0.2</v>
      </c>
    </row>
    <row r="21193" spans="1:6" x14ac:dyDescent="0.25">
      <c r="A21193">
        <v>21192</v>
      </c>
      <c r="B21193">
        <v>43</v>
      </c>
      <c r="C21193">
        <v>0</v>
      </c>
      <c r="D21193">
        <v>0</v>
      </c>
      <c r="E21193">
        <v>0</v>
      </c>
      <c r="F21193">
        <v>0</v>
      </c>
    </row>
    <row r="21194" spans="1:6" x14ac:dyDescent="0.25">
      <c r="A21194">
        <v>21193</v>
      </c>
      <c r="B21194" t="s">
        <v>0</v>
      </c>
      <c r="C21194">
        <v>15</v>
      </c>
      <c r="D21194">
        <v>3521</v>
      </c>
      <c r="E21194">
        <v>80994273</v>
      </c>
    </row>
    <row r="21195" spans="1:6" x14ac:dyDescent="0.25">
      <c r="A21195">
        <v>21194</v>
      </c>
      <c r="B21195">
        <v>44</v>
      </c>
      <c r="C21195">
        <v>0</v>
      </c>
      <c r="D21195">
        <v>0</v>
      </c>
      <c r="E21195">
        <v>0</v>
      </c>
      <c r="F21195">
        <v>45.679099999999998</v>
      </c>
    </row>
    <row r="21196" spans="1:6" x14ac:dyDescent="0.25">
      <c r="A21196">
        <v>21195</v>
      </c>
      <c r="B21196">
        <v>45</v>
      </c>
      <c r="C21196">
        <v>0</v>
      </c>
      <c r="D21196">
        <v>0</v>
      </c>
      <c r="E21196">
        <v>0</v>
      </c>
      <c r="F21196">
        <v>553.72400000000005</v>
      </c>
    </row>
    <row r="21197" spans="1:6" x14ac:dyDescent="0.25">
      <c r="A21197">
        <v>21196</v>
      </c>
      <c r="B21197" t="s">
        <v>0</v>
      </c>
      <c r="C21197">
        <v>16</v>
      </c>
      <c r="D21197">
        <v>3521</v>
      </c>
      <c r="E21197">
        <v>80994403</v>
      </c>
    </row>
    <row r="21198" spans="1:6" x14ac:dyDescent="0.25">
      <c r="A21198">
        <v>21197</v>
      </c>
      <c r="B21198">
        <v>46</v>
      </c>
      <c r="C21198">
        <v>0</v>
      </c>
      <c r="D21198">
        <v>0</v>
      </c>
      <c r="E21198">
        <v>0</v>
      </c>
      <c r="F21198">
        <v>0</v>
      </c>
    </row>
    <row r="21199" spans="1:6" x14ac:dyDescent="0.25">
      <c r="A21199">
        <v>21198</v>
      </c>
      <c r="B21199">
        <v>2</v>
      </c>
      <c r="C21199">
        <v>0</v>
      </c>
      <c r="D21199">
        <v>0</v>
      </c>
      <c r="E21199">
        <v>0</v>
      </c>
      <c r="F21199">
        <v>254.32</v>
      </c>
    </row>
    <row r="21200" spans="1:6" x14ac:dyDescent="0.25">
      <c r="A21200">
        <v>21199</v>
      </c>
      <c r="B21200" t="s">
        <v>0</v>
      </c>
      <c r="C21200">
        <v>17</v>
      </c>
      <c r="D21200">
        <v>3521</v>
      </c>
      <c r="E21200">
        <v>80994534</v>
      </c>
    </row>
    <row r="21201" spans="1:6" x14ac:dyDescent="0.25">
      <c r="A21201">
        <v>21200</v>
      </c>
      <c r="B21201">
        <v>10</v>
      </c>
      <c r="C21201">
        <v>1</v>
      </c>
      <c r="D21201">
        <v>0</v>
      </c>
      <c r="E21201">
        <v>0</v>
      </c>
      <c r="F21201">
        <v>5239</v>
      </c>
    </row>
    <row r="21202" spans="1:6" x14ac:dyDescent="0.25">
      <c r="A21202">
        <v>21201</v>
      </c>
      <c r="B21202">
        <v>13</v>
      </c>
      <c r="C21202">
        <v>0</v>
      </c>
      <c r="D21202">
        <v>0</v>
      </c>
      <c r="E21202">
        <v>0</v>
      </c>
      <c r="F21202">
        <v>1621</v>
      </c>
    </row>
    <row r="21203" spans="1:6" x14ac:dyDescent="0.25">
      <c r="A21203">
        <v>21202</v>
      </c>
      <c r="B21203" t="s">
        <v>0</v>
      </c>
      <c r="C21203">
        <v>18</v>
      </c>
      <c r="D21203">
        <v>3521</v>
      </c>
      <c r="E21203">
        <v>80994665</v>
      </c>
    </row>
    <row r="21204" spans="1:6" x14ac:dyDescent="0.25">
      <c r="A21204">
        <v>21203</v>
      </c>
      <c r="B21204">
        <v>41</v>
      </c>
      <c r="C21204">
        <v>0</v>
      </c>
      <c r="D21204">
        <v>0</v>
      </c>
      <c r="E21204">
        <v>0</v>
      </c>
      <c r="F21204">
        <v>1</v>
      </c>
    </row>
    <row r="21205" spans="1:6" x14ac:dyDescent="0.25">
      <c r="A21205">
        <v>21204</v>
      </c>
      <c r="B21205">
        <v>42</v>
      </c>
      <c r="C21205">
        <v>0</v>
      </c>
      <c r="D21205">
        <v>0</v>
      </c>
      <c r="E21205">
        <v>0</v>
      </c>
      <c r="F21205">
        <v>0.2</v>
      </c>
    </row>
    <row r="21206" spans="1:6" x14ac:dyDescent="0.25">
      <c r="A21206">
        <v>21205</v>
      </c>
      <c r="B21206" t="s">
        <v>0</v>
      </c>
      <c r="C21206">
        <v>19</v>
      </c>
      <c r="D21206">
        <v>3521</v>
      </c>
      <c r="E21206">
        <v>80994796</v>
      </c>
    </row>
    <row r="21207" spans="1:6" x14ac:dyDescent="0.25">
      <c r="A21207">
        <v>21206</v>
      </c>
      <c r="B21207">
        <v>43</v>
      </c>
      <c r="C21207">
        <v>0</v>
      </c>
      <c r="D21207">
        <v>0</v>
      </c>
      <c r="E21207">
        <v>0</v>
      </c>
      <c r="F21207">
        <v>0</v>
      </c>
    </row>
    <row r="21208" spans="1:6" x14ac:dyDescent="0.25">
      <c r="A21208">
        <v>21207</v>
      </c>
      <c r="B21208">
        <v>44</v>
      </c>
      <c r="C21208">
        <v>0</v>
      </c>
      <c r="D21208">
        <v>0</v>
      </c>
      <c r="E21208">
        <v>0</v>
      </c>
      <c r="F21208">
        <v>45.681199999999997</v>
      </c>
    </row>
    <row r="21209" spans="1:6" x14ac:dyDescent="0.25">
      <c r="A21209">
        <v>21208</v>
      </c>
      <c r="B21209" t="s">
        <v>0</v>
      </c>
      <c r="C21209">
        <v>20</v>
      </c>
      <c r="D21209">
        <v>3521</v>
      </c>
      <c r="E21209">
        <v>80994927</v>
      </c>
    </row>
    <row r="21210" spans="1:6" x14ac:dyDescent="0.25">
      <c r="A21210">
        <v>21209</v>
      </c>
      <c r="B21210">
        <v>45</v>
      </c>
      <c r="C21210">
        <v>0</v>
      </c>
      <c r="D21210">
        <v>0</v>
      </c>
      <c r="E21210">
        <v>0</v>
      </c>
      <c r="F21210">
        <v>553.78300000000002</v>
      </c>
    </row>
    <row r="21211" spans="1:6" x14ac:dyDescent="0.25">
      <c r="A21211">
        <v>21210</v>
      </c>
      <c r="B21211">
        <v>46</v>
      </c>
      <c r="C21211">
        <v>0</v>
      </c>
      <c r="D21211">
        <v>0</v>
      </c>
      <c r="E21211">
        <v>0</v>
      </c>
      <c r="F21211">
        <v>0</v>
      </c>
    </row>
    <row r="21212" spans="1:6" x14ac:dyDescent="0.25">
      <c r="A21212">
        <v>21211</v>
      </c>
      <c r="B21212">
        <v>2</v>
      </c>
      <c r="C21212">
        <v>0</v>
      </c>
      <c r="D21212">
        <v>0</v>
      </c>
      <c r="E21212">
        <v>0</v>
      </c>
      <c r="F21212">
        <v>254.315</v>
      </c>
    </row>
    <row r="21213" spans="1:6" x14ac:dyDescent="0.25">
      <c r="A21213">
        <v>21212</v>
      </c>
      <c r="B21213">
        <v>10</v>
      </c>
      <c r="C21213">
        <v>1</v>
      </c>
      <c r="D21213">
        <v>0</v>
      </c>
      <c r="E21213">
        <v>0</v>
      </c>
      <c r="F21213">
        <v>5239</v>
      </c>
    </row>
    <row r="21214" spans="1:6" x14ac:dyDescent="0.25">
      <c r="A21214">
        <v>21213</v>
      </c>
      <c r="B21214">
        <v>13</v>
      </c>
      <c r="C21214">
        <v>0</v>
      </c>
      <c r="D21214">
        <v>0</v>
      </c>
      <c r="E21214">
        <v>0</v>
      </c>
      <c r="F21214">
        <v>1621</v>
      </c>
    </row>
    <row r="21215" spans="1:6" x14ac:dyDescent="0.25">
      <c r="A21215">
        <v>21214</v>
      </c>
      <c r="B21215">
        <v>41</v>
      </c>
      <c r="C21215">
        <v>0</v>
      </c>
      <c r="D21215">
        <v>0</v>
      </c>
      <c r="E21215">
        <v>0</v>
      </c>
      <c r="F21215">
        <v>1</v>
      </c>
    </row>
    <row r="21216" spans="1:6" x14ac:dyDescent="0.25">
      <c r="A21216">
        <v>21215</v>
      </c>
      <c r="B21216">
        <v>42</v>
      </c>
      <c r="C21216">
        <v>0</v>
      </c>
      <c r="D21216">
        <v>0</v>
      </c>
      <c r="E21216">
        <v>0</v>
      </c>
      <c r="F21216">
        <v>0.2</v>
      </c>
    </row>
    <row r="21217" spans="1:6" x14ac:dyDescent="0.25">
      <c r="A21217">
        <v>21216</v>
      </c>
      <c r="B21217">
        <v>43</v>
      </c>
      <c r="C21217">
        <v>0</v>
      </c>
      <c r="D21217">
        <v>0</v>
      </c>
      <c r="E21217">
        <v>0</v>
      </c>
      <c r="F21217">
        <v>0</v>
      </c>
    </row>
    <row r="21218" spans="1:6" x14ac:dyDescent="0.25">
      <c r="A21218">
        <v>21217</v>
      </c>
      <c r="B21218">
        <v>44</v>
      </c>
      <c r="C21218">
        <v>0</v>
      </c>
      <c r="D21218">
        <v>0</v>
      </c>
      <c r="E21218">
        <v>0</v>
      </c>
      <c r="F21218">
        <v>45.683300000000003</v>
      </c>
    </row>
    <row r="21219" spans="1:6" x14ac:dyDescent="0.25">
      <c r="A21219">
        <v>21218</v>
      </c>
      <c r="B21219">
        <v>45</v>
      </c>
      <c r="C21219">
        <v>0</v>
      </c>
      <c r="D21219">
        <v>0</v>
      </c>
      <c r="E21219">
        <v>0</v>
      </c>
      <c r="F21219">
        <v>553.83100000000002</v>
      </c>
    </row>
    <row r="21220" spans="1:6" x14ac:dyDescent="0.25">
      <c r="A21220">
        <v>21219</v>
      </c>
      <c r="B21220">
        <v>46</v>
      </c>
      <c r="C21220">
        <v>0</v>
      </c>
      <c r="D21220">
        <v>0</v>
      </c>
      <c r="E21220">
        <v>0</v>
      </c>
      <c r="F21220">
        <v>0</v>
      </c>
    </row>
    <row r="21221" spans="1:6" x14ac:dyDescent="0.25">
      <c r="A21221">
        <v>21220</v>
      </c>
      <c r="B21221">
        <v>2</v>
      </c>
      <c r="C21221">
        <v>0</v>
      </c>
      <c r="D21221">
        <v>0</v>
      </c>
      <c r="E21221">
        <v>0</v>
      </c>
      <c r="F21221">
        <v>254.316</v>
      </c>
    </row>
    <row r="21222" spans="1:6" x14ac:dyDescent="0.25">
      <c r="A21222">
        <v>21221</v>
      </c>
      <c r="B21222">
        <v>10</v>
      </c>
      <c r="C21222">
        <v>1</v>
      </c>
      <c r="D21222">
        <v>0</v>
      </c>
      <c r="E21222">
        <v>0</v>
      </c>
      <c r="F21222">
        <v>5240</v>
      </c>
    </row>
    <row r="21223" spans="1:6" x14ac:dyDescent="0.25">
      <c r="A21223">
        <v>21222</v>
      </c>
      <c r="B21223">
        <v>13</v>
      </c>
      <c r="C21223">
        <v>0</v>
      </c>
      <c r="D21223">
        <v>0</v>
      </c>
      <c r="E21223">
        <v>0</v>
      </c>
      <c r="F21223">
        <v>1621</v>
      </c>
    </row>
    <row r="21224" spans="1:6" x14ac:dyDescent="0.25">
      <c r="A21224">
        <v>21223</v>
      </c>
      <c r="B21224">
        <v>41</v>
      </c>
      <c r="C21224">
        <v>0</v>
      </c>
      <c r="D21224">
        <v>0</v>
      </c>
      <c r="E21224">
        <v>0</v>
      </c>
      <c r="F21224">
        <v>1</v>
      </c>
    </row>
    <row r="21225" spans="1:6" x14ac:dyDescent="0.25">
      <c r="A21225">
        <v>21224</v>
      </c>
      <c r="B21225" t="s">
        <v>0</v>
      </c>
      <c r="C21225">
        <v>28</v>
      </c>
      <c r="D21225">
        <v>3521</v>
      </c>
      <c r="E21225">
        <v>80995971</v>
      </c>
    </row>
    <row r="21226" spans="1:6" x14ac:dyDescent="0.25">
      <c r="A21226">
        <v>21225</v>
      </c>
      <c r="B21226">
        <v>42</v>
      </c>
      <c r="C21226">
        <v>0</v>
      </c>
      <c r="D21226">
        <v>0</v>
      </c>
      <c r="E21226">
        <v>0</v>
      </c>
      <c r="F21226">
        <v>0.2</v>
      </c>
    </row>
    <row r="21227" spans="1:6" x14ac:dyDescent="0.25">
      <c r="A21227">
        <v>21226</v>
      </c>
      <c r="B21227" t="s">
        <v>0</v>
      </c>
      <c r="C21227">
        <v>29</v>
      </c>
      <c r="D21227">
        <v>3521</v>
      </c>
      <c r="E21227">
        <v>80996101</v>
      </c>
    </row>
    <row r="21228" spans="1:6" x14ac:dyDescent="0.25">
      <c r="A21228">
        <v>21227</v>
      </c>
      <c r="B21228">
        <v>44</v>
      </c>
      <c r="C21228">
        <v>0</v>
      </c>
      <c r="D21228">
        <v>0</v>
      </c>
      <c r="E21228">
        <v>0</v>
      </c>
      <c r="F21228">
        <v>45.685000000000002</v>
      </c>
    </row>
    <row r="21229" spans="1:6" x14ac:dyDescent="0.25">
      <c r="A21229">
        <v>21228</v>
      </c>
      <c r="B21229" t="s">
        <v>0</v>
      </c>
      <c r="C21229">
        <v>30</v>
      </c>
      <c r="D21229">
        <v>3521</v>
      </c>
      <c r="E21229">
        <v>80996231</v>
      </c>
    </row>
    <row r="21230" spans="1:6" x14ac:dyDescent="0.25">
      <c r="A21230">
        <v>21229</v>
      </c>
      <c r="B21230">
        <v>46</v>
      </c>
      <c r="C21230">
        <v>0</v>
      </c>
      <c r="D21230">
        <v>0</v>
      </c>
      <c r="E21230">
        <v>0</v>
      </c>
      <c r="F21230">
        <v>0</v>
      </c>
    </row>
    <row r="21231" spans="1:6" x14ac:dyDescent="0.25">
      <c r="A21231">
        <v>21230</v>
      </c>
      <c r="B21231" t="s">
        <v>0</v>
      </c>
      <c r="C21231">
        <v>31</v>
      </c>
      <c r="D21231">
        <v>3521</v>
      </c>
      <c r="E21231">
        <v>80996361</v>
      </c>
    </row>
    <row r="21232" spans="1:6" x14ac:dyDescent="0.25">
      <c r="A21232">
        <v>21231</v>
      </c>
      <c r="B21232">
        <v>10</v>
      </c>
      <c r="C21232">
        <v>1</v>
      </c>
      <c r="D21232">
        <v>0</v>
      </c>
      <c r="E21232">
        <v>0</v>
      </c>
      <c r="F21232">
        <v>5240</v>
      </c>
    </row>
    <row r="21233" spans="1:6" x14ac:dyDescent="0.25">
      <c r="A21233">
        <v>21232</v>
      </c>
      <c r="B21233" t="s">
        <v>0</v>
      </c>
      <c r="C21233">
        <v>32</v>
      </c>
      <c r="D21233">
        <v>3521</v>
      </c>
      <c r="E21233">
        <v>80996492</v>
      </c>
    </row>
    <row r="21234" spans="1:6" x14ac:dyDescent="0.25">
      <c r="A21234">
        <v>21233</v>
      </c>
      <c r="B21234">
        <v>41</v>
      </c>
      <c r="C21234">
        <v>0</v>
      </c>
      <c r="D21234">
        <v>0</v>
      </c>
      <c r="E21234">
        <v>0</v>
      </c>
      <c r="F21234">
        <v>1</v>
      </c>
    </row>
    <row r="21235" spans="1:6" x14ac:dyDescent="0.25">
      <c r="A21235">
        <v>21234</v>
      </c>
      <c r="B21235" t="s">
        <v>0</v>
      </c>
      <c r="C21235">
        <v>33</v>
      </c>
      <c r="D21235">
        <v>3521</v>
      </c>
      <c r="E21235">
        <v>80996623</v>
      </c>
    </row>
    <row r="21236" spans="1:6" x14ac:dyDescent="0.25">
      <c r="A21236">
        <v>21235</v>
      </c>
      <c r="B21236">
        <v>43</v>
      </c>
      <c r="C21236">
        <v>0</v>
      </c>
      <c r="D21236">
        <v>0</v>
      </c>
      <c r="E21236">
        <v>0</v>
      </c>
      <c r="F21236">
        <v>0</v>
      </c>
    </row>
    <row r="21237" spans="1:6" x14ac:dyDescent="0.25">
      <c r="A21237">
        <v>21236</v>
      </c>
      <c r="B21237" t="s">
        <v>0</v>
      </c>
      <c r="C21237">
        <v>34</v>
      </c>
      <c r="D21237">
        <v>3521</v>
      </c>
      <c r="E21237">
        <v>80996754</v>
      </c>
    </row>
    <row r="21238" spans="1:6" x14ac:dyDescent="0.25">
      <c r="A21238">
        <v>21237</v>
      </c>
      <c r="B21238">
        <v>45</v>
      </c>
      <c r="C21238">
        <v>0</v>
      </c>
      <c r="D21238">
        <v>0</v>
      </c>
      <c r="E21238">
        <v>0</v>
      </c>
      <c r="F21238">
        <v>553.95100000000002</v>
      </c>
    </row>
    <row r="21239" spans="1:6" x14ac:dyDescent="0.25">
      <c r="A21239">
        <v>21238</v>
      </c>
      <c r="B21239" t="s">
        <v>0</v>
      </c>
      <c r="C21239">
        <v>35</v>
      </c>
      <c r="D21239">
        <v>3521</v>
      </c>
      <c r="E21239">
        <v>80996885</v>
      </c>
    </row>
    <row r="21240" spans="1:6" x14ac:dyDescent="0.25">
      <c r="A21240">
        <v>21239</v>
      </c>
      <c r="B21240">
        <v>2</v>
      </c>
      <c r="C21240">
        <v>0</v>
      </c>
      <c r="D21240">
        <v>0</v>
      </c>
      <c r="E21240">
        <v>0</v>
      </c>
      <c r="F21240">
        <v>254.31399999999999</v>
      </c>
    </row>
    <row r="21241" spans="1:6" x14ac:dyDescent="0.25">
      <c r="A21241">
        <v>21240</v>
      </c>
      <c r="B21241" t="s">
        <v>0</v>
      </c>
      <c r="C21241">
        <v>36</v>
      </c>
      <c r="D21241">
        <v>3521</v>
      </c>
      <c r="E21241">
        <v>80997016</v>
      </c>
    </row>
    <row r="21242" spans="1:6" x14ac:dyDescent="0.25">
      <c r="A21242">
        <v>21241</v>
      </c>
      <c r="B21242">
        <v>13</v>
      </c>
      <c r="C21242">
        <v>0</v>
      </c>
      <c r="D21242">
        <v>0</v>
      </c>
      <c r="E21242">
        <v>0</v>
      </c>
      <c r="F21242">
        <v>1621</v>
      </c>
    </row>
    <row r="21243" spans="1:6" x14ac:dyDescent="0.25">
      <c r="A21243">
        <v>21242</v>
      </c>
      <c r="B21243" t="s">
        <v>0</v>
      </c>
      <c r="C21243">
        <v>37</v>
      </c>
      <c r="D21243">
        <v>3521</v>
      </c>
      <c r="E21243">
        <v>80997146</v>
      </c>
    </row>
    <row r="21244" spans="1:6" x14ac:dyDescent="0.25">
      <c r="A21244">
        <v>21243</v>
      </c>
      <c r="B21244">
        <v>41</v>
      </c>
      <c r="C21244">
        <v>0</v>
      </c>
      <c r="D21244">
        <v>0</v>
      </c>
      <c r="E21244">
        <v>0</v>
      </c>
      <c r="F21244">
        <v>1</v>
      </c>
    </row>
    <row r="21245" spans="1:6" x14ac:dyDescent="0.25">
      <c r="A21245">
        <v>21244</v>
      </c>
      <c r="B21245">
        <v>42</v>
      </c>
      <c r="C21245">
        <v>0</v>
      </c>
      <c r="D21245">
        <v>0</v>
      </c>
      <c r="E21245">
        <v>0</v>
      </c>
      <c r="F21245">
        <v>0.2</v>
      </c>
    </row>
    <row r="21246" spans="1:6" x14ac:dyDescent="0.25">
      <c r="A21246">
        <v>21245</v>
      </c>
      <c r="B21246" t="s">
        <v>0</v>
      </c>
      <c r="C21246">
        <v>38</v>
      </c>
      <c r="D21246">
        <v>3521</v>
      </c>
      <c r="E21246">
        <v>80997276</v>
      </c>
    </row>
    <row r="21247" spans="1:6" x14ac:dyDescent="0.25">
      <c r="A21247">
        <v>21246</v>
      </c>
      <c r="B21247">
        <v>43</v>
      </c>
      <c r="C21247">
        <v>0</v>
      </c>
      <c r="D21247">
        <v>0</v>
      </c>
      <c r="E21247">
        <v>0</v>
      </c>
      <c r="F21247">
        <v>0</v>
      </c>
    </row>
    <row r="21248" spans="1:6" x14ac:dyDescent="0.25">
      <c r="A21248">
        <v>21247</v>
      </c>
      <c r="B21248">
        <v>44</v>
      </c>
      <c r="C21248">
        <v>0</v>
      </c>
      <c r="D21248">
        <v>0</v>
      </c>
      <c r="E21248">
        <v>0</v>
      </c>
      <c r="F21248">
        <v>45.687100000000001</v>
      </c>
    </row>
    <row r="21249" spans="1:6" x14ac:dyDescent="0.25">
      <c r="A21249">
        <v>21248</v>
      </c>
      <c r="B21249" t="s">
        <v>0</v>
      </c>
      <c r="C21249">
        <v>39</v>
      </c>
      <c r="D21249">
        <v>3521</v>
      </c>
      <c r="E21249">
        <v>80997406</v>
      </c>
    </row>
    <row r="21250" spans="1:6" x14ac:dyDescent="0.25">
      <c r="A21250">
        <v>21249</v>
      </c>
      <c r="B21250">
        <v>45</v>
      </c>
      <c r="C21250">
        <v>0</v>
      </c>
      <c r="D21250">
        <v>0</v>
      </c>
      <c r="E21250">
        <v>0</v>
      </c>
      <c r="F21250">
        <v>554.01099999999997</v>
      </c>
    </row>
    <row r="21251" spans="1:6" x14ac:dyDescent="0.25">
      <c r="A21251">
        <v>21250</v>
      </c>
      <c r="B21251">
        <v>46</v>
      </c>
      <c r="C21251">
        <v>0</v>
      </c>
      <c r="D21251">
        <v>0</v>
      </c>
      <c r="E21251">
        <v>0</v>
      </c>
      <c r="F21251">
        <v>0</v>
      </c>
    </row>
    <row r="21252" spans="1:6" x14ac:dyDescent="0.25">
      <c r="A21252">
        <v>21251</v>
      </c>
      <c r="B21252" t="s">
        <v>0</v>
      </c>
      <c r="C21252">
        <v>40</v>
      </c>
      <c r="D21252">
        <v>3521</v>
      </c>
      <c r="E21252">
        <v>80997537</v>
      </c>
    </row>
    <row r="21253" spans="1:6" x14ac:dyDescent="0.25">
      <c r="A21253">
        <v>21252</v>
      </c>
      <c r="B21253">
        <v>2</v>
      </c>
      <c r="C21253">
        <v>0</v>
      </c>
      <c r="D21253">
        <v>0</v>
      </c>
      <c r="E21253">
        <v>0</v>
      </c>
      <c r="F21253">
        <v>254.31299999999999</v>
      </c>
    </row>
    <row r="21254" spans="1:6" x14ac:dyDescent="0.25">
      <c r="A21254">
        <v>21253</v>
      </c>
      <c r="B21254">
        <v>10</v>
      </c>
      <c r="C21254">
        <v>1</v>
      </c>
      <c r="D21254">
        <v>0</v>
      </c>
      <c r="E21254">
        <v>0</v>
      </c>
      <c r="F21254">
        <v>5241</v>
      </c>
    </row>
    <row r="21255" spans="1:6" x14ac:dyDescent="0.25">
      <c r="A21255">
        <v>21254</v>
      </c>
      <c r="B21255" t="s">
        <v>0</v>
      </c>
      <c r="C21255">
        <v>41</v>
      </c>
      <c r="D21255">
        <v>3521</v>
      </c>
      <c r="E21255">
        <v>80997668</v>
      </c>
    </row>
    <row r="21256" spans="1:6" x14ac:dyDescent="0.25">
      <c r="A21256">
        <v>21255</v>
      </c>
      <c r="B21256">
        <v>13</v>
      </c>
      <c r="C21256">
        <v>0</v>
      </c>
      <c r="D21256">
        <v>0</v>
      </c>
      <c r="E21256">
        <v>0</v>
      </c>
      <c r="F21256">
        <v>1621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872"/>
  <sheetViews>
    <sheetView tabSelected="1" workbookViewId="0">
      <pane ySplit="1" topLeftCell="A98" activePane="bottomLeft" state="frozenSplit"/>
      <selection pane="bottomLeft" activeCell="J88" sqref="J88"/>
    </sheetView>
  </sheetViews>
  <sheetFormatPr defaultRowHeight="15" x14ac:dyDescent="0.25"/>
  <sheetData>
    <row r="1" spans="1:15" x14ac:dyDescent="0.25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  <c r="O1" t="s">
        <v>17</v>
      </c>
    </row>
    <row r="3" spans="1:15" x14ac:dyDescent="0.25">
      <c r="D3" s="1">
        <f>34.406</f>
        <v>34.405999999999999</v>
      </c>
      <c r="E3" s="1">
        <f>5691</f>
        <v>5691</v>
      </c>
      <c r="F3" s="1">
        <f>1602</f>
        <v>1602</v>
      </c>
      <c r="G3" s="1">
        <f>1</f>
        <v>1</v>
      </c>
      <c r="L3" s="1">
        <f>0</f>
        <v>0</v>
      </c>
    </row>
    <row r="4" spans="1:15" x14ac:dyDescent="0.25">
      <c r="A4">
        <f>79732716*0.00001</f>
        <v>797.32716000000005</v>
      </c>
      <c r="B4">
        <v>3481</v>
      </c>
      <c r="C4">
        <v>159</v>
      </c>
      <c r="D4" s="1">
        <f>34.4059</f>
        <v>34.405900000000003</v>
      </c>
      <c r="E4" s="1">
        <f>5691</f>
        <v>5691</v>
      </c>
      <c r="F4" s="1">
        <f>1602</f>
        <v>1602</v>
      </c>
      <c r="G4" s="1">
        <f>1</f>
        <v>1</v>
      </c>
      <c r="H4" s="1">
        <f>0.2</f>
        <v>0.2</v>
      </c>
      <c r="I4" s="1">
        <f>0</f>
        <v>0</v>
      </c>
      <c r="J4" s="1">
        <f>265.594</f>
        <v>265.59399999999999</v>
      </c>
      <c r="K4" s="1">
        <f>1515.77</f>
        <v>1515.77</v>
      </c>
      <c r="L4" s="1">
        <f>0</f>
        <v>0</v>
      </c>
    </row>
    <row r="5" spans="1:15" x14ac:dyDescent="0.25">
      <c r="A5">
        <f>79733683*0.00001</f>
        <v>797.33683000000008</v>
      </c>
      <c r="B5">
        <v>3481</v>
      </c>
      <c r="C5">
        <v>160</v>
      </c>
      <c r="D5" s="1">
        <f>34.4059</f>
        <v>34.405900000000003</v>
      </c>
      <c r="E5" s="1">
        <f>5691</f>
        <v>5691</v>
      </c>
      <c r="F5" s="1">
        <f>1602</f>
        <v>1602</v>
      </c>
      <c r="G5" s="1">
        <f>1</f>
        <v>1</v>
      </c>
      <c r="H5" s="1">
        <f>0.2</f>
        <v>0.2</v>
      </c>
      <c r="I5" s="1">
        <f>0</f>
        <v>0</v>
      </c>
      <c r="J5" s="1">
        <f>265.594</f>
        <v>265.59399999999999</v>
      </c>
      <c r="K5" s="1">
        <f>1516.8</f>
        <v>1516.8</v>
      </c>
      <c r="L5" s="1">
        <f>0</f>
        <v>0</v>
      </c>
    </row>
    <row r="6" spans="1:15" x14ac:dyDescent="0.25">
      <c r="A6">
        <f>79735619*0.00001</f>
        <v>797.35619000000008</v>
      </c>
      <c r="B6">
        <v>3481</v>
      </c>
      <c r="C6">
        <v>162</v>
      </c>
      <c r="D6" s="1">
        <f>34.406</f>
        <v>34.405999999999999</v>
      </c>
      <c r="E6" s="1">
        <f>5691</f>
        <v>5691</v>
      </c>
      <c r="F6" s="1">
        <f>1602</f>
        <v>1602</v>
      </c>
      <c r="G6" s="1">
        <f>1</f>
        <v>1</v>
      </c>
      <c r="H6" s="1">
        <f>0.2</f>
        <v>0.2</v>
      </c>
      <c r="I6" s="1">
        <f>0</f>
        <v>0</v>
      </c>
      <c r="J6" s="1">
        <f>265.594</f>
        <v>265.59399999999999</v>
      </c>
      <c r="K6" s="1">
        <f>1517.32</f>
        <v>1517.32</v>
      </c>
      <c r="L6" s="1">
        <f>0</f>
        <v>0</v>
      </c>
    </row>
    <row r="7" spans="1:15" x14ac:dyDescent="0.25">
      <c r="A7">
        <f>79736587*0.00001</f>
        <v>797.36587000000009</v>
      </c>
      <c r="B7">
        <v>3481</v>
      </c>
      <c r="C7">
        <v>163</v>
      </c>
      <c r="D7" s="1">
        <f>34.4061</f>
        <v>34.406100000000002</v>
      </c>
      <c r="E7" s="1">
        <f>5691</f>
        <v>5691</v>
      </c>
      <c r="F7" s="1">
        <f>1602</f>
        <v>1602</v>
      </c>
      <c r="G7" s="1">
        <f>1</f>
        <v>1</v>
      </c>
      <c r="H7" s="1">
        <f>0.2</f>
        <v>0.2</v>
      </c>
      <c r="I7" s="1">
        <f>0</f>
        <v>0</v>
      </c>
      <c r="J7" s="1">
        <f>265.594</f>
        <v>265.59399999999999</v>
      </c>
      <c r="K7" s="1">
        <f>1517.83</f>
        <v>1517.83</v>
      </c>
      <c r="L7" s="1">
        <f>0</f>
        <v>0</v>
      </c>
    </row>
    <row r="8" spans="1:15" x14ac:dyDescent="0.25">
      <c r="A8">
        <f>79737554*0.00001</f>
        <v>797.37554000000011</v>
      </c>
      <c r="B8">
        <v>3481</v>
      </c>
      <c r="C8">
        <v>164</v>
      </c>
      <c r="D8" s="1">
        <f>34.4067</f>
        <v>34.406700000000001</v>
      </c>
      <c r="E8" s="1">
        <f>5691</f>
        <v>5691</v>
      </c>
      <c r="F8" s="1">
        <f>1602</f>
        <v>1602</v>
      </c>
      <c r="G8" s="1">
        <f>1</f>
        <v>1</v>
      </c>
      <c r="H8" s="1">
        <f>0.2</f>
        <v>0.2</v>
      </c>
      <c r="I8" s="1">
        <f>0</f>
        <v>0</v>
      </c>
      <c r="J8" s="1">
        <f>265.593</f>
        <v>265.59300000000002</v>
      </c>
      <c r="K8" s="1">
        <f>1518.35</f>
        <v>1518.35</v>
      </c>
      <c r="L8" s="1">
        <f>0</f>
        <v>0</v>
      </c>
    </row>
    <row r="9" spans="1:15" x14ac:dyDescent="0.25">
      <c r="A9">
        <f>79738522*0.00001</f>
        <v>797.38522000000012</v>
      </c>
      <c r="B9">
        <v>3481</v>
      </c>
      <c r="C9">
        <v>165</v>
      </c>
      <c r="D9" s="1">
        <f>34.4061</f>
        <v>34.406100000000002</v>
      </c>
      <c r="E9" s="1">
        <f>5691</f>
        <v>5691</v>
      </c>
      <c r="F9" s="1">
        <f>1602</f>
        <v>1602</v>
      </c>
      <c r="G9" s="1">
        <f>1</f>
        <v>1</v>
      </c>
      <c r="H9" s="1">
        <f>0.2</f>
        <v>0.2</v>
      </c>
      <c r="I9" s="1">
        <f>0</f>
        <v>0</v>
      </c>
      <c r="J9" s="1">
        <f>265.594</f>
        <v>265.59399999999999</v>
      </c>
      <c r="K9" s="1">
        <f>1519.38</f>
        <v>1519.38</v>
      </c>
      <c r="L9" s="1">
        <f>0</f>
        <v>0</v>
      </c>
    </row>
    <row r="10" spans="1:15" x14ac:dyDescent="0.25">
      <c r="A10">
        <f>79740457*0.00001</f>
        <v>797.40457000000004</v>
      </c>
      <c r="B10">
        <v>3481</v>
      </c>
      <c r="C10">
        <v>167</v>
      </c>
      <c r="D10" s="1">
        <f>34.4064</f>
        <v>34.406399999999998</v>
      </c>
      <c r="E10" s="1">
        <f>5691</f>
        <v>5691</v>
      </c>
      <c r="F10" s="1">
        <f>1602</f>
        <v>1602</v>
      </c>
      <c r="G10" s="1">
        <f>1</f>
        <v>1</v>
      </c>
      <c r="H10" s="1">
        <f>0.2</f>
        <v>0.2</v>
      </c>
      <c r="I10" s="1">
        <f>0</f>
        <v>0</v>
      </c>
      <c r="J10" s="1">
        <f>265.594</f>
        <v>265.59399999999999</v>
      </c>
      <c r="K10" s="1">
        <f>1519.89</f>
        <v>1519.89</v>
      </c>
      <c r="L10" s="1">
        <f>0</f>
        <v>0</v>
      </c>
    </row>
    <row r="11" spans="1:15" x14ac:dyDescent="0.25">
      <c r="A11">
        <f>79741425*0.00001</f>
        <v>797.41425000000004</v>
      </c>
      <c r="B11">
        <v>3481</v>
      </c>
      <c r="C11">
        <v>168</v>
      </c>
      <c r="D11" s="1">
        <f>34.4068</f>
        <v>34.406799999999997</v>
      </c>
      <c r="E11" s="1">
        <f>5691</f>
        <v>5691</v>
      </c>
      <c r="F11" s="1">
        <f>1602</f>
        <v>1602</v>
      </c>
      <c r="G11" s="1">
        <f>1</f>
        <v>1</v>
      </c>
      <c r="H11" s="1">
        <f>0.2</f>
        <v>0.2</v>
      </c>
      <c r="I11" s="1">
        <f>0</f>
        <v>0</v>
      </c>
      <c r="J11" s="1">
        <f>265.593</f>
        <v>265.59300000000002</v>
      </c>
      <c r="K11" s="1">
        <f>1520.4</f>
        <v>1520.4</v>
      </c>
      <c r="L11" s="1">
        <f>0</f>
        <v>0</v>
      </c>
    </row>
    <row r="12" spans="1:15" x14ac:dyDescent="0.25">
      <c r="A12">
        <f>79742393*0.00001</f>
        <v>797.42393000000004</v>
      </c>
      <c r="B12">
        <v>3481</v>
      </c>
      <c r="C12">
        <v>169</v>
      </c>
      <c r="D12" s="1">
        <f>34.4069</f>
        <v>34.4069</v>
      </c>
      <c r="E12" s="1">
        <f>5691</f>
        <v>5691</v>
      </c>
      <c r="F12" s="1">
        <f>1602</f>
        <v>1602</v>
      </c>
      <c r="G12" s="1">
        <f>1</f>
        <v>1</v>
      </c>
      <c r="H12" s="1">
        <f>0.2</f>
        <v>0.2</v>
      </c>
      <c r="I12" s="1">
        <f>0</f>
        <v>0</v>
      </c>
      <c r="J12" s="1">
        <f>265.593</f>
        <v>265.59300000000002</v>
      </c>
      <c r="K12" s="1">
        <f>1520.92</f>
        <v>1520.92</v>
      </c>
      <c r="L12" s="1">
        <f>0</f>
        <v>0</v>
      </c>
    </row>
    <row r="13" spans="1:15" x14ac:dyDescent="0.25">
      <c r="A13">
        <f>79743361*0.00001</f>
        <v>797.43361000000004</v>
      </c>
      <c r="B13">
        <v>3481</v>
      </c>
      <c r="C13">
        <v>170</v>
      </c>
      <c r="D13" s="1">
        <f>34.407</f>
        <v>34.406999999999996</v>
      </c>
      <c r="E13" s="1">
        <f>5691</f>
        <v>5691</v>
      </c>
      <c r="F13" s="1">
        <f>1602</f>
        <v>1602</v>
      </c>
      <c r="G13" s="1">
        <f>1</f>
        <v>1</v>
      </c>
      <c r="H13" s="1">
        <f>0.2</f>
        <v>0.2</v>
      </c>
      <c r="I13" s="1">
        <f>0</f>
        <v>0</v>
      </c>
      <c r="J13" s="1">
        <f>265.593</f>
        <v>265.59300000000002</v>
      </c>
      <c r="K13" s="1">
        <f>1522.46</f>
        <v>1522.46</v>
      </c>
      <c r="L13" s="1">
        <f>0</f>
        <v>0</v>
      </c>
    </row>
    <row r="14" spans="1:15" x14ac:dyDescent="0.25">
      <c r="A14">
        <f>79746265*0.00001</f>
        <v>797.46265000000005</v>
      </c>
      <c r="B14">
        <v>3481</v>
      </c>
      <c r="C14">
        <v>173</v>
      </c>
      <c r="D14" s="1">
        <f>34.4067</f>
        <v>34.406700000000001</v>
      </c>
      <c r="E14" s="1">
        <f>5691</f>
        <v>5691</v>
      </c>
      <c r="F14" s="1">
        <f>1602</f>
        <v>1602</v>
      </c>
      <c r="G14" s="1">
        <f>1</f>
        <v>1</v>
      </c>
      <c r="H14" s="1">
        <f>0.2</f>
        <v>0.2</v>
      </c>
      <c r="I14" s="1">
        <f>0</f>
        <v>0</v>
      </c>
      <c r="J14" s="1">
        <f>265.593</f>
        <v>265.59300000000002</v>
      </c>
      <c r="K14" s="1">
        <f>1522.98</f>
        <v>1522.98</v>
      </c>
      <c r="L14" s="1">
        <f>0</f>
        <v>0</v>
      </c>
    </row>
    <row r="15" spans="1:15" x14ac:dyDescent="0.25">
      <c r="A15">
        <f>79747233*0.00001</f>
        <v>797.47233000000006</v>
      </c>
      <c r="B15">
        <v>3481</v>
      </c>
      <c r="C15">
        <v>174</v>
      </c>
      <c r="D15" s="1">
        <f>34.4068</f>
        <v>34.406799999999997</v>
      </c>
      <c r="E15" s="1">
        <f>5691</f>
        <v>5691</v>
      </c>
      <c r="F15" s="1">
        <f>1602</f>
        <v>1602</v>
      </c>
      <c r="G15" s="1">
        <f>1</f>
        <v>1</v>
      </c>
      <c r="H15" s="1">
        <f>0.2</f>
        <v>0.2</v>
      </c>
      <c r="I15" s="1">
        <f>0</f>
        <v>0</v>
      </c>
      <c r="J15" s="1">
        <f>265.593</f>
        <v>265.59300000000002</v>
      </c>
      <c r="K15" s="1">
        <f>1523.49</f>
        <v>1523.49</v>
      </c>
      <c r="L15" s="1">
        <f>0</f>
        <v>0</v>
      </c>
    </row>
    <row r="16" spans="1:15" x14ac:dyDescent="0.25">
      <c r="A16">
        <f>79748201*0.00001</f>
        <v>797.48201000000006</v>
      </c>
      <c r="B16">
        <v>3481</v>
      </c>
      <c r="C16">
        <v>175</v>
      </c>
      <c r="D16" s="1">
        <f>34.408</f>
        <v>34.408000000000001</v>
      </c>
      <c r="E16" s="1">
        <f>5691</f>
        <v>5691</v>
      </c>
      <c r="F16" s="1">
        <f>1602</f>
        <v>1602</v>
      </c>
      <c r="G16" s="1">
        <f>1</f>
        <v>1</v>
      </c>
      <c r="H16" s="1">
        <f>0.2</f>
        <v>0.2</v>
      </c>
      <c r="I16" s="1">
        <f>0</f>
        <v>0</v>
      </c>
      <c r="J16" s="1">
        <f>265.592</f>
        <v>265.59199999999998</v>
      </c>
      <c r="K16" s="1">
        <f>1525.04</f>
        <v>1525.04</v>
      </c>
      <c r="L16" s="1">
        <f>0</f>
        <v>0</v>
      </c>
    </row>
    <row r="17" spans="1:16" x14ac:dyDescent="0.25">
      <c r="A17">
        <f>79751103*0.00001</f>
        <v>797.51103000000012</v>
      </c>
      <c r="B17">
        <v>3481</v>
      </c>
      <c r="C17">
        <v>178</v>
      </c>
      <c r="D17" s="1">
        <f>34.4073</f>
        <v>34.407299999999999</v>
      </c>
      <c r="E17" s="1">
        <f>5691</f>
        <v>5691</v>
      </c>
      <c r="F17" s="1">
        <f>1602</f>
        <v>1602</v>
      </c>
      <c r="G17" s="1">
        <f>1</f>
        <v>1</v>
      </c>
      <c r="H17" s="1">
        <f>0.2</f>
        <v>0.2</v>
      </c>
      <c r="I17" s="1">
        <f>0</f>
        <v>0</v>
      </c>
      <c r="J17" s="1">
        <f>265.593</f>
        <v>265.59300000000002</v>
      </c>
      <c r="K17" s="1">
        <f>1525.55</f>
        <v>1525.55</v>
      </c>
      <c r="L17" s="1">
        <f>0</f>
        <v>0</v>
      </c>
    </row>
    <row r="18" spans="1:16" s="2" customFormat="1" x14ac:dyDescent="0.25">
      <c r="A18" s="2">
        <f>79753039*0.00001</f>
        <v>797.53039000000001</v>
      </c>
      <c r="B18" s="2">
        <v>3482</v>
      </c>
      <c r="C18" s="2">
        <v>0</v>
      </c>
      <c r="D18" s="1">
        <f>34.408</f>
        <v>34.408000000000001</v>
      </c>
      <c r="E18" s="1">
        <f>5691</f>
        <v>5691</v>
      </c>
      <c r="F18" s="1">
        <f>1602</f>
        <v>1602</v>
      </c>
      <c r="G18" s="1">
        <f>1</f>
        <v>1</v>
      </c>
      <c r="H18" s="1">
        <f>0.2</f>
        <v>0.2</v>
      </c>
      <c r="I18" s="1">
        <f>0</f>
        <v>0</v>
      </c>
      <c r="J18" s="1">
        <f>265.592</f>
        <v>265.59199999999998</v>
      </c>
      <c r="K18" s="1">
        <f>1526.58</f>
        <v>1526.58</v>
      </c>
      <c r="L18" s="1">
        <f>0</f>
        <v>0</v>
      </c>
      <c r="P18" s="2">
        <v>1602</v>
      </c>
    </row>
    <row r="19" spans="1:16" x14ac:dyDescent="0.25">
      <c r="A19">
        <f>79755942*0.00001</f>
        <v>797.55942000000005</v>
      </c>
      <c r="B19">
        <v>3482</v>
      </c>
      <c r="C19">
        <v>3</v>
      </c>
      <c r="D19" s="1">
        <f>34.408</f>
        <v>34.408000000000001</v>
      </c>
      <c r="E19" s="1">
        <f>5691</f>
        <v>5691</v>
      </c>
      <c r="F19" s="1">
        <f>1602</f>
        <v>1602</v>
      </c>
      <c r="G19" s="1">
        <f>1</f>
        <v>1</v>
      </c>
      <c r="H19" s="1">
        <f>0.2</f>
        <v>0.2</v>
      </c>
      <c r="I19" s="1">
        <f>0</f>
        <v>0</v>
      </c>
      <c r="J19" s="1">
        <f>265.592</f>
        <v>265.59199999999998</v>
      </c>
      <c r="K19" s="1">
        <f>1527.09</f>
        <v>1527.09</v>
      </c>
      <c r="L19" s="1">
        <f>0</f>
        <v>0</v>
      </c>
    </row>
    <row r="20" spans="1:16" x14ac:dyDescent="0.25">
      <c r="A20">
        <f>79756910*0.00001</f>
        <v>797.56910000000005</v>
      </c>
      <c r="B20">
        <v>3482</v>
      </c>
      <c r="C20">
        <v>4</v>
      </c>
      <c r="D20" s="1">
        <f>34.4082</f>
        <v>34.408200000000001</v>
      </c>
      <c r="E20" s="1">
        <f>5691</f>
        <v>5691</v>
      </c>
      <c r="F20" s="1">
        <f>1602</f>
        <v>1602</v>
      </c>
      <c r="G20" s="1">
        <f>1</f>
        <v>1</v>
      </c>
      <c r="H20" s="1">
        <f>0.2</f>
        <v>0.2</v>
      </c>
      <c r="I20" s="1">
        <f>0</f>
        <v>0</v>
      </c>
      <c r="J20" s="1">
        <f>265.592</f>
        <v>265.59199999999998</v>
      </c>
      <c r="K20" s="1">
        <f>1527.61</f>
        <v>1527.61</v>
      </c>
      <c r="L20" s="1">
        <f>0</f>
        <v>0</v>
      </c>
    </row>
    <row r="21" spans="1:16" x14ac:dyDescent="0.25">
      <c r="A21">
        <f>79757878*0.00001</f>
        <v>797.57878000000005</v>
      </c>
      <c r="B21">
        <v>3482</v>
      </c>
      <c r="C21">
        <v>5</v>
      </c>
      <c r="D21" s="1">
        <f>34.4082</f>
        <v>34.408200000000001</v>
      </c>
      <c r="E21" s="1">
        <f>5691</f>
        <v>5691</v>
      </c>
      <c r="F21" s="1">
        <f>1602</f>
        <v>1602</v>
      </c>
      <c r="G21" s="1">
        <f>1</f>
        <v>1</v>
      </c>
      <c r="H21" s="1">
        <f>0.2</f>
        <v>0.2</v>
      </c>
      <c r="I21" s="1">
        <f>0</f>
        <v>0</v>
      </c>
      <c r="J21" s="1">
        <f>265.592</f>
        <v>265.59199999999998</v>
      </c>
      <c r="K21" s="1">
        <f>1528.12</f>
        <v>1528.12</v>
      </c>
      <c r="L21" s="1">
        <f>0</f>
        <v>0</v>
      </c>
    </row>
    <row r="22" spans="1:16" x14ac:dyDescent="0.25">
      <c r="A22">
        <f>79758846*0.00001</f>
        <v>797.58846000000005</v>
      </c>
      <c r="B22">
        <v>3482</v>
      </c>
      <c r="C22">
        <v>6</v>
      </c>
      <c r="D22" s="1">
        <f>34.4078</f>
        <v>34.407800000000002</v>
      </c>
      <c r="E22" s="1">
        <f>5691</f>
        <v>5691</v>
      </c>
      <c r="F22" s="1">
        <f>1602</f>
        <v>1602</v>
      </c>
      <c r="G22" s="1">
        <f>1</f>
        <v>1</v>
      </c>
      <c r="H22" s="1">
        <f>0.2</f>
        <v>0.2</v>
      </c>
      <c r="I22" s="1">
        <f>0</f>
        <v>0</v>
      </c>
      <c r="J22" s="1">
        <f>265.592</f>
        <v>265.59199999999998</v>
      </c>
      <c r="K22" s="1">
        <f>1529.15</f>
        <v>1529.15</v>
      </c>
      <c r="L22" s="1">
        <f>0</f>
        <v>0</v>
      </c>
    </row>
    <row r="23" spans="1:16" x14ac:dyDescent="0.25">
      <c r="A23">
        <f>79760781*0.00001</f>
        <v>797.60781000000009</v>
      </c>
      <c r="B23">
        <v>3482</v>
      </c>
      <c r="C23">
        <v>8</v>
      </c>
      <c r="D23" s="1">
        <f>34.4075</f>
        <v>34.407499999999999</v>
      </c>
      <c r="E23" s="1">
        <f>5691</f>
        <v>5691</v>
      </c>
      <c r="F23" s="1">
        <f>1602</f>
        <v>1602</v>
      </c>
      <c r="G23" s="1">
        <f>1</f>
        <v>1</v>
      </c>
      <c r="H23" s="1">
        <f>0.2</f>
        <v>0.2</v>
      </c>
      <c r="I23" s="1">
        <f>0</f>
        <v>0</v>
      </c>
      <c r="J23" s="1">
        <f>265.593</f>
        <v>265.59300000000002</v>
      </c>
      <c r="K23" s="1">
        <f>1529.67</f>
        <v>1529.67</v>
      </c>
      <c r="L23" s="1">
        <f>0</f>
        <v>0</v>
      </c>
    </row>
    <row r="24" spans="1:16" x14ac:dyDescent="0.25">
      <c r="A24">
        <f>79761749*0.00001</f>
        <v>797.61749000000009</v>
      </c>
      <c r="B24">
        <v>3482</v>
      </c>
      <c r="C24">
        <v>9</v>
      </c>
      <c r="D24" s="1">
        <f>34.407</f>
        <v>34.406999999999996</v>
      </c>
      <c r="E24" s="1">
        <f>5691</f>
        <v>5691</v>
      </c>
      <c r="F24" s="1">
        <f>1602</f>
        <v>1602</v>
      </c>
      <c r="G24" s="1">
        <f>1</f>
        <v>1</v>
      </c>
      <c r="H24" s="1">
        <f>0.2</f>
        <v>0.2</v>
      </c>
      <c r="I24" s="1">
        <f>0</f>
        <v>0</v>
      </c>
      <c r="J24" s="1">
        <f>265.593</f>
        <v>265.59300000000002</v>
      </c>
      <c r="K24" s="1">
        <f>1530.18</f>
        <v>1530.18</v>
      </c>
      <c r="L24" s="1">
        <f>0</f>
        <v>0</v>
      </c>
    </row>
    <row r="25" spans="1:16" x14ac:dyDescent="0.25">
      <c r="A25">
        <f>79762717*0.00001</f>
        <v>797.62717000000009</v>
      </c>
      <c r="B25">
        <v>3482</v>
      </c>
      <c r="C25">
        <v>10</v>
      </c>
      <c r="D25" s="1">
        <f>34.4081</f>
        <v>34.408099999999997</v>
      </c>
      <c r="E25" s="1">
        <f>5691</f>
        <v>5691</v>
      </c>
      <c r="F25" s="1">
        <f>1602</f>
        <v>1602</v>
      </c>
      <c r="G25" s="1">
        <f>1</f>
        <v>1</v>
      </c>
      <c r="H25" s="1">
        <f>0.2</f>
        <v>0.2</v>
      </c>
      <c r="I25" s="1">
        <f>0</f>
        <v>0</v>
      </c>
      <c r="J25" s="1">
        <f>265.592</f>
        <v>265.59199999999998</v>
      </c>
      <c r="K25" s="1">
        <f>1530.7</f>
        <v>1530.7</v>
      </c>
      <c r="L25" s="1">
        <f>0</f>
        <v>0</v>
      </c>
    </row>
    <row r="26" spans="1:16" x14ac:dyDescent="0.25">
      <c r="A26">
        <f>79763686*0.00001</f>
        <v>797.63686000000007</v>
      </c>
      <c r="B26">
        <v>3482</v>
      </c>
      <c r="C26">
        <v>11</v>
      </c>
      <c r="D26" s="1">
        <f>34.4077</f>
        <v>34.407699999999998</v>
      </c>
      <c r="E26" s="1">
        <f>5691</f>
        <v>5691</v>
      </c>
      <c r="F26" s="1">
        <f>1602</f>
        <v>1602</v>
      </c>
      <c r="G26" s="1">
        <f>1</f>
        <v>1</v>
      </c>
      <c r="H26" s="1">
        <f>0.2</f>
        <v>0.2</v>
      </c>
      <c r="I26" s="1">
        <f>0</f>
        <v>0</v>
      </c>
      <c r="J26" s="1">
        <f>265.592</f>
        <v>265.59199999999998</v>
      </c>
      <c r="K26" s="1">
        <f>1531.73</f>
        <v>1531.73</v>
      </c>
      <c r="L26" s="1">
        <f>0</f>
        <v>0</v>
      </c>
    </row>
    <row r="27" spans="1:16" x14ac:dyDescent="0.25">
      <c r="A27">
        <f>79765622*0.00001</f>
        <v>797.65622000000008</v>
      </c>
      <c r="B27">
        <v>3482</v>
      </c>
      <c r="C27">
        <v>13</v>
      </c>
      <c r="D27" s="1">
        <f>34.4079</f>
        <v>34.407899999999998</v>
      </c>
      <c r="E27" s="1">
        <f>5691</f>
        <v>5691</v>
      </c>
      <c r="F27" s="1">
        <f>1602</f>
        <v>1602</v>
      </c>
      <c r="G27" s="1">
        <f>1</f>
        <v>1</v>
      </c>
      <c r="H27" s="1">
        <f>0.2</f>
        <v>0.2</v>
      </c>
      <c r="I27" s="1">
        <f>0</f>
        <v>0</v>
      </c>
      <c r="J27" s="1">
        <f>265.592</f>
        <v>265.59199999999998</v>
      </c>
      <c r="K27" s="1">
        <f>1532.24</f>
        <v>1532.24</v>
      </c>
      <c r="L27" s="1">
        <f>0</f>
        <v>0</v>
      </c>
    </row>
    <row r="28" spans="1:16" x14ac:dyDescent="0.25">
      <c r="A28">
        <f>79766590*0.00001</f>
        <v>797.66590000000008</v>
      </c>
      <c r="B28">
        <v>3482</v>
      </c>
      <c r="C28">
        <v>14</v>
      </c>
      <c r="D28" s="1">
        <f>34.4076</f>
        <v>34.407600000000002</v>
      </c>
      <c r="E28" s="1">
        <f>5691</f>
        <v>5691</v>
      </c>
      <c r="F28" s="1">
        <f>1602</f>
        <v>1602</v>
      </c>
      <c r="G28" s="1">
        <f>1</f>
        <v>1</v>
      </c>
      <c r="H28" s="1">
        <f>0.2</f>
        <v>0.2</v>
      </c>
      <c r="I28" s="1">
        <f>0</f>
        <v>0</v>
      </c>
      <c r="J28" s="1">
        <f>265.592</f>
        <v>265.59199999999998</v>
      </c>
      <c r="K28" s="1">
        <f>1532.75</f>
        <v>1532.75</v>
      </c>
      <c r="L28" s="1">
        <f>0</f>
        <v>0</v>
      </c>
    </row>
    <row r="29" spans="1:16" x14ac:dyDescent="0.25">
      <c r="A29">
        <f>79767559*0.00001</f>
        <v>797.67559000000006</v>
      </c>
      <c r="B29">
        <v>3482</v>
      </c>
      <c r="C29">
        <v>15</v>
      </c>
      <c r="D29" s="1">
        <f>34.4068</f>
        <v>34.406799999999997</v>
      </c>
      <c r="E29" s="1">
        <f>5691</f>
        <v>5691</v>
      </c>
      <c r="F29" s="1">
        <f>1602</f>
        <v>1602</v>
      </c>
      <c r="G29" s="1">
        <f>1</f>
        <v>1</v>
      </c>
      <c r="H29" s="1">
        <f>0.2</f>
        <v>0.2</v>
      </c>
      <c r="I29" s="1">
        <f>0</f>
        <v>0</v>
      </c>
      <c r="J29" s="1">
        <f>265.593</f>
        <v>265.59300000000002</v>
      </c>
      <c r="K29" s="1">
        <f>1533.27</f>
        <v>1533.27</v>
      </c>
      <c r="L29" s="1">
        <f>0</f>
        <v>0</v>
      </c>
    </row>
    <row r="30" spans="1:16" x14ac:dyDescent="0.25">
      <c r="A30">
        <f>79768527*0.00001</f>
        <v>797.68527000000006</v>
      </c>
      <c r="B30">
        <v>3482</v>
      </c>
      <c r="C30">
        <v>16</v>
      </c>
      <c r="D30" s="1">
        <f>34.4068</f>
        <v>34.406799999999997</v>
      </c>
      <c r="E30" s="1">
        <f>5691</f>
        <v>5691</v>
      </c>
      <c r="F30" s="1">
        <f>1602</f>
        <v>1602</v>
      </c>
      <c r="G30" s="1">
        <f>1</f>
        <v>1</v>
      </c>
      <c r="H30" s="1">
        <f>0.2</f>
        <v>0.2</v>
      </c>
      <c r="I30" s="1">
        <f>0</f>
        <v>0</v>
      </c>
      <c r="J30" s="1">
        <f>265.593</f>
        <v>265.59300000000002</v>
      </c>
      <c r="K30" s="1">
        <f>1534.81</f>
        <v>1534.81</v>
      </c>
      <c r="L30" s="1">
        <f>0</f>
        <v>0</v>
      </c>
    </row>
    <row r="31" spans="1:16" x14ac:dyDescent="0.25">
      <c r="A31">
        <f>79771431*0.00001</f>
        <v>797.71431000000007</v>
      </c>
      <c r="B31">
        <v>3482</v>
      </c>
      <c r="C31">
        <v>19</v>
      </c>
      <c r="D31" s="1">
        <f>34.4067</f>
        <v>34.406700000000001</v>
      </c>
      <c r="E31" s="1">
        <f>5691</f>
        <v>5691</v>
      </c>
      <c r="F31" s="1">
        <f>1602</f>
        <v>1602</v>
      </c>
      <c r="G31" s="1">
        <f>1</f>
        <v>1</v>
      </c>
      <c r="H31" s="1">
        <f>0.2</f>
        <v>0.2</v>
      </c>
      <c r="I31" s="1">
        <f>0</f>
        <v>0</v>
      </c>
      <c r="J31" s="1">
        <f>265.593</f>
        <v>265.59300000000002</v>
      </c>
      <c r="K31" s="1">
        <f>1535.33</f>
        <v>1535.33</v>
      </c>
      <c r="L31" s="1">
        <f>0</f>
        <v>0</v>
      </c>
    </row>
    <row r="32" spans="1:16" x14ac:dyDescent="0.25">
      <c r="A32">
        <f>79772399*0.00001</f>
        <v>797.72399000000007</v>
      </c>
      <c r="B32">
        <v>3482</v>
      </c>
      <c r="C32">
        <v>20</v>
      </c>
      <c r="D32" s="1">
        <f>34.407</f>
        <v>34.406999999999996</v>
      </c>
      <c r="E32" s="1">
        <f>5691</f>
        <v>5691</v>
      </c>
      <c r="F32" s="1">
        <f>1602</f>
        <v>1602</v>
      </c>
      <c r="G32" s="1">
        <f>1</f>
        <v>1</v>
      </c>
      <c r="H32" s="1">
        <f>0.2</f>
        <v>0.2</v>
      </c>
      <c r="I32" s="1">
        <f>0</f>
        <v>0</v>
      </c>
      <c r="J32" s="1">
        <f>265.593</f>
        <v>265.59300000000002</v>
      </c>
      <c r="K32" s="1">
        <f>1535.84</f>
        <v>1535.84</v>
      </c>
      <c r="L32" s="1">
        <f>0</f>
        <v>0</v>
      </c>
    </row>
    <row r="33" spans="1:12" x14ac:dyDescent="0.25">
      <c r="A33">
        <f>79773367*0.00001</f>
        <v>797.73367000000007</v>
      </c>
      <c r="B33">
        <v>3482</v>
      </c>
      <c r="C33">
        <v>21</v>
      </c>
      <c r="D33" s="1">
        <f>34.4064</f>
        <v>34.406399999999998</v>
      </c>
      <c r="E33" s="1">
        <f>5691</f>
        <v>5691</v>
      </c>
      <c r="F33" s="1">
        <f>1602</f>
        <v>1602</v>
      </c>
      <c r="G33" s="1">
        <f>1</f>
        <v>1</v>
      </c>
      <c r="H33" s="1">
        <f>0.2</f>
        <v>0.2</v>
      </c>
      <c r="I33" s="1">
        <f>0</f>
        <v>0</v>
      </c>
      <c r="J33" s="1">
        <f>265.594</f>
        <v>265.59399999999999</v>
      </c>
      <c r="K33" s="1">
        <f>1537.39</f>
        <v>1537.39</v>
      </c>
      <c r="L33" s="1">
        <f>0</f>
        <v>0</v>
      </c>
    </row>
    <row r="34" spans="1:12" x14ac:dyDescent="0.25">
      <c r="A34">
        <f>79776271*0.00001</f>
        <v>797.76271000000008</v>
      </c>
      <c r="B34">
        <v>3482</v>
      </c>
      <c r="C34">
        <v>24</v>
      </c>
      <c r="D34" s="1">
        <f>34.4058</f>
        <v>34.405799999999999</v>
      </c>
      <c r="E34" s="1">
        <f>5691</f>
        <v>5691</v>
      </c>
      <c r="F34" s="1">
        <f>1602</f>
        <v>1602</v>
      </c>
      <c r="G34" s="1">
        <f>1</f>
        <v>1</v>
      </c>
      <c r="H34" s="1">
        <f>0.2</f>
        <v>0.2</v>
      </c>
      <c r="I34" s="1">
        <f>0</f>
        <v>0</v>
      </c>
      <c r="J34" s="1">
        <f>265.594</f>
        <v>265.59399999999999</v>
      </c>
      <c r="K34" s="1">
        <f>1537.9</f>
        <v>1537.9</v>
      </c>
      <c r="L34" s="1">
        <f>0</f>
        <v>0</v>
      </c>
    </row>
    <row r="35" spans="1:12" x14ac:dyDescent="0.25">
      <c r="A35">
        <f>79777239*0.00001</f>
        <v>797.77239000000009</v>
      </c>
      <c r="B35">
        <v>3482</v>
      </c>
      <c r="C35">
        <v>25</v>
      </c>
      <c r="D35" s="1">
        <f>34.4052</f>
        <v>34.405200000000001</v>
      </c>
      <c r="E35" s="1">
        <f>5691</f>
        <v>5691</v>
      </c>
      <c r="F35" s="1">
        <f>1602</f>
        <v>1602</v>
      </c>
      <c r="G35" s="1">
        <f>1</f>
        <v>1</v>
      </c>
      <c r="H35" s="1">
        <f>0.2</f>
        <v>0.2</v>
      </c>
      <c r="I35" s="1">
        <f>0</f>
        <v>0</v>
      </c>
      <c r="J35" s="1">
        <f>265.595</f>
        <v>265.59500000000003</v>
      </c>
      <c r="K35" s="1">
        <f>1538.42</f>
        <v>1538.42</v>
      </c>
      <c r="L35" s="1">
        <f>0</f>
        <v>0</v>
      </c>
    </row>
    <row r="36" spans="1:12" x14ac:dyDescent="0.25">
      <c r="A36">
        <f>79778207*0.00001</f>
        <v>797.78207000000009</v>
      </c>
      <c r="B36">
        <v>3482</v>
      </c>
      <c r="C36">
        <v>26</v>
      </c>
      <c r="D36" s="1">
        <f>34.405</f>
        <v>34.405000000000001</v>
      </c>
      <c r="E36" s="1">
        <f>5691</f>
        <v>5691</v>
      </c>
      <c r="F36" s="1">
        <f>1602</f>
        <v>1602</v>
      </c>
      <c r="G36" s="1">
        <f>1</f>
        <v>1</v>
      </c>
      <c r="H36" s="1">
        <f>0.2</f>
        <v>0.2</v>
      </c>
      <c r="I36" s="1">
        <f>0</f>
        <v>0</v>
      </c>
      <c r="J36" s="1">
        <f>265.595</f>
        <v>265.59500000000003</v>
      </c>
      <c r="K36" s="1">
        <f>1539.96</f>
        <v>1539.96</v>
      </c>
      <c r="L36" s="1">
        <f>0</f>
        <v>0</v>
      </c>
    </row>
    <row r="37" spans="1:12" x14ac:dyDescent="0.25">
      <c r="A37">
        <f>79781112*0.00001</f>
        <v>797.81112000000007</v>
      </c>
      <c r="B37">
        <v>3482</v>
      </c>
      <c r="C37">
        <v>29</v>
      </c>
      <c r="D37" s="1">
        <f>34.4053</f>
        <v>34.405299999999997</v>
      </c>
      <c r="E37" s="1">
        <f>5691</f>
        <v>5691</v>
      </c>
      <c r="F37" s="1">
        <f>1602</f>
        <v>1602</v>
      </c>
      <c r="G37" s="1">
        <f>1</f>
        <v>1</v>
      </c>
      <c r="H37" s="1">
        <f>0.2</f>
        <v>0.2</v>
      </c>
      <c r="I37" s="1">
        <f>0</f>
        <v>0</v>
      </c>
      <c r="J37" s="1">
        <f>265.595</f>
        <v>265.59500000000003</v>
      </c>
      <c r="K37" s="1">
        <f>1540.47</f>
        <v>1540.47</v>
      </c>
      <c r="L37" s="1">
        <f>0</f>
        <v>0</v>
      </c>
    </row>
    <row r="38" spans="1:12" x14ac:dyDescent="0.25">
      <c r="A38">
        <f>79782081*0.00001</f>
        <v>797.82081000000005</v>
      </c>
      <c r="B38">
        <v>3482</v>
      </c>
      <c r="C38">
        <v>30</v>
      </c>
      <c r="D38" s="1">
        <f>34.4047</f>
        <v>34.404699999999998</v>
      </c>
      <c r="E38" s="1">
        <f>5691</f>
        <v>5691</v>
      </c>
      <c r="F38" s="1">
        <f>1602</f>
        <v>1602</v>
      </c>
      <c r="G38" s="1">
        <f>1</f>
        <v>1</v>
      </c>
      <c r="H38" s="1">
        <f>0.2</f>
        <v>0.2</v>
      </c>
      <c r="I38" s="1">
        <f>0</f>
        <v>0</v>
      </c>
      <c r="J38" s="1">
        <f>265.595</f>
        <v>265.59500000000003</v>
      </c>
      <c r="K38" s="1">
        <f>1540.99</f>
        <v>1540.99</v>
      </c>
      <c r="L38" s="1">
        <f>0</f>
        <v>0</v>
      </c>
    </row>
    <row r="39" spans="1:12" x14ac:dyDescent="0.25">
      <c r="A39">
        <f>79783049*0.00001</f>
        <v>797.83049000000005</v>
      </c>
      <c r="B39">
        <v>3482</v>
      </c>
      <c r="C39">
        <v>31</v>
      </c>
      <c r="D39" s="1">
        <f>34.4055</f>
        <v>34.405500000000004</v>
      </c>
      <c r="E39" s="1">
        <f>5691</f>
        <v>5691</v>
      </c>
      <c r="F39" s="1">
        <f>1602</f>
        <v>1602</v>
      </c>
      <c r="G39" s="1">
        <f>1</f>
        <v>1</v>
      </c>
      <c r="H39" s="1">
        <f>0.2</f>
        <v>0.2</v>
      </c>
      <c r="I39" s="1">
        <f>0</f>
        <v>0</v>
      </c>
      <c r="J39" s="1">
        <f>265.594</f>
        <v>265.59399999999999</v>
      </c>
      <c r="K39" s="1">
        <f>1542.53</f>
        <v>1542.53</v>
      </c>
      <c r="L39" s="1">
        <f>0</f>
        <v>0</v>
      </c>
    </row>
    <row r="40" spans="1:12" x14ac:dyDescent="0.25">
      <c r="A40">
        <f>79785953*0.00001</f>
        <v>797.85953000000006</v>
      </c>
      <c r="B40">
        <v>3482</v>
      </c>
      <c r="C40">
        <v>34</v>
      </c>
      <c r="D40" s="1">
        <f>34.4049</f>
        <v>34.404899999999998</v>
      </c>
      <c r="E40" s="1">
        <f>5691</f>
        <v>5691</v>
      </c>
      <c r="F40" s="1">
        <f>1602</f>
        <v>1602</v>
      </c>
      <c r="G40" s="1">
        <f>1</f>
        <v>1</v>
      </c>
      <c r="H40" s="1">
        <f>0.2</f>
        <v>0.2</v>
      </c>
      <c r="I40" s="1">
        <f>0</f>
        <v>0</v>
      </c>
      <c r="J40" s="1">
        <f>265.595</f>
        <v>265.59500000000003</v>
      </c>
      <c r="K40" s="1">
        <f>1543.05</f>
        <v>1543.05</v>
      </c>
      <c r="L40" s="1">
        <f>0</f>
        <v>0</v>
      </c>
    </row>
    <row r="41" spans="1:12" x14ac:dyDescent="0.25">
      <c r="A41">
        <f>79786921*0.00001</f>
        <v>797.86921000000007</v>
      </c>
      <c r="B41">
        <v>3482</v>
      </c>
      <c r="C41">
        <v>35</v>
      </c>
      <c r="D41" s="1">
        <f>34.4051</f>
        <v>34.405099999999997</v>
      </c>
      <c r="E41" s="1">
        <f>5691</f>
        <v>5691</v>
      </c>
      <c r="F41" s="1">
        <f>1602</f>
        <v>1602</v>
      </c>
      <c r="G41" s="1">
        <f>1</f>
        <v>1</v>
      </c>
      <c r="H41" s="1">
        <f>0.2</f>
        <v>0.2</v>
      </c>
      <c r="I41" s="1">
        <f>0</f>
        <v>0</v>
      </c>
      <c r="J41" s="1">
        <f>265.595</f>
        <v>265.59500000000003</v>
      </c>
      <c r="K41" s="1">
        <f>1543.56</f>
        <v>1543.56</v>
      </c>
      <c r="L41" s="1">
        <f>0</f>
        <v>0</v>
      </c>
    </row>
    <row r="42" spans="1:12" x14ac:dyDescent="0.25">
      <c r="A42">
        <f>79787889*0.00001</f>
        <v>797.87889000000007</v>
      </c>
      <c r="B42">
        <v>3482</v>
      </c>
      <c r="C42">
        <v>36</v>
      </c>
      <c r="D42" s="1">
        <f>34.4056</f>
        <v>34.4056</v>
      </c>
      <c r="E42" s="1">
        <f>5691</f>
        <v>5691</v>
      </c>
      <c r="F42" s="1">
        <f>1602</f>
        <v>1602</v>
      </c>
      <c r="G42" s="1">
        <f>1</f>
        <v>1</v>
      </c>
      <c r="H42" s="1">
        <f>0.2</f>
        <v>0.2</v>
      </c>
      <c r="I42" s="1">
        <f>0</f>
        <v>0</v>
      </c>
      <c r="J42" s="1">
        <f>265.594</f>
        <v>265.59399999999999</v>
      </c>
      <c r="K42" s="1">
        <f>1544.08</f>
        <v>1544.08</v>
      </c>
      <c r="L42" s="1">
        <f>0</f>
        <v>0</v>
      </c>
    </row>
    <row r="43" spans="1:12" x14ac:dyDescent="0.25">
      <c r="A43">
        <f>79788857*0.00001</f>
        <v>797.88857000000007</v>
      </c>
      <c r="B43">
        <v>3482</v>
      </c>
      <c r="C43">
        <v>37</v>
      </c>
      <c r="D43" s="1">
        <f>34.4053</f>
        <v>34.405299999999997</v>
      </c>
      <c r="E43" s="1">
        <f>5691</f>
        <v>5691</v>
      </c>
      <c r="F43" s="1">
        <f>1602</f>
        <v>1602</v>
      </c>
      <c r="G43" s="1">
        <f>1</f>
        <v>1</v>
      </c>
      <c r="H43" s="1">
        <f>0.2</f>
        <v>0.2</v>
      </c>
      <c r="I43" s="1">
        <f>0</f>
        <v>0</v>
      </c>
      <c r="J43" s="1">
        <f>265.595</f>
        <v>265.59500000000003</v>
      </c>
      <c r="K43" s="1">
        <f>1545.11</f>
        <v>1545.11</v>
      </c>
      <c r="L43" s="1">
        <f>0</f>
        <v>0</v>
      </c>
    </row>
    <row r="44" spans="1:12" x14ac:dyDescent="0.25">
      <c r="A44">
        <f>79790793*0.00001</f>
        <v>797.90793000000008</v>
      </c>
      <c r="B44">
        <v>3482</v>
      </c>
      <c r="C44">
        <v>39</v>
      </c>
      <c r="D44" s="1">
        <f>34.4049</f>
        <v>34.404899999999998</v>
      </c>
      <c r="E44" s="1">
        <f>5691</f>
        <v>5691</v>
      </c>
      <c r="F44" s="1">
        <f>1602</f>
        <v>1602</v>
      </c>
      <c r="G44" s="1">
        <f>1</f>
        <v>1</v>
      </c>
      <c r="H44" s="1">
        <f>0.2</f>
        <v>0.2</v>
      </c>
      <c r="I44" s="1">
        <f>0</f>
        <v>0</v>
      </c>
      <c r="J44" s="1">
        <f>265.595</f>
        <v>265.59500000000003</v>
      </c>
      <c r="K44" s="1">
        <f>1545.62</f>
        <v>1545.62</v>
      </c>
      <c r="L44" s="1">
        <f>0</f>
        <v>0</v>
      </c>
    </row>
    <row r="45" spans="1:12" x14ac:dyDescent="0.25">
      <c r="A45">
        <f>79791762*0.00001</f>
        <v>797.91762000000006</v>
      </c>
      <c r="B45">
        <v>3482</v>
      </c>
      <c r="C45">
        <v>40</v>
      </c>
      <c r="D45" s="1">
        <f>34.4043</f>
        <v>34.404299999999999</v>
      </c>
      <c r="E45" s="1">
        <f>5691</f>
        <v>5691</v>
      </c>
      <c r="F45" s="1">
        <f>1602</f>
        <v>1602</v>
      </c>
      <c r="G45" s="1">
        <f>1</f>
        <v>1</v>
      </c>
      <c r="H45" s="1">
        <f>0.2</f>
        <v>0.2</v>
      </c>
      <c r="I45" s="1">
        <f>0</f>
        <v>0</v>
      </c>
      <c r="J45" s="1">
        <f>265.596</f>
        <v>265.596</v>
      </c>
      <c r="K45" s="1">
        <f>1546.14</f>
        <v>1546.14</v>
      </c>
      <c r="L45" s="1">
        <f>0</f>
        <v>0</v>
      </c>
    </row>
    <row r="46" spans="1:12" x14ac:dyDescent="0.25">
      <c r="A46">
        <f>79792731*0.00001</f>
        <v>797.92731000000003</v>
      </c>
      <c r="B46">
        <v>3482</v>
      </c>
      <c r="C46">
        <v>41</v>
      </c>
      <c r="D46" s="1">
        <f>34.4049</f>
        <v>34.404899999999998</v>
      </c>
      <c r="E46" s="1">
        <f>5691</f>
        <v>5691</v>
      </c>
      <c r="F46" s="1">
        <f>1602</f>
        <v>1602</v>
      </c>
      <c r="G46" s="1">
        <f>1</f>
        <v>1</v>
      </c>
      <c r="H46" s="1">
        <f>0.2</f>
        <v>0.2</v>
      </c>
      <c r="I46" s="1">
        <f>0</f>
        <v>0</v>
      </c>
      <c r="J46" s="1">
        <f>265.595</f>
        <v>265.59500000000003</v>
      </c>
      <c r="K46" s="1">
        <f>1547.68</f>
        <v>1547.68</v>
      </c>
      <c r="L46" s="1">
        <f>0</f>
        <v>0</v>
      </c>
    </row>
    <row r="47" spans="1:12" x14ac:dyDescent="0.25">
      <c r="A47">
        <f>79795636*0.00001</f>
        <v>797.95636000000002</v>
      </c>
      <c r="B47">
        <v>3482</v>
      </c>
      <c r="C47">
        <v>44</v>
      </c>
      <c r="D47" s="1">
        <f>34.4042</f>
        <v>34.404200000000003</v>
      </c>
      <c r="E47" s="1">
        <f>5691</f>
        <v>5691</v>
      </c>
      <c r="F47" s="1">
        <f>1602</f>
        <v>1602</v>
      </c>
      <c r="G47" s="1">
        <f>1</f>
        <v>1</v>
      </c>
      <c r="H47" s="1">
        <f>0.2</f>
        <v>0.2</v>
      </c>
      <c r="I47" s="1">
        <f>0</f>
        <v>0</v>
      </c>
      <c r="J47" s="1">
        <f>265.596</f>
        <v>265.596</v>
      </c>
      <c r="K47" s="1">
        <f>1548.19</f>
        <v>1548.19</v>
      </c>
      <c r="L47" s="1">
        <f>0</f>
        <v>0</v>
      </c>
    </row>
    <row r="48" spans="1:12" x14ac:dyDescent="0.25">
      <c r="A48">
        <f>79796604*0.00001</f>
        <v>797.96604000000002</v>
      </c>
      <c r="B48">
        <v>3482</v>
      </c>
      <c r="C48">
        <v>45</v>
      </c>
      <c r="D48" s="1">
        <f>34.4042</f>
        <v>34.404200000000003</v>
      </c>
      <c r="E48" s="1">
        <f>5691</f>
        <v>5691</v>
      </c>
      <c r="F48" s="1">
        <f>1602</f>
        <v>1602</v>
      </c>
      <c r="G48" s="1">
        <f>1</f>
        <v>1</v>
      </c>
      <c r="H48" s="1">
        <f>0.2</f>
        <v>0.2</v>
      </c>
      <c r="I48" s="1">
        <f>0</f>
        <v>0</v>
      </c>
      <c r="J48" s="1">
        <f>265.596</f>
        <v>265.596</v>
      </c>
      <c r="K48" s="1">
        <f>1548.71</f>
        <v>1548.71</v>
      </c>
      <c r="L48" s="1">
        <f>0</f>
        <v>0</v>
      </c>
    </row>
    <row r="49" spans="1:12" x14ac:dyDescent="0.25">
      <c r="A49">
        <f>79797572*0.00001</f>
        <v>797.97572000000002</v>
      </c>
      <c r="B49">
        <v>3482</v>
      </c>
      <c r="C49">
        <v>46</v>
      </c>
      <c r="D49" s="1">
        <f>34.4044</f>
        <v>34.404400000000003</v>
      </c>
      <c r="E49" s="1">
        <f>5691</f>
        <v>5691</v>
      </c>
      <c r="F49" s="1">
        <f>1602</f>
        <v>1602</v>
      </c>
      <c r="G49" s="1">
        <f>1</f>
        <v>1</v>
      </c>
      <c r="H49" s="1">
        <f>0.2</f>
        <v>0.2</v>
      </c>
      <c r="I49" s="1">
        <f>0</f>
        <v>0</v>
      </c>
      <c r="J49" s="1">
        <f>265.596</f>
        <v>265.596</v>
      </c>
      <c r="K49" s="1">
        <f>1550.25</f>
        <v>1550.25</v>
      </c>
      <c r="L49" s="1">
        <f>0</f>
        <v>0</v>
      </c>
    </row>
    <row r="50" spans="1:12" x14ac:dyDescent="0.25">
      <c r="A50">
        <f>79800475*0.00001</f>
        <v>798.00475000000006</v>
      </c>
      <c r="B50">
        <v>3482</v>
      </c>
      <c r="C50">
        <v>49</v>
      </c>
      <c r="D50" s="1">
        <f>34.4044</f>
        <v>34.404400000000003</v>
      </c>
      <c r="E50" s="1">
        <f>5691</f>
        <v>5691</v>
      </c>
      <c r="F50" s="1">
        <f>1602</f>
        <v>1602</v>
      </c>
      <c r="G50" s="1">
        <f>1</f>
        <v>1</v>
      </c>
      <c r="H50" s="1">
        <f>0.2</f>
        <v>0.2</v>
      </c>
      <c r="I50" s="1">
        <f>0</f>
        <v>0</v>
      </c>
      <c r="J50" s="1">
        <f>265.596</f>
        <v>265.596</v>
      </c>
      <c r="K50" s="1">
        <f>1550.77</f>
        <v>1550.77</v>
      </c>
      <c r="L50" s="1">
        <f>0</f>
        <v>0</v>
      </c>
    </row>
    <row r="51" spans="1:12" x14ac:dyDescent="0.25">
      <c r="A51">
        <f>79801443*0.00001</f>
        <v>798.01443000000006</v>
      </c>
      <c r="B51">
        <v>3482</v>
      </c>
      <c r="C51">
        <v>50</v>
      </c>
      <c r="D51" s="1">
        <f>34.4037</f>
        <v>34.403700000000001</v>
      </c>
      <c r="E51" s="1">
        <f>5691</f>
        <v>5691</v>
      </c>
      <c r="F51" s="1">
        <f>1602</f>
        <v>1602</v>
      </c>
      <c r="G51" s="1">
        <f>1</f>
        <v>1</v>
      </c>
      <c r="H51" s="1">
        <f>0.2</f>
        <v>0.2</v>
      </c>
      <c r="I51" s="1">
        <f>0</f>
        <v>0</v>
      </c>
      <c r="J51" s="1">
        <f>265.596</f>
        <v>265.596</v>
      </c>
      <c r="K51" s="1">
        <f>1551.28</f>
        <v>1551.28</v>
      </c>
      <c r="L51" s="1">
        <f>0</f>
        <v>0</v>
      </c>
    </row>
    <row r="52" spans="1:12" x14ac:dyDescent="0.25">
      <c r="A52">
        <f>79802411*0.00001</f>
        <v>798.02411000000006</v>
      </c>
      <c r="B52">
        <v>3482</v>
      </c>
      <c r="C52">
        <v>51</v>
      </c>
      <c r="D52" s="1">
        <f>34.4038</f>
        <v>34.403799999999997</v>
      </c>
      <c r="E52" s="1">
        <f>5691</f>
        <v>5691</v>
      </c>
      <c r="F52" s="1">
        <f>1602</f>
        <v>1602</v>
      </c>
      <c r="G52" s="1">
        <f>1</f>
        <v>1</v>
      </c>
      <c r="H52" s="1">
        <f>0.2</f>
        <v>0.2</v>
      </c>
      <c r="I52" s="1">
        <f>0</f>
        <v>0</v>
      </c>
      <c r="J52" s="1">
        <f>265.596</f>
        <v>265.596</v>
      </c>
      <c r="K52" s="1">
        <f>1551.8</f>
        <v>1551.8</v>
      </c>
      <c r="L52" s="1">
        <f>0</f>
        <v>0</v>
      </c>
    </row>
    <row r="53" spans="1:12" x14ac:dyDescent="0.25">
      <c r="A53">
        <f>79803379*0.00001</f>
        <v>798.03379000000007</v>
      </c>
      <c r="B53">
        <v>3482</v>
      </c>
      <c r="C53">
        <v>52</v>
      </c>
      <c r="D53" s="1">
        <f>34.4035</f>
        <v>34.403500000000001</v>
      </c>
      <c r="E53" s="1">
        <f>5691</f>
        <v>5691</v>
      </c>
      <c r="F53" s="1">
        <f>1602</f>
        <v>1602</v>
      </c>
      <c r="G53" s="1">
        <f>1</f>
        <v>1</v>
      </c>
      <c r="H53" s="1">
        <f>0.2</f>
        <v>0.2</v>
      </c>
      <c r="I53" s="1">
        <f>0</f>
        <v>0</v>
      </c>
      <c r="J53" s="1">
        <f>265.597</f>
        <v>265.59699999999998</v>
      </c>
      <c r="K53" s="1">
        <f>1553.34</f>
        <v>1553.34</v>
      </c>
      <c r="L53" s="1">
        <f>0</f>
        <v>0</v>
      </c>
    </row>
    <row r="54" spans="1:12" x14ac:dyDescent="0.25">
      <c r="A54">
        <f>79806285*0.00001</f>
        <v>798.06285000000003</v>
      </c>
      <c r="B54">
        <v>3482</v>
      </c>
      <c r="C54">
        <v>55</v>
      </c>
      <c r="D54" s="1">
        <f>34.403</f>
        <v>34.402999999999999</v>
      </c>
      <c r="E54" s="1">
        <f>5691</f>
        <v>5691</v>
      </c>
      <c r="F54" s="1">
        <f>1602</f>
        <v>1602</v>
      </c>
      <c r="G54" s="1">
        <f>1</f>
        <v>1</v>
      </c>
      <c r="H54" s="1">
        <f>0.2</f>
        <v>0.2</v>
      </c>
      <c r="I54" s="1">
        <f>0</f>
        <v>0</v>
      </c>
      <c r="J54" s="1">
        <f>265.597</f>
        <v>265.59699999999998</v>
      </c>
      <c r="K54" s="1">
        <f>1553.86</f>
        <v>1553.86</v>
      </c>
      <c r="L54" s="1">
        <f>0</f>
        <v>0</v>
      </c>
    </row>
    <row r="55" spans="1:12" x14ac:dyDescent="0.25">
      <c r="A55">
        <f>79807252*0.00001</f>
        <v>798.07252000000005</v>
      </c>
      <c r="B55">
        <v>3482</v>
      </c>
      <c r="C55">
        <v>56</v>
      </c>
      <c r="D55" s="1">
        <f>34.4043</f>
        <v>34.404299999999999</v>
      </c>
      <c r="E55" s="1">
        <f>5691</f>
        <v>5691</v>
      </c>
      <c r="F55" s="1">
        <f>1602</f>
        <v>1602</v>
      </c>
      <c r="G55" s="1">
        <f>1</f>
        <v>1</v>
      </c>
      <c r="H55" s="1">
        <f>0.2</f>
        <v>0.2</v>
      </c>
      <c r="I55" s="1">
        <f>0</f>
        <v>0</v>
      </c>
      <c r="J55" s="1">
        <f>265.596</f>
        <v>265.596</v>
      </c>
      <c r="K55" s="1">
        <f>1554.37</f>
        <v>1554.37</v>
      </c>
      <c r="L55" s="1">
        <f>0</f>
        <v>0</v>
      </c>
    </row>
    <row r="56" spans="1:12" x14ac:dyDescent="0.25">
      <c r="A56">
        <f>79808220*0.00001</f>
        <v>798.08220000000006</v>
      </c>
      <c r="B56">
        <v>3482</v>
      </c>
      <c r="C56">
        <v>57</v>
      </c>
      <c r="D56" s="1">
        <f>34.4047</f>
        <v>34.404699999999998</v>
      </c>
      <c r="E56" s="1">
        <f>5691</f>
        <v>5691</v>
      </c>
      <c r="F56" s="1">
        <f>1602</f>
        <v>1602</v>
      </c>
      <c r="G56" s="1">
        <f>1</f>
        <v>1</v>
      </c>
      <c r="H56" s="1">
        <f>0.2</f>
        <v>0.2</v>
      </c>
      <c r="I56" s="1">
        <f>0</f>
        <v>0</v>
      </c>
      <c r="J56" s="1">
        <f>265.595</f>
        <v>265.59500000000003</v>
      </c>
      <c r="K56" s="1">
        <f>1555.91</f>
        <v>1555.91</v>
      </c>
      <c r="L56" s="1">
        <f>0</f>
        <v>0</v>
      </c>
    </row>
    <row r="57" spans="1:12" x14ac:dyDescent="0.25">
      <c r="A57">
        <f>79811123*0.00001</f>
        <v>798.11123000000009</v>
      </c>
      <c r="B57">
        <v>3482</v>
      </c>
      <c r="C57">
        <v>60</v>
      </c>
      <c r="D57" s="1">
        <f>34.4045</f>
        <v>34.404499999999999</v>
      </c>
      <c r="E57" s="1">
        <f>5691</f>
        <v>5691</v>
      </c>
      <c r="F57" s="1">
        <f>1602</f>
        <v>1602</v>
      </c>
      <c r="G57" s="1">
        <f>1</f>
        <v>1</v>
      </c>
      <c r="H57" s="1">
        <f>0.2</f>
        <v>0.2</v>
      </c>
      <c r="I57" s="1">
        <f>0</f>
        <v>0</v>
      </c>
      <c r="J57" s="1">
        <f>265.595</f>
        <v>265.59500000000003</v>
      </c>
      <c r="K57" s="1">
        <f>1556.43</f>
        <v>1556.43</v>
      </c>
      <c r="L57" s="1">
        <f>0</f>
        <v>0</v>
      </c>
    </row>
    <row r="58" spans="1:12" x14ac:dyDescent="0.25">
      <c r="A58">
        <f>79812092*0.00001</f>
        <v>798.12092000000007</v>
      </c>
      <c r="B58">
        <v>3482</v>
      </c>
      <c r="C58">
        <v>61</v>
      </c>
      <c r="D58" s="1">
        <f>34.404</f>
        <v>34.404000000000003</v>
      </c>
      <c r="E58" s="1">
        <f>5691</f>
        <v>5691</v>
      </c>
      <c r="F58" s="1">
        <f>1602</f>
        <v>1602</v>
      </c>
      <c r="G58" s="1">
        <f>1</f>
        <v>1</v>
      </c>
      <c r="H58" s="1">
        <f>0.2</f>
        <v>0.2</v>
      </c>
      <c r="I58" s="1">
        <f>0</f>
        <v>0</v>
      </c>
      <c r="J58" s="1">
        <f>265.596</f>
        <v>265.596</v>
      </c>
      <c r="K58" s="1">
        <f>1556.94</f>
        <v>1556.94</v>
      </c>
      <c r="L58" s="1">
        <f>0</f>
        <v>0</v>
      </c>
    </row>
    <row r="59" spans="1:12" x14ac:dyDescent="0.25">
      <c r="A59">
        <f>79813060*0.00001</f>
        <v>798.13060000000007</v>
      </c>
      <c r="B59">
        <v>3482</v>
      </c>
      <c r="C59">
        <v>62</v>
      </c>
      <c r="D59" s="1">
        <f>34.4044</f>
        <v>34.404400000000003</v>
      </c>
      <c r="E59" s="1">
        <f>5691</f>
        <v>5691</v>
      </c>
      <c r="F59" s="1">
        <f>1602</f>
        <v>1602</v>
      </c>
      <c r="G59" s="1">
        <f>1</f>
        <v>1</v>
      </c>
      <c r="H59" s="1">
        <f>0.2</f>
        <v>0.2</v>
      </c>
      <c r="I59" s="1">
        <f>0</f>
        <v>0</v>
      </c>
      <c r="J59" s="1">
        <f>265.596</f>
        <v>265.596</v>
      </c>
      <c r="K59" s="1">
        <f>1558.49</f>
        <v>1558.49</v>
      </c>
      <c r="L59" s="1">
        <f>0</f>
        <v>0</v>
      </c>
    </row>
    <row r="60" spans="1:12" x14ac:dyDescent="0.25">
      <c r="A60">
        <f>79815965*0.00001</f>
        <v>798.15965000000006</v>
      </c>
      <c r="B60">
        <v>3482</v>
      </c>
      <c r="C60">
        <v>65</v>
      </c>
      <c r="D60" s="1">
        <f>34.4042</f>
        <v>34.404200000000003</v>
      </c>
      <c r="E60" s="1">
        <f>5691</f>
        <v>5691</v>
      </c>
      <c r="F60" s="1">
        <f>1602</f>
        <v>1602</v>
      </c>
      <c r="G60" s="1">
        <f>1</f>
        <v>1</v>
      </c>
      <c r="H60" s="1">
        <f>0.2</f>
        <v>0.2</v>
      </c>
      <c r="I60" s="1">
        <f>0</f>
        <v>0</v>
      </c>
      <c r="J60" s="1">
        <f>265.596</f>
        <v>265.596</v>
      </c>
      <c r="K60" s="1">
        <f>1559</f>
        <v>1559</v>
      </c>
      <c r="L60" s="1">
        <f>0</f>
        <v>0</v>
      </c>
    </row>
    <row r="61" spans="1:12" x14ac:dyDescent="0.25">
      <c r="A61">
        <f>79816933*0.00001</f>
        <v>798.16933000000006</v>
      </c>
      <c r="B61">
        <v>3482</v>
      </c>
      <c r="C61">
        <v>66</v>
      </c>
      <c r="D61" s="1">
        <f>34.4042</f>
        <v>34.404200000000003</v>
      </c>
      <c r="E61" s="1">
        <f>5691</f>
        <v>5691</v>
      </c>
      <c r="F61" s="1">
        <f>1602</f>
        <v>1602</v>
      </c>
      <c r="G61" s="1">
        <f>1</f>
        <v>1</v>
      </c>
      <c r="H61" s="1">
        <f>0.2</f>
        <v>0.2</v>
      </c>
      <c r="I61" s="1">
        <f>0</f>
        <v>0</v>
      </c>
      <c r="J61" s="1">
        <f>265.596</f>
        <v>265.596</v>
      </c>
      <c r="K61" s="1">
        <f>1559.52</f>
        <v>1559.52</v>
      </c>
      <c r="L61" s="1">
        <f>0</f>
        <v>0</v>
      </c>
    </row>
    <row r="62" spans="1:12" x14ac:dyDescent="0.25">
      <c r="A62">
        <f>79817901*0.00001</f>
        <v>798.17901000000006</v>
      </c>
      <c r="B62">
        <v>3482</v>
      </c>
      <c r="C62">
        <v>67</v>
      </c>
      <c r="D62" s="1">
        <f>34.404</f>
        <v>34.404000000000003</v>
      </c>
      <c r="E62" s="1">
        <f>5691</f>
        <v>5691</v>
      </c>
      <c r="F62" s="1">
        <f>1602</f>
        <v>1602</v>
      </c>
      <c r="G62" s="1">
        <f>1</f>
        <v>1</v>
      </c>
      <c r="H62" s="1">
        <f>0.2</f>
        <v>0.2</v>
      </c>
      <c r="I62" s="1">
        <f>0</f>
        <v>0</v>
      </c>
      <c r="J62" s="1">
        <f>265.596</f>
        <v>265.596</v>
      </c>
      <c r="K62" s="1">
        <f>1560.03</f>
        <v>1560.03</v>
      </c>
      <c r="L62" s="1">
        <f>0</f>
        <v>0</v>
      </c>
    </row>
    <row r="63" spans="1:12" x14ac:dyDescent="0.25">
      <c r="A63">
        <f>79818869*0.00001</f>
        <v>798.18869000000007</v>
      </c>
      <c r="B63">
        <v>3482</v>
      </c>
      <c r="C63">
        <v>68</v>
      </c>
      <c r="D63" s="1">
        <f>34.4051</f>
        <v>34.405099999999997</v>
      </c>
      <c r="E63" s="1">
        <f>5691</f>
        <v>5691</v>
      </c>
      <c r="F63" s="1">
        <f>1602</f>
        <v>1602</v>
      </c>
      <c r="G63" s="1">
        <f>1</f>
        <v>1</v>
      </c>
      <c r="H63" s="1">
        <f>0.2</f>
        <v>0.2</v>
      </c>
      <c r="I63" s="1">
        <f>0</f>
        <v>0</v>
      </c>
      <c r="J63" s="1">
        <f>265.595</f>
        <v>265.59500000000003</v>
      </c>
      <c r="K63" s="1">
        <f>1561.06</f>
        <v>1561.06</v>
      </c>
      <c r="L63" s="1">
        <f>0</f>
        <v>0</v>
      </c>
    </row>
    <row r="64" spans="1:12" x14ac:dyDescent="0.25">
      <c r="A64">
        <f>79820804*0.00001</f>
        <v>798.2080400000001</v>
      </c>
      <c r="B64">
        <v>3482</v>
      </c>
      <c r="C64">
        <v>70</v>
      </c>
      <c r="D64" s="1">
        <f>34.4046</f>
        <v>34.404600000000002</v>
      </c>
      <c r="E64" s="1">
        <f>5691</f>
        <v>5691</v>
      </c>
      <c r="F64" s="1">
        <f>1602</f>
        <v>1602</v>
      </c>
      <c r="G64" s="1">
        <f>1</f>
        <v>1</v>
      </c>
      <c r="H64" s="1">
        <f>0.2</f>
        <v>0.2</v>
      </c>
      <c r="I64" s="1">
        <f>0</f>
        <v>0</v>
      </c>
      <c r="J64" s="1">
        <f>265.595</f>
        <v>265.59500000000003</v>
      </c>
      <c r="K64" s="1">
        <f>1561.58</f>
        <v>1561.58</v>
      </c>
      <c r="L64" s="1">
        <f>0</f>
        <v>0</v>
      </c>
    </row>
    <row r="65" spans="1:12" x14ac:dyDescent="0.25">
      <c r="A65">
        <f>79821772*0.00001</f>
        <v>798.2177200000001</v>
      </c>
      <c r="B65">
        <v>3482</v>
      </c>
      <c r="C65">
        <v>71</v>
      </c>
      <c r="D65" s="1">
        <f>34.4038</f>
        <v>34.403799999999997</v>
      </c>
      <c r="E65" s="1">
        <f>5691</f>
        <v>5691</v>
      </c>
      <c r="F65" s="1">
        <f>1602</f>
        <v>1602</v>
      </c>
      <c r="G65" s="1">
        <f>1</f>
        <v>1</v>
      </c>
      <c r="H65" s="1">
        <f>0.2</f>
        <v>0.2</v>
      </c>
      <c r="I65" s="1">
        <f>0</f>
        <v>0</v>
      </c>
      <c r="J65" s="1">
        <f>265.596</f>
        <v>265.596</v>
      </c>
      <c r="K65" s="1">
        <f>1562.09</f>
        <v>1562.09</v>
      </c>
      <c r="L65" s="1">
        <f>0</f>
        <v>0</v>
      </c>
    </row>
    <row r="66" spans="1:12" x14ac:dyDescent="0.25">
      <c r="A66">
        <f>79822740*0.00001</f>
        <v>798.2274000000001</v>
      </c>
      <c r="B66">
        <v>3482</v>
      </c>
      <c r="C66">
        <v>72</v>
      </c>
      <c r="D66" s="1">
        <f>34.4051</f>
        <v>34.405099999999997</v>
      </c>
      <c r="E66" s="1">
        <f>5691</f>
        <v>5691</v>
      </c>
      <c r="F66" s="1">
        <f>1602</f>
        <v>1602</v>
      </c>
      <c r="G66" s="1">
        <f>1</f>
        <v>1</v>
      </c>
      <c r="H66" s="1">
        <f>0.2</f>
        <v>0.2</v>
      </c>
      <c r="I66" s="1">
        <f>0</f>
        <v>0</v>
      </c>
      <c r="J66" s="1">
        <f>265.595</f>
        <v>265.59500000000003</v>
      </c>
      <c r="K66" s="1">
        <f>1562.61</f>
        <v>1562.61</v>
      </c>
      <c r="L66" s="1">
        <f>0</f>
        <v>0</v>
      </c>
    </row>
    <row r="67" spans="1:12" x14ac:dyDescent="0.25">
      <c r="A67">
        <f>79823708*0.00001</f>
        <v>798.23708000000011</v>
      </c>
      <c r="B67">
        <v>3482</v>
      </c>
      <c r="C67">
        <v>73</v>
      </c>
      <c r="D67" s="1">
        <f>34.4063</f>
        <v>34.406300000000002</v>
      </c>
      <c r="E67" s="1">
        <f>5691</f>
        <v>5691</v>
      </c>
      <c r="F67" s="1">
        <f>1602</f>
        <v>1602</v>
      </c>
      <c r="G67" s="1">
        <f>1</f>
        <v>1</v>
      </c>
      <c r="H67" s="1">
        <f>0.2</f>
        <v>0.2</v>
      </c>
      <c r="I67" s="1">
        <f>0</f>
        <v>0</v>
      </c>
      <c r="J67" s="1">
        <f>265.594</f>
        <v>265.59399999999999</v>
      </c>
      <c r="K67" s="1">
        <f>1563.63</f>
        <v>1563.63</v>
      </c>
      <c r="L67" s="1">
        <f>0</f>
        <v>0</v>
      </c>
    </row>
    <row r="68" spans="1:12" x14ac:dyDescent="0.25">
      <c r="A68">
        <f>79825643*0.00001</f>
        <v>798.25643000000002</v>
      </c>
      <c r="B68">
        <v>3482</v>
      </c>
      <c r="C68">
        <v>75</v>
      </c>
      <c r="D68" s="1">
        <f>34.4065</f>
        <v>34.406500000000001</v>
      </c>
      <c r="E68" s="1">
        <f>5691</f>
        <v>5691</v>
      </c>
      <c r="F68" s="1">
        <f>1602</f>
        <v>1602</v>
      </c>
      <c r="G68" s="1">
        <f>1</f>
        <v>1</v>
      </c>
      <c r="H68" s="1">
        <f>0.2</f>
        <v>0.2</v>
      </c>
      <c r="I68" s="1">
        <f>0</f>
        <v>0</v>
      </c>
      <c r="J68" s="1">
        <f>265.593</f>
        <v>265.59300000000002</v>
      </c>
      <c r="K68" s="1">
        <f>1564.15</f>
        <v>1564.15</v>
      </c>
      <c r="L68" s="1">
        <f>0</f>
        <v>0</v>
      </c>
    </row>
    <row r="69" spans="1:12" x14ac:dyDescent="0.25">
      <c r="A69">
        <f>79826611*0.00001</f>
        <v>798.26611000000003</v>
      </c>
      <c r="B69">
        <v>3482</v>
      </c>
      <c r="C69">
        <v>76</v>
      </c>
      <c r="D69" s="1">
        <f>34.4059</f>
        <v>34.405900000000003</v>
      </c>
      <c r="E69" s="1">
        <f>5691</f>
        <v>5691</v>
      </c>
      <c r="F69" s="1">
        <f>1602</f>
        <v>1602</v>
      </c>
      <c r="G69" s="1">
        <f>1</f>
        <v>1</v>
      </c>
      <c r="H69" s="1">
        <f>0.2</f>
        <v>0.2</v>
      </c>
      <c r="I69" s="1">
        <f>0</f>
        <v>0</v>
      </c>
      <c r="J69" s="1">
        <f>265.594</f>
        <v>265.59399999999999</v>
      </c>
      <c r="K69" s="1">
        <f>1564.66</f>
        <v>1564.66</v>
      </c>
      <c r="L69" s="1">
        <f>0</f>
        <v>0</v>
      </c>
    </row>
    <row r="70" spans="1:12" x14ac:dyDescent="0.25">
      <c r="A70">
        <f>79827578*0.00001</f>
        <v>798.27578000000005</v>
      </c>
      <c r="B70">
        <v>3482</v>
      </c>
      <c r="C70">
        <v>77</v>
      </c>
      <c r="D70" s="1">
        <f>34.4065</f>
        <v>34.406500000000001</v>
      </c>
      <c r="E70" s="1">
        <f>5691</f>
        <v>5691</v>
      </c>
      <c r="F70" s="1">
        <f>1602</f>
        <v>1602</v>
      </c>
      <c r="G70" s="1">
        <f>1</f>
        <v>1</v>
      </c>
      <c r="H70" s="1">
        <f>0.2</f>
        <v>0.2</v>
      </c>
      <c r="I70" s="1">
        <f>0</f>
        <v>0</v>
      </c>
      <c r="J70" s="1">
        <f>265.594</f>
        <v>265.59399999999999</v>
      </c>
      <c r="K70" s="1">
        <f>1565.18</f>
        <v>1565.18</v>
      </c>
      <c r="L70" s="1">
        <f>0</f>
        <v>0</v>
      </c>
    </row>
    <row r="71" spans="1:12" x14ac:dyDescent="0.25">
      <c r="A71">
        <f>79828546*0.00001</f>
        <v>798.28546000000006</v>
      </c>
      <c r="B71">
        <v>3482</v>
      </c>
      <c r="C71">
        <v>78</v>
      </c>
      <c r="D71" s="1">
        <f>34.4066</f>
        <v>34.406599999999997</v>
      </c>
      <c r="E71" s="1">
        <f>5691</f>
        <v>5691</v>
      </c>
      <c r="F71" s="1">
        <f>1602</f>
        <v>1602</v>
      </c>
      <c r="G71" s="1">
        <f>1</f>
        <v>1</v>
      </c>
      <c r="H71" s="1">
        <f>0.2</f>
        <v>0.2</v>
      </c>
      <c r="I71" s="1">
        <f>0</f>
        <v>0</v>
      </c>
      <c r="J71" s="1">
        <f>265.593</f>
        <v>265.59300000000002</v>
      </c>
      <c r="K71" s="1">
        <f>1566.72</f>
        <v>1566.72</v>
      </c>
      <c r="L71" s="1">
        <f>0</f>
        <v>0</v>
      </c>
    </row>
    <row r="72" spans="1:12" x14ac:dyDescent="0.25">
      <c r="A72">
        <f>79831450*0.00001</f>
        <v>798.31450000000007</v>
      </c>
      <c r="B72">
        <v>3482</v>
      </c>
      <c r="C72">
        <v>81</v>
      </c>
      <c r="D72" s="1">
        <f>34.4068</f>
        <v>34.406799999999997</v>
      </c>
      <c r="E72" s="1">
        <f>5691</f>
        <v>5691</v>
      </c>
      <c r="F72" s="1">
        <f>1602</f>
        <v>1602</v>
      </c>
      <c r="G72" s="1">
        <f>1</f>
        <v>1</v>
      </c>
      <c r="H72" s="1">
        <f>0.2</f>
        <v>0.2</v>
      </c>
      <c r="I72" s="1">
        <f>0</f>
        <v>0</v>
      </c>
      <c r="J72" s="1">
        <f>265.593</f>
        <v>265.59300000000002</v>
      </c>
      <c r="K72" s="1">
        <f>1567.24</f>
        <v>1567.24</v>
      </c>
      <c r="L72" s="1">
        <f>0</f>
        <v>0</v>
      </c>
    </row>
    <row r="73" spans="1:12" x14ac:dyDescent="0.25">
      <c r="A73">
        <f>79832418*0.00001</f>
        <v>798.32418000000007</v>
      </c>
      <c r="B73">
        <v>3482</v>
      </c>
      <c r="C73">
        <v>82</v>
      </c>
      <c r="D73" s="1">
        <f>34.4072</f>
        <v>34.407200000000003</v>
      </c>
      <c r="E73" s="1">
        <f>5691</f>
        <v>5691</v>
      </c>
      <c r="F73" s="1">
        <f>1602</f>
        <v>1602</v>
      </c>
      <c r="G73" s="1">
        <f>1</f>
        <v>1</v>
      </c>
      <c r="H73" s="1">
        <f>0.2</f>
        <v>0.2</v>
      </c>
      <c r="I73" s="1">
        <f>0</f>
        <v>0</v>
      </c>
      <c r="J73" s="1">
        <f>265.593</f>
        <v>265.59300000000002</v>
      </c>
      <c r="K73" s="1">
        <f>1567.75</f>
        <v>1567.75</v>
      </c>
      <c r="L73" s="1">
        <f>0</f>
        <v>0</v>
      </c>
    </row>
    <row r="74" spans="1:12" x14ac:dyDescent="0.25">
      <c r="A74">
        <f>79833386*0.00001</f>
        <v>798.33386000000007</v>
      </c>
      <c r="B74">
        <v>3482</v>
      </c>
      <c r="C74">
        <v>83</v>
      </c>
      <c r="D74" s="1">
        <f>34.4072</f>
        <v>34.407200000000003</v>
      </c>
      <c r="E74" s="1">
        <f>5691</f>
        <v>5691</v>
      </c>
      <c r="F74" s="1">
        <f>1602</f>
        <v>1602</v>
      </c>
      <c r="G74" s="1">
        <f>1</f>
        <v>1</v>
      </c>
      <c r="H74" s="1">
        <f>0.2</f>
        <v>0.2</v>
      </c>
      <c r="I74" s="1">
        <f>0</f>
        <v>0</v>
      </c>
      <c r="J74" s="1">
        <f>265.593</f>
        <v>265.59300000000002</v>
      </c>
      <c r="K74" s="1">
        <f>1569.29</f>
        <v>1569.29</v>
      </c>
      <c r="L74" s="1">
        <f>0</f>
        <v>0</v>
      </c>
    </row>
    <row r="75" spans="1:12" x14ac:dyDescent="0.25">
      <c r="A75">
        <f>79836288*0.00001</f>
        <v>798.36288000000002</v>
      </c>
      <c r="B75">
        <v>3482</v>
      </c>
      <c r="C75">
        <v>86</v>
      </c>
      <c r="D75" s="1">
        <f>34.4079</f>
        <v>34.407899999999998</v>
      </c>
      <c r="E75" s="1">
        <f>5691</f>
        <v>5691</v>
      </c>
      <c r="F75" s="1">
        <f>1602</f>
        <v>1602</v>
      </c>
      <c r="G75" s="1">
        <f>1</f>
        <v>1</v>
      </c>
      <c r="H75" s="1">
        <f>0.2</f>
        <v>0.2</v>
      </c>
      <c r="I75" s="1">
        <f>0</f>
        <v>0</v>
      </c>
      <c r="J75" s="1">
        <f>265.592</f>
        <v>265.59199999999998</v>
      </c>
      <c r="K75" s="1">
        <f>1569.81</f>
        <v>1569.81</v>
      </c>
      <c r="L75" s="1">
        <f>0</f>
        <v>0</v>
      </c>
    </row>
    <row r="76" spans="1:12" x14ac:dyDescent="0.25">
      <c r="A76">
        <f>79837257*0.00001</f>
        <v>798.37257000000011</v>
      </c>
      <c r="B76">
        <v>3482</v>
      </c>
      <c r="C76">
        <v>87</v>
      </c>
      <c r="D76" s="1">
        <f>34.4067</f>
        <v>34.406700000000001</v>
      </c>
      <c r="E76" s="1">
        <f>5691</f>
        <v>5691</v>
      </c>
      <c r="F76" s="1">
        <f>1602</f>
        <v>1602</v>
      </c>
      <c r="G76" s="1">
        <f>1</f>
        <v>1</v>
      </c>
      <c r="H76" s="1">
        <f>0.2</f>
        <v>0.2</v>
      </c>
      <c r="I76" s="1">
        <f>0</f>
        <v>0</v>
      </c>
      <c r="J76" s="1">
        <f>265.593</f>
        <v>265.59300000000002</v>
      </c>
      <c r="K76" s="1">
        <f>1570.32</f>
        <v>1570.32</v>
      </c>
      <c r="L76" s="1">
        <f>0</f>
        <v>0</v>
      </c>
    </row>
    <row r="77" spans="1:12" x14ac:dyDescent="0.25">
      <c r="A77">
        <f>79838225*0.00001</f>
        <v>798.38225000000011</v>
      </c>
      <c r="B77">
        <v>3482</v>
      </c>
      <c r="C77">
        <v>88</v>
      </c>
      <c r="D77" s="1">
        <f>34.4077</f>
        <v>34.407699999999998</v>
      </c>
      <c r="E77" s="1">
        <f>5691</f>
        <v>5691</v>
      </c>
      <c r="F77" s="1">
        <f>1602</f>
        <v>1602</v>
      </c>
      <c r="G77" s="1">
        <f>1</f>
        <v>1</v>
      </c>
      <c r="H77" s="1">
        <f>0.2</f>
        <v>0.2</v>
      </c>
      <c r="I77" s="1">
        <f>0</f>
        <v>0</v>
      </c>
      <c r="J77" s="1">
        <f>265.592</f>
        <v>265.59199999999998</v>
      </c>
      <c r="K77" s="1">
        <f>1571.87</f>
        <v>1571.87</v>
      </c>
      <c r="L77" s="1">
        <f>0</f>
        <v>0</v>
      </c>
    </row>
    <row r="78" spans="1:12" x14ac:dyDescent="0.25">
      <c r="A78">
        <f>79841129*0.00001</f>
        <v>798.41129000000012</v>
      </c>
      <c r="B78">
        <v>3482</v>
      </c>
      <c r="C78">
        <v>91</v>
      </c>
      <c r="D78" s="1">
        <f>34.4075</f>
        <v>34.407499999999999</v>
      </c>
      <c r="E78" s="1">
        <f>5691</f>
        <v>5691</v>
      </c>
      <c r="F78" s="1">
        <f>1602</f>
        <v>1602</v>
      </c>
      <c r="G78" s="1">
        <f>1</f>
        <v>1</v>
      </c>
      <c r="H78" s="1">
        <f>0.2</f>
        <v>0.2</v>
      </c>
      <c r="I78" s="1">
        <f>0</f>
        <v>0</v>
      </c>
      <c r="J78" s="1">
        <f>265.592</f>
        <v>265.59199999999998</v>
      </c>
      <c r="K78" s="1">
        <f>1572.38</f>
        <v>1572.38</v>
      </c>
      <c r="L78" s="1">
        <f>0</f>
        <v>0</v>
      </c>
    </row>
    <row r="79" spans="1:12" x14ac:dyDescent="0.25">
      <c r="A79">
        <f>79842098*0.00001</f>
        <v>798.4209800000001</v>
      </c>
      <c r="B79">
        <v>3482</v>
      </c>
      <c r="C79">
        <v>92</v>
      </c>
      <c r="D79" s="1">
        <f>34.4067</f>
        <v>34.406700000000001</v>
      </c>
      <c r="E79" s="1">
        <f>5691</f>
        <v>5691</v>
      </c>
      <c r="F79" s="1">
        <f>1602</f>
        <v>1602</v>
      </c>
      <c r="G79" s="1">
        <f>1</f>
        <v>1</v>
      </c>
      <c r="H79" s="1">
        <f>0.2</f>
        <v>0.2</v>
      </c>
      <c r="I79" s="1">
        <f>0</f>
        <v>0</v>
      </c>
      <c r="J79" s="1">
        <f>265.593</f>
        <v>265.59300000000002</v>
      </c>
      <c r="K79" s="1">
        <f>1572.9</f>
        <v>1572.9</v>
      </c>
      <c r="L79" s="1">
        <f>0</f>
        <v>0</v>
      </c>
    </row>
    <row r="80" spans="1:12" x14ac:dyDescent="0.25">
      <c r="A80">
        <f>79843066*0.00001</f>
        <v>798.4306600000001</v>
      </c>
      <c r="B80">
        <v>3482</v>
      </c>
      <c r="C80">
        <v>93</v>
      </c>
      <c r="D80" s="1">
        <f>34.4071</f>
        <v>34.4071</v>
      </c>
      <c r="E80" s="1">
        <f>5691</f>
        <v>5691</v>
      </c>
      <c r="F80" s="1">
        <f>1602</f>
        <v>1602</v>
      </c>
      <c r="G80" s="1">
        <f>1</f>
        <v>1</v>
      </c>
      <c r="H80" s="1">
        <f>0.2</f>
        <v>0.2</v>
      </c>
      <c r="I80" s="1">
        <f>0</f>
        <v>0</v>
      </c>
      <c r="J80" s="1">
        <f>265.593</f>
        <v>265.59300000000002</v>
      </c>
      <c r="K80" s="1">
        <f>1574.44</f>
        <v>1574.44</v>
      </c>
      <c r="L80" s="1">
        <f>0</f>
        <v>0</v>
      </c>
    </row>
    <row r="81" spans="1:12" x14ac:dyDescent="0.25">
      <c r="A81">
        <f>79845970*0.00001</f>
        <v>798.45970000000011</v>
      </c>
      <c r="B81">
        <v>3482</v>
      </c>
      <c r="C81">
        <v>96</v>
      </c>
      <c r="D81" s="1">
        <f>34.4067</f>
        <v>34.406700000000001</v>
      </c>
      <c r="E81" s="1">
        <f>5691</f>
        <v>5691</v>
      </c>
      <c r="F81" s="1">
        <f>1602</f>
        <v>1602</v>
      </c>
      <c r="G81" s="1">
        <f>1</f>
        <v>1</v>
      </c>
      <c r="H81" s="1">
        <f>0.2</f>
        <v>0.2</v>
      </c>
      <c r="I81" s="1">
        <f>0</f>
        <v>0</v>
      </c>
      <c r="J81" s="1">
        <f>265.593</f>
        <v>265.59300000000002</v>
      </c>
      <c r="K81" s="1">
        <f>1574.96</f>
        <v>1574.96</v>
      </c>
      <c r="L81" s="1">
        <f>0</f>
        <v>0</v>
      </c>
    </row>
    <row r="82" spans="1:12" x14ac:dyDescent="0.25">
      <c r="A82">
        <f>79846938*0.00001</f>
        <v>798.46938000000011</v>
      </c>
      <c r="B82">
        <v>3482</v>
      </c>
      <c r="C82">
        <v>97</v>
      </c>
      <c r="D82" s="1">
        <f>34.4063</f>
        <v>34.406300000000002</v>
      </c>
      <c r="E82" s="1">
        <f>5691</f>
        <v>5691</v>
      </c>
      <c r="F82" s="1">
        <f>1602</f>
        <v>1602</v>
      </c>
      <c r="G82" s="1">
        <f>1</f>
        <v>1</v>
      </c>
      <c r="H82" s="1">
        <f>0.2</f>
        <v>0.2</v>
      </c>
      <c r="I82" s="1">
        <f>0</f>
        <v>0</v>
      </c>
      <c r="J82" s="1">
        <f>265.594</f>
        <v>265.59399999999999</v>
      </c>
      <c r="K82" s="1">
        <f>1575.47</f>
        <v>1575.47</v>
      </c>
      <c r="L82" s="1">
        <f>0</f>
        <v>0</v>
      </c>
    </row>
    <row r="83" spans="1:12" x14ac:dyDescent="0.25">
      <c r="A83">
        <f>79847905*0.00001</f>
        <v>798.47905000000003</v>
      </c>
      <c r="B83">
        <v>3482</v>
      </c>
      <c r="C83">
        <v>98</v>
      </c>
      <c r="D83" s="1">
        <f>34.4052</f>
        <v>34.405200000000001</v>
      </c>
      <c r="E83" s="1">
        <f>5691</f>
        <v>5691</v>
      </c>
      <c r="F83" s="1">
        <f>1602</f>
        <v>1602</v>
      </c>
      <c r="G83" s="1">
        <f>1</f>
        <v>1</v>
      </c>
      <c r="H83" s="1">
        <f>0.2</f>
        <v>0.2</v>
      </c>
      <c r="I83" s="1">
        <f>0</f>
        <v>0</v>
      </c>
      <c r="J83" s="1">
        <f>265.595</f>
        <v>265.59500000000003</v>
      </c>
      <c r="K83" s="1">
        <f>1577.01</f>
        <v>1577.01</v>
      </c>
      <c r="L83" s="1">
        <f>0</f>
        <v>0</v>
      </c>
    </row>
    <row r="84" spans="1:12" x14ac:dyDescent="0.25">
      <c r="A84">
        <f>79850808*0.00001</f>
        <v>798.50808000000006</v>
      </c>
      <c r="B84">
        <v>3482</v>
      </c>
      <c r="C84">
        <v>101</v>
      </c>
      <c r="D84" s="1">
        <f>34.4055</f>
        <v>34.405500000000004</v>
      </c>
      <c r="E84" s="1">
        <f>5691</f>
        <v>5691</v>
      </c>
      <c r="F84" s="1">
        <f>1602</f>
        <v>1602</v>
      </c>
      <c r="G84" s="1">
        <f>1</f>
        <v>1</v>
      </c>
      <c r="H84" s="1">
        <f>0.2</f>
        <v>0.2</v>
      </c>
      <c r="I84" s="1">
        <f>0</f>
        <v>0</v>
      </c>
      <c r="J84" s="1">
        <f>265.594</f>
        <v>265.59399999999999</v>
      </c>
      <c r="K84" s="1">
        <f>1577.53</f>
        <v>1577.53</v>
      </c>
      <c r="L84" s="1">
        <f>0</f>
        <v>0</v>
      </c>
    </row>
    <row r="85" spans="1:12" x14ac:dyDescent="0.25">
      <c r="A85">
        <f>79851776*0.00001</f>
        <v>798.51776000000007</v>
      </c>
      <c r="B85">
        <v>3482</v>
      </c>
      <c r="C85">
        <v>102</v>
      </c>
      <c r="D85" s="1">
        <f>34.406</f>
        <v>34.405999999999999</v>
      </c>
      <c r="E85" s="1">
        <f>5691</f>
        <v>5691</v>
      </c>
      <c r="F85" s="1">
        <f>1602</f>
        <v>1602</v>
      </c>
      <c r="G85" s="1">
        <f>1</f>
        <v>1</v>
      </c>
      <c r="H85" s="1">
        <f>0.2</f>
        <v>0.2</v>
      </c>
      <c r="I85" s="1">
        <f>0</f>
        <v>0</v>
      </c>
      <c r="J85" s="1">
        <f>265.594</f>
        <v>265.59399999999999</v>
      </c>
      <c r="K85" s="1">
        <f>1578.04</f>
        <v>1578.04</v>
      </c>
      <c r="L85" s="1">
        <f>0</f>
        <v>0</v>
      </c>
    </row>
    <row r="86" spans="1:12" x14ac:dyDescent="0.25">
      <c r="A86">
        <f>79852744*0.00001</f>
        <v>798.52744000000007</v>
      </c>
      <c r="B86">
        <v>3482</v>
      </c>
      <c r="C86">
        <v>103</v>
      </c>
      <c r="D86" s="1">
        <f>34.4054</f>
        <v>34.4054</v>
      </c>
      <c r="E86" s="1">
        <f>5691</f>
        <v>5691</v>
      </c>
      <c r="F86" s="1">
        <f>1602</f>
        <v>1602</v>
      </c>
      <c r="G86" s="1">
        <f>1</f>
        <v>1</v>
      </c>
      <c r="H86" s="1">
        <f>0.2</f>
        <v>0.2</v>
      </c>
      <c r="I86" s="1">
        <f>0</f>
        <v>0</v>
      </c>
      <c r="J86" s="1">
        <f>265.595</f>
        <v>265.59500000000003</v>
      </c>
      <c r="K86" s="1">
        <f>1578.56</f>
        <v>1578.56</v>
      </c>
      <c r="L86" s="1">
        <f>0</f>
        <v>0</v>
      </c>
    </row>
    <row r="87" spans="1:12" x14ac:dyDescent="0.25">
      <c r="A87">
        <f>79853712*0.00001</f>
        <v>798.53712000000007</v>
      </c>
      <c r="B87">
        <v>3482</v>
      </c>
      <c r="C87">
        <v>104</v>
      </c>
      <c r="D87" s="1">
        <f>34.4061</f>
        <v>34.406100000000002</v>
      </c>
      <c r="E87" s="1">
        <f>5691</f>
        <v>5691</v>
      </c>
      <c r="F87" s="1">
        <f>1602</f>
        <v>1602</v>
      </c>
      <c r="G87" s="1">
        <f>1</f>
        <v>1</v>
      </c>
      <c r="H87" s="1">
        <f>0.2</f>
        <v>0.2</v>
      </c>
      <c r="I87" s="1">
        <f>0</f>
        <v>0</v>
      </c>
      <c r="J87" s="1">
        <f>265.594</f>
        <v>265.59399999999999</v>
      </c>
      <c r="K87" s="1">
        <f>1579.59</f>
        <v>1579.59</v>
      </c>
      <c r="L87" s="1">
        <f>0</f>
        <v>0</v>
      </c>
    </row>
    <row r="88" spans="1:12" x14ac:dyDescent="0.25">
      <c r="A88">
        <f>79855648*0.00001</f>
        <v>798.55648000000008</v>
      </c>
      <c r="B88">
        <v>3482</v>
      </c>
      <c r="C88">
        <v>106</v>
      </c>
      <c r="D88" s="1">
        <f>34.4062</f>
        <v>34.406199999999998</v>
      </c>
      <c r="E88" s="1">
        <f>34715</f>
        <v>34715</v>
      </c>
      <c r="F88" s="1">
        <f>1602</f>
        <v>1602</v>
      </c>
      <c r="G88" s="1">
        <f>1</f>
        <v>1</v>
      </c>
      <c r="H88" s="1">
        <f>0.2</f>
        <v>0.2</v>
      </c>
      <c r="I88" s="1">
        <f>0</f>
        <v>0</v>
      </c>
      <c r="J88" s="1">
        <f>0.02491</f>
        <v>2.4910000000000002E-2</v>
      </c>
      <c r="K88" s="1">
        <f>4400</f>
        <v>4400</v>
      </c>
      <c r="L88" s="1">
        <f>0</f>
        <v>0</v>
      </c>
    </row>
    <row r="89" spans="1:12" x14ac:dyDescent="0.25">
      <c r="A89">
        <f>79856616*0.00001</f>
        <v>798.56616000000008</v>
      </c>
      <c r="B89">
        <v>3482</v>
      </c>
      <c r="C89">
        <v>107</v>
      </c>
      <c r="D89" s="1">
        <f>34.4054</f>
        <v>34.4054</v>
      </c>
      <c r="E89" s="1">
        <f>34716</f>
        <v>34716</v>
      </c>
      <c r="F89" s="1">
        <f>1602</f>
        <v>1602</v>
      </c>
      <c r="G89" s="1">
        <f>1</f>
        <v>1</v>
      </c>
      <c r="H89" s="1">
        <f>0.2</f>
        <v>0.2</v>
      </c>
      <c r="I89" s="1">
        <f>0</f>
        <v>0</v>
      </c>
      <c r="J89" s="1">
        <f>0.750782</f>
        <v>0.75078199999999995</v>
      </c>
      <c r="K89" s="1">
        <f>4400</f>
        <v>4400</v>
      </c>
      <c r="L89" s="1">
        <f>0</f>
        <v>0</v>
      </c>
    </row>
    <row r="90" spans="1:12" x14ac:dyDescent="0.25">
      <c r="A90">
        <f>79859521*0.00001</f>
        <v>798.59521000000007</v>
      </c>
      <c r="B90">
        <v>3482</v>
      </c>
      <c r="C90">
        <v>110</v>
      </c>
      <c r="D90" s="1">
        <f>34.4056</f>
        <v>34.4056</v>
      </c>
      <c r="E90" s="1">
        <f>34716</f>
        <v>34716</v>
      </c>
      <c r="F90" s="1">
        <f>1602</f>
        <v>1602</v>
      </c>
      <c r="G90" s="1">
        <f>1</f>
        <v>1</v>
      </c>
      <c r="H90" s="1">
        <f>0.2</f>
        <v>0.2</v>
      </c>
      <c r="I90" s="1">
        <f>0</f>
        <v>0</v>
      </c>
      <c r="J90" s="1">
        <f>1.00061</f>
        <v>1.00061</v>
      </c>
      <c r="K90" s="1">
        <f>4400</f>
        <v>4400</v>
      </c>
      <c r="L90" s="1">
        <f>0</f>
        <v>0</v>
      </c>
    </row>
    <row r="91" spans="1:12" x14ac:dyDescent="0.25">
      <c r="A91">
        <f>79860488*0.00001</f>
        <v>798.60488000000009</v>
      </c>
      <c r="B91">
        <v>3482</v>
      </c>
      <c r="C91">
        <v>111</v>
      </c>
      <c r="D91" s="1">
        <f>34.4061</f>
        <v>34.406100000000002</v>
      </c>
      <c r="E91" s="1">
        <f>34716</f>
        <v>34716</v>
      </c>
      <c r="F91" s="1">
        <f>1602</f>
        <v>1602</v>
      </c>
      <c r="G91" s="1">
        <f>1</f>
        <v>1</v>
      </c>
      <c r="H91" s="1">
        <f>0.2</f>
        <v>0.2</v>
      </c>
      <c r="I91" s="1">
        <f>0</f>
        <v>0</v>
      </c>
      <c r="J91" s="1">
        <f>1.47511</f>
        <v>1.4751099999999999</v>
      </c>
      <c r="K91" s="1">
        <f>4400</f>
        <v>4400</v>
      </c>
      <c r="L91" s="1">
        <f>0</f>
        <v>0</v>
      </c>
    </row>
    <row r="92" spans="1:12" x14ac:dyDescent="0.25">
      <c r="A92">
        <f>79862424*0.00001</f>
        <v>798.6242400000001</v>
      </c>
      <c r="B92">
        <v>3482</v>
      </c>
      <c r="C92">
        <v>113</v>
      </c>
      <c r="D92" s="1">
        <f>34.4057</f>
        <v>34.405700000000003</v>
      </c>
      <c r="E92" s="1">
        <f>34716</f>
        <v>34716</v>
      </c>
      <c r="F92" s="1">
        <f>1602</f>
        <v>1602</v>
      </c>
      <c r="G92" s="1">
        <f>1</f>
        <v>1</v>
      </c>
      <c r="H92" s="1">
        <f>0.2</f>
        <v>0.2</v>
      </c>
      <c r="I92" s="1">
        <f>0</f>
        <v>0</v>
      </c>
      <c r="J92" s="1">
        <f>1.72556</f>
        <v>1.72556</v>
      </c>
      <c r="K92" s="1">
        <f>4400</f>
        <v>4400</v>
      </c>
      <c r="L92" s="1">
        <f>0</f>
        <v>0</v>
      </c>
    </row>
    <row r="93" spans="1:12" x14ac:dyDescent="0.25">
      <c r="A93">
        <f>79863392*0.00001</f>
        <v>798.6339200000001</v>
      </c>
      <c r="B93">
        <v>3482</v>
      </c>
      <c r="C93">
        <v>114</v>
      </c>
      <c r="D93" s="1">
        <f>34.4056</f>
        <v>34.4056</v>
      </c>
      <c r="E93" s="1">
        <f>34716</f>
        <v>34716</v>
      </c>
      <c r="F93" s="1">
        <f>1602</f>
        <v>1602</v>
      </c>
      <c r="G93" s="1">
        <f>1</f>
        <v>1</v>
      </c>
      <c r="H93" s="1">
        <f>0.2</f>
        <v>0.2</v>
      </c>
      <c r="I93" s="1">
        <f>0</f>
        <v>0</v>
      </c>
      <c r="J93" s="1">
        <f>1.95064</f>
        <v>1.9506399999999999</v>
      </c>
      <c r="K93" s="1">
        <f>4400</f>
        <v>4400</v>
      </c>
      <c r="L93" s="1">
        <f>0</f>
        <v>0</v>
      </c>
    </row>
    <row r="94" spans="1:12" x14ac:dyDescent="0.25">
      <c r="A94">
        <f>79864360*0.00001</f>
        <v>798.64360000000011</v>
      </c>
      <c r="B94">
        <v>3482</v>
      </c>
      <c r="C94">
        <v>115</v>
      </c>
      <c r="D94" s="1">
        <f>34.4056</f>
        <v>34.4056</v>
      </c>
      <c r="E94" s="1">
        <f>34716</f>
        <v>34716</v>
      </c>
      <c r="F94" s="1">
        <f>1602</f>
        <v>1602</v>
      </c>
      <c r="G94" s="1">
        <f>1</f>
        <v>1</v>
      </c>
      <c r="H94" s="1">
        <f>0.2</f>
        <v>0.2</v>
      </c>
      <c r="I94" s="1">
        <f>0</f>
        <v>0</v>
      </c>
      <c r="J94" s="1">
        <f>2.45065</f>
        <v>2.45065</v>
      </c>
      <c r="K94" s="1">
        <f>4400</f>
        <v>4400</v>
      </c>
      <c r="L94" s="1">
        <f>0</f>
        <v>0</v>
      </c>
    </row>
    <row r="95" spans="1:12" x14ac:dyDescent="0.25">
      <c r="A95">
        <f>79866296*0.00001</f>
        <v>798.66296000000011</v>
      </c>
      <c r="B95">
        <v>3482</v>
      </c>
      <c r="C95">
        <v>117</v>
      </c>
      <c r="D95" s="1">
        <f>34.4058</f>
        <v>34.405799999999999</v>
      </c>
      <c r="E95" s="1">
        <f>34716</f>
        <v>34716</v>
      </c>
      <c r="F95" s="1">
        <f>1602</f>
        <v>1602</v>
      </c>
      <c r="G95" s="1">
        <f>1</f>
        <v>1</v>
      </c>
      <c r="H95" s="1">
        <f>0.2</f>
        <v>0.2</v>
      </c>
      <c r="I95" s="1">
        <f>0</f>
        <v>0</v>
      </c>
      <c r="J95" s="1">
        <f>2.67554</f>
        <v>2.6755399999999998</v>
      </c>
      <c r="K95" s="1">
        <f>4400</f>
        <v>4400</v>
      </c>
      <c r="L95" s="1">
        <f>0</f>
        <v>0</v>
      </c>
    </row>
    <row r="96" spans="1:12" x14ac:dyDescent="0.25">
      <c r="A96">
        <f>79867264*0.00001</f>
        <v>798.67264000000011</v>
      </c>
      <c r="B96">
        <v>3482</v>
      </c>
      <c r="C96">
        <v>118</v>
      </c>
      <c r="D96" s="1">
        <f>34.4068</f>
        <v>34.406799999999997</v>
      </c>
      <c r="E96" s="1">
        <f>34715</f>
        <v>34715</v>
      </c>
      <c r="F96" s="1">
        <f>1602</f>
        <v>1602</v>
      </c>
      <c r="G96" s="1">
        <f>1</f>
        <v>1</v>
      </c>
      <c r="H96" s="1">
        <f>0.2</f>
        <v>0.2</v>
      </c>
      <c r="I96" s="1">
        <f>0</f>
        <v>0</v>
      </c>
      <c r="J96" s="1">
        <f>3.17449</f>
        <v>3.17449</v>
      </c>
      <c r="K96" s="1">
        <f>4400</f>
        <v>4400</v>
      </c>
      <c r="L96" s="1">
        <f>0</f>
        <v>0</v>
      </c>
    </row>
    <row r="97" spans="1:12" x14ac:dyDescent="0.25">
      <c r="A97">
        <f>79869198*0.00001</f>
        <v>798.69198000000006</v>
      </c>
      <c r="B97">
        <v>3482</v>
      </c>
      <c r="C97">
        <v>120</v>
      </c>
      <c r="D97" s="1">
        <f>34.4071</f>
        <v>34.4071</v>
      </c>
      <c r="E97" s="1">
        <f>34715</f>
        <v>34715</v>
      </c>
      <c r="F97" s="1">
        <f>1602</f>
        <v>1602</v>
      </c>
      <c r="G97" s="1">
        <f>1</f>
        <v>1</v>
      </c>
      <c r="H97" s="1">
        <f>0.2</f>
        <v>0.2</v>
      </c>
      <c r="I97" s="1">
        <f>0</f>
        <v>0</v>
      </c>
      <c r="J97" s="1">
        <f>3.39927</f>
        <v>3.39927</v>
      </c>
      <c r="K97" s="1">
        <f>4400</f>
        <v>4400</v>
      </c>
      <c r="L97" s="1">
        <f>0</f>
        <v>0</v>
      </c>
    </row>
    <row r="98" spans="1:12" x14ac:dyDescent="0.25">
      <c r="A98">
        <f>79870166*0.00001</f>
        <v>798.70166000000006</v>
      </c>
      <c r="B98">
        <v>3482</v>
      </c>
      <c r="C98">
        <v>121</v>
      </c>
      <c r="D98" s="1">
        <f>34.4069</f>
        <v>34.4069</v>
      </c>
      <c r="E98" s="1">
        <f>34715</f>
        <v>34715</v>
      </c>
      <c r="F98" s="1">
        <f>1602</f>
        <v>1602</v>
      </c>
      <c r="G98" s="1">
        <f>1</f>
        <v>1</v>
      </c>
      <c r="H98" s="1">
        <f>0.2</f>
        <v>0.2</v>
      </c>
      <c r="I98" s="1">
        <f>0</f>
        <v>0</v>
      </c>
      <c r="J98" s="1">
        <f>3.64942</f>
        <v>3.6494200000000001</v>
      </c>
      <c r="K98" s="1">
        <f>4400</f>
        <v>4400</v>
      </c>
      <c r="L98" s="1">
        <f>0</f>
        <v>0</v>
      </c>
    </row>
    <row r="99" spans="1:12" x14ac:dyDescent="0.25">
      <c r="A99">
        <f>79871134*0.00001</f>
        <v>798.71134000000006</v>
      </c>
      <c r="B99">
        <v>3482</v>
      </c>
      <c r="C99">
        <v>122</v>
      </c>
      <c r="D99" s="1">
        <f>34.4067</f>
        <v>34.406700000000001</v>
      </c>
      <c r="E99" s="1">
        <f>34715</f>
        <v>34715</v>
      </c>
      <c r="F99" s="1">
        <f>1602</f>
        <v>1602</v>
      </c>
      <c r="G99" s="1">
        <f>1</f>
        <v>1</v>
      </c>
      <c r="H99" s="1">
        <f>0.2</f>
        <v>0.2</v>
      </c>
      <c r="I99" s="1">
        <f>0</f>
        <v>0</v>
      </c>
      <c r="J99" s="1">
        <f>4.14969</f>
        <v>4.1496899999999997</v>
      </c>
      <c r="K99" s="1">
        <f>4400</f>
        <v>4400</v>
      </c>
      <c r="L99" s="1">
        <f>0</f>
        <v>0</v>
      </c>
    </row>
    <row r="100" spans="1:12" x14ac:dyDescent="0.25">
      <c r="A100">
        <f>79873071*0.00001</f>
        <v>798.73071000000004</v>
      </c>
      <c r="B100">
        <v>3482</v>
      </c>
      <c r="C100">
        <v>124</v>
      </c>
      <c r="D100" s="1">
        <f>34.4063</f>
        <v>34.406300000000002</v>
      </c>
      <c r="E100" s="1">
        <f>34715</f>
        <v>34715</v>
      </c>
      <c r="F100" s="1">
        <f>1602</f>
        <v>1602</v>
      </c>
      <c r="G100" s="1">
        <f>1</f>
        <v>1</v>
      </c>
      <c r="H100" s="1">
        <f>0.2</f>
        <v>0.2</v>
      </c>
      <c r="I100" s="1">
        <f>0</f>
        <v>0</v>
      </c>
      <c r="J100" s="1">
        <f>4.37507</f>
        <v>4.37507</v>
      </c>
      <c r="K100" s="1">
        <f>4400</f>
        <v>4400</v>
      </c>
      <c r="L100" s="1">
        <f>0</f>
        <v>0</v>
      </c>
    </row>
    <row r="101" spans="1:12" x14ac:dyDescent="0.25">
      <c r="A101">
        <f>79874039*0.00001</f>
        <v>798.74039000000005</v>
      </c>
      <c r="B101">
        <v>3482</v>
      </c>
      <c r="C101">
        <v>125</v>
      </c>
      <c r="D101" s="1">
        <f>34.4074</f>
        <v>34.407400000000003</v>
      </c>
      <c r="E101" s="1">
        <f>34714</f>
        <v>34714</v>
      </c>
      <c r="F101" s="1">
        <f>1602</f>
        <v>1602</v>
      </c>
      <c r="G101" s="1">
        <f>1</f>
        <v>1</v>
      </c>
      <c r="H101" s="1">
        <f>0.2</f>
        <v>0.2</v>
      </c>
      <c r="I101" s="1">
        <f>0</f>
        <v>0</v>
      </c>
      <c r="J101" s="1">
        <f>5.0991</f>
        <v>5.0991</v>
      </c>
      <c r="K101" s="1">
        <f>4400</f>
        <v>4400</v>
      </c>
      <c r="L101" s="1">
        <f>0</f>
        <v>0</v>
      </c>
    </row>
    <row r="102" spans="1:12" x14ac:dyDescent="0.25">
      <c r="A102">
        <f>79876942*0.00001</f>
        <v>798.76942000000008</v>
      </c>
      <c r="B102">
        <v>3482</v>
      </c>
      <c r="C102">
        <v>128</v>
      </c>
      <c r="D102" s="1">
        <f>34.4065</f>
        <v>34.406500000000001</v>
      </c>
      <c r="E102" s="1">
        <f>34715</f>
        <v>34715</v>
      </c>
      <c r="F102" s="1">
        <f>1602</f>
        <v>1602</v>
      </c>
      <c r="G102" s="1">
        <f>1</f>
        <v>1</v>
      </c>
      <c r="H102" s="1">
        <f>0.2</f>
        <v>0.2</v>
      </c>
      <c r="I102" s="1">
        <f>0</f>
        <v>0</v>
      </c>
      <c r="J102" s="1">
        <f>5.34997</f>
        <v>5.3499699999999999</v>
      </c>
      <c r="K102" s="1">
        <f>4400</f>
        <v>4400</v>
      </c>
      <c r="L102" s="1">
        <f>0</f>
        <v>0</v>
      </c>
    </row>
    <row r="103" spans="1:12" x14ac:dyDescent="0.25">
      <c r="A103">
        <f>79877910*0.00001</f>
        <v>798.77910000000008</v>
      </c>
      <c r="B103">
        <v>3482</v>
      </c>
      <c r="C103">
        <v>129</v>
      </c>
      <c r="D103" s="1">
        <f>34.4056</f>
        <v>34.4056</v>
      </c>
      <c r="E103" s="1">
        <f>34716</f>
        <v>34716</v>
      </c>
      <c r="F103" s="1">
        <f>1602</f>
        <v>1602</v>
      </c>
      <c r="G103" s="1">
        <f>1</f>
        <v>1</v>
      </c>
      <c r="H103" s="1">
        <f>0.2</f>
        <v>0.2</v>
      </c>
      <c r="I103" s="1">
        <f>0</f>
        <v>0</v>
      </c>
      <c r="J103" s="1">
        <f>5.82589</f>
        <v>5.8258900000000002</v>
      </c>
      <c r="K103" s="1">
        <f>4400</f>
        <v>4400</v>
      </c>
      <c r="L103" s="1">
        <f>0</f>
        <v>0</v>
      </c>
    </row>
    <row r="104" spans="1:12" x14ac:dyDescent="0.25">
      <c r="A104">
        <f>79879846*0.00001</f>
        <v>798.79846000000009</v>
      </c>
      <c r="B104">
        <v>3482</v>
      </c>
      <c r="C104">
        <v>131</v>
      </c>
      <c r="D104" s="1">
        <f>34.4061</f>
        <v>34.406100000000002</v>
      </c>
      <c r="E104" s="1">
        <f>34716</f>
        <v>34716</v>
      </c>
      <c r="F104" s="1">
        <f>1602</f>
        <v>1602</v>
      </c>
      <c r="G104" s="1">
        <f>1</f>
        <v>1</v>
      </c>
      <c r="H104" s="1">
        <f>0.2</f>
        <v>0.2</v>
      </c>
      <c r="I104" s="1">
        <f>0</f>
        <v>0</v>
      </c>
      <c r="J104" s="1">
        <f>6.07543</f>
        <v>6.0754299999999999</v>
      </c>
      <c r="K104" s="1">
        <f>4400</f>
        <v>4400</v>
      </c>
      <c r="L104" s="1">
        <f>0</f>
        <v>0</v>
      </c>
    </row>
    <row r="105" spans="1:12" x14ac:dyDescent="0.25">
      <c r="A105">
        <f>79880814*0.00001</f>
        <v>798.80814000000009</v>
      </c>
      <c r="B105">
        <v>3482</v>
      </c>
      <c r="C105">
        <v>132</v>
      </c>
      <c r="D105" s="1">
        <f>34.4067</f>
        <v>34.406700000000001</v>
      </c>
      <c r="E105" s="1">
        <f>34715</f>
        <v>34715</v>
      </c>
      <c r="F105" s="1">
        <f>1602</f>
        <v>1602</v>
      </c>
      <c r="G105" s="1">
        <f>1</f>
        <v>1</v>
      </c>
      <c r="H105" s="1">
        <f>0.2</f>
        <v>0.2</v>
      </c>
      <c r="I105" s="1">
        <f>0</f>
        <v>0</v>
      </c>
      <c r="J105" s="1">
        <f>6.32482</f>
        <v>6.3248199999999999</v>
      </c>
      <c r="K105" s="1">
        <f>4400</f>
        <v>4400</v>
      </c>
      <c r="L105" s="1">
        <f>0</f>
        <v>0</v>
      </c>
    </row>
    <row r="106" spans="1:12" x14ac:dyDescent="0.25">
      <c r="A106">
        <f>79881782*0.00001</f>
        <v>798.8178200000001</v>
      </c>
      <c r="B106">
        <v>3482</v>
      </c>
      <c r="C106">
        <v>133</v>
      </c>
      <c r="D106" s="1">
        <f>34.4065</f>
        <v>34.406500000000001</v>
      </c>
      <c r="E106" s="1">
        <f>34715</f>
        <v>34715</v>
      </c>
      <c r="F106" s="1">
        <f>1602</f>
        <v>1602</v>
      </c>
      <c r="G106" s="1">
        <f>1</f>
        <v>1</v>
      </c>
      <c r="H106" s="1">
        <f>0.2</f>
        <v>0.2</v>
      </c>
      <c r="I106" s="1">
        <f>0</f>
        <v>0</v>
      </c>
      <c r="J106" s="1">
        <f>6.80006</f>
        <v>6.8000600000000002</v>
      </c>
      <c r="K106" s="1">
        <f>4400</f>
        <v>4400</v>
      </c>
      <c r="L106" s="1">
        <f>0</f>
        <v>0</v>
      </c>
    </row>
    <row r="107" spans="1:12" x14ac:dyDescent="0.25">
      <c r="A107">
        <f>79883717*0.00001</f>
        <v>798.83717000000001</v>
      </c>
      <c r="B107">
        <v>3482</v>
      </c>
      <c r="C107">
        <v>135</v>
      </c>
      <c r="D107" s="1">
        <f>34.4067</f>
        <v>34.406700000000001</v>
      </c>
      <c r="E107" s="1">
        <f>34715</f>
        <v>34715</v>
      </c>
      <c r="F107" s="1">
        <f>1602</f>
        <v>1602</v>
      </c>
      <c r="G107" s="1">
        <f>1</f>
        <v>1</v>
      </c>
      <c r="H107" s="1">
        <f>0.2</f>
        <v>0.2</v>
      </c>
      <c r="I107" s="1">
        <f>0</f>
        <v>0</v>
      </c>
      <c r="J107" s="1">
        <f>7.04983</f>
        <v>7.04983</v>
      </c>
      <c r="K107" s="1">
        <f>4400</f>
        <v>4400</v>
      </c>
      <c r="L107" s="1">
        <f>0</f>
        <v>0</v>
      </c>
    </row>
    <row r="108" spans="1:12" x14ac:dyDescent="0.25">
      <c r="A108">
        <f>79884685*0.00001</f>
        <v>798.84685000000002</v>
      </c>
      <c r="B108">
        <v>3482</v>
      </c>
      <c r="C108">
        <v>136</v>
      </c>
      <c r="D108" s="1">
        <f>34.4072</f>
        <v>34.407200000000003</v>
      </c>
      <c r="E108" s="1">
        <f>34714</f>
        <v>34714</v>
      </c>
      <c r="F108" s="1">
        <f>1602</f>
        <v>1602</v>
      </c>
      <c r="G108" s="1">
        <f>1</f>
        <v>1</v>
      </c>
      <c r="H108" s="1">
        <f>0.2</f>
        <v>0.2</v>
      </c>
      <c r="I108" s="1">
        <f>0</f>
        <v>0</v>
      </c>
      <c r="J108" s="1">
        <f>7.52439</f>
        <v>7.5243900000000004</v>
      </c>
      <c r="K108" s="1">
        <f>4400</f>
        <v>4400</v>
      </c>
      <c r="L108" s="1">
        <f>0</f>
        <v>0</v>
      </c>
    </row>
    <row r="109" spans="1:12" x14ac:dyDescent="0.25">
      <c r="A109">
        <f>79886622*0.00001</f>
        <v>798.86622000000011</v>
      </c>
      <c r="B109">
        <v>3482</v>
      </c>
      <c r="C109">
        <v>138</v>
      </c>
      <c r="D109" s="1">
        <f>34.4069</f>
        <v>34.4069</v>
      </c>
      <c r="E109" s="1">
        <f>34715</f>
        <v>34715</v>
      </c>
      <c r="F109" s="1">
        <f>1602</f>
        <v>1602</v>
      </c>
      <c r="G109" s="1">
        <f>1</f>
        <v>1</v>
      </c>
      <c r="H109" s="1">
        <f>0.2</f>
        <v>0.2</v>
      </c>
      <c r="I109" s="1">
        <f>0</f>
        <v>0</v>
      </c>
      <c r="J109" s="1">
        <f>7.77475</f>
        <v>7.77475</v>
      </c>
      <c r="K109" s="1">
        <f>4400</f>
        <v>4400</v>
      </c>
      <c r="L109" s="1">
        <f>0</f>
        <v>0</v>
      </c>
    </row>
    <row r="110" spans="1:12" x14ac:dyDescent="0.25">
      <c r="A110">
        <f>79887590*0.00001</f>
        <v>798.87590000000012</v>
      </c>
      <c r="B110">
        <v>3482</v>
      </c>
      <c r="C110">
        <v>139</v>
      </c>
      <c r="D110" s="1">
        <f>34.4066</f>
        <v>34.406599999999997</v>
      </c>
      <c r="E110" s="1">
        <f>34715</f>
        <v>34715</v>
      </c>
      <c r="F110" s="1">
        <f>1602</f>
        <v>1602</v>
      </c>
      <c r="G110" s="1">
        <f>1</f>
        <v>1</v>
      </c>
      <c r="H110" s="1">
        <f>0.2</f>
        <v>0.2</v>
      </c>
      <c r="I110" s="1">
        <f>0</f>
        <v>0</v>
      </c>
      <c r="J110" s="1">
        <f>8.00004</f>
        <v>8.0000400000000003</v>
      </c>
      <c r="K110" s="1">
        <f>4400</f>
        <v>4400</v>
      </c>
      <c r="L110" s="1">
        <f>0</f>
        <v>0</v>
      </c>
    </row>
    <row r="111" spans="1:12" x14ac:dyDescent="0.25">
      <c r="A111">
        <f>79888558*0.00001</f>
        <v>798.88558000000012</v>
      </c>
      <c r="B111">
        <v>3482</v>
      </c>
      <c r="C111">
        <v>140</v>
      </c>
      <c r="D111" s="1">
        <f>34.4059</f>
        <v>34.405900000000003</v>
      </c>
      <c r="E111" s="1">
        <f>34716</f>
        <v>34716</v>
      </c>
      <c r="F111" s="1">
        <f>1602</f>
        <v>1602</v>
      </c>
      <c r="G111" s="1">
        <f>1</f>
        <v>1</v>
      </c>
      <c r="H111" s="1">
        <f>0.2</f>
        <v>0.2</v>
      </c>
      <c r="I111" s="1">
        <f>0</f>
        <v>0</v>
      </c>
      <c r="J111" s="1">
        <f>8.50079</f>
        <v>8.5007900000000003</v>
      </c>
      <c r="K111" s="1">
        <f>4400</f>
        <v>4400</v>
      </c>
      <c r="L111" s="1">
        <f>0</f>
        <v>0</v>
      </c>
    </row>
    <row r="112" spans="1:12" x14ac:dyDescent="0.25">
      <c r="A112">
        <f>79890494*0.00001</f>
        <v>798.90494000000001</v>
      </c>
      <c r="B112">
        <v>3482</v>
      </c>
      <c r="C112">
        <v>142</v>
      </c>
      <c r="D112" s="1">
        <f>34.4053</f>
        <v>34.405299999999997</v>
      </c>
      <c r="E112" s="1">
        <f>34716</f>
        <v>34716</v>
      </c>
      <c r="F112" s="1">
        <f>1602</f>
        <v>1602</v>
      </c>
      <c r="G112" s="1">
        <f>1</f>
        <v>1</v>
      </c>
      <c r="H112" s="1">
        <f>0.2</f>
        <v>0.2</v>
      </c>
      <c r="I112" s="1">
        <f>0</f>
        <v>0</v>
      </c>
      <c r="J112" s="1">
        <f>8.72642</f>
        <v>8.7264199999999992</v>
      </c>
      <c r="K112" s="1">
        <f>4400</f>
        <v>4400</v>
      </c>
      <c r="L112" s="1">
        <f>0</f>
        <v>0</v>
      </c>
    </row>
    <row r="113" spans="1:12" x14ac:dyDescent="0.25">
      <c r="A113">
        <f>79891461*0.00001</f>
        <v>798.91461000000004</v>
      </c>
      <c r="B113">
        <v>3482</v>
      </c>
      <c r="C113">
        <v>143</v>
      </c>
      <c r="D113" s="1">
        <f>34.4063</f>
        <v>34.406300000000002</v>
      </c>
      <c r="E113" s="1">
        <f>34715</f>
        <v>34715</v>
      </c>
      <c r="F113" s="1">
        <f>1602</f>
        <v>1602</v>
      </c>
      <c r="G113" s="1">
        <f>1</f>
        <v>1</v>
      </c>
      <c r="H113" s="1">
        <f>0.2</f>
        <v>0.2</v>
      </c>
      <c r="I113" s="1">
        <f>0</f>
        <v>0</v>
      </c>
      <c r="J113" s="1">
        <f>9.45045</f>
        <v>9.45045</v>
      </c>
      <c r="K113" s="1">
        <f>4400</f>
        <v>4400</v>
      </c>
      <c r="L113" s="1">
        <f>0</f>
        <v>0</v>
      </c>
    </row>
    <row r="114" spans="1:12" x14ac:dyDescent="0.25">
      <c r="A114">
        <f>79894364*0.00001</f>
        <v>798.94364000000007</v>
      </c>
      <c r="B114">
        <v>3482</v>
      </c>
      <c r="C114">
        <v>146</v>
      </c>
      <c r="D114" s="1">
        <f>34.4056</f>
        <v>34.4056</v>
      </c>
      <c r="E114" s="1">
        <f>34716</f>
        <v>34716</v>
      </c>
      <c r="F114" s="1">
        <f>1602</f>
        <v>1602</v>
      </c>
      <c r="G114" s="1">
        <f>1</f>
        <v>1</v>
      </c>
      <c r="H114" s="1">
        <f>0.2</f>
        <v>0.2</v>
      </c>
      <c r="I114" s="1">
        <f>0</f>
        <v>0</v>
      </c>
      <c r="J114" s="1">
        <f>9.7011</f>
        <v>9.7011000000000003</v>
      </c>
      <c r="K114" s="1">
        <f>4400</f>
        <v>4400</v>
      </c>
      <c r="L114" s="1">
        <f>0</f>
        <v>0</v>
      </c>
    </row>
    <row r="115" spans="1:12" x14ac:dyDescent="0.25">
      <c r="A115">
        <f>79895331*0.00001</f>
        <v>798.9533100000001</v>
      </c>
      <c r="B115">
        <v>3482</v>
      </c>
      <c r="C115">
        <v>147</v>
      </c>
      <c r="D115" s="1">
        <f>34.4062</f>
        <v>34.406199999999998</v>
      </c>
      <c r="E115" s="1">
        <f>34715</f>
        <v>34715</v>
      </c>
      <c r="F115" s="1">
        <f>1602</f>
        <v>1602</v>
      </c>
      <c r="G115" s="1">
        <f>1</f>
        <v>1</v>
      </c>
      <c r="H115" s="1">
        <f>0.2</f>
        <v>0.2</v>
      </c>
      <c r="I115" s="1">
        <f>0</f>
        <v>0</v>
      </c>
      <c r="J115" s="1">
        <f>10.1756</f>
        <v>10.175599999999999</v>
      </c>
      <c r="K115" s="1">
        <f>4400</f>
        <v>4400</v>
      </c>
      <c r="L115" s="1">
        <f>0</f>
        <v>0</v>
      </c>
    </row>
    <row r="116" spans="1:12" x14ac:dyDescent="0.25">
      <c r="A116">
        <f>79897267*0.00001</f>
        <v>798.97267000000011</v>
      </c>
      <c r="B116">
        <v>3482</v>
      </c>
      <c r="C116">
        <v>149</v>
      </c>
      <c r="D116" s="1">
        <f>34.4065</f>
        <v>34.406500000000001</v>
      </c>
      <c r="E116" s="1">
        <f>34715</f>
        <v>34715</v>
      </c>
      <c r="F116" s="1">
        <f>1602</f>
        <v>1602</v>
      </c>
      <c r="G116" s="1">
        <f>1</f>
        <v>1</v>
      </c>
      <c r="H116" s="1">
        <f>0.2</f>
        <v>0.2</v>
      </c>
      <c r="I116" s="1">
        <f>0</f>
        <v>0</v>
      </c>
      <c r="J116" s="1">
        <f>10.4253</f>
        <v>10.4253</v>
      </c>
      <c r="K116" s="1">
        <f>4400</f>
        <v>4400</v>
      </c>
      <c r="L116" s="1">
        <f>0</f>
        <v>0</v>
      </c>
    </row>
    <row r="117" spans="1:12" x14ac:dyDescent="0.25">
      <c r="A117">
        <f>79898235*0.00001</f>
        <v>798.98235000000011</v>
      </c>
      <c r="B117">
        <v>3482</v>
      </c>
      <c r="C117">
        <v>150</v>
      </c>
      <c r="D117" s="1">
        <f>34.4064</f>
        <v>34.406399999999998</v>
      </c>
      <c r="E117" s="1">
        <f>34715</f>
        <v>34715</v>
      </c>
      <c r="F117" s="1">
        <f>1602</f>
        <v>1602</v>
      </c>
      <c r="G117" s="1">
        <f>1</f>
        <v>1</v>
      </c>
      <c r="H117" s="1">
        <f>0.2</f>
        <v>0.2</v>
      </c>
      <c r="I117" s="1">
        <f>0</f>
        <v>0</v>
      </c>
      <c r="J117" s="1">
        <f>10.6754</f>
        <v>10.6754</v>
      </c>
      <c r="K117" s="1">
        <f>4400</f>
        <v>4400</v>
      </c>
      <c r="L117" s="1">
        <f>0</f>
        <v>0</v>
      </c>
    </row>
    <row r="118" spans="1:12" x14ac:dyDescent="0.25">
      <c r="A118">
        <f>79899203*0.00001</f>
        <v>798.99203000000011</v>
      </c>
      <c r="B118">
        <v>3482</v>
      </c>
      <c r="C118">
        <v>151</v>
      </c>
      <c r="D118" s="1">
        <f>34.4063</f>
        <v>34.406300000000002</v>
      </c>
      <c r="E118" s="1">
        <f>34715</f>
        <v>34715</v>
      </c>
      <c r="F118" s="1">
        <f>1602</f>
        <v>1602</v>
      </c>
      <c r="G118" s="1">
        <f>1</f>
        <v>1</v>
      </c>
      <c r="H118" s="1">
        <f>0.2</f>
        <v>0.2</v>
      </c>
      <c r="I118" s="1">
        <f>0</f>
        <v>0</v>
      </c>
      <c r="J118" s="1">
        <f>11.1505</f>
        <v>11.150499999999999</v>
      </c>
      <c r="K118" s="1">
        <f>4400</f>
        <v>4400</v>
      </c>
      <c r="L118" s="1">
        <f>0</f>
        <v>0</v>
      </c>
    </row>
    <row r="119" spans="1:12" x14ac:dyDescent="0.25">
      <c r="A119">
        <f>79901139*0.00001</f>
        <v>799.01139000000012</v>
      </c>
      <c r="B119">
        <v>3482</v>
      </c>
      <c r="C119">
        <v>153</v>
      </c>
      <c r="D119" s="1">
        <f>34.4064</f>
        <v>34.406399999999998</v>
      </c>
      <c r="E119" s="1">
        <f>34715</f>
        <v>34715</v>
      </c>
      <c r="F119" s="1">
        <f>1602</f>
        <v>1602</v>
      </c>
      <c r="G119" s="1">
        <f>1</f>
        <v>1</v>
      </c>
      <c r="H119" s="1">
        <f>0.2</f>
        <v>0.2</v>
      </c>
      <c r="I119" s="1">
        <f>0</f>
        <v>0</v>
      </c>
      <c r="J119" s="1">
        <f>11.4004</f>
        <v>11.400399999999999</v>
      </c>
      <c r="K119" s="1">
        <f>4400</f>
        <v>4400</v>
      </c>
      <c r="L119" s="1">
        <f>0</f>
        <v>0</v>
      </c>
    </row>
    <row r="120" spans="1:12" x14ac:dyDescent="0.25">
      <c r="A120">
        <f>79902107*0.00001</f>
        <v>799.02107000000001</v>
      </c>
      <c r="B120">
        <v>3482</v>
      </c>
      <c r="C120">
        <v>154</v>
      </c>
      <c r="D120" s="1">
        <f>34.4067</f>
        <v>34.406700000000001</v>
      </c>
      <c r="E120" s="1">
        <f>34715</f>
        <v>34715</v>
      </c>
      <c r="F120" s="1">
        <f>1602</f>
        <v>1602</v>
      </c>
      <c r="G120" s="1">
        <f>1</f>
        <v>1</v>
      </c>
      <c r="H120" s="1">
        <f>0.2</f>
        <v>0.2</v>
      </c>
      <c r="I120" s="1">
        <f>0</f>
        <v>0</v>
      </c>
      <c r="J120" s="1">
        <f>11.8751</f>
        <v>11.8751</v>
      </c>
      <c r="K120" s="1">
        <f>4400</f>
        <v>4400</v>
      </c>
      <c r="L120" s="1">
        <f>0</f>
        <v>0</v>
      </c>
    </row>
    <row r="121" spans="1:12" x14ac:dyDescent="0.25">
      <c r="A121">
        <f>79904043*0.00001</f>
        <v>799.04043000000001</v>
      </c>
      <c r="B121">
        <v>3482</v>
      </c>
      <c r="C121">
        <v>156</v>
      </c>
      <c r="D121" s="1">
        <f>34.4061</f>
        <v>34.406100000000002</v>
      </c>
      <c r="E121" s="1">
        <f>34716</f>
        <v>34716</v>
      </c>
      <c r="F121" s="1">
        <f>1602</f>
        <v>1602</v>
      </c>
      <c r="G121" s="1">
        <f>1</f>
        <v>1</v>
      </c>
      <c r="H121" s="1">
        <f>0.2</f>
        <v>0.2</v>
      </c>
      <c r="I121" s="1">
        <f>0</f>
        <v>0</v>
      </c>
      <c r="J121" s="1">
        <f>12.1258</f>
        <v>12.1258</v>
      </c>
      <c r="K121" s="1">
        <f>4400</f>
        <v>4400</v>
      </c>
      <c r="L121" s="1">
        <f>0</f>
        <v>0</v>
      </c>
    </row>
    <row r="122" spans="1:12" x14ac:dyDescent="0.25">
      <c r="A122">
        <f>79905010*0.00001</f>
        <v>799.05010000000004</v>
      </c>
      <c r="B122">
        <v>3482</v>
      </c>
      <c r="C122">
        <v>157</v>
      </c>
      <c r="D122" s="1">
        <f>34.4072</f>
        <v>34.407200000000003</v>
      </c>
      <c r="E122" s="1">
        <f>34714</f>
        <v>34714</v>
      </c>
      <c r="F122" s="1">
        <f>1602</f>
        <v>1602</v>
      </c>
      <c r="G122" s="1">
        <f>1</f>
        <v>1</v>
      </c>
      <c r="H122" s="1">
        <f>0.2</f>
        <v>0.2</v>
      </c>
      <c r="I122" s="1">
        <f>0</f>
        <v>0</v>
      </c>
      <c r="J122" s="1">
        <f>12.3747</f>
        <v>12.374700000000001</v>
      </c>
      <c r="K122" s="1">
        <f>4400</f>
        <v>4400</v>
      </c>
      <c r="L122" s="1">
        <f>0</f>
        <v>0</v>
      </c>
    </row>
    <row r="123" spans="1:12" x14ac:dyDescent="0.25">
      <c r="A123">
        <f>79905978*0.00001</f>
        <v>799.05978000000005</v>
      </c>
      <c r="B123">
        <v>3482</v>
      </c>
      <c r="C123">
        <v>158</v>
      </c>
      <c r="D123" s="1">
        <f>34.407</f>
        <v>34.406999999999996</v>
      </c>
      <c r="E123" s="1">
        <f>34715</f>
        <v>34715</v>
      </c>
      <c r="F123" s="1">
        <f>1602</f>
        <v>1602</v>
      </c>
      <c r="G123" s="1">
        <f>1</f>
        <v>1</v>
      </c>
      <c r="H123" s="1">
        <f>0.2</f>
        <v>0.2</v>
      </c>
      <c r="I123" s="1">
        <f>0</f>
        <v>0</v>
      </c>
      <c r="J123" s="1">
        <f>12.8499</f>
        <v>12.8499</v>
      </c>
      <c r="K123" s="1">
        <f>4400</f>
        <v>4400</v>
      </c>
      <c r="L123" s="1">
        <f>0</f>
        <v>0</v>
      </c>
    </row>
    <row r="124" spans="1:12" x14ac:dyDescent="0.25">
      <c r="A124">
        <f>79907913*0.00001</f>
        <v>799.07913000000008</v>
      </c>
      <c r="B124">
        <v>3482</v>
      </c>
      <c r="C124">
        <v>160</v>
      </c>
      <c r="D124" s="1">
        <f>34.4072</f>
        <v>34.407200000000003</v>
      </c>
      <c r="E124" s="1">
        <f>34714</f>
        <v>34714</v>
      </c>
      <c r="F124" s="1">
        <f>1602</f>
        <v>1602</v>
      </c>
      <c r="G124" s="1">
        <f>1</f>
        <v>1</v>
      </c>
      <c r="H124" s="1">
        <f>0.2</f>
        <v>0.2</v>
      </c>
      <c r="I124" s="1">
        <f>0</f>
        <v>0</v>
      </c>
      <c r="J124" s="1">
        <f>13.0997</f>
        <v>13.0997</v>
      </c>
      <c r="K124" s="1">
        <f>4400</f>
        <v>4400</v>
      </c>
      <c r="L124" s="1">
        <f>0</f>
        <v>0</v>
      </c>
    </row>
    <row r="125" spans="1:12" x14ac:dyDescent="0.25">
      <c r="A125">
        <f>79908881*0.00001</f>
        <v>799.08881000000008</v>
      </c>
      <c r="B125">
        <v>3482</v>
      </c>
      <c r="C125">
        <v>161</v>
      </c>
      <c r="D125" s="1">
        <f>34.4075</f>
        <v>34.407499999999999</v>
      </c>
      <c r="E125" s="1">
        <f>34714</f>
        <v>34714</v>
      </c>
      <c r="F125" s="1">
        <f>1602</f>
        <v>1602</v>
      </c>
      <c r="G125" s="1">
        <f>1</f>
        <v>1</v>
      </c>
      <c r="H125" s="1">
        <f>0.2</f>
        <v>0.2</v>
      </c>
      <c r="I125" s="1">
        <f>0</f>
        <v>0</v>
      </c>
      <c r="J125" s="1">
        <f>13.8245</f>
        <v>13.8245</v>
      </c>
      <c r="K125" s="1">
        <f>4400</f>
        <v>4400</v>
      </c>
      <c r="L125" s="1">
        <f>0</f>
        <v>0</v>
      </c>
    </row>
    <row r="126" spans="1:12" x14ac:dyDescent="0.25">
      <c r="A126">
        <f>79911783*0.00001</f>
        <v>799.11783000000003</v>
      </c>
      <c r="B126">
        <v>3482</v>
      </c>
      <c r="C126">
        <v>164</v>
      </c>
      <c r="D126" s="1">
        <f>34.4075</f>
        <v>34.407499999999999</v>
      </c>
      <c r="E126" s="1">
        <f>34714</f>
        <v>34714</v>
      </c>
      <c r="F126" s="1">
        <f>1602</f>
        <v>1602</v>
      </c>
      <c r="G126" s="1">
        <f>1</f>
        <v>1</v>
      </c>
      <c r="H126" s="1">
        <f>0.2</f>
        <v>0.2</v>
      </c>
      <c r="I126" s="1">
        <f>0</f>
        <v>0</v>
      </c>
      <c r="J126" s="1">
        <f>14.0495</f>
        <v>14.0495</v>
      </c>
      <c r="K126" s="1">
        <f>4400</f>
        <v>4400</v>
      </c>
      <c r="L126" s="1">
        <f>0</f>
        <v>0</v>
      </c>
    </row>
    <row r="127" spans="1:12" x14ac:dyDescent="0.25">
      <c r="A127">
        <f>79912751*0.00001</f>
        <v>799.12751000000003</v>
      </c>
      <c r="B127">
        <v>3482</v>
      </c>
      <c r="C127">
        <v>165</v>
      </c>
      <c r="D127" s="1">
        <f>34.4074</f>
        <v>34.407400000000003</v>
      </c>
      <c r="E127" s="1">
        <f>34714</f>
        <v>34714</v>
      </c>
      <c r="F127" s="1">
        <f>1602</f>
        <v>1602</v>
      </c>
      <c r="G127" s="1">
        <f>1</f>
        <v>1</v>
      </c>
      <c r="H127" s="1">
        <f>0.2</f>
        <v>0.2</v>
      </c>
      <c r="I127" s="1">
        <f>0</f>
        <v>0</v>
      </c>
      <c r="J127" s="1">
        <f>14.5496</f>
        <v>14.5496</v>
      </c>
      <c r="K127" s="1">
        <f>4400</f>
        <v>4400</v>
      </c>
      <c r="L127" s="1">
        <f>0</f>
        <v>0</v>
      </c>
    </row>
    <row r="128" spans="1:12" x14ac:dyDescent="0.25">
      <c r="A128">
        <f>79914687*0.00001</f>
        <v>799.14687000000004</v>
      </c>
      <c r="B128">
        <v>3482</v>
      </c>
      <c r="C128">
        <v>167</v>
      </c>
      <c r="D128" s="1">
        <f>34.4078</f>
        <v>34.407800000000002</v>
      </c>
      <c r="E128" s="1">
        <f>34714</f>
        <v>34714</v>
      </c>
      <c r="F128" s="1">
        <f>1602</f>
        <v>1602</v>
      </c>
      <c r="G128" s="1">
        <f>1</f>
        <v>1</v>
      </c>
      <c r="H128" s="1">
        <f>0.2</f>
        <v>0.2</v>
      </c>
      <c r="I128" s="1">
        <f>0</f>
        <v>0</v>
      </c>
      <c r="J128" s="1">
        <f>14.7743</f>
        <v>14.7743</v>
      </c>
      <c r="K128" s="1">
        <f>4400</f>
        <v>4400</v>
      </c>
      <c r="L128" s="1">
        <f>0</f>
        <v>0</v>
      </c>
    </row>
    <row r="129" spans="1:12" x14ac:dyDescent="0.25">
      <c r="A129">
        <f>79915655*0.00001</f>
        <v>799.15655000000004</v>
      </c>
      <c r="B129">
        <v>3482</v>
      </c>
      <c r="C129">
        <v>168</v>
      </c>
      <c r="D129" s="1">
        <f>34.4074</f>
        <v>34.407400000000003</v>
      </c>
      <c r="E129" s="1">
        <f>34714</f>
        <v>34714</v>
      </c>
      <c r="F129" s="1">
        <f>1602</f>
        <v>1602</v>
      </c>
      <c r="G129" s="1">
        <f>1</f>
        <v>1</v>
      </c>
      <c r="H129" s="1">
        <f>0.2</f>
        <v>0.2</v>
      </c>
      <c r="I129" s="1">
        <f>0</f>
        <v>0</v>
      </c>
      <c r="J129" s="1">
        <f>15.0246</f>
        <v>15.0246</v>
      </c>
      <c r="K129" s="1">
        <f>4400</f>
        <v>4400</v>
      </c>
      <c r="L129" s="1">
        <f>0</f>
        <v>0</v>
      </c>
    </row>
    <row r="130" spans="1:12" x14ac:dyDescent="0.25">
      <c r="A130">
        <f>79916623*0.00001</f>
        <v>799.16623000000004</v>
      </c>
      <c r="B130">
        <v>3482</v>
      </c>
      <c r="C130">
        <v>169</v>
      </c>
      <c r="D130" s="1">
        <f>34.4082</f>
        <v>34.408200000000001</v>
      </c>
      <c r="E130" s="1">
        <f>34713</f>
        <v>34713</v>
      </c>
      <c r="F130" s="1">
        <f>1602</f>
        <v>1602</v>
      </c>
      <c r="G130" s="1">
        <f>1</f>
        <v>1</v>
      </c>
      <c r="H130" s="1">
        <f>0.2</f>
        <v>0.2</v>
      </c>
      <c r="I130" s="1">
        <f>0</f>
        <v>0</v>
      </c>
      <c r="J130" s="1">
        <f>15.4989</f>
        <v>15.498900000000001</v>
      </c>
      <c r="K130" s="1">
        <f>4400</f>
        <v>4400</v>
      </c>
      <c r="L130" s="1">
        <f>0</f>
        <v>0</v>
      </c>
    </row>
    <row r="131" spans="1:12" x14ac:dyDescent="0.25">
      <c r="A131">
        <f>79918558*0.00001</f>
        <v>799.18558000000007</v>
      </c>
      <c r="B131">
        <v>3482</v>
      </c>
      <c r="C131">
        <v>171</v>
      </c>
      <c r="D131" s="1">
        <f>34.4075</f>
        <v>34.407499999999999</v>
      </c>
      <c r="E131" s="1">
        <f>34714</f>
        <v>34714</v>
      </c>
      <c r="F131" s="1">
        <f>1602</f>
        <v>1602</v>
      </c>
      <c r="G131" s="1">
        <f>1</f>
        <v>1</v>
      </c>
      <c r="H131" s="1">
        <f>0.2</f>
        <v>0.2</v>
      </c>
      <c r="I131" s="1">
        <f>0</f>
        <v>0</v>
      </c>
      <c r="J131" s="1">
        <f>15.7496</f>
        <v>15.749599999999999</v>
      </c>
      <c r="K131" s="1">
        <f>4400</f>
        <v>4400</v>
      </c>
      <c r="L131" s="1">
        <f>0</f>
        <v>0</v>
      </c>
    </row>
    <row r="132" spans="1:12" x14ac:dyDescent="0.25">
      <c r="A132">
        <f>79919526*0.00001</f>
        <v>799.19526000000008</v>
      </c>
      <c r="B132">
        <v>3482</v>
      </c>
      <c r="C132">
        <v>172</v>
      </c>
      <c r="D132" s="1">
        <f>34.4074</f>
        <v>34.407400000000003</v>
      </c>
      <c r="E132" s="1">
        <f>34714</f>
        <v>34714</v>
      </c>
      <c r="F132" s="1">
        <f>1602</f>
        <v>1602</v>
      </c>
      <c r="G132" s="1">
        <f>1</f>
        <v>1</v>
      </c>
      <c r="H132" s="1">
        <f>0.2</f>
        <v>0.2</v>
      </c>
      <c r="I132" s="1">
        <f>0</f>
        <v>0</v>
      </c>
      <c r="J132" s="1">
        <f>16.2247</f>
        <v>16.224699999999999</v>
      </c>
      <c r="K132" s="1">
        <f>4400</f>
        <v>4400</v>
      </c>
      <c r="L132" s="1">
        <f>0</f>
        <v>0</v>
      </c>
    </row>
    <row r="133" spans="1:12" x14ac:dyDescent="0.25">
      <c r="A133">
        <f>79921461*0.00001</f>
        <v>799.21461000000011</v>
      </c>
      <c r="B133">
        <v>3482</v>
      </c>
      <c r="C133">
        <v>174</v>
      </c>
      <c r="D133" s="1">
        <f>34.408</f>
        <v>34.408000000000001</v>
      </c>
      <c r="E133" s="1">
        <f>34714</f>
        <v>34714</v>
      </c>
      <c r="F133" s="1">
        <f>1602</f>
        <v>1602</v>
      </c>
      <c r="G133" s="1">
        <f>1</f>
        <v>1</v>
      </c>
      <c r="H133" s="1">
        <f>0.2</f>
        <v>0.2</v>
      </c>
      <c r="I133" s="1">
        <f>0</f>
        <v>0</v>
      </c>
      <c r="J133" s="1">
        <f>16.4742</f>
        <v>16.4742</v>
      </c>
      <c r="K133" s="1">
        <f>4400</f>
        <v>4400</v>
      </c>
      <c r="L133" s="1">
        <f>0</f>
        <v>0</v>
      </c>
    </row>
    <row r="134" spans="1:12" x14ac:dyDescent="0.25">
      <c r="A134">
        <f>79922429*0.00001</f>
        <v>799.22429000000011</v>
      </c>
      <c r="B134">
        <v>3482</v>
      </c>
      <c r="C134">
        <v>175</v>
      </c>
      <c r="D134" s="1">
        <f>34.4081</f>
        <v>34.408099999999997</v>
      </c>
      <c r="E134" s="1">
        <f>34714</f>
        <v>34714</v>
      </c>
      <c r="F134" s="1">
        <f>1602</f>
        <v>1602</v>
      </c>
      <c r="G134" s="1">
        <f>1</f>
        <v>1</v>
      </c>
      <c r="H134" s="1">
        <f>0.2</f>
        <v>0.2</v>
      </c>
      <c r="I134" s="1">
        <f>0</f>
        <v>0</v>
      </c>
      <c r="J134" s="1">
        <f>16.724</f>
        <v>16.724</v>
      </c>
      <c r="K134" s="1">
        <f>4400</f>
        <v>4400</v>
      </c>
      <c r="L134" s="1">
        <f>0</f>
        <v>0</v>
      </c>
    </row>
    <row r="135" spans="1:12" x14ac:dyDescent="0.25">
      <c r="A135">
        <f>79923397*0.00001</f>
        <v>799.23397000000011</v>
      </c>
      <c r="B135">
        <v>3482</v>
      </c>
      <c r="C135">
        <v>176</v>
      </c>
      <c r="D135" s="1">
        <f>34.4071</f>
        <v>34.4071</v>
      </c>
      <c r="E135" s="1">
        <f>34715</f>
        <v>34715</v>
      </c>
      <c r="F135" s="1">
        <f>1602</f>
        <v>1602</v>
      </c>
      <c r="G135" s="1">
        <f>1</f>
        <v>1</v>
      </c>
      <c r="H135" s="1">
        <f>0.2</f>
        <v>0.2</v>
      </c>
      <c r="I135" s="1">
        <f>0</f>
        <v>0</v>
      </c>
      <c r="J135" s="1">
        <f>17.2001</f>
        <v>17.200099999999999</v>
      </c>
      <c r="K135" s="1">
        <f>4400</f>
        <v>4400</v>
      </c>
      <c r="L135" s="1">
        <f>0</f>
        <v>0</v>
      </c>
    </row>
    <row r="136" spans="1:12" x14ac:dyDescent="0.25">
      <c r="A136">
        <f>79925334*0.00001</f>
        <v>799.25334000000009</v>
      </c>
      <c r="B136">
        <v>3482</v>
      </c>
      <c r="C136">
        <v>178</v>
      </c>
      <c r="D136" s="1">
        <f>34.4073</f>
        <v>34.407299999999999</v>
      </c>
      <c r="E136" s="1">
        <f>34714</f>
        <v>34714</v>
      </c>
      <c r="F136" s="1">
        <f>1602</f>
        <v>1602</v>
      </c>
      <c r="G136" s="1">
        <f>1</f>
        <v>1</v>
      </c>
      <c r="H136" s="1">
        <f>0.2</f>
        <v>0.2</v>
      </c>
      <c r="I136" s="1">
        <f>0</f>
        <v>0</v>
      </c>
      <c r="J136" s="1">
        <f>18.1749</f>
        <v>18.174900000000001</v>
      </c>
      <c r="K136" s="1">
        <f>4400</f>
        <v>4400</v>
      </c>
      <c r="L136" s="1">
        <f>0</f>
        <v>0</v>
      </c>
    </row>
    <row r="137" spans="1:12" s="2" customFormat="1" x14ac:dyDescent="0.25">
      <c r="A137" s="2">
        <f>79929205*0.00001</f>
        <v>799.29205000000002</v>
      </c>
      <c r="B137" s="2">
        <v>3483</v>
      </c>
      <c r="C137" s="2">
        <v>2</v>
      </c>
      <c r="D137" s="1">
        <f>34.4073</f>
        <v>34.407299999999999</v>
      </c>
      <c r="E137" s="1">
        <f>34714</f>
        <v>34714</v>
      </c>
      <c r="F137" s="1">
        <f>1602</f>
        <v>1602</v>
      </c>
      <c r="G137" s="1">
        <f>1</f>
        <v>1</v>
      </c>
      <c r="H137" s="1">
        <f>0.2</f>
        <v>0.2</v>
      </c>
      <c r="I137" s="1">
        <f>0</f>
        <v>0</v>
      </c>
      <c r="J137" s="1">
        <f>18.4249</f>
        <v>18.424900000000001</v>
      </c>
      <c r="K137" s="1">
        <f>4400</f>
        <v>4400</v>
      </c>
      <c r="L137" s="1">
        <f>0</f>
        <v>0</v>
      </c>
    </row>
    <row r="138" spans="1:12" x14ac:dyDescent="0.25">
      <c r="A138">
        <f>79930173*0.00001</f>
        <v>799.30173000000002</v>
      </c>
      <c r="B138">
        <v>3483</v>
      </c>
      <c r="C138">
        <v>3</v>
      </c>
      <c r="D138" s="1">
        <f>34.407</f>
        <v>34.406999999999996</v>
      </c>
      <c r="E138" s="1">
        <f>34715</f>
        <v>34715</v>
      </c>
      <c r="F138" s="1">
        <f>1602</f>
        <v>1602</v>
      </c>
      <c r="G138" s="1">
        <f>1</f>
        <v>1</v>
      </c>
      <c r="H138" s="1">
        <f>0.2</f>
        <v>0.2</v>
      </c>
      <c r="I138" s="1">
        <f>0</f>
        <v>0</v>
      </c>
      <c r="J138" s="1">
        <f>18.9003</f>
        <v>18.900300000000001</v>
      </c>
      <c r="K138" s="1">
        <f>4400</f>
        <v>4400</v>
      </c>
      <c r="L138" s="1">
        <f>0</f>
        <v>0</v>
      </c>
    </row>
    <row r="139" spans="1:12" x14ac:dyDescent="0.25">
      <c r="A139">
        <f>79932109*0.00001</f>
        <v>799.32109000000003</v>
      </c>
      <c r="B139">
        <v>3483</v>
      </c>
      <c r="C139">
        <v>5</v>
      </c>
      <c r="D139" s="1">
        <f>34.4067</f>
        <v>34.406700000000001</v>
      </c>
      <c r="E139" s="1">
        <f>34715</f>
        <v>34715</v>
      </c>
      <c r="F139" s="1">
        <f>1602</f>
        <v>1602</v>
      </c>
      <c r="G139" s="1">
        <f>1</f>
        <v>1</v>
      </c>
      <c r="H139" s="1">
        <f>0.2</f>
        <v>0.2</v>
      </c>
      <c r="I139" s="1">
        <f>0</f>
        <v>0</v>
      </c>
      <c r="J139" s="1">
        <f>19.1506</f>
        <v>19.150600000000001</v>
      </c>
      <c r="K139" s="1">
        <f>4400</f>
        <v>4400</v>
      </c>
      <c r="L139" s="1">
        <f>0</f>
        <v>0</v>
      </c>
    </row>
    <row r="140" spans="1:12" x14ac:dyDescent="0.25">
      <c r="A140">
        <f>79933076*0.00001</f>
        <v>799.33076000000005</v>
      </c>
      <c r="B140">
        <v>3483</v>
      </c>
      <c r="C140">
        <v>6</v>
      </c>
      <c r="D140" s="1">
        <f>34.4071</f>
        <v>34.4071</v>
      </c>
      <c r="E140" s="1">
        <f>34715</f>
        <v>34715</v>
      </c>
      <c r="F140" s="1">
        <f>1602</f>
        <v>1602</v>
      </c>
      <c r="G140" s="1">
        <f>1</f>
        <v>1</v>
      </c>
      <c r="H140" s="1">
        <f>0.2</f>
        <v>0.2</v>
      </c>
      <c r="I140" s="1">
        <f>0</f>
        <v>0</v>
      </c>
      <c r="J140" s="1">
        <f>19.3752</f>
        <v>19.3752</v>
      </c>
      <c r="K140" s="1">
        <f>4400</f>
        <v>4400</v>
      </c>
      <c r="L140" s="1">
        <f>0</f>
        <v>0</v>
      </c>
    </row>
    <row r="141" spans="1:12" x14ac:dyDescent="0.25">
      <c r="A141">
        <f>79934043*0.00001</f>
        <v>799.34043000000008</v>
      </c>
      <c r="B141">
        <v>3483</v>
      </c>
      <c r="C141">
        <v>7</v>
      </c>
      <c r="D141" s="1">
        <f>34.4064</f>
        <v>34.406399999999998</v>
      </c>
      <c r="E141" s="1">
        <f>34715</f>
        <v>34715</v>
      </c>
      <c r="F141" s="1">
        <f>1602</f>
        <v>1602</v>
      </c>
      <c r="G141" s="1">
        <f>1</f>
        <v>1</v>
      </c>
      <c r="H141" s="1">
        <f>0.2</f>
        <v>0.2</v>
      </c>
      <c r="I141" s="1">
        <f>0</f>
        <v>0</v>
      </c>
      <c r="J141" s="1">
        <f>19.876</f>
        <v>19.876000000000001</v>
      </c>
      <c r="K141" s="1">
        <f>4400</f>
        <v>4400</v>
      </c>
      <c r="L141" s="1">
        <f>0</f>
        <v>0</v>
      </c>
    </row>
    <row r="142" spans="1:12" x14ac:dyDescent="0.25">
      <c r="A142">
        <f>79935980*0.00001</f>
        <v>799.35980000000006</v>
      </c>
      <c r="B142">
        <v>3483</v>
      </c>
      <c r="C142">
        <v>9</v>
      </c>
      <c r="D142" s="1">
        <f>34.4071</f>
        <v>34.4071</v>
      </c>
      <c r="E142" s="1">
        <f>34715</f>
        <v>34715</v>
      </c>
      <c r="F142" s="1">
        <f>1602</f>
        <v>1602</v>
      </c>
      <c r="G142" s="1">
        <f>1</f>
        <v>1</v>
      </c>
      <c r="H142" s="1">
        <f>0.2</f>
        <v>0.2</v>
      </c>
      <c r="I142" s="1">
        <f>0</f>
        <v>0</v>
      </c>
      <c r="J142" s="1">
        <f>20.1003</f>
        <v>20.100300000000001</v>
      </c>
      <c r="K142" s="1">
        <f>4400</f>
        <v>4400</v>
      </c>
      <c r="L142" s="1">
        <f>0</f>
        <v>0</v>
      </c>
    </row>
    <row r="143" spans="1:12" x14ac:dyDescent="0.25">
      <c r="A143">
        <f>79936948*0.00001</f>
        <v>799.36948000000007</v>
      </c>
      <c r="B143">
        <v>3483</v>
      </c>
      <c r="C143">
        <v>10</v>
      </c>
      <c r="D143" s="1">
        <f>34.4073</f>
        <v>34.407299999999999</v>
      </c>
      <c r="E143" s="1">
        <f>34714</f>
        <v>34714</v>
      </c>
      <c r="F143" s="1">
        <f>1602</f>
        <v>1602</v>
      </c>
      <c r="G143" s="1">
        <f>1</f>
        <v>1</v>
      </c>
      <c r="H143" s="1">
        <f>0.2</f>
        <v>0.2</v>
      </c>
      <c r="I143" s="1">
        <f>0</f>
        <v>0</v>
      </c>
      <c r="J143" s="1">
        <f>20.6001</f>
        <v>20.600100000000001</v>
      </c>
      <c r="K143" s="1">
        <f>4400</f>
        <v>4400</v>
      </c>
      <c r="L143" s="1">
        <f>0</f>
        <v>0</v>
      </c>
    </row>
    <row r="144" spans="1:12" x14ac:dyDescent="0.25">
      <c r="A144">
        <f>79938884*0.00001</f>
        <v>799.38884000000007</v>
      </c>
      <c r="B144">
        <v>3483</v>
      </c>
      <c r="C144">
        <v>12</v>
      </c>
      <c r="D144" s="1">
        <f>34.4077</f>
        <v>34.407699999999998</v>
      </c>
      <c r="E144" s="1">
        <f>34714</f>
        <v>34714</v>
      </c>
      <c r="F144" s="1">
        <f>1602</f>
        <v>1602</v>
      </c>
      <c r="G144" s="1">
        <f>1</f>
        <v>1</v>
      </c>
      <c r="H144" s="1">
        <f>0.2</f>
        <v>0.2</v>
      </c>
      <c r="I144" s="1">
        <f>0</f>
        <v>0</v>
      </c>
      <c r="J144" s="1">
        <f>20.8247</f>
        <v>20.8247</v>
      </c>
      <c r="K144" s="1">
        <f>4400</f>
        <v>4400</v>
      </c>
      <c r="L144" s="1">
        <f>0</f>
        <v>0</v>
      </c>
    </row>
    <row r="145" spans="1:12" x14ac:dyDescent="0.25">
      <c r="A145">
        <f>79939852*0.00001</f>
        <v>799.39852000000008</v>
      </c>
      <c r="B145">
        <v>3483</v>
      </c>
      <c r="C145">
        <v>13</v>
      </c>
      <c r="D145" s="1">
        <f>34.4069</f>
        <v>34.4069</v>
      </c>
      <c r="E145" s="1">
        <f>34715</f>
        <v>34715</v>
      </c>
      <c r="F145" s="1">
        <f>1602</f>
        <v>1602</v>
      </c>
      <c r="G145" s="1">
        <f>1</f>
        <v>1</v>
      </c>
      <c r="H145" s="1">
        <f>0.2</f>
        <v>0.2</v>
      </c>
      <c r="I145" s="1">
        <f>0</f>
        <v>0</v>
      </c>
      <c r="J145" s="1">
        <f>21.0756</f>
        <v>21.075600000000001</v>
      </c>
      <c r="K145" s="1">
        <f>4400</f>
        <v>4400</v>
      </c>
      <c r="L145" s="1">
        <f>0</f>
        <v>0</v>
      </c>
    </row>
    <row r="146" spans="1:12" x14ac:dyDescent="0.25">
      <c r="A146">
        <f>79940820*0.00001</f>
        <v>799.40820000000008</v>
      </c>
      <c r="B146">
        <v>3483</v>
      </c>
      <c r="C146">
        <v>14</v>
      </c>
      <c r="D146" s="1">
        <f>34.4073</f>
        <v>34.407299999999999</v>
      </c>
      <c r="E146" s="1">
        <f>34714</f>
        <v>34714</v>
      </c>
      <c r="F146" s="1">
        <f>1602</f>
        <v>1602</v>
      </c>
      <c r="G146" s="1">
        <f>1</f>
        <v>1</v>
      </c>
      <c r="H146" s="1">
        <f>0.2</f>
        <v>0.2</v>
      </c>
      <c r="I146" s="1">
        <f>0</f>
        <v>0</v>
      </c>
      <c r="J146" s="1">
        <f>21.5502</f>
        <v>21.5502</v>
      </c>
      <c r="K146" s="1">
        <f>4400</f>
        <v>4400</v>
      </c>
      <c r="L146" s="1">
        <f>0</f>
        <v>0</v>
      </c>
    </row>
    <row r="147" spans="1:12" x14ac:dyDescent="0.25">
      <c r="A147">
        <f>79942756*0.00001</f>
        <v>799.42756000000008</v>
      </c>
      <c r="B147">
        <v>3483</v>
      </c>
      <c r="C147">
        <v>16</v>
      </c>
      <c r="D147" s="1">
        <f>34.407</f>
        <v>34.406999999999996</v>
      </c>
      <c r="E147" s="1">
        <f>34715</f>
        <v>34715</v>
      </c>
      <c r="F147" s="1">
        <f>1602</f>
        <v>1602</v>
      </c>
      <c r="G147" s="1">
        <f>1</f>
        <v>1</v>
      </c>
      <c r="H147" s="1">
        <f>0.2</f>
        <v>0.2</v>
      </c>
      <c r="I147" s="1">
        <f>0</f>
        <v>0</v>
      </c>
      <c r="J147" s="1">
        <f>21.8005</f>
        <v>21.8005</v>
      </c>
      <c r="K147" s="1">
        <f>4400</f>
        <v>4400</v>
      </c>
      <c r="L147" s="1">
        <f>0</f>
        <v>0</v>
      </c>
    </row>
    <row r="148" spans="1:12" x14ac:dyDescent="0.25">
      <c r="A148">
        <f>79943724*0.00001</f>
        <v>799.43724000000009</v>
      </c>
      <c r="B148">
        <v>3483</v>
      </c>
      <c r="C148">
        <v>17</v>
      </c>
      <c r="D148" s="1">
        <f>34.4062</f>
        <v>34.406199999999998</v>
      </c>
      <c r="E148" s="1">
        <f>34715</f>
        <v>34715</v>
      </c>
      <c r="F148" s="1">
        <f>1602</f>
        <v>1602</v>
      </c>
      <c r="G148" s="1">
        <f>1</f>
        <v>1</v>
      </c>
      <c r="H148" s="1">
        <f>0.2</f>
        <v>0.2</v>
      </c>
      <c r="I148" s="1">
        <f>0</f>
        <v>0</v>
      </c>
      <c r="J148" s="1">
        <f>22.2763</f>
        <v>22.276299999999999</v>
      </c>
      <c r="K148" s="1">
        <f>4400</f>
        <v>4400</v>
      </c>
      <c r="L148" s="1">
        <f>0</f>
        <v>0</v>
      </c>
    </row>
    <row r="149" spans="1:12" x14ac:dyDescent="0.25">
      <c r="A149">
        <f>79945659*0.00001</f>
        <v>799.45659000000012</v>
      </c>
      <c r="B149">
        <v>3483</v>
      </c>
      <c r="C149">
        <v>19</v>
      </c>
      <c r="D149" s="1">
        <f>34.4063</f>
        <v>34.406300000000002</v>
      </c>
      <c r="E149" s="1">
        <f>34715</f>
        <v>34715</v>
      </c>
      <c r="F149" s="1">
        <f>1602</f>
        <v>1602</v>
      </c>
      <c r="G149" s="1">
        <f>1</f>
        <v>1</v>
      </c>
      <c r="H149" s="1">
        <f>0.2</f>
        <v>0.2</v>
      </c>
      <c r="I149" s="1">
        <f>0</f>
        <v>0</v>
      </c>
      <c r="J149" s="1">
        <f>22.5262</f>
        <v>22.526199999999999</v>
      </c>
      <c r="K149" s="1">
        <f>4400</f>
        <v>4400</v>
      </c>
      <c r="L149" s="1">
        <f>0</f>
        <v>0</v>
      </c>
    </row>
    <row r="150" spans="1:12" x14ac:dyDescent="0.25">
      <c r="A150">
        <f>79946626*0.00001</f>
        <v>799.46626000000003</v>
      </c>
      <c r="B150">
        <v>3483</v>
      </c>
      <c r="C150">
        <v>20</v>
      </c>
      <c r="D150" s="1">
        <f>34.4071</f>
        <v>34.4071</v>
      </c>
      <c r="E150" s="1">
        <f>34715</f>
        <v>34715</v>
      </c>
      <c r="F150" s="1">
        <f>1602</f>
        <v>1602</v>
      </c>
      <c r="G150" s="1">
        <f>1</f>
        <v>1</v>
      </c>
      <c r="H150" s="1">
        <f>0.2</f>
        <v>0.2</v>
      </c>
      <c r="I150" s="1">
        <f>0</f>
        <v>0</v>
      </c>
      <c r="J150" s="1">
        <f>22.7754</f>
        <v>22.775400000000001</v>
      </c>
      <c r="K150" s="1">
        <f>4400</f>
        <v>4400</v>
      </c>
      <c r="L150" s="1">
        <f>0</f>
        <v>0</v>
      </c>
    </row>
    <row r="151" spans="1:12" x14ac:dyDescent="0.25">
      <c r="A151">
        <f>79947594*0.00001</f>
        <v>799.47594000000004</v>
      </c>
      <c r="B151">
        <v>3483</v>
      </c>
      <c r="C151">
        <v>21</v>
      </c>
      <c r="D151" s="1">
        <f>34.4066</f>
        <v>34.406599999999997</v>
      </c>
      <c r="E151" s="1">
        <f>34715</f>
        <v>34715</v>
      </c>
      <c r="F151" s="1">
        <f>1602</f>
        <v>1602</v>
      </c>
      <c r="G151" s="1">
        <f>1</f>
        <v>1</v>
      </c>
      <c r="H151" s="1">
        <f>0.2</f>
        <v>0.2</v>
      </c>
      <c r="I151" s="1">
        <f>0</f>
        <v>0</v>
      </c>
      <c r="J151" s="1">
        <f>23.2509</f>
        <v>23.250900000000001</v>
      </c>
      <c r="K151" s="1">
        <f>4400</f>
        <v>4400</v>
      </c>
      <c r="L151" s="1">
        <f>0</f>
        <v>0</v>
      </c>
    </row>
    <row r="152" spans="1:12" x14ac:dyDescent="0.25">
      <c r="A152">
        <f>79949530*0.00001</f>
        <v>799.49530000000004</v>
      </c>
      <c r="B152">
        <v>3483</v>
      </c>
      <c r="C152">
        <v>23</v>
      </c>
      <c r="D152" s="1">
        <f>34.4071</f>
        <v>34.4071</v>
      </c>
      <c r="E152" s="1">
        <f>34715</f>
        <v>34715</v>
      </c>
      <c r="F152" s="1">
        <f>1602</f>
        <v>1602</v>
      </c>
      <c r="G152" s="1">
        <f>1</f>
        <v>1</v>
      </c>
      <c r="H152" s="1">
        <f>0.2</f>
        <v>0.2</v>
      </c>
      <c r="I152" s="1">
        <f>0</f>
        <v>0</v>
      </c>
      <c r="J152" s="1">
        <f>23.5005</f>
        <v>23.500499999999999</v>
      </c>
      <c r="K152" s="1">
        <f>4400</f>
        <v>4400</v>
      </c>
      <c r="L152" s="1">
        <f>0</f>
        <v>0</v>
      </c>
    </row>
    <row r="153" spans="1:12" x14ac:dyDescent="0.25">
      <c r="A153">
        <f>79950499*0.00001</f>
        <v>799.50499000000002</v>
      </c>
      <c r="B153">
        <v>3483</v>
      </c>
      <c r="C153">
        <v>24</v>
      </c>
      <c r="D153" s="1">
        <f>34.4067</f>
        <v>34.406700000000001</v>
      </c>
      <c r="E153" s="1">
        <f>34715</f>
        <v>34715</v>
      </c>
      <c r="F153" s="1">
        <f>1602</f>
        <v>1602</v>
      </c>
      <c r="G153" s="1">
        <f>1</f>
        <v>1</v>
      </c>
      <c r="H153" s="1">
        <f>0.2</f>
        <v>0.2</v>
      </c>
      <c r="I153" s="1">
        <f>0</f>
        <v>0</v>
      </c>
      <c r="J153" s="1">
        <f>23.9759</f>
        <v>23.975899999999999</v>
      </c>
      <c r="K153" s="1">
        <f>4400</f>
        <v>4400</v>
      </c>
      <c r="L153" s="1">
        <f>0</f>
        <v>0</v>
      </c>
    </row>
    <row r="154" spans="1:12" x14ac:dyDescent="0.25">
      <c r="A154">
        <f>79952435*0.00001</f>
        <v>799.52435000000003</v>
      </c>
      <c r="B154">
        <v>3483</v>
      </c>
      <c r="C154">
        <v>26</v>
      </c>
      <c r="D154" s="1">
        <f>34.4069</f>
        <v>34.4069</v>
      </c>
      <c r="E154" s="1">
        <f>34715</f>
        <v>34715</v>
      </c>
      <c r="F154" s="1">
        <f>1602</f>
        <v>1602</v>
      </c>
      <c r="G154" s="1">
        <f>1</f>
        <v>1</v>
      </c>
      <c r="H154" s="1">
        <f>0.2</f>
        <v>0.2</v>
      </c>
      <c r="I154" s="1">
        <f>0</f>
        <v>0</v>
      </c>
      <c r="J154" s="1">
        <f>24.2257</f>
        <v>24.2257</v>
      </c>
      <c r="K154" s="1">
        <f>4400</f>
        <v>4400</v>
      </c>
      <c r="L154" s="1">
        <f>0</f>
        <v>0</v>
      </c>
    </row>
    <row r="155" spans="1:12" x14ac:dyDescent="0.25">
      <c r="A155">
        <f>79953403*0.00001</f>
        <v>799.53403000000003</v>
      </c>
      <c r="B155">
        <v>3483</v>
      </c>
      <c r="C155">
        <v>27</v>
      </c>
      <c r="D155" s="1">
        <f>34.4068</f>
        <v>34.406799999999997</v>
      </c>
      <c r="E155" s="1">
        <f>34715</f>
        <v>34715</v>
      </c>
      <c r="F155" s="1">
        <f>1602</f>
        <v>1602</v>
      </c>
      <c r="G155" s="1">
        <f>1</f>
        <v>1</v>
      </c>
      <c r="H155" s="1">
        <f>0.2</f>
        <v>0.2</v>
      </c>
      <c r="I155" s="1">
        <f>0</f>
        <v>0</v>
      </c>
      <c r="J155" s="1">
        <f>24.4758</f>
        <v>24.4758</v>
      </c>
      <c r="K155" s="1">
        <f>4400</f>
        <v>4400</v>
      </c>
      <c r="L155" s="1">
        <f>0</f>
        <v>0</v>
      </c>
    </row>
    <row r="156" spans="1:12" x14ac:dyDescent="0.25">
      <c r="A156">
        <f>79954371*0.00001</f>
        <v>799.54371000000003</v>
      </c>
      <c r="B156">
        <v>3483</v>
      </c>
      <c r="C156">
        <v>28</v>
      </c>
      <c r="D156" s="1">
        <f>34.4057</f>
        <v>34.405700000000003</v>
      </c>
      <c r="E156" s="1">
        <f>34716</f>
        <v>34716</v>
      </c>
      <c r="F156" s="1">
        <f>1602</f>
        <v>1602</v>
      </c>
      <c r="G156" s="1">
        <f>1</f>
        <v>1</v>
      </c>
      <c r="H156" s="1">
        <f>0.2</f>
        <v>0.2</v>
      </c>
      <c r="I156" s="1">
        <f>0</f>
        <v>0</v>
      </c>
      <c r="J156" s="1">
        <f>24.952</f>
        <v>24.952000000000002</v>
      </c>
      <c r="K156" s="1">
        <f>4400</f>
        <v>4400</v>
      </c>
      <c r="L156" s="1">
        <f>0</f>
        <v>0</v>
      </c>
    </row>
    <row r="157" spans="1:12" x14ac:dyDescent="0.25">
      <c r="A157">
        <f>79956307*0.00001</f>
        <v>799.56307000000004</v>
      </c>
      <c r="B157">
        <v>3483</v>
      </c>
      <c r="C157">
        <v>30</v>
      </c>
      <c r="D157" s="1">
        <f>34.4058</f>
        <v>34.405799999999999</v>
      </c>
      <c r="E157" s="1">
        <f>34716</f>
        <v>34716</v>
      </c>
      <c r="F157" s="1">
        <f>1602</f>
        <v>1602</v>
      </c>
      <c r="G157" s="1">
        <f>1</f>
        <v>1</v>
      </c>
      <c r="H157" s="1">
        <f>0.2</f>
        <v>0.2</v>
      </c>
      <c r="I157" s="1">
        <f>0</f>
        <v>0</v>
      </c>
      <c r="J157" s="1">
        <f>25.2019</f>
        <v>25.201899999999998</v>
      </c>
      <c r="K157" s="1">
        <f>4400</f>
        <v>4400</v>
      </c>
      <c r="L157" s="1">
        <f>0</f>
        <v>0</v>
      </c>
    </row>
    <row r="158" spans="1:12" x14ac:dyDescent="0.25">
      <c r="A158">
        <f>79957275*0.00001</f>
        <v>799.57275000000004</v>
      </c>
      <c r="B158">
        <v>3483</v>
      </c>
      <c r="C158">
        <v>31</v>
      </c>
      <c r="D158" s="1">
        <f>34.4062</f>
        <v>34.406199999999998</v>
      </c>
      <c r="E158" s="1">
        <f>34715</f>
        <v>34715</v>
      </c>
      <c r="F158" s="1">
        <f>1602</f>
        <v>1602</v>
      </c>
      <c r="G158" s="1">
        <f>1</f>
        <v>1</v>
      </c>
      <c r="H158" s="1">
        <f>0.2</f>
        <v>0.2</v>
      </c>
      <c r="I158" s="1">
        <f>0</f>
        <v>0</v>
      </c>
      <c r="J158" s="1">
        <f>25.9265</f>
        <v>25.926500000000001</v>
      </c>
      <c r="K158" s="1">
        <f>4400</f>
        <v>4400</v>
      </c>
      <c r="L158" s="1">
        <f>0</f>
        <v>0</v>
      </c>
    </row>
    <row r="159" spans="1:12" x14ac:dyDescent="0.25">
      <c r="A159">
        <f>79960179*0.00001</f>
        <v>799.60179000000005</v>
      </c>
      <c r="B159">
        <v>3483</v>
      </c>
      <c r="C159">
        <v>34</v>
      </c>
      <c r="D159" s="1">
        <f>34.4058</f>
        <v>34.405799999999999</v>
      </c>
      <c r="E159" s="1">
        <f>34716</f>
        <v>34716</v>
      </c>
      <c r="F159" s="1">
        <f>1602</f>
        <v>1602</v>
      </c>
      <c r="G159" s="1">
        <f>1</f>
        <v>1</v>
      </c>
      <c r="H159" s="1">
        <f>0.2</f>
        <v>0.2</v>
      </c>
      <c r="I159" s="1">
        <f>0</f>
        <v>0</v>
      </c>
      <c r="J159" s="1">
        <f>26.1519</f>
        <v>26.151900000000001</v>
      </c>
      <c r="K159" s="1">
        <f>4400</f>
        <v>4400</v>
      </c>
      <c r="L159" s="1">
        <f>0</f>
        <v>0</v>
      </c>
    </row>
    <row r="160" spans="1:12" x14ac:dyDescent="0.25">
      <c r="A160">
        <f>79961147*0.00001</f>
        <v>799.61147000000005</v>
      </c>
      <c r="B160">
        <v>3483</v>
      </c>
      <c r="C160">
        <v>35</v>
      </c>
      <c r="D160" s="1">
        <f>34.4064</f>
        <v>34.406399999999998</v>
      </c>
      <c r="E160" s="1">
        <f>34715</f>
        <v>34715</v>
      </c>
      <c r="F160" s="1">
        <f>1602</f>
        <v>1602</v>
      </c>
      <c r="G160" s="1">
        <f>1</f>
        <v>1</v>
      </c>
      <c r="H160" s="1">
        <f>0.2</f>
        <v>0.2</v>
      </c>
      <c r="I160" s="1">
        <f>0</f>
        <v>0</v>
      </c>
      <c r="J160" s="1">
        <f>26.6514</f>
        <v>26.651399999999999</v>
      </c>
      <c r="K160" s="1">
        <f>4400</f>
        <v>4400</v>
      </c>
      <c r="L160" s="1">
        <f>0</f>
        <v>0</v>
      </c>
    </row>
    <row r="161" spans="1:12" x14ac:dyDescent="0.25">
      <c r="A161">
        <f>79963083*0.00001</f>
        <v>799.63083000000006</v>
      </c>
      <c r="B161">
        <v>3483</v>
      </c>
      <c r="C161">
        <v>37</v>
      </c>
      <c r="D161" s="1">
        <f>34.4057</f>
        <v>34.405700000000003</v>
      </c>
      <c r="E161" s="1">
        <f>34716</f>
        <v>34716</v>
      </c>
      <c r="F161" s="1">
        <f>1602</f>
        <v>1602</v>
      </c>
      <c r="G161" s="1">
        <f>1</f>
        <v>1</v>
      </c>
      <c r="H161" s="1">
        <f>0.2</f>
        <v>0.2</v>
      </c>
      <c r="I161" s="1">
        <f>0</f>
        <v>0</v>
      </c>
      <c r="J161" s="1">
        <f>26.877</f>
        <v>26.876999999999999</v>
      </c>
      <c r="K161" s="1">
        <f>4400</f>
        <v>4400</v>
      </c>
      <c r="L161" s="1">
        <f>0</f>
        <v>0</v>
      </c>
    </row>
    <row r="162" spans="1:12" x14ac:dyDescent="0.25">
      <c r="A162">
        <f>79964050*0.00001</f>
        <v>799.64050000000009</v>
      </c>
      <c r="B162">
        <v>3483</v>
      </c>
      <c r="C162">
        <v>38</v>
      </c>
      <c r="D162" s="1">
        <f>34.4058</f>
        <v>34.405799999999999</v>
      </c>
      <c r="E162" s="1">
        <f>34716</f>
        <v>34716</v>
      </c>
      <c r="F162" s="1">
        <f>1602</f>
        <v>1602</v>
      </c>
      <c r="G162" s="1">
        <f>1</f>
        <v>1</v>
      </c>
      <c r="H162" s="1">
        <f>0.2</f>
        <v>0.2</v>
      </c>
      <c r="I162" s="1">
        <f>0</f>
        <v>0</v>
      </c>
      <c r="J162" s="1">
        <f>27.1269</f>
        <v>27.126899999999999</v>
      </c>
      <c r="K162" s="1">
        <f>4400</f>
        <v>4400</v>
      </c>
      <c r="L162" s="1">
        <f>0</f>
        <v>0</v>
      </c>
    </row>
    <row r="163" spans="1:12" x14ac:dyDescent="0.25">
      <c r="A163">
        <f>79965018*0.00001</f>
        <v>799.65018000000009</v>
      </c>
      <c r="B163">
        <v>3483</v>
      </c>
      <c r="C163">
        <v>39</v>
      </c>
      <c r="D163" s="1">
        <f>34.4066</f>
        <v>34.406599999999997</v>
      </c>
      <c r="E163" s="1">
        <f>34715</f>
        <v>34715</v>
      </c>
      <c r="F163" s="1">
        <f>1602</f>
        <v>1602</v>
      </c>
      <c r="G163" s="1">
        <f>1</f>
        <v>1</v>
      </c>
      <c r="H163" s="1">
        <f>0.2</f>
        <v>0.2</v>
      </c>
      <c r="I163" s="1">
        <f>0</f>
        <v>0</v>
      </c>
      <c r="J163" s="1">
        <f>27.6013</f>
        <v>27.601299999999998</v>
      </c>
      <c r="K163" s="1">
        <f>4400</f>
        <v>4400</v>
      </c>
      <c r="L163" s="1">
        <f>0</f>
        <v>0</v>
      </c>
    </row>
    <row r="164" spans="1:12" x14ac:dyDescent="0.25">
      <c r="A164">
        <f>79966954*0.00001</f>
        <v>799.6695400000001</v>
      </c>
      <c r="B164">
        <v>3483</v>
      </c>
      <c r="C164">
        <v>41</v>
      </c>
      <c r="D164" s="1">
        <f>34.4068</f>
        <v>34.406799999999997</v>
      </c>
      <c r="E164" s="1">
        <f>34715</f>
        <v>34715</v>
      </c>
      <c r="F164" s="1">
        <f>1602</f>
        <v>1602</v>
      </c>
      <c r="G164" s="1">
        <f>1</f>
        <v>1</v>
      </c>
      <c r="H164" s="1">
        <f>0.2</f>
        <v>0.2</v>
      </c>
      <c r="I164" s="1">
        <f>0</f>
        <v>0</v>
      </c>
      <c r="J164" s="1">
        <f>27.851</f>
        <v>27.850999999999999</v>
      </c>
      <c r="K164" s="1">
        <f>4400</f>
        <v>4400</v>
      </c>
      <c r="L164" s="1">
        <f>0</f>
        <v>0</v>
      </c>
    </row>
    <row r="165" spans="1:12" x14ac:dyDescent="0.25">
      <c r="A165">
        <f>79967922*0.00001</f>
        <v>799.6792200000001</v>
      </c>
      <c r="B165">
        <v>3483</v>
      </c>
      <c r="C165">
        <v>42</v>
      </c>
      <c r="D165" s="1">
        <f>34.4065</f>
        <v>34.406500000000001</v>
      </c>
      <c r="E165" s="1">
        <f>34715</f>
        <v>34715</v>
      </c>
      <c r="F165" s="1">
        <f>1602</f>
        <v>1602</v>
      </c>
      <c r="G165" s="1">
        <f>1</f>
        <v>1</v>
      </c>
      <c r="H165" s="1">
        <f>0.2</f>
        <v>0.2</v>
      </c>
      <c r="I165" s="1">
        <f>0</f>
        <v>0</v>
      </c>
      <c r="J165" s="1">
        <f>28.5764</f>
        <v>28.5764</v>
      </c>
      <c r="K165" s="1">
        <f>4400</f>
        <v>4400</v>
      </c>
      <c r="L165" s="1">
        <f>0</f>
        <v>0</v>
      </c>
    </row>
    <row r="166" spans="1:12" x14ac:dyDescent="0.25">
      <c r="A166">
        <f>79970826*0.00001</f>
        <v>799.70826000000011</v>
      </c>
      <c r="B166">
        <v>3483</v>
      </c>
      <c r="C166">
        <v>45</v>
      </c>
      <c r="D166" s="1">
        <f>34.4062</f>
        <v>34.406199999999998</v>
      </c>
      <c r="E166" s="1">
        <f>34715</f>
        <v>34715</v>
      </c>
      <c r="F166" s="1">
        <f>1602</f>
        <v>1602</v>
      </c>
      <c r="G166" s="1">
        <f>1</f>
        <v>1</v>
      </c>
      <c r="H166" s="1">
        <f>0.2</f>
        <v>0.2</v>
      </c>
      <c r="I166" s="1">
        <f>0</f>
        <v>0</v>
      </c>
      <c r="J166" s="1">
        <f>28.8267</f>
        <v>28.826699999999999</v>
      </c>
      <c r="K166" s="1">
        <f>4400</f>
        <v>4400</v>
      </c>
      <c r="L166" s="1">
        <f>0</f>
        <v>0</v>
      </c>
    </row>
    <row r="167" spans="1:12" x14ac:dyDescent="0.25">
      <c r="A167">
        <f>79971794*0.00001</f>
        <v>799.71794000000011</v>
      </c>
      <c r="B167">
        <v>3483</v>
      </c>
      <c r="C167">
        <v>46</v>
      </c>
      <c r="D167" s="1">
        <f>34.4058</f>
        <v>34.405799999999999</v>
      </c>
      <c r="E167" s="1">
        <f>34716</f>
        <v>34716</v>
      </c>
      <c r="F167" s="1">
        <f>1602</f>
        <v>1602</v>
      </c>
      <c r="G167" s="1">
        <f>1</f>
        <v>1</v>
      </c>
      <c r="H167" s="1">
        <f>0.2</f>
        <v>0.2</v>
      </c>
      <c r="I167" s="1">
        <f>0</f>
        <v>0</v>
      </c>
      <c r="J167" s="1">
        <f>29.3021</f>
        <v>29.302099999999999</v>
      </c>
      <c r="K167" s="1">
        <f>4400</f>
        <v>4400</v>
      </c>
      <c r="L167" s="1">
        <f>0</f>
        <v>0</v>
      </c>
    </row>
    <row r="168" spans="1:12" x14ac:dyDescent="0.25">
      <c r="A168">
        <f>79973729*0.00001</f>
        <v>799.73729000000003</v>
      </c>
      <c r="B168">
        <v>3483</v>
      </c>
      <c r="C168">
        <v>48</v>
      </c>
      <c r="D168" s="1">
        <f>34.4068</f>
        <v>34.406799999999997</v>
      </c>
      <c r="E168" s="1">
        <f>34715</f>
        <v>34715</v>
      </c>
      <c r="F168" s="1">
        <f>1602</f>
        <v>1602</v>
      </c>
      <c r="G168" s="1">
        <f>1</f>
        <v>1</v>
      </c>
      <c r="H168" s="1">
        <f>0.2</f>
        <v>0.2</v>
      </c>
      <c r="I168" s="1">
        <f>0</f>
        <v>0</v>
      </c>
      <c r="J168" s="1">
        <f>29.5511</f>
        <v>29.551100000000002</v>
      </c>
      <c r="K168" s="1">
        <f>4400</f>
        <v>4400</v>
      </c>
      <c r="L168" s="1">
        <f>0</f>
        <v>0</v>
      </c>
    </row>
    <row r="169" spans="1:12" x14ac:dyDescent="0.25">
      <c r="A169">
        <f>79974696*0.00001</f>
        <v>799.74696000000006</v>
      </c>
      <c r="B169">
        <v>3483</v>
      </c>
      <c r="C169">
        <v>49</v>
      </c>
      <c r="D169" s="1">
        <f>34.4059</f>
        <v>34.405900000000003</v>
      </c>
      <c r="E169" s="1">
        <f>34716</f>
        <v>34716</v>
      </c>
      <c r="F169" s="1">
        <f>1602</f>
        <v>1602</v>
      </c>
      <c r="G169" s="1">
        <f>1</f>
        <v>1</v>
      </c>
      <c r="H169" s="1">
        <f>0.2</f>
        <v>0.2</v>
      </c>
      <c r="I169" s="1">
        <f>0</f>
        <v>0</v>
      </c>
      <c r="J169" s="1">
        <f>30.2771</f>
        <v>30.277100000000001</v>
      </c>
      <c r="K169" s="1">
        <f>4400</f>
        <v>4400</v>
      </c>
      <c r="L169" s="1">
        <f>0</f>
        <v>0</v>
      </c>
    </row>
    <row r="170" spans="1:12" x14ac:dyDescent="0.25">
      <c r="A170">
        <f>79977599*0.00001</f>
        <v>799.77599000000009</v>
      </c>
      <c r="B170">
        <v>3483</v>
      </c>
      <c r="C170">
        <v>52</v>
      </c>
      <c r="D170" s="1">
        <f>34.4062</f>
        <v>34.406199999999998</v>
      </c>
      <c r="E170" s="1">
        <f>34715</f>
        <v>34715</v>
      </c>
      <c r="F170" s="1">
        <f>1602</f>
        <v>1602</v>
      </c>
      <c r="G170" s="1">
        <f>1</f>
        <v>1</v>
      </c>
      <c r="H170" s="1">
        <f>0.2</f>
        <v>0.2</v>
      </c>
      <c r="I170" s="1">
        <f>0</f>
        <v>0</v>
      </c>
      <c r="J170" s="1">
        <f>30.5018</f>
        <v>30.501799999999999</v>
      </c>
      <c r="K170" s="1">
        <f>4400</f>
        <v>4400</v>
      </c>
      <c r="L170" s="1">
        <f>0</f>
        <v>0</v>
      </c>
    </row>
    <row r="171" spans="1:12" x14ac:dyDescent="0.25">
      <c r="A171">
        <f>79978567*0.00001</f>
        <v>799.7856700000001</v>
      </c>
      <c r="B171">
        <v>3483</v>
      </c>
      <c r="C171">
        <v>53</v>
      </c>
      <c r="D171" s="1">
        <f>34.4065</f>
        <v>34.406500000000001</v>
      </c>
      <c r="E171" s="1">
        <f>34715</f>
        <v>34715</v>
      </c>
      <c r="F171" s="1">
        <f>1602</f>
        <v>1602</v>
      </c>
      <c r="G171" s="1">
        <f>1</f>
        <v>1</v>
      </c>
      <c r="H171" s="1">
        <f>0.2</f>
        <v>0.2</v>
      </c>
      <c r="I171" s="1">
        <f>0</f>
        <v>0</v>
      </c>
      <c r="J171" s="1">
        <f>31.0015</f>
        <v>31.0015</v>
      </c>
      <c r="K171" s="1">
        <f>4400</f>
        <v>4400</v>
      </c>
      <c r="L171" s="1">
        <f>0</f>
        <v>0</v>
      </c>
    </row>
    <row r="172" spans="1:12" x14ac:dyDescent="0.25">
      <c r="A172">
        <f>79980503*0.00001</f>
        <v>799.8050300000001</v>
      </c>
      <c r="B172">
        <v>3483</v>
      </c>
      <c r="C172">
        <v>55</v>
      </c>
      <c r="D172" s="1">
        <f>34.4066</f>
        <v>34.406599999999997</v>
      </c>
      <c r="E172" s="1">
        <f>34715</f>
        <v>34715</v>
      </c>
      <c r="F172" s="1">
        <f>1602</f>
        <v>1602</v>
      </c>
      <c r="G172" s="1">
        <f>1</f>
        <v>1</v>
      </c>
      <c r="H172" s="1">
        <f>0.2</f>
        <v>0.2</v>
      </c>
      <c r="I172" s="1">
        <f>0</f>
        <v>0</v>
      </c>
      <c r="J172" s="1">
        <f>31.2515</f>
        <v>31.2515</v>
      </c>
      <c r="K172" s="1">
        <f>4400</f>
        <v>4400</v>
      </c>
      <c r="L172" s="1">
        <f>0</f>
        <v>0</v>
      </c>
    </row>
    <row r="173" spans="1:12" x14ac:dyDescent="0.25">
      <c r="A173">
        <f>79981471*0.00001</f>
        <v>799.8147100000001</v>
      </c>
      <c r="B173">
        <v>3483</v>
      </c>
      <c r="C173">
        <v>56</v>
      </c>
      <c r="D173" s="1">
        <f>34.4068</f>
        <v>34.406799999999997</v>
      </c>
      <c r="E173" s="1">
        <f>34715</f>
        <v>34715</v>
      </c>
      <c r="F173" s="1">
        <f>1602</f>
        <v>1602</v>
      </c>
      <c r="G173" s="1">
        <f>1</f>
        <v>1</v>
      </c>
      <c r="H173" s="1">
        <f>0.2</f>
        <v>0.2</v>
      </c>
      <c r="I173" s="1">
        <f>0</f>
        <v>0</v>
      </c>
      <c r="J173" s="1">
        <f>31.4762</f>
        <v>31.476199999999999</v>
      </c>
      <c r="K173" s="1">
        <f>4400</f>
        <v>4400</v>
      </c>
      <c r="L173" s="1">
        <f>0</f>
        <v>0</v>
      </c>
    </row>
    <row r="174" spans="1:12" x14ac:dyDescent="0.25">
      <c r="A174">
        <f>79982439*0.00001</f>
        <v>799.82439000000011</v>
      </c>
      <c r="B174">
        <v>3483</v>
      </c>
      <c r="C174">
        <v>57</v>
      </c>
      <c r="D174" s="1">
        <f>34.4073</f>
        <v>34.407299999999999</v>
      </c>
      <c r="E174" s="1">
        <f>34714</f>
        <v>34714</v>
      </c>
      <c r="F174" s="1">
        <f>1602</f>
        <v>1602</v>
      </c>
      <c r="G174" s="1">
        <f>1</f>
        <v>1</v>
      </c>
      <c r="H174" s="1">
        <f>0.2</f>
        <v>0.2</v>
      </c>
      <c r="I174" s="1">
        <f>0</f>
        <v>0</v>
      </c>
      <c r="J174" s="1">
        <f>31.9758</f>
        <v>31.9758</v>
      </c>
      <c r="K174" s="1">
        <f>4400</f>
        <v>4400</v>
      </c>
      <c r="L174" s="1">
        <f>0</f>
        <v>0</v>
      </c>
    </row>
    <row r="175" spans="1:12" x14ac:dyDescent="0.25">
      <c r="A175">
        <f>79984374*0.00001</f>
        <v>799.84374000000003</v>
      </c>
      <c r="B175">
        <v>3483</v>
      </c>
      <c r="C175">
        <v>59</v>
      </c>
      <c r="D175" s="1">
        <f>34.4066</f>
        <v>34.406599999999997</v>
      </c>
      <c r="E175" s="1">
        <f>34715</f>
        <v>34715</v>
      </c>
      <c r="F175" s="1">
        <f>1602</f>
        <v>1602</v>
      </c>
      <c r="G175" s="1">
        <f>1</f>
        <v>1</v>
      </c>
      <c r="H175" s="1">
        <f>0.2</f>
        <v>0.2</v>
      </c>
      <c r="I175" s="1">
        <f>0</f>
        <v>0</v>
      </c>
      <c r="J175" s="1">
        <f>32.2015</f>
        <v>32.201500000000003</v>
      </c>
      <c r="K175" s="1">
        <f>4400</f>
        <v>4400</v>
      </c>
      <c r="L175" s="1">
        <f>0</f>
        <v>0</v>
      </c>
    </row>
    <row r="176" spans="1:12" x14ac:dyDescent="0.25">
      <c r="A176">
        <f>79985342*0.00001</f>
        <v>799.85342000000003</v>
      </c>
      <c r="B176">
        <v>3483</v>
      </c>
      <c r="C176">
        <v>60</v>
      </c>
      <c r="D176" s="1">
        <f>34.4059</f>
        <v>34.405900000000003</v>
      </c>
      <c r="E176" s="1">
        <f>34716</f>
        <v>34716</v>
      </c>
      <c r="F176" s="1">
        <f>1602</f>
        <v>1602</v>
      </c>
      <c r="G176" s="1">
        <f>1</f>
        <v>1</v>
      </c>
      <c r="H176" s="1">
        <f>0.2</f>
        <v>0.2</v>
      </c>
      <c r="I176" s="1">
        <f>0</f>
        <v>0</v>
      </c>
      <c r="J176" s="1">
        <f>32.7023</f>
        <v>32.702300000000001</v>
      </c>
      <c r="K176" s="1">
        <f>4400</f>
        <v>4400</v>
      </c>
      <c r="L176" s="1">
        <f>0</f>
        <v>0</v>
      </c>
    </row>
    <row r="177" spans="1:12" x14ac:dyDescent="0.25">
      <c r="A177">
        <f>79987279*0.00001</f>
        <v>799.87279000000001</v>
      </c>
      <c r="B177">
        <v>3483</v>
      </c>
      <c r="C177">
        <v>62</v>
      </c>
      <c r="D177" s="1">
        <f>34.4059</f>
        <v>34.405900000000003</v>
      </c>
      <c r="E177" s="1">
        <f>34716</f>
        <v>34716</v>
      </c>
      <c r="F177" s="1">
        <f>1602</f>
        <v>1602</v>
      </c>
      <c r="G177" s="1">
        <f>1</f>
        <v>1</v>
      </c>
      <c r="H177" s="1">
        <f>0.2</f>
        <v>0.2</v>
      </c>
      <c r="I177" s="1">
        <f>0</f>
        <v>0</v>
      </c>
      <c r="J177" s="1">
        <f>32.9272</f>
        <v>32.927199999999999</v>
      </c>
      <c r="K177" s="1">
        <f>4400</f>
        <v>4400</v>
      </c>
      <c r="L177" s="1">
        <f>0</f>
        <v>0</v>
      </c>
    </row>
    <row r="178" spans="1:12" x14ac:dyDescent="0.25">
      <c r="A178">
        <f>79988247*0.00001</f>
        <v>799.88247000000001</v>
      </c>
      <c r="B178">
        <v>3483</v>
      </c>
      <c r="C178">
        <v>63</v>
      </c>
      <c r="D178" s="1">
        <f>34.4054</f>
        <v>34.4054</v>
      </c>
      <c r="E178" s="1">
        <f>34716</f>
        <v>34716</v>
      </c>
      <c r="F178" s="1">
        <f>1602</f>
        <v>1602</v>
      </c>
      <c r="G178" s="1">
        <f>1</f>
        <v>1</v>
      </c>
      <c r="H178" s="1">
        <f>0.2</f>
        <v>0.2</v>
      </c>
      <c r="I178" s="1">
        <f>0</f>
        <v>0</v>
      </c>
      <c r="J178" s="1">
        <f>33.1778</f>
        <v>33.177799999999998</v>
      </c>
      <c r="K178" s="1">
        <f>4400</f>
        <v>4400</v>
      </c>
      <c r="L178" s="1">
        <f>0</f>
        <v>0</v>
      </c>
    </row>
    <row r="179" spans="1:12" x14ac:dyDescent="0.25">
      <c r="A179">
        <f>79989215*0.00001</f>
        <v>799.89215000000002</v>
      </c>
      <c r="B179">
        <v>3483</v>
      </c>
      <c r="C179">
        <v>64</v>
      </c>
      <c r="D179" s="1">
        <f>34.4065</f>
        <v>34.406500000000001</v>
      </c>
      <c r="E179" s="1">
        <f>34715</f>
        <v>34715</v>
      </c>
      <c r="F179" s="1">
        <f>1602</f>
        <v>1602</v>
      </c>
      <c r="G179" s="1">
        <f>1</f>
        <v>1</v>
      </c>
      <c r="H179" s="1">
        <f>0.2</f>
        <v>0.2</v>
      </c>
      <c r="I179" s="1">
        <f>0</f>
        <v>0</v>
      </c>
      <c r="J179" s="1">
        <f>33.6517</f>
        <v>33.651699999999998</v>
      </c>
      <c r="K179" s="1">
        <f>4400</f>
        <v>4400</v>
      </c>
      <c r="L179" s="1">
        <f>0</f>
        <v>0</v>
      </c>
    </row>
    <row r="180" spans="1:12" x14ac:dyDescent="0.25">
      <c r="A180">
        <f>79991150*0.00001</f>
        <v>799.91150000000005</v>
      </c>
      <c r="B180">
        <v>3483</v>
      </c>
      <c r="C180">
        <v>66</v>
      </c>
      <c r="D180" s="1">
        <f>34.4062</f>
        <v>34.406199999999998</v>
      </c>
      <c r="E180" s="1">
        <f>34715</f>
        <v>34715</v>
      </c>
      <c r="F180" s="1">
        <f>1602</f>
        <v>1602</v>
      </c>
      <c r="G180" s="1">
        <f>1</f>
        <v>1</v>
      </c>
      <c r="H180" s="1">
        <f>0.2</f>
        <v>0.2</v>
      </c>
      <c r="I180" s="1">
        <f>0</f>
        <v>0</v>
      </c>
      <c r="J180" s="1">
        <f>33.902</f>
        <v>33.902000000000001</v>
      </c>
      <c r="K180" s="1">
        <f>4400</f>
        <v>4400</v>
      </c>
      <c r="L180" s="1">
        <f>0</f>
        <v>0</v>
      </c>
    </row>
    <row r="181" spans="1:12" x14ac:dyDescent="0.25">
      <c r="A181">
        <f>79992119*0.00001</f>
        <v>799.92119000000002</v>
      </c>
      <c r="B181">
        <v>3483</v>
      </c>
      <c r="C181">
        <v>67</v>
      </c>
      <c r="D181" s="1">
        <f>34.4062</f>
        <v>34.406199999999998</v>
      </c>
      <c r="E181" s="1">
        <f>34716</f>
        <v>34716</v>
      </c>
      <c r="F181" s="1">
        <f>1602</f>
        <v>1602</v>
      </c>
      <c r="G181" s="1">
        <f>1</f>
        <v>1</v>
      </c>
      <c r="H181" s="1">
        <f>0.2</f>
        <v>0.2</v>
      </c>
      <c r="I181" s="1">
        <f>0</f>
        <v>0</v>
      </c>
      <c r="J181" s="1">
        <f>34.6271</f>
        <v>34.627099999999999</v>
      </c>
      <c r="K181" s="1">
        <f>4400</f>
        <v>4400</v>
      </c>
      <c r="L181" s="1">
        <f>0</f>
        <v>0</v>
      </c>
    </row>
    <row r="182" spans="1:12" x14ac:dyDescent="0.25">
      <c r="A182">
        <f>79995023*0.00001</f>
        <v>799.95023000000003</v>
      </c>
      <c r="B182">
        <v>3483</v>
      </c>
      <c r="C182">
        <v>70</v>
      </c>
      <c r="D182" s="1">
        <f>34.4064</f>
        <v>34.406399999999998</v>
      </c>
      <c r="E182" s="1">
        <f>34715</f>
        <v>34715</v>
      </c>
      <c r="F182" s="1">
        <f>1602</f>
        <v>1602</v>
      </c>
      <c r="G182" s="1">
        <f>1</f>
        <v>1</v>
      </c>
      <c r="H182" s="1">
        <f>0.2</f>
        <v>0.2</v>
      </c>
      <c r="I182" s="1">
        <f>0</f>
        <v>0</v>
      </c>
      <c r="J182" s="1">
        <f>34.8768</f>
        <v>34.876800000000003</v>
      </c>
      <c r="K182" s="1">
        <f>4400</f>
        <v>4400</v>
      </c>
      <c r="L182" s="1">
        <f>0</f>
        <v>0</v>
      </c>
    </row>
    <row r="183" spans="1:12" x14ac:dyDescent="0.25">
      <c r="A183">
        <f>79995991*0.00001</f>
        <v>799.95991000000004</v>
      </c>
      <c r="B183">
        <v>3483</v>
      </c>
      <c r="C183">
        <v>71</v>
      </c>
      <c r="D183" s="1">
        <f>34.4064</f>
        <v>34.406399999999998</v>
      </c>
      <c r="E183" s="1">
        <f>34715</f>
        <v>34715</v>
      </c>
      <c r="F183" s="1">
        <f>1602</f>
        <v>1602</v>
      </c>
      <c r="G183" s="1">
        <f>1</f>
        <v>1</v>
      </c>
      <c r="H183" s="1">
        <f>0.2</f>
        <v>0.2</v>
      </c>
      <c r="I183" s="1">
        <f>0</f>
        <v>0</v>
      </c>
      <c r="J183" s="1">
        <f>35.3519</f>
        <v>35.351900000000001</v>
      </c>
      <c r="K183" s="1">
        <f>4400</f>
        <v>4400</v>
      </c>
      <c r="L183" s="1">
        <f>0</f>
        <v>0</v>
      </c>
    </row>
    <row r="184" spans="1:12" x14ac:dyDescent="0.25">
      <c r="A184">
        <f>79997926*0.00001</f>
        <v>799.97926000000007</v>
      </c>
      <c r="B184">
        <v>3483</v>
      </c>
      <c r="C184">
        <v>73</v>
      </c>
      <c r="D184" s="1">
        <f>34.4061</f>
        <v>34.406100000000002</v>
      </c>
      <c r="E184" s="1">
        <f>34716</f>
        <v>34716</v>
      </c>
      <c r="F184" s="1">
        <f>1602</f>
        <v>1602</v>
      </c>
      <c r="G184" s="1">
        <f>1</f>
        <v>1</v>
      </c>
      <c r="H184" s="1">
        <f>0.2</f>
        <v>0.2</v>
      </c>
      <c r="I184" s="1">
        <f>0</f>
        <v>0</v>
      </c>
      <c r="J184" s="1">
        <f>35.6022</f>
        <v>35.602200000000003</v>
      </c>
      <c r="K184" s="1">
        <f>4400</f>
        <v>4400</v>
      </c>
      <c r="L184" s="1">
        <f>0</f>
        <v>0</v>
      </c>
    </row>
    <row r="185" spans="1:12" x14ac:dyDescent="0.25">
      <c r="A185">
        <f>79998893*0.00001</f>
        <v>799.9889300000001</v>
      </c>
      <c r="B185">
        <v>3483</v>
      </c>
      <c r="C185">
        <v>74</v>
      </c>
      <c r="D185" s="1">
        <f>34.4062</f>
        <v>34.406199999999998</v>
      </c>
      <c r="E185" s="1">
        <f>34715</f>
        <v>34715</v>
      </c>
      <c r="F185" s="1">
        <f>1602</f>
        <v>1602</v>
      </c>
      <c r="G185" s="1">
        <f>1</f>
        <v>1</v>
      </c>
      <c r="H185" s="1">
        <f>0.2</f>
        <v>0.2</v>
      </c>
      <c r="I185" s="1">
        <f>0</f>
        <v>0</v>
      </c>
      <c r="J185" s="1">
        <f>35.8271</f>
        <v>35.827100000000002</v>
      </c>
      <c r="K185" s="1">
        <f>4400</f>
        <v>4400</v>
      </c>
      <c r="L185" s="1">
        <f>0</f>
        <v>0</v>
      </c>
    </row>
    <row r="186" spans="1:12" x14ac:dyDescent="0.25">
      <c r="A186">
        <f>79999860*0.00001</f>
        <v>799.99860000000001</v>
      </c>
      <c r="B186">
        <v>3483</v>
      </c>
      <c r="C186">
        <v>75</v>
      </c>
      <c r="D186" s="1">
        <f>34.4064</f>
        <v>34.406399999999998</v>
      </c>
      <c r="E186" s="1">
        <f>34715</f>
        <v>34715</v>
      </c>
      <c r="F186" s="1">
        <f>1602</f>
        <v>1602</v>
      </c>
      <c r="G186" s="1">
        <f>1</f>
        <v>1</v>
      </c>
      <c r="H186" s="1">
        <f>0.2</f>
        <v>0.2</v>
      </c>
      <c r="I186" s="1">
        <f>0</f>
        <v>0</v>
      </c>
      <c r="J186" s="1">
        <f>36.327</f>
        <v>36.326999999999998</v>
      </c>
      <c r="K186" s="1">
        <f>4400</f>
        <v>4400</v>
      </c>
      <c r="L186" s="1">
        <f>0</f>
        <v>0</v>
      </c>
    </row>
    <row r="187" spans="1:12" x14ac:dyDescent="0.25">
      <c r="A187">
        <f>80001796*0.00001</f>
        <v>800.01796000000002</v>
      </c>
      <c r="B187">
        <v>3483</v>
      </c>
      <c r="C187">
        <v>77</v>
      </c>
      <c r="D187" s="1">
        <f>34.4057</f>
        <v>34.405700000000003</v>
      </c>
      <c r="E187" s="1">
        <f>34716</f>
        <v>34716</v>
      </c>
      <c r="F187" s="1">
        <f>1602</f>
        <v>1602</v>
      </c>
      <c r="G187" s="1">
        <f>1</f>
        <v>1</v>
      </c>
      <c r="H187" s="1">
        <f>0.2</f>
        <v>0.2</v>
      </c>
      <c r="I187" s="1">
        <f>0</f>
        <v>0</v>
      </c>
      <c r="J187" s="1">
        <f>36.5526</f>
        <v>36.552599999999998</v>
      </c>
      <c r="K187" s="1">
        <f>4400</f>
        <v>4400</v>
      </c>
      <c r="L187" s="1">
        <f>0</f>
        <v>0</v>
      </c>
    </row>
    <row r="188" spans="1:12" x14ac:dyDescent="0.25">
      <c r="A188">
        <f>80002763*0.00001</f>
        <v>800.02763000000004</v>
      </c>
      <c r="B188">
        <v>3483</v>
      </c>
      <c r="C188">
        <v>78</v>
      </c>
      <c r="D188" s="1">
        <f>34.4063</f>
        <v>34.406300000000002</v>
      </c>
      <c r="E188" s="1">
        <f>34715</f>
        <v>34715</v>
      </c>
      <c r="F188" s="1">
        <f>1602</f>
        <v>1602</v>
      </c>
      <c r="G188" s="1">
        <f>1</f>
        <v>1</v>
      </c>
      <c r="H188" s="1">
        <f>0.2</f>
        <v>0.2</v>
      </c>
      <c r="I188" s="1">
        <f>0</f>
        <v>0</v>
      </c>
      <c r="J188" s="1">
        <f>37.0522</f>
        <v>37.052199999999999</v>
      </c>
      <c r="K188" s="1">
        <f>4400</f>
        <v>4400</v>
      </c>
      <c r="L188" s="1">
        <f>0</f>
        <v>0</v>
      </c>
    </row>
    <row r="189" spans="1:12" x14ac:dyDescent="0.25">
      <c r="A189">
        <f>80004700*0.00001</f>
        <v>800.04700000000003</v>
      </c>
      <c r="B189">
        <v>3483</v>
      </c>
      <c r="C189">
        <v>80</v>
      </c>
      <c r="D189" s="1">
        <f>34.4067</f>
        <v>34.406700000000001</v>
      </c>
      <c r="E189" s="1">
        <f>34715</f>
        <v>34715</v>
      </c>
      <c r="F189" s="1">
        <f>1602</f>
        <v>1602</v>
      </c>
      <c r="G189" s="1">
        <f>1</f>
        <v>1</v>
      </c>
      <c r="H189" s="1">
        <f>0.2</f>
        <v>0.2</v>
      </c>
      <c r="I189" s="1">
        <f>0</f>
        <v>0</v>
      </c>
      <c r="J189" s="1">
        <f>37.3017</f>
        <v>37.301699999999997</v>
      </c>
      <c r="K189" s="1">
        <f>4400</f>
        <v>4400</v>
      </c>
      <c r="L189" s="1">
        <f>0</f>
        <v>0</v>
      </c>
    </row>
    <row r="190" spans="1:12" x14ac:dyDescent="0.25">
      <c r="A190">
        <f>80005668*0.00001</f>
        <v>800.05668000000003</v>
      </c>
      <c r="B190">
        <v>3483</v>
      </c>
      <c r="C190">
        <v>81</v>
      </c>
      <c r="D190" s="1">
        <f>34.4069</f>
        <v>34.4069</v>
      </c>
      <c r="E190" s="1">
        <f>34715</f>
        <v>34715</v>
      </c>
      <c r="F190" s="1">
        <f>1602</f>
        <v>1602</v>
      </c>
      <c r="G190" s="1">
        <f>1</f>
        <v>1</v>
      </c>
      <c r="H190" s="1">
        <f>0.2</f>
        <v>0.2</v>
      </c>
      <c r="I190" s="1">
        <f>0</f>
        <v>0</v>
      </c>
      <c r="J190" s="1">
        <f>37.5265</f>
        <v>37.526499999999999</v>
      </c>
      <c r="K190" s="1">
        <f>4400</f>
        <v>4400</v>
      </c>
      <c r="L190" s="1">
        <f>0</f>
        <v>0</v>
      </c>
    </row>
    <row r="191" spans="1:12" x14ac:dyDescent="0.25">
      <c r="A191">
        <f>80006636*0.00001</f>
        <v>800.06636000000003</v>
      </c>
      <c r="B191">
        <v>3483</v>
      </c>
      <c r="C191">
        <v>82</v>
      </c>
      <c r="D191" s="1">
        <f>34.4071</f>
        <v>34.4071</v>
      </c>
      <c r="E191" s="1">
        <f>34715</f>
        <v>34715</v>
      </c>
      <c r="F191" s="1">
        <f>1602</f>
        <v>1602</v>
      </c>
      <c r="G191" s="1">
        <f>1</f>
        <v>1</v>
      </c>
      <c r="H191" s="1">
        <f>0.2</f>
        <v>0.2</v>
      </c>
      <c r="I191" s="1">
        <f>0</f>
        <v>0</v>
      </c>
      <c r="J191" s="1">
        <f>38.0264</f>
        <v>38.026400000000002</v>
      </c>
      <c r="K191" s="1">
        <f>4400</f>
        <v>4400</v>
      </c>
      <c r="L191" s="1">
        <f>0</f>
        <v>0</v>
      </c>
    </row>
    <row r="192" spans="1:12" x14ac:dyDescent="0.25">
      <c r="A192">
        <f>80008571*0.00001</f>
        <v>800.08571000000006</v>
      </c>
      <c r="B192">
        <v>3483</v>
      </c>
      <c r="C192">
        <v>84</v>
      </c>
      <c r="D192" s="1">
        <f>34.4068</f>
        <v>34.406799999999997</v>
      </c>
      <c r="E192" s="1">
        <f>34715</f>
        <v>34715</v>
      </c>
      <c r="F192" s="1">
        <f>1602</f>
        <v>1602</v>
      </c>
      <c r="G192" s="1">
        <f>1</f>
        <v>1</v>
      </c>
      <c r="H192" s="1">
        <f>0.2</f>
        <v>0.2</v>
      </c>
      <c r="I192" s="1">
        <f>0</f>
        <v>0</v>
      </c>
      <c r="J192" s="1">
        <f>38.2516</f>
        <v>38.251600000000003</v>
      </c>
      <c r="K192" s="1">
        <f>4400</f>
        <v>4400</v>
      </c>
      <c r="L192" s="1">
        <f>0</f>
        <v>0</v>
      </c>
    </row>
    <row r="193" spans="1:12" x14ac:dyDescent="0.25">
      <c r="A193">
        <f>80009539*0.00001</f>
        <v>800.09539000000007</v>
      </c>
      <c r="B193">
        <v>3483</v>
      </c>
      <c r="C193">
        <v>85</v>
      </c>
      <c r="D193" s="1">
        <f>34.407</f>
        <v>34.406999999999996</v>
      </c>
      <c r="E193" s="1">
        <f>34715</f>
        <v>34715</v>
      </c>
      <c r="F193" s="1">
        <f>1602</f>
        <v>1602</v>
      </c>
      <c r="G193" s="1">
        <f>1</f>
        <v>1</v>
      </c>
      <c r="H193" s="1">
        <f>0.2</f>
        <v>0.2</v>
      </c>
      <c r="I193" s="1">
        <f>0</f>
        <v>0</v>
      </c>
      <c r="J193" s="1">
        <f>38.5015</f>
        <v>38.5015</v>
      </c>
      <c r="K193" s="1">
        <f>4400</f>
        <v>4400</v>
      </c>
      <c r="L193" s="1">
        <f>0</f>
        <v>0</v>
      </c>
    </row>
    <row r="194" spans="1:12" x14ac:dyDescent="0.25">
      <c r="A194">
        <f>80010507*0.00001</f>
        <v>800.10507000000007</v>
      </c>
      <c r="B194">
        <v>3483</v>
      </c>
      <c r="C194">
        <v>86</v>
      </c>
      <c r="D194" s="1">
        <f>34.4069</f>
        <v>34.4069</v>
      </c>
      <c r="E194" s="1">
        <f>34715</f>
        <v>34715</v>
      </c>
      <c r="F194" s="1">
        <f>1602</f>
        <v>1602</v>
      </c>
      <c r="G194" s="1">
        <f>1</f>
        <v>1</v>
      </c>
      <c r="H194" s="1">
        <f>0.2</f>
        <v>0.2</v>
      </c>
      <c r="I194" s="1">
        <f>0</f>
        <v>0</v>
      </c>
      <c r="J194" s="1">
        <f>38.9766</f>
        <v>38.976599999999998</v>
      </c>
      <c r="K194" s="1">
        <f>4400</f>
        <v>4400</v>
      </c>
      <c r="L194" s="1">
        <f>0</f>
        <v>0</v>
      </c>
    </row>
    <row r="195" spans="1:12" x14ac:dyDescent="0.25">
      <c r="A195">
        <f>80012443*0.00001</f>
        <v>800.12443000000007</v>
      </c>
      <c r="B195">
        <v>3483</v>
      </c>
      <c r="C195">
        <v>88</v>
      </c>
      <c r="D195" s="1">
        <f>34.4073</f>
        <v>34.407299999999999</v>
      </c>
      <c r="E195" s="1">
        <f>34714</f>
        <v>34714</v>
      </c>
      <c r="F195" s="1">
        <f>1602</f>
        <v>1602</v>
      </c>
      <c r="G195" s="1">
        <f>1</f>
        <v>1</v>
      </c>
      <c r="H195" s="1">
        <f>0.2</f>
        <v>0.2</v>
      </c>
      <c r="I195" s="1">
        <f>0</f>
        <v>0</v>
      </c>
      <c r="J195" s="1">
        <f>39.2262</f>
        <v>39.226199999999999</v>
      </c>
      <c r="K195" s="1">
        <f>4400</f>
        <v>4400</v>
      </c>
      <c r="L195" s="1">
        <f>0</f>
        <v>0</v>
      </c>
    </row>
    <row r="196" spans="1:12" x14ac:dyDescent="0.25">
      <c r="A196">
        <f>80013411*0.00001</f>
        <v>800.13411000000008</v>
      </c>
      <c r="B196">
        <v>3483</v>
      </c>
      <c r="C196">
        <v>89</v>
      </c>
      <c r="D196" s="1">
        <f>34.407</f>
        <v>34.406999999999996</v>
      </c>
      <c r="E196" s="1">
        <f>34715</f>
        <v>34715</v>
      </c>
      <c r="F196" s="1">
        <f>1602</f>
        <v>1602</v>
      </c>
      <c r="G196" s="1">
        <f>1</f>
        <v>1</v>
      </c>
      <c r="H196" s="1">
        <f>0.2</f>
        <v>0.2</v>
      </c>
      <c r="I196" s="1">
        <f>0</f>
        <v>0</v>
      </c>
      <c r="J196" s="1">
        <f>39.7015</f>
        <v>39.701500000000003</v>
      </c>
      <c r="K196" s="1">
        <f>4400</f>
        <v>4400</v>
      </c>
      <c r="L196" s="1">
        <f>0</f>
        <v>0</v>
      </c>
    </row>
    <row r="197" spans="1:12" x14ac:dyDescent="0.25">
      <c r="A197">
        <f>80015346*0.00001</f>
        <v>800.15346000000011</v>
      </c>
      <c r="B197">
        <v>3483</v>
      </c>
      <c r="C197">
        <v>91</v>
      </c>
      <c r="D197" s="1">
        <f>34.4078</f>
        <v>34.407800000000002</v>
      </c>
      <c r="E197" s="1">
        <f>34714</f>
        <v>34714</v>
      </c>
      <c r="F197" s="1">
        <f>1602</f>
        <v>1602</v>
      </c>
      <c r="G197" s="1">
        <f>1</f>
        <v>1</v>
      </c>
      <c r="H197" s="1">
        <f>0.2</f>
        <v>0.2</v>
      </c>
      <c r="I197" s="1">
        <f>0</f>
        <v>0</v>
      </c>
      <c r="J197" s="1">
        <f>39.9508</f>
        <v>39.950800000000001</v>
      </c>
      <c r="K197" s="1">
        <f>4400</f>
        <v>4400</v>
      </c>
      <c r="L197" s="1">
        <f>0</f>
        <v>0</v>
      </c>
    </row>
    <row r="198" spans="1:12" x14ac:dyDescent="0.25">
      <c r="A198">
        <f>80016314*0.00001</f>
        <v>800.16314000000011</v>
      </c>
      <c r="B198">
        <v>3483</v>
      </c>
      <c r="C198">
        <v>92</v>
      </c>
      <c r="D198" s="1">
        <f>34.4071</f>
        <v>34.4071</v>
      </c>
      <c r="E198" s="1">
        <f>34715</f>
        <v>34715</v>
      </c>
      <c r="F198" s="1">
        <f>1602</f>
        <v>1602</v>
      </c>
      <c r="G198" s="1">
        <f>1</f>
        <v>1</v>
      </c>
      <c r="H198" s="1">
        <f>0.2</f>
        <v>0.2</v>
      </c>
      <c r="I198" s="1">
        <f>0</f>
        <v>0</v>
      </c>
      <c r="J198" s="1">
        <f>40.2015</f>
        <v>40.201500000000003</v>
      </c>
      <c r="K198" s="1">
        <f>4400</f>
        <v>4400</v>
      </c>
      <c r="L198" s="1">
        <f>0</f>
        <v>0</v>
      </c>
    </row>
    <row r="199" spans="1:12" x14ac:dyDescent="0.25">
      <c r="A199">
        <f>80017283*0.00001</f>
        <v>800.17283000000009</v>
      </c>
      <c r="B199">
        <v>3483</v>
      </c>
      <c r="C199">
        <v>93</v>
      </c>
      <c r="D199" s="1">
        <f>34.4069</f>
        <v>34.4069</v>
      </c>
      <c r="E199" s="1">
        <f>34715</f>
        <v>34715</v>
      </c>
      <c r="F199" s="1">
        <f>1602</f>
        <v>1602</v>
      </c>
      <c r="G199" s="1">
        <f>1</f>
        <v>1</v>
      </c>
      <c r="H199" s="1">
        <f>0.2</f>
        <v>0.2</v>
      </c>
      <c r="I199" s="1">
        <f>0</f>
        <v>0</v>
      </c>
      <c r="J199" s="1">
        <f>40.6767</f>
        <v>40.676699999999997</v>
      </c>
      <c r="K199" s="1">
        <f>4400</f>
        <v>4400</v>
      </c>
      <c r="L199" s="1">
        <f>0</f>
        <v>0</v>
      </c>
    </row>
    <row r="200" spans="1:12" x14ac:dyDescent="0.25">
      <c r="A200">
        <f>80019219*0.00001</f>
        <v>800.1921900000001</v>
      </c>
      <c r="B200">
        <v>3483</v>
      </c>
      <c r="C200">
        <v>95</v>
      </c>
      <c r="D200" s="1">
        <f>34.4075</f>
        <v>34.407499999999999</v>
      </c>
      <c r="E200" s="1">
        <f>34714</f>
        <v>34714</v>
      </c>
      <c r="F200" s="1">
        <f>1602</f>
        <v>1602</v>
      </c>
      <c r="G200" s="1">
        <f>1</f>
        <v>1</v>
      </c>
      <c r="H200" s="1">
        <f>0.2</f>
        <v>0.2</v>
      </c>
      <c r="I200" s="1">
        <f>0</f>
        <v>0</v>
      </c>
      <c r="J200" s="1">
        <f>40.9262</f>
        <v>40.926200000000001</v>
      </c>
      <c r="K200" s="1">
        <f>4400</f>
        <v>4400</v>
      </c>
      <c r="L200" s="1">
        <f>0</f>
        <v>0</v>
      </c>
    </row>
    <row r="201" spans="1:12" x14ac:dyDescent="0.25">
      <c r="A201">
        <f>80020186*0.00001</f>
        <v>800.20186000000001</v>
      </c>
      <c r="B201">
        <v>3483</v>
      </c>
      <c r="C201">
        <v>96</v>
      </c>
      <c r="D201" s="1">
        <f>34.4077</f>
        <v>34.407699999999998</v>
      </c>
      <c r="E201" s="1">
        <f>34714</f>
        <v>34714</v>
      </c>
      <c r="F201" s="1">
        <f>1602</f>
        <v>1602</v>
      </c>
      <c r="G201" s="1">
        <f>1</f>
        <v>1</v>
      </c>
      <c r="H201" s="1">
        <f>0.2</f>
        <v>0.2</v>
      </c>
      <c r="I201" s="1">
        <f>0</f>
        <v>0</v>
      </c>
      <c r="J201" s="1">
        <f>41.401</f>
        <v>41.401000000000003</v>
      </c>
      <c r="K201" s="1">
        <f>4400</f>
        <v>4400</v>
      </c>
      <c r="L201" s="1">
        <f>0</f>
        <v>0</v>
      </c>
    </row>
    <row r="202" spans="1:12" x14ac:dyDescent="0.25">
      <c r="A202">
        <f>80022123*0.00001</f>
        <v>800.22123000000011</v>
      </c>
      <c r="B202">
        <v>3483</v>
      </c>
      <c r="C202">
        <v>98</v>
      </c>
      <c r="D202" s="1">
        <f>34.4068</f>
        <v>34.406799999999997</v>
      </c>
      <c r="E202" s="1">
        <f>34715</f>
        <v>34715</v>
      </c>
      <c r="F202" s="1">
        <f>1602</f>
        <v>1602</v>
      </c>
      <c r="G202" s="1">
        <f>1</f>
        <v>1</v>
      </c>
      <c r="H202" s="1">
        <f>0.2</f>
        <v>0.2</v>
      </c>
      <c r="I202" s="1">
        <f>0</f>
        <v>0</v>
      </c>
      <c r="J202" s="1">
        <f>41.6519</f>
        <v>41.651899999999998</v>
      </c>
      <c r="K202" s="1">
        <f>4400</f>
        <v>4400</v>
      </c>
      <c r="L202" s="1">
        <f>0</f>
        <v>0</v>
      </c>
    </row>
    <row r="203" spans="1:12" x14ac:dyDescent="0.25">
      <c r="A203">
        <f>80023091*0.00001</f>
        <v>800.23091000000011</v>
      </c>
      <c r="B203">
        <v>3483</v>
      </c>
      <c r="C203">
        <v>99</v>
      </c>
      <c r="D203" s="1">
        <f>34.4072</f>
        <v>34.407200000000003</v>
      </c>
      <c r="E203" s="1">
        <f>34714</f>
        <v>34714</v>
      </c>
      <c r="F203" s="1">
        <f>1602</f>
        <v>1602</v>
      </c>
      <c r="G203" s="1">
        <f>1</f>
        <v>1</v>
      </c>
      <c r="H203" s="1">
        <f>0.2</f>
        <v>0.2</v>
      </c>
      <c r="I203" s="1">
        <f>0</f>
        <v>0</v>
      </c>
      <c r="J203" s="1">
        <f>41.8765</f>
        <v>41.8765</v>
      </c>
      <c r="K203" s="1">
        <f>4400</f>
        <v>4400</v>
      </c>
      <c r="L203" s="1">
        <f>0</f>
        <v>0</v>
      </c>
    </row>
    <row r="204" spans="1:12" x14ac:dyDescent="0.25">
      <c r="A204">
        <f>80024058*0.00001</f>
        <v>800.24058000000002</v>
      </c>
      <c r="B204">
        <v>3483</v>
      </c>
      <c r="C204">
        <v>100</v>
      </c>
      <c r="D204" s="1">
        <f>34.4073</f>
        <v>34.407299999999999</v>
      </c>
      <c r="E204" s="1">
        <f>34714</f>
        <v>34714</v>
      </c>
      <c r="F204" s="1">
        <f>1602</f>
        <v>1602</v>
      </c>
      <c r="G204" s="1">
        <f>1</f>
        <v>1</v>
      </c>
      <c r="H204" s="1">
        <f>0.2</f>
        <v>0.2</v>
      </c>
      <c r="I204" s="1">
        <f>0</f>
        <v>0</v>
      </c>
      <c r="J204" s="1">
        <f>42.3764</f>
        <v>42.376399999999997</v>
      </c>
      <c r="K204" s="1">
        <f>4400</f>
        <v>4400</v>
      </c>
      <c r="L204" s="1">
        <f>0</f>
        <v>0</v>
      </c>
    </row>
    <row r="205" spans="1:12" x14ac:dyDescent="0.25">
      <c r="A205">
        <f>80025994*0.00001</f>
        <v>800.25994000000003</v>
      </c>
      <c r="B205">
        <v>3483</v>
      </c>
      <c r="C205">
        <v>102</v>
      </c>
      <c r="D205" s="1">
        <f>34.407</f>
        <v>34.406999999999996</v>
      </c>
      <c r="E205" s="1">
        <f>34715</f>
        <v>34715</v>
      </c>
      <c r="F205" s="1">
        <f>1602</f>
        <v>1602</v>
      </c>
      <c r="G205" s="1">
        <f>1</f>
        <v>1</v>
      </c>
      <c r="H205" s="1">
        <f>0.2</f>
        <v>0.2</v>
      </c>
      <c r="I205" s="1">
        <f>0</f>
        <v>0</v>
      </c>
      <c r="J205" s="1">
        <f>42.6018</f>
        <v>42.601799999999997</v>
      </c>
      <c r="K205" s="1">
        <f>4400</f>
        <v>4400</v>
      </c>
      <c r="L205" s="1">
        <f>0</f>
        <v>0</v>
      </c>
    </row>
    <row r="206" spans="1:12" x14ac:dyDescent="0.25">
      <c r="A206">
        <f>80026962*0.00001</f>
        <v>800.26962000000003</v>
      </c>
      <c r="B206">
        <v>3483</v>
      </c>
      <c r="C206">
        <v>103</v>
      </c>
      <c r="D206" s="1">
        <f>34.4062</f>
        <v>34.406199999999998</v>
      </c>
      <c r="E206" s="1">
        <f>34715</f>
        <v>34715</v>
      </c>
      <c r="F206" s="1">
        <f>1602</f>
        <v>1602</v>
      </c>
      <c r="G206" s="1">
        <f>1</f>
        <v>1</v>
      </c>
      <c r="H206" s="1">
        <f>0.2</f>
        <v>0.2</v>
      </c>
      <c r="I206" s="1">
        <f>0</f>
        <v>0</v>
      </c>
      <c r="J206" s="1">
        <f>43.3276</f>
        <v>43.327599999999997</v>
      </c>
      <c r="K206" s="1">
        <f>4400</f>
        <v>4400</v>
      </c>
      <c r="L206" s="1">
        <f>0</f>
        <v>0</v>
      </c>
    </row>
    <row r="207" spans="1:12" x14ac:dyDescent="0.25">
      <c r="A207">
        <f>80029867*0.00001</f>
        <v>800.29867000000002</v>
      </c>
      <c r="B207">
        <v>3483</v>
      </c>
      <c r="C207">
        <v>106</v>
      </c>
      <c r="D207" s="1">
        <f>34.406</f>
        <v>34.405999999999999</v>
      </c>
      <c r="E207" s="1">
        <f>34716</f>
        <v>34716</v>
      </c>
      <c r="F207" s="1">
        <f>1602</f>
        <v>1602</v>
      </c>
      <c r="G207" s="1">
        <f>1</f>
        <v>1</v>
      </c>
      <c r="H207" s="1">
        <f>0.2</f>
        <v>0.2</v>
      </c>
      <c r="I207" s="1">
        <f>0</f>
        <v>0</v>
      </c>
      <c r="J207" s="1">
        <f>43.5778</f>
        <v>43.577800000000003</v>
      </c>
      <c r="K207" s="1">
        <f>4400</f>
        <v>4400</v>
      </c>
      <c r="L207" s="1">
        <f>0</f>
        <v>0</v>
      </c>
    </row>
    <row r="208" spans="1:12" x14ac:dyDescent="0.25">
      <c r="A208">
        <f>80030835*0.00001</f>
        <v>800.30835000000002</v>
      </c>
      <c r="B208">
        <v>3483</v>
      </c>
      <c r="C208">
        <v>107</v>
      </c>
      <c r="D208" s="1">
        <f>34.4069</f>
        <v>34.4069</v>
      </c>
      <c r="E208" s="1">
        <f>34715</f>
        <v>34715</v>
      </c>
      <c r="F208" s="1">
        <f>1602</f>
        <v>1602</v>
      </c>
      <c r="G208" s="1">
        <f>1</f>
        <v>1</v>
      </c>
      <c r="H208" s="1">
        <f>0.2</f>
        <v>0.2</v>
      </c>
      <c r="I208" s="1">
        <f>0</f>
        <v>0</v>
      </c>
      <c r="J208" s="1">
        <f>44.077</f>
        <v>44.076999999999998</v>
      </c>
      <c r="K208" s="1">
        <f>4400</f>
        <v>4400</v>
      </c>
      <c r="L208" s="1">
        <f>0</f>
        <v>0</v>
      </c>
    </row>
    <row r="209" spans="1:12" x14ac:dyDescent="0.25">
      <c r="A209">
        <f>80032771*0.00001</f>
        <v>800.32771000000002</v>
      </c>
      <c r="B209">
        <v>3483</v>
      </c>
      <c r="C209">
        <v>109</v>
      </c>
      <c r="D209" s="1">
        <f>34.4062</f>
        <v>34.406199999999998</v>
      </c>
      <c r="E209" s="1">
        <f>34715</f>
        <v>34715</v>
      </c>
      <c r="F209" s="1">
        <f>1602</f>
        <v>1602</v>
      </c>
      <c r="G209" s="1">
        <f>1</f>
        <v>1</v>
      </c>
      <c r="H209" s="1">
        <f>0.2</f>
        <v>0.2</v>
      </c>
      <c r="I209" s="1">
        <f>0</f>
        <v>0</v>
      </c>
      <c r="J209" s="1">
        <f>44.3026</f>
        <v>44.302599999999998</v>
      </c>
      <c r="K209" s="1">
        <f>4400</f>
        <v>4400</v>
      </c>
      <c r="L209" s="1">
        <f>0</f>
        <v>0</v>
      </c>
    </row>
    <row r="210" spans="1:12" x14ac:dyDescent="0.25">
      <c r="A210">
        <f>80033739*0.00001</f>
        <v>800.33739000000003</v>
      </c>
      <c r="B210">
        <v>3483</v>
      </c>
      <c r="C210">
        <v>110</v>
      </c>
      <c r="D210" s="1">
        <f>34.4069</f>
        <v>34.4069</v>
      </c>
      <c r="E210" s="1">
        <f>34715</f>
        <v>34715</v>
      </c>
      <c r="F210" s="1">
        <f>1602</f>
        <v>1602</v>
      </c>
      <c r="G210" s="1">
        <f>1</f>
        <v>1</v>
      </c>
      <c r="H210" s="1">
        <f>0.2</f>
        <v>0.2</v>
      </c>
      <c r="I210" s="1">
        <f>0</f>
        <v>0</v>
      </c>
      <c r="J210" s="1">
        <f>45.027</f>
        <v>45.027000000000001</v>
      </c>
      <c r="K210" s="1">
        <f>4400</f>
        <v>4400</v>
      </c>
      <c r="L210" s="1">
        <f>0</f>
        <v>0</v>
      </c>
    </row>
    <row r="211" spans="1:12" x14ac:dyDescent="0.25">
      <c r="A211">
        <f>80036642*0.00001</f>
        <v>800.36642000000006</v>
      </c>
      <c r="B211">
        <v>3483</v>
      </c>
      <c r="C211">
        <v>113</v>
      </c>
      <c r="D211" s="1">
        <f>34.4073</f>
        <v>34.407299999999999</v>
      </c>
      <c r="E211" s="1">
        <f>34714</f>
        <v>34714</v>
      </c>
      <c r="F211" s="1">
        <f>1602</f>
        <v>1602</v>
      </c>
      <c r="G211" s="1">
        <f>1</f>
        <v>1</v>
      </c>
      <c r="H211" s="1">
        <f>0.2</f>
        <v>0.2</v>
      </c>
      <c r="I211" s="1">
        <f>0</f>
        <v>0</v>
      </c>
      <c r="J211" s="1">
        <f>45.2766</f>
        <v>45.276600000000002</v>
      </c>
      <c r="K211" s="1">
        <f>4400</f>
        <v>4400</v>
      </c>
      <c r="L211" s="1">
        <f>0</f>
        <v>0</v>
      </c>
    </row>
    <row r="212" spans="1:12" x14ac:dyDescent="0.25">
      <c r="A212">
        <f>80037611*0.00001</f>
        <v>800.37611000000004</v>
      </c>
      <c r="B212">
        <v>3483</v>
      </c>
      <c r="C212">
        <v>114</v>
      </c>
      <c r="D212" s="1">
        <f>34.4069</f>
        <v>34.4069</v>
      </c>
      <c r="E212" s="1">
        <f>34715</f>
        <v>34715</v>
      </c>
      <c r="F212" s="1">
        <f>1602</f>
        <v>1602</v>
      </c>
      <c r="G212" s="1">
        <f>1</f>
        <v>1</v>
      </c>
      <c r="H212" s="1">
        <f>0.2</f>
        <v>0.2</v>
      </c>
      <c r="I212" s="1">
        <f>0</f>
        <v>0</v>
      </c>
      <c r="J212" s="1">
        <f>45.752</f>
        <v>45.752000000000002</v>
      </c>
      <c r="K212" s="1">
        <f>4400</f>
        <v>4400</v>
      </c>
      <c r="L212" s="1">
        <f>0</f>
        <v>0</v>
      </c>
    </row>
    <row r="213" spans="1:12" x14ac:dyDescent="0.25">
      <c r="A213">
        <f>80039546*0.00001</f>
        <v>800.39546000000007</v>
      </c>
      <c r="B213">
        <v>3483</v>
      </c>
      <c r="C213">
        <v>116</v>
      </c>
      <c r="D213" s="1">
        <f>34.407</f>
        <v>34.406999999999996</v>
      </c>
      <c r="E213" s="1">
        <f>34715</f>
        <v>34715</v>
      </c>
      <c r="F213" s="1">
        <f>1602</f>
        <v>1602</v>
      </c>
      <c r="G213" s="1">
        <f>1</f>
        <v>1</v>
      </c>
      <c r="H213" s="1">
        <f>0.2</f>
        <v>0.2</v>
      </c>
      <c r="I213" s="1">
        <f>0</f>
        <v>0</v>
      </c>
      <c r="J213" s="1">
        <f>46.002</f>
        <v>46.002000000000002</v>
      </c>
      <c r="K213" s="1">
        <f>4400</f>
        <v>4400</v>
      </c>
      <c r="L213" s="1">
        <f>0</f>
        <v>0</v>
      </c>
    </row>
    <row r="214" spans="1:12" x14ac:dyDescent="0.25">
      <c r="A214">
        <f>80040514*0.00001</f>
        <v>800.40514000000007</v>
      </c>
      <c r="B214">
        <v>3483</v>
      </c>
      <c r="C214">
        <v>117</v>
      </c>
      <c r="D214" s="1">
        <f>34.4068</f>
        <v>34.406799999999997</v>
      </c>
      <c r="E214" s="1">
        <f>34715</f>
        <v>34715</v>
      </c>
      <c r="F214" s="1">
        <f>1602</f>
        <v>1602</v>
      </c>
      <c r="G214" s="1">
        <f>1</f>
        <v>1</v>
      </c>
      <c r="H214" s="1">
        <f>0.2</f>
        <v>0.2</v>
      </c>
      <c r="I214" s="1">
        <f>0</f>
        <v>0</v>
      </c>
      <c r="J214" s="1">
        <f>46.2521</f>
        <v>46.252099999999999</v>
      </c>
      <c r="K214" s="1">
        <f>4400</f>
        <v>4400</v>
      </c>
      <c r="L214" s="1">
        <f>0</f>
        <v>0</v>
      </c>
    </row>
    <row r="215" spans="1:12" x14ac:dyDescent="0.25">
      <c r="A215">
        <f>80041482*0.00001</f>
        <v>800.41482000000008</v>
      </c>
      <c r="B215">
        <v>3483</v>
      </c>
      <c r="C215">
        <v>118</v>
      </c>
      <c r="D215" s="1">
        <f>34.4057</f>
        <v>34.405700000000003</v>
      </c>
      <c r="E215" s="1">
        <f>34716</f>
        <v>34716</v>
      </c>
      <c r="F215" s="1">
        <f>1602</f>
        <v>1602</v>
      </c>
      <c r="G215" s="1">
        <f>1</f>
        <v>1</v>
      </c>
      <c r="H215" s="1">
        <f>0.2</f>
        <v>0.2</v>
      </c>
      <c r="I215" s="1">
        <f>0</f>
        <v>0</v>
      </c>
      <c r="J215" s="1">
        <f>46.7283</f>
        <v>46.728299999999997</v>
      </c>
      <c r="K215" s="1">
        <f>4400</f>
        <v>4400</v>
      </c>
      <c r="L215" s="1">
        <f>0</f>
        <v>0</v>
      </c>
    </row>
    <row r="216" spans="1:12" x14ac:dyDescent="0.25">
      <c r="A216">
        <f>80043419*0.00001</f>
        <v>800.43419000000006</v>
      </c>
      <c r="B216">
        <v>3483</v>
      </c>
      <c r="C216">
        <v>120</v>
      </c>
      <c r="D216" s="1">
        <f>34.4059</f>
        <v>34.405900000000003</v>
      </c>
      <c r="E216" s="1">
        <f>34716</f>
        <v>34716</v>
      </c>
      <c r="F216" s="1">
        <f>1602</f>
        <v>1602</v>
      </c>
      <c r="G216" s="1">
        <f>1</f>
        <v>1</v>
      </c>
      <c r="H216" s="1">
        <f>0.2</f>
        <v>0.2</v>
      </c>
      <c r="I216" s="1">
        <f>0</f>
        <v>0</v>
      </c>
      <c r="J216" s="1">
        <f>46.9782</f>
        <v>46.978200000000001</v>
      </c>
      <c r="K216" s="1">
        <f>4400</f>
        <v>4400</v>
      </c>
      <c r="L216" s="1">
        <f>0</f>
        <v>0</v>
      </c>
    </row>
    <row r="217" spans="1:12" x14ac:dyDescent="0.25">
      <c r="A217">
        <f>80044387*0.00001</f>
        <v>800.44387000000006</v>
      </c>
      <c r="B217">
        <v>3483</v>
      </c>
      <c r="C217">
        <v>121</v>
      </c>
      <c r="D217" s="1">
        <f>34.406</f>
        <v>34.405999999999999</v>
      </c>
      <c r="E217" s="1">
        <f>34716</f>
        <v>34716</v>
      </c>
      <c r="F217" s="1">
        <f>1602</f>
        <v>1602</v>
      </c>
      <c r="G217" s="1">
        <f>1</f>
        <v>1</v>
      </c>
      <c r="H217" s="1">
        <f>0.2</f>
        <v>0.2</v>
      </c>
      <c r="I217" s="1">
        <f>0</f>
        <v>0</v>
      </c>
      <c r="J217" s="1">
        <f>47.453</f>
        <v>47.453000000000003</v>
      </c>
      <c r="K217" s="1">
        <f>4400</f>
        <v>4400</v>
      </c>
      <c r="L217" s="1">
        <f>0</f>
        <v>0</v>
      </c>
    </row>
    <row r="218" spans="1:12" x14ac:dyDescent="0.25">
      <c r="A218">
        <f>80046324*0.00001</f>
        <v>800.46324000000004</v>
      </c>
      <c r="B218">
        <v>3483</v>
      </c>
      <c r="C218">
        <v>123</v>
      </c>
      <c r="D218" s="1">
        <f>34.4061</f>
        <v>34.406100000000002</v>
      </c>
      <c r="E218" s="1">
        <f>34716</f>
        <v>34716</v>
      </c>
      <c r="F218" s="1">
        <f>1602</f>
        <v>1602</v>
      </c>
      <c r="G218" s="1">
        <f>1</f>
        <v>1</v>
      </c>
      <c r="H218" s="1">
        <f>0.2</f>
        <v>0.2</v>
      </c>
      <c r="I218" s="1">
        <f>0</f>
        <v>0</v>
      </c>
      <c r="J218" s="1">
        <f>47.7029</f>
        <v>47.7029</v>
      </c>
      <c r="K218" s="1">
        <f>4400</f>
        <v>4400</v>
      </c>
      <c r="L218" s="1">
        <f>0</f>
        <v>0</v>
      </c>
    </row>
    <row r="219" spans="1:12" x14ac:dyDescent="0.25">
      <c r="A219">
        <f>80047291*0.00001</f>
        <v>800.47291000000007</v>
      </c>
      <c r="B219">
        <v>3483</v>
      </c>
      <c r="C219">
        <v>124</v>
      </c>
      <c r="D219" s="1">
        <f>34.4066</f>
        <v>34.406599999999997</v>
      </c>
      <c r="E219" s="1">
        <f>34715</f>
        <v>34715</v>
      </c>
      <c r="F219" s="1">
        <f>1602</f>
        <v>1602</v>
      </c>
      <c r="G219" s="1">
        <f>1</f>
        <v>1</v>
      </c>
      <c r="H219" s="1">
        <f>0.2</f>
        <v>0.2</v>
      </c>
      <c r="I219" s="1">
        <f>0</f>
        <v>0</v>
      </c>
      <c r="J219" s="1">
        <f>47.9275</f>
        <v>47.927500000000002</v>
      </c>
      <c r="K219" s="1">
        <f>4400</f>
        <v>4400</v>
      </c>
      <c r="L219" s="1">
        <f>0</f>
        <v>0</v>
      </c>
    </row>
    <row r="220" spans="1:12" x14ac:dyDescent="0.25">
      <c r="A220">
        <f>80048259*0.00001</f>
        <v>800.48259000000007</v>
      </c>
      <c r="B220">
        <v>3483</v>
      </c>
      <c r="C220">
        <v>125</v>
      </c>
      <c r="D220" s="1">
        <f>34.4062</f>
        <v>34.406199999999998</v>
      </c>
      <c r="E220" s="1">
        <f>34715</f>
        <v>34715</v>
      </c>
      <c r="F220" s="1">
        <f>1602</f>
        <v>1602</v>
      </c>
      <c r="G220" s="1">
        <f>1</f>
        <v>1</v>
      </c>
      <c r="H220" s="1">
        <f>0.2</f>
        <v>0.2</v>
      </c>
      <c r="I220" s="1">
        <f>0</f>
        <v>0</v>
      </c>
      <c r="J220" s="1">
        <f>48.4279</f>
        <v>48.427900000000001</v>
      </c>
      <c r="K220" s="1">
        <f>4400</f>
        <v>4400</v>
      </c>
      <c r="L220" s="1">
        <f>0</f>
        <v>0</v>
      </c>
    </row>
    <row r="221" spans="1:12" x14ac:dyDescent="0.25">
      <c r="A221">
        <f>80050194*0.00001</f>
        <v>800.5019400000001</v>
      </c>
      <c r="B221">
        <v>3483</v>
      </c>
      <c r="C221">
        <v>127</v>
      </c>
      <c r="D221" s="1">
        <f>34.4065</f>
        <v>34.406500000000001</v>
      </c>
      <c r="E221" s="1">
        <f>34715</f>
        <v>34715</v>
      </c>
      <c r="F221" s="1">
        <f>1602</f>
        <v>1602</v>
      </c>
      <c r="G221" s="1">
        <f>1</f>
        <v>1</v>
      </c>
      <c r="H221" s="1">
        <f>0.2</f>
        <v>0.2</v>
      </c>
      <c r="I221" s="1">
        <f>0</f>
        <v>0</v>
      </c>
      <c r="J221" s="1">
        <f>48.6526</f>
        <v>48.6526</v>
      </c>
      <c r="K221" s="1">
        <f>4400</f>
        <v>4400</v>
      </c>
      <c r="L221" s="1">
        <f>0</f>
        <v>0</v>
      </c>
    </row>
    <row r="222" spans="1:12" x14ac:dyDescent="0.25">
      <c r="A222">
        <f>80051162*0.00001</f>
        <v>800.51162000000011</v>
      </c>
      <c r="B222">
        <v>3483</v>
      </c>
      <c r="C222">
        <v>128</v>
      </c>
      <c r="D222" s="1">
        <f>34.4053</f>
        <v>34.405299999999997</v>
      </c>
      <c r="E222" s="1">
        <f>34716</f>
        <v>34716</v>
      </c>
      <c r="F222" s="1">
        <f>1602</f>
        <v>1602</v>
      </c>
      <c r="G222" s="1">
        <f>1</f>
        <v>1</v>
      </c>
      <c r="H222" s="1">
        <f>0.2</f>
        <v>0.2</v>
      </c>
      <c r="I222" s="1">
        <f>0</f>
        <v>0</v>
      </c>
      <c r="J222" s="1">
        <f>49.3789</f>
        <v>49.378900000000002</v>
      </c>
      <c r="K222" s="1">
        <f>4400</f>
        <v>4400</v>
      </c>
      <c r="L222" s="1">
        <f>0</f>
        <v>0</v>
      </c>
    </row>
    <row r="223" spans="1:12" x14ac:dyDescent="0.25">
      <c r="A223">
        <f>80054067*0.00001</f>
        <v>800.54067000000009</v>
      </c>
      <c r="B223">
        <v>3483</v>
      </c>
      <c r="C223">
        <v>131</v>
      </c>
      <c r="D223" s="1">
        <f>34.4054</f>
        <v>34.4054</v>
      </c>
      <c r="E223" s="1">
        <f>34716</f>
        <v>34716</v>
      </c>
      <c r="F223" s="1">
        <f>1602</f>
        <v>1602</v>
      </c>
      <c r="G223" s="1">
        <f>1</f>
        <v>1</v>
      </c>
      <c r="H223" s="1">
        <f>0.2</f>
        <v>0.2</v>
      </c>
      <c r="I223" s="1">
        <f>0</f>
        <v>0</v>
      </c>
      <c r="J223" s="1">
        <f>49.6288</f>
        <v>49.628799999999998</v>
      </c>
      <c r="K223" s="1">
        <f>4400</f>
        <v>4400</v>
      </c>
      <c r="L223" s="1">
        <f>0</f>
        <v>0</v>
      </c>
    </row>
    <row r="224" spans="1:12" x14ac:dyDescent="0.25">
      <c r="A224">
        <f>80055035*0.00001</f>
        <v>800.55035000000009</v>
      </c>
      <c r="B224">
        <v>3483</v>
      </c>
      <c r="C224">
        <v>132</v>
      </c>
      <c r="D224" s="1">
        <f>34.4066</f>
        <v>34.406599999999997</v>
      </c>
      <c r="E224" s="1">
        <f>34715</f>
        <v>34715</v>
      </c>
      <c r="F224" s="1">
        <f>1602</f>
        <v>1602</v>
      </c>
      <c r="G224" s="1">
        <f>1</f>
        <v>1</v>
      </c>
      <c r="H224" s="1">
        <f>0.2</f>
        <v>0.2</v>
      </c>
      <c r="I224" s="1">
        <f>0</f>
        <v>0</v>
      </c>
      <c r="J224" s="1">
        <f>50.1276</f>
        <v>50.127600000000001</v>
      </c>
      <c r="K224" s="1">
        <f>4400</f>
        <v>4400</v>
      </c>
      <c r="L224" s="1">
        <f>0</f>
        <v>0</v>
      </c>
    </row>
    <row r="225" spans="1:12" x14ac:dyDescent="0.25">
      <c r="A225">
        <f>80056971*0.00001</f>
        <v>800.5697100000001</v>
      </c>
      <c r="B225">
        <v>3483</v>
      </c>
      <c r="C225">
        <v>134</v>
      </c>
      <c r="D225" s="1">
        <f>34.4059</f>
        <v>34.405900000000003</v>
      </c>
      <c r="E225" s="1">
        <f>34716</f>
        <v>34716</v>
      </c>
      <c r="F225" s="1">
        <f>1602</f>
        <v>1602</v>
      </c>
      <c r="G225" s="1">
        <f>1</f>
        <v>1</v>
      </c>
      <c r="H225" s="1">
        <f>0.2</f>
        <v>0.2</v>
      </c>
      <c r="I225" s="1">
        <f>0</f>
        <v>0</v>
      </c>
      <c r="J225" s="1">
        <f>50.3533</f>
        <v>50.353299999999997</v>
      </c>
      <c r="K225" s="1">
        <f>4400</f>
        <v>4400</v>
      </c>
      <c r="L225" s="1">
        <f>0</f>
        <v>0</v>
      </c>
    </row>
    <row r="226" spans="1:12" x14ac:dyDescent="0.25">
      <c r="A226">
        <f>80057939*0.00001</f>
        <v>800.5793900000001</v>
      </c>
      <c r="B226">
        <v>3483</v>
      </c>
      <c r="C226">
        <v>135</v>
      </c>
      <c r="D226" s="1">
        <f>34.4055</f>
        <v>34.405500000000004</v>
      </c>
      <c r="E226" s="1">
        <f>34716</f>
        <v>34716</v>
      </c>
      <c r="F226" s="1">
        <f>1602</f>
        <v>1602</v>
      </c>
      <c r="G226" s="1">
        <f>1</f>
        <v>1</v>
      </c>
      <c r="H226" s="1">
        <f>0.2</f>
        <v>0.2</v>
      </c>
      <c r="I226" s="1">
        <f>0</f>
        <v>0</v>
      </c>
      <c r="J226" s="1">
        <f>50.6037</f>
        <v>50.603700000000003</v>
      </c>
      <c r="K226" s="1">
        <f>4400</f>
        <v>4400</v>
      </c>
      <c r="L226" s="1">
        <f>0</f>
        <v>0</v>
      </c>
    </row>
    <row r="227" spans="1:12" x14ac:dyDescent="0.25">
      <c r="A227">
        <f>80058907*0.00001</f>
        <v>800.58907000000011</v>
      </c>
      <c r="B227">
        <v>3483</v>
      </c>
      <c r="C227">
        <v>136</v>
      </c>
      <c r="D227" s="1">
        <f>34.4061</f>
        <v>34.406100000000002</v>
      </c>
      <c r="E227" s="1">
        <f>34716</f>
        <v>34716</v>
      </c>
      <c r="F227" s="1">
        <f>1602</f>
        <v>1602</v>
      </c>
      <c r="G227" s="1">
        <f>1</f>
        <v>1</v>
      </c>
      <c r="H227" s="1">
        <f>0.2</f>
        <v>0.2</v>
      </c>
      <c r="I227" s="1">
        <f>0</f>
        <v>0</v>
      </c>
      <c r="J227" s="1">
        <f>51.0782</f>
        <v>51.078200000000002</v>
      </c>
      <c r="K227" s="1">
        <f>4400</f>
        <v>4400</v>
      </c>
      <c r="L227" s="1">
        <f>0</f>
        <v>0</v>
      </c>
    </row>
    <row r="228" spans="1:12" x14ac:dyDescent="0.25">
      <c r="A228">
        <f>80060843*0.00001</f>
        <v>800.60843000000011</v>
      </c>
      <c r="B228">
        <v>3483</v>
      </c>
      <c r="C228">
        <v>138</v>
      </c>
      <c r="D228" s="1">
        <f>34.4055</f>
        <v>34.405500000000004</v>
      </c>
      <c r="E228" s="1">
        <f>34716</f>
        <v>34716</v>
      </c>
      <c r="F228" s="1">
        <f>1602</f>
        <v>1602</v>
      </c>
      <c r="G228" s="1">
        <f>1</f>
        <v>1</v>
      </c>
      <c r="H228" s="1">
        <f>0.2</f>
        <v>0.2</v>
      </c>
      <c r="I228" s="1">
        <f>0</f>
        <v>0</v>
      </c>
      <c r="J228" s="1">
        <f>51.3288</f>
        <v>51.328800000000001</v>
      </c>
      <c r="K228" s="1">
        <f>4400</f>
        <v>4400</v>
      </c>
      <c r="L228" s="1">
        <f>0</f>
        <v>0</v>
      </c>
    </row>
    <row r="229" spans="1:12" x14ac:dyDescent="0.25">
      <c r="A229">
        <f>80061811*0.00001</f>
        <v>800.61811000000012</v>
      </c>
      <c r="B229">
        <v>3483</v>
      </c>
      <c r="C229">
        <v>139</v>
      </c>
      <c r="D229" s="1">
        <f>34.4057</f>
        <v>34.405700000000003</v>
      </c>
      <c r="E229" s="1">
        <f>34716</f>
        <v>34716</v>
      </c>
      <c r="F229" s="1">
        <f>1602</f>
        <v>1602</v>
      </c>
      <c r="G229" s="1">
        <f>1</f>
        <v>1</v>
      </c>
      <c r="H229" s="1">
        <f>0.2</f>
        <v>0.2</v>
      </c>
      <c r="I229" s="1">
        <f>0</f>
        <v>0</v>
      </c>
      <c r="J229" s="1">
        <f>51.8036</f>
        <v>51.803600000000003</v>
      </c>
      <c r="K229" s="1">
        <f>4400</f>
        <v>4400</v>
      </c>
      <c r="L229" s="1">
        <f>0</f>
        <v>0</v>
      </c>
    </row>
    <row r="230" spans="1:12" x14ac:dyDescent="0.25">
      <c r="A230">
        <f>80063746*0.00001</f>
        <v>800.63746000000003</v>
      </c>
      <c r="B230">
        <v>3483</v>
      </c>
      <c r="C230">
        <v>141</v>
      </c>
      <c r="D230" s="1">
        <f>34.406</f>
        <v>34.405999999999999</v>
      </c>
      <c r="E230" s="1">
        <f>34716</f>
        <v>34716</v>
      </c>
      <c r="F230" s="1">
        <f>1602</f>
        <v>1602</v>
      </c>
      <c r="G230" s="1">
        <f>1</f>
        <v>1</v>
      </c>
      <c r="H230" s="1">
        <f>0.2</f>
        <v>0.2</v>
      </c>
      <c r="I230" s="1">
        <f>0</f>
        <v>0</v>
      </c>
      <c r="J230" s="1">
        <f>52.0533</f>
        <v>52.0533</v>
      </c>
      <c r="K230" s="1">
        <f>4400</f>
        <v>4400</v>
      </c>
      <c r="L230" s="1">
        <f>0</f>
        <v>0</v>
      </c>
    </row>
    <row r="231" spans="1:12" x14ac:dyDescent="0.25">
      <c r="A231">
        <f>80064714*0.00001</f>
        <v>800.64714000000004</v>
      </c>
      <c r="B231">
        <v>3483</v>
      </c>
      <c r="C231">
        <v>142</v>
      </c>
      <c r="D231" s="1">
        <f>34.4061</f>
        <v>34.406100000000002</v>
      </c>
      <c r="E231" s="1">
        <f>34716</f>
        <v>34716</v>
      </c>
      <c r="F231" s="1">
        <f>1602</f>
        <v>1602</v>
      </c>
      <c r="G231" s="1">
        <f>1</f>
        <v>1</v>
      </c>
      <c r="H231" s="1">
        <f>0.2</f>
        <v>0.2</v>
      </c>
      <c r="I231" s="1">
        <f>0</f>
        <v>0</v>
      </c>
      <c r="J231" s="1">
        <f>52.3032</f>
        <v>52.303199999999997</v>
      </c>
      <c r="K231" s="1">
        <f>4400</f>
        <v>4400</v>
      </c>
      <c r="L231" s="1">
        <f>0</f>
        <v>0</v>
      </c>
    </row>
    <row r="232" spans="1:12" x14ac:dyDescent="0.25">
      <c r="A232">
        <f>80065681*0.00001</f>
        <v>800.65681000000006</v>
      </c>
      <c r="B232">
        <v>3483</v>
      </c>
      <c r="C232">
        <v>143</v>
      </c>
      <c r="D232" s="1">
        <f>34.4063</f>
        <v>34.406300000000002</v>
      </c>
      <c r="E232" s="1">
        <f>34715</f>
        <v>34715</v>
      </c>
      <c r="F232" s="1">
        <f>1602</f>
        <v>1602</v>
      </c>
      <c r="G232" s="1">
        <f>1</f>
        <v>1</v>
      </c>
      <c r="H232" s="1">
        <f>0.2</f>
        <v>0.2</v>
      </c>
      <c r="I232" s="1">
        <f>0</f>
        <v>0</v>
      </c>
      <c r="J232" s="1">
        <f>52.7781</f>
        <v>52.778100000000002</v>
      </c>
      <c r="K232" s="1">
        <f>4400</f>
        <v>4400</v>
      </c>
      <c r="L232" s="1">
        <f>0</f>
        <v>0</v>
      </c>
    </row>
    <row r="233" spans="1:12" x14ac:dyDescent="0.25">
      <c r="A233">
        <f>80067616*0.00001</f>
        <v>800.6761600000001</v>
      </c>
      <c r="B233">
        <v>3483</v>
      </c>
      <c r="C233">
        <v>145</v>
      </c>
      <c r="D233" s="1">
        <f>34.4064</f>
        <v>34.406399999999998</v>
      </c>
      <c r="E233" s="1">
        <f>34715</f>
        <v>34715</v>
      </c>
      <c r="F233" s="1">
        <f>1602</f>
        <v>1602</v>
      </c>
      <c r="G233" s="1">
        <f>1</f>
        <v>1</v>
      </c>
      <c r="H233" s="1">
        <f>0.2</f>
        <v>0.2</v>
      </c>
      <c r="I233" s="1">
        <f>0</f>
        <v>0</v>
      </c>
      <c r="J233" s="1">
        <f>53.028</f>
        <v>53.027999999999999</v>
      </c>
      <c r="K233" s="1">
        <f>4400</f>
        <v>4400</v>
      </c>
      <c r="L233" s="1">
        <f>0</f>
        <v>0</v>
      </c>
    </row>
    <row r="234" spans="1:12" x14ac:dyDescent="0.25">
      <c r="A234">
        <f>80068584*0.00001</f>
        <v>800.6858400000001</v>
      </c>
      <c r="B234">
        <v>3483</v>
      </c>
      <c r="C234">
        <v>146</v>
      </c>
      <c r="D234" s="1">
        <f>34.4054</f>
        <v>34.4054</v>
      </c>
      <c r="E234" s="1">
        <f>34716</f>
        <v>34716</v>
      </c>
      <c r="F234" s="1">
        <f>1602</f>
        <v>1602</v>
      </c>
      <c r="G234" s="1">
        <f>1</f>
        <v>1</v>
      </c>
      <c r="H234" s="1">
        <f>0.2</f>
        <v>0.2</v>
      </c>
      <c r="I234" s="1">
        <f>0</f>
        <v>0</v>
      </c>
      <c r="J234" s="1">
        <f>53.754</f>
        <v>53.753999999999998</v>
      </c>
      <c r="K234" s="1">
        <f>4400</f>
        <v>4400</v>
      </c>
      <c r="L234" s="1">
        <f>0</f>
        <v>0</v>
      </c>
    </row>
    <row r="235" spans="1:12" x14ac:dyDescent="0.25">
      <c r="A235">
        <f>80071487*0.00001</f>
        <v>800.71487000000002</v>
      </c>
      <c r="B235">
        <v>3483</v>
      </c>
      <c r="C235">
        <v>149</v>
      </c>
      <c r="D235" s="1">
        <f>34.4062</f>
        <v>34.406199999999998</v>
      </c>
      <c r="E235" s="1">
        <f>34715</f>
        <v>34715</v>
      </c>
      <c r="F235" s="1">
        <f>1602</f>
        <v>1602</v>
      </c>
      <c r="G235" s="1">
        <f>1</f>
        <v>1</v>
      </c>
      <c r="H235" s="1">
        <f>0.2</f>
        <v>0.2</v>
      </c>
      <c r="I235" s="1">
        <f>0</f>
        <v>0</v>
      </c>
      <c r="J235" s="1">
        <f>53.9782</f>
        <v>53.978200000000001</v>
      </c>
      <c r="K235" s="1">
        <f>4400</f>
        <v>4400</v>
      </c>
      <c r="L235" s="1">
        <f>0</f>
        <v>0</v>
      </c>
    </row>
    <row r="236" spans="1:12" x14ac:dyDescent="0.25">
      <c r="A236">
        <f>80072454*0.00001</f>
        <v>800.72454000000005</v>
      </c>
      <c r="B236">
        <v>3483</v>
      </c>
      <c r="C236">
        <v>150</v>
      </c>
      <c r="D236" s="1">
        <f>34.4062</f>
        <v>34.406199999999998</v>
      </c>
      <c r="E236" s="1">
        <f>34715</f>
        <v>34715</v>
      </c>
      <c r="F236" s="1">
        <f>1602</f>
        <v>1602</v>
      </c>
      <c r="G236" s="1">
        <f>1</f>
        <v>1</v>
      </c>
      <c r="H236" s="1">
        <f>0.2</f>
        <v>0.2</v>
      </c>
      <c r="I236" s="1">
        <f>0</f>
        <v>0</v>
      </c>
      <c r="J236" s="1">
        <f>54.4783</f>
        <v>54.478299999999997</v>
      </c>
      <c r="K236" s="1">
        <f>4400</f>
        <v>4400</v>
      </c>
      <c r="L236" s="1">
        <f>0</f>
        <v>0</v>
      </c>
    </row>
    <row r="237" spans="1:12" x14ac:dyDescent="0.25">
      <c r="A237">
        <f>80074390*0.00001</f>
        <v>800.74390000000005</v>
      </c>
      <c r="B237">
        <v>3483</v>
      </c>
      <c r="C237">
        <v>152</v>
      </c>
      <c r="D237" s="1">
        <f>34.4058</f>
        <v>34.405799999999999</v>
      </c>
      <c r="E237" s="1">
        <f>34716</f>
        <v>34716</v>
      </c>
      <c r="F237" s="1">
        <f>1602</f>
        <v>1602</v>
      </c>
      <c r="G237" s="1">
        <f>1</f>
        <v>1</v>
      </c>
      <c r="H237" s="1">
        <f>0.2</f>
        <v>0.2</v>
      </c>
      <c r="I237" s="1">
        <f>0</f>
        <v>0</v>
      </c>
      <c r="J237" s="1">
        <f>54.7037</f>
        <v>54.703699999999998</v>
      </c>
      <c r="K237" s="1">
        <f>4400</f>
        <v>4400</v>
      </c>
      <c r="L237" s="1">
        <f>0</f>
        <v>0</v>
      </c>
    </row>
    <row r="238" spans="1:12" x14ac:dyDescent="0.25">
      <c r="A238">
        <f>80075358*0.00001</f>
        <v>800.75358000000006</v>
      </c>
      <c r="B238">
        <v>3483</v>
      </c>
      <c r="C238">
        <v>153</v>
      </c>
      <c r="D238" s="1">
        <f>34.406</f>
        <v>34.405999999999999</v>
      </c>
      <c r="E238" s="1">
        <f>34716</f>
        <v>34716</v>
      </c>
      <c r="F238" s="1">
        <f>1602</f>
        <v>1602</v>
      </c>
      <c r="G238" s="1">
        <f>1</f>
        <v>1</v>
      </c>
      <c r="H238" s="1">
        <f>0.2</f>
        <v>0.2</v>
      </c>
      <c r="I238" s="1">
        <f>0</f>
        <v>0</v>
      </c>
      <c r="J238" s="1">
        <f>54.9535</f>
        <v>54.953499999999998</v>
      </c>
      <c r="K238" s="1">
        <f>4400</f>
        <v>4400</v>
      </c>
      <c r="L238" s="1">
        <f>0</f>
        <v>0</v>
      </c>
    </row>
    <row r="239" spans="1:12" x14ac:dyDescent="0.25">
      <c r="A239">
        <f>80076325*0.00001</f>
        <v>800.76325000000008</v>
      </c>
      <c r="B239">
        <v>3483</v>
      </c>
      <c r="C239">
        <v>154</v>
      </c>
      <c r="D239" s="1">
        <f>34.4067</f>
        <v>34.406700000000001</v>
      </c>
      <c r="E239" s="1">
        <f>34715</f>
        <v>34715</v>
      </c>
      <c r="F239" s="1">
        <f>1602</f>
        <v>1602</v>
      </c>
      <c r="G239" s="1">
        <f>1</f>
        <v>1</v>
      </c>
      <c r="H239" s="1">
        <f>0.2</f>
        <v>0.2</v>
      </c>
      <c r="I239" s="1">
        <f>0</f>
        <v>0</v>
      </c>
      <c r="J239" s="1">
        <f>55.4278</f>
        <v>55.427799999999998</v>
      </c>
      <c r="K239" s="1">
        <f>4400</f>
        <v>4400</v>
      </c>
      <c r="L239" s="1">
        <f>0</f>
        <v>0</v>
      </c>
    </row>
    <row r="240" spans="1:12" x14ac:dyDescent="0.25">
      <c r="A240">
        <f>80078261*0.00001</f>
        <v>800.78261000000009</v>
      </c>
      <c r="B240">
        <v>3483</v>
      </c>
      <c r="C240">
        <v>156</v>
      </c>
      <c r="D240" s="1">
        <f>34.4068</f>
        <v>34.406799999999997</v>
      </c>
      <c r="E240" s="1">
        <f>34715</f>
        <v>34715</v>
      </c>
      <c r="F240" s="1">
        <f>1602</f>
        <v>1602</v>
      </c>
      <c r="G240" s="1">
        <f>1</f>
        <v>1</v>
      </c>
      <c r="H240" s="1">
        <f>0.2</f>
        <v>0.2</v>
      </c>
      <c r="I240" s="1">
        <f>0</f>
        <v>0</v>
      </c>
      <c r="J240" s="1">
        <f>55.6777</f>
        <v>55.677700000000002</v>
      </c>
      <c r="K240" s="1">
        <f>4400</f>
        <v>4400</v>
      </c>
      <c r="L240" s="1">
        <f>0</f>
        <v>0</v>
      </c>
    </row>
    <row r="241" spans="1:12" x14ac:dyDescent="0.25">
      <c r="A241">
        <f>80079228*0.00001</f>
        <v>800.79228000000012</v>
      </c>
      <c r="B241">
        <v>3483</v>
      </c>
      <c r="C241">
        <v>157</v>
      </c>
      <c r="D241" s="1">
        <f>34.4071</f>
        <v>34.4071</v>
      </c>
      <c r="E241" s="1">
        <f>34715</f>
        <v>34715</v>
      </c>
      <c r="F241" s="1">
        <f>1602</f>
        <v>1602</v>
      </c>
      <c r="G241" s="1">
        <f>1</f>
        <v>1</v>
      </c>
      <c r="H241" s="1">
        <f>0.2</f>
        <v>0.2</v>
      </c>
      <c r="I241" s="1">
        <f>0</f>
        <v>0</v>
      </c>
      <c r="J241" s="1">
        <f>56.1525</f>
        <v>56.152500000000003</v>
      </c>
      <c r="K241" s="1">
        <f>4400</f>
        <v>4400</v>
      </c>
      <c r="L241" s="1">
        <f>0</f>
        <v>0</v>
      </c>
    </row>
    <row r="242" spans="1:12" x14ac:dyDescent="0.25">
      <c r="A242">
        <f>80081164*0.00001</f>
        <v>800.81164000000001</v>
      </c>
      <c r="B242">
        <v>3483</v>
      </c>
      <c r="C242">
        <v>159</v>
      </c>
      <c r="D242" s="1">
        <f>34.4075</f>
        <v>34.407499999999999</v>
      </c>
      <c r="E242" s="1">
        <f>34714</f>
        <v>34714</v>
      </c>
      <c r="F242" s="1">
        <f>1602</f>
        <v>1602</v>
      </c>
      <c r="G242" s="1">
        <f>1</f>
        <v>1</v>
      </c>
      <c r="H242" s="1">
        <f>0.2</f>
        <v>0.2</v>
      </c>
      <c r="I242" s="1">
        <f>0</f>
        <v>0</v>
      </c>
      <c r="J242" s="1">
        <f>56.4021</f>
        <v>56.402099999999997</v>
      </c>
      <c r="K242" s="1">
        <f>4400</f>
        <v>4400</v>
      </c>
      <c r="L242" s="1">
        <f>0</f>
        <v>0</v>
      </c>
    </row>
    <row r="243" spans="1:12" x14ac:dyDescent="0.25">
      <c r="A243">
        <f>80082132*0.00001</f>
        <v>800.82132000000001</v>
      </c>
      <c r="B243">
        <v>3483</v>
      </c>
      <c r="C243">
        <v>160</v>
      </c>
      <c r="D243" s="1">
        <f>34.4068</f>
        <v>34.406799999999997</v>
      </c>
      <c r="E243" s="1">
        <f>34715</f>
        <v>34715</v>
      </c>
      <c r="F243" s="1">
        <f>1602</f>
        <v>1602</v>
      </c>
      <c r="G243" s="1">
        <f>1</f>
        <v>1</v>
      </c>
      <c r="H243" s="1">
        <f>0.2</f>
        <v>0.2</v>
      </c>
      <c r="I243" s="1">
        <f>0</f>
        <v>0</v>
      </c>
      <c r="J243" s="1">
        <f>56.6528</f>
        <v>56.652799999999999</v>
      </c>
      <c r="K243" s="1">
        <f>4400</f>
        <v>4400</v>
      </c>
      <c r="L243" s="1">
        <f>0</f>
        <v>0</v>
      </c>
    </row>
    <row r="244" spans="1:12" x14ac:dyDescent="0.25">
      <c r="A244">
        <f>80082830*0.00001</f>
        <v>800.82830000000001</v>
      </c>
      <c r="B244">
        <v>3483</v>
      </c>
      <c r="C244">
        <v>160</v>
      </c>
      <c r="D244" s="1">
        <f>34.4068</f>
        <v>34.406799999999997</v>
      </c>
      <c r="E244">
        <v>34715</v>
      </c>
      <c r="F244">
        <v>1602</v>
      </c>
      <c r="G244">
        <v>1</v>
      </c>
      <c r="H244">
        <v>0.2</v>
      </c>
      <c r="I244">
        <v>0</v>
      </c>
      <c r="J244" s="1">
        <f>56.6528</f>
        <v>56.652799999999999</v>
      </c>
      <c r="K244" s="1">
        <f>4400</f>
        <v>4400</v>
      </c>
      <c r="L244" s="1">
        <f>0</f>
        <v>0</v>
      </c>
    </row>
    <row r="245" spans="1:12" x14ac:dyDescent="0.25">
      <c r="A245">
        <f>80083100*0.00001</f>
        <v>800.83100000000002</v>
      </c>
      <c r="B245">
        <v>3483</v>
      </c>
      <c r="C245">
        <v>161</v>
      </c>
      <c r="D245" s="1">
        <f>34.4059</f>
        <v>34.405900000000003</v>
      </c>
      <c r="E245" s="1">
        <f>34716</f>
        <v>34716</v>
      </c>
      <c r="F245" s="1">
        <f>1603</f>
        <v>1603</v>
      </c>
      <c r="G245" s="1">
        <f>1</f>
        <v>1</v>
      </c>
      <c r="H245" s="1">
        <f>0.2</f>
        <v>0.2</v>
      </c>
      <c r="I245" s="1">
        <f>0</f>
        <v>0</v>
      </c>
      <c r="J245" s="1">
        <f>57.1287</f>
        <v>57.128700000000002</v>
      </c>
      <c r="K245" s="1">
        <f>4400</f>
        <v>4400</v>
      </c>
      <c r="L245" s="1">
        <f>0</f>
        <v>0</v>
      </c>
    </row>
    <row r="246" spans="1:12" x14ac:dyDescent="0.25">
      <c r="A246">
        <f>80085035*0.00001</f>
        <v>800.85035000000005</v>
      </c>
      <c r="B246">
        <v>3483</v>
      </c>
      <c r="C246">
        <v>163</v>
      </c>
      <c r="D246" s="1">
        <f>34.4071</f>
        <v>34.4071</v>
      </c>
      <c r="E246" s="1">
        <f>34715</f>
        <v>34715</v>
      </c>
      <c r="F246" s="1">
        <f>1603</f>
        <v>1603</v>
      </c>
      <c r="G246" s="1">
        <f>1</f>
        <v>1</v>
      </c>
      <c r="H246" s="1">
        <f>0.2</f>
        <v>0.2</v>
      </c>
      <c r="I246" s="1">
        <f>0</f>
        <v>0</v>
      </c>
      <c r="J246" s="1">
        <f>57.3776</f>
        <v>57.377600000000001</v>
      </c>
      <c r="K246" s="1">
        <f>4400</f>
        <v>4400</v>
      </c>
      <c r="L246" s="1">
        <f>0</f>
        <v>0</v>
      </c>
    </row>
    <row r="247" spans="1:12" x14ac:dyDescent="0.25">
      <c r="A247">
        <f>80086003*0.00001</f>
        <v>800.86003000000005</v>
      </c>
      <c r="B247">
        <v>3483</v>
      </c>
      <c r="C247">
        <v>164</v>
      </c>
      <c r="D247" s="1">
        <f>34.4064</f>
        <v>34.406399999999998</v>
      </c>
      <c r="E247" s="1">
        <f>34715</f>
        <v>34715</v>
      </c>
      <c r="F247" s="1">
        <f>1603</f>
        <v>1603</v>
      </c>
      <c r="G247" s="1">
        <f>1</f>
        <v>1</v>
      </c>
      <c r="H247" s="1">
        <f>0.2</f>
        <v>0.2</v>
      </c>
      <c r="I247" s="1">
        <f>0</f>
        <v>0</v>
      </c>
      <c r="J247" s="1">
        <f>57.6283</f>
        <v>57.628300000000003</v>
      </c>
      <c r="K247" s="1">
        <f>4400</f>
        <v>4400</v>
      </c>
      <c r="L247" s="1">
        <f>0</f>
        <v>0</v>
      </c>
    </row>
    <row r="248" spans="1:12" x14ac:dyDescent="0.25">
      <c r="A248">
        <f>80086971*0.00001</f>
        <v>800.86971000000005</v>
      </c>
      <c r="B248">
        <v>3483</v>
      </c>
      <c r="C248">
        <v>165</v>
      </c>
      <c r="D248" s="1">
        <f>34.4095</f>
        <v>34.409500000000001</v>
      </c>
      <c r="E248" s="1">
        <f>34712</f>
        <v>34712</v>
      </c>
      <c r="F248" s="1">
        <f>1603</f>
        <v>1603</v>
      </c>
      <c r="G248" s="1">
        <f>1</f>
        <v>1</v>
      </c>
      <c r="H248" s="1">
        <f>0.2</f>
        <v>0.2</v>
      </c>
      <c r="I248" s="1">
        <f>0</f>
        <v>0</v>
      </c>
      <c r="J248" s="1">
        <f>58.1001</f>
        <v>58.100099999999998</v>
      </c>
      <c r="K248" s="1">
        <f>4400</f>
        <v>4400</v>
      </c>
      <c r="L248" s="1">
        <f>0</f>
        <v>0</v>
      </c>
    </row>
    <row r="249" spans="1:12" x14ac:dyDescent="0.25">
      <c r="A249">
        <f>80088881*0.00001</f>
        <v>800.88881000000003</v>
      </c>
      <c r="B249">
        <v>3483</v>
      </c>
      <c r="C249">
        <v>167</v>
      </c>
      <c r="D249" s="1">
        <f>34.4541</f>
        <v>34.454099999999997</v>
      </c>
      <c r="E249" s="1">
        <f>34667</f>
        <v>34667</v>
      </c>
      <c r="F249" s="1">
        <f>1603</f>
        <v>1603</v>
      </c>
      <c r="G249" s="1">
        <f>1</f>
        <v>1</v>
      </c>
      <c r="H249" s="1">
        <f>0.2</f>
        <v>0.2</v>
      </c>
      <c r="I249" s="1">
        <f>0</f>
        <v>0</v>
      </c>
      <c r="J249" s="1">
        <f>58.2806</f>
        <v>58.2806</v>
      </c>
      <c r="K249" s="1">
        <f>4400</f>
        <v>4400</v>
      </c>
      <c r="L249" s="1">
        <f>0</f>
        <v>0</v>
      </c>
    </row>
    <row r="250" spans="1:12" x14ac:dyDescent="0.25">
      <c r="A250">
        <f>80089799*0.00001</f>
        <v>800.89799000000005</v>
      </c>
      <c r="B250">
        <v>3483</v>
      </c>
      <c r="C250">
        <v>168</v>
      </c>
      <c r="D250" s="1">
        <f>34.5468</f>
        <v>34.546799999999998</v>
      </c>
      <c r="E250" s="1">
        <f>34574</f>
        <v>34574</v>
      </c>
      <c r="F250" s="1">
        <f>1603</f>
        <v>1603</v>
      </c>
      <c r="G250" s="1">
        <f>1</f>
        <v>1</v>
      </c>
      <c r="H250" s="1">
        <f>0.2</f>
        <v>0.2</v>
      </c>
      <c r="I250" s="1">
        <f>0</f>
        <v>0</v>
      </c>
      <c r="J250" s="1">
        <f>58.4129</f>
        <v>58.4129</v>
      </c>
      <c r="K250" s="1">
        <f>4400</f>
        <v>4400</v>
      </c>
      <c r="L250" s="1">
        <f>0</f>
        <v>0</v>
      </c>
    </row>
    <row r="251" spans="1:12" x14ac:dyDescent="0.25">
      <c r="A251">
        <f>80090692*0.00001</f>
        <v>800.90692000000001</v>
      </c>
      <c r="B251">
        <v>3483</v>
      </c>
      <c r="C251">
        <v>169</v>
      </c>
      <c r="D251" s="1">
        <f>35.0889</f>
        <v>35.088900000000002</v>
      </c>
      <c r="E251" s="1">
        <f>34040</f>
        <v>34040</v>
      </c>
      <c r="F251" s="1">
        <f>1603</f>
        <v>1603</v>
      </c>
      <c r="G251" s="1">
        <f>1</f>
        <v>1</v>
      </c>
      <c r="H251" s="1">
        <f>0.2</f>
        <v>0.2</v>
      </c>
      <c r="I251" s="1">
        <f>0</f>
        <v>0</v>
      </c>
      <c r="J251" s="1">
        <f>58.5459</f>
        <v>58.545900000000003</v>
      </c>
      <c r="K251" s="1">
        <f>4400</f>
        <v>4400</v>
      </c>
      <c r="L251" s="1">
        <f>0</f>
        <v>0</v>
      </c>
    </row>
    <row r="252" spans="1:12" x14ac:dyDescent="0.25">
      <c r="A252">
        <f>80093234*0.00001</f>
        <v>800.93234000000007</v>
      </c>
      <c r="B252">
        <v>3483</v>
      </c>
      <c r="C252">
        <v>172</v>
      </c>
      <c r="D252" s="1">
        <f>35.3516</f>
        <v>35.351599999999998</v>
      </c>
      <c r="E252" s="1">
        <f>33787</f>
        <v>33787</v>
      </c>
      <c r="F252" s="1">
        <f>1603</f>
        <v>1603</v>
      </c>
      <c r="G252" s="1">
        <f>1</f>
        <v>1</v>
      </c>
      <c r="H252" s="1">
        <f>0.2</f>
        <v>0.2</v>
      </c>
      <c r="I252" s="1">
        <f>0</f>
        <v>0</v>
      </c>
      <c r="J252" s="1">
        <f>58.4832</f>
        <v>58.483199999999997</v>
      </c>
      <c r="K252" s="1">
        <f>4400</f>
        <v>4400</v>
      </c>
      <c r="L252" s="1">
        <f>0</f>
        <v>0</v>
      </c>
    </row>
    <row r="253" spans="1:12" x14ac:dyDescent="0.25">
      <c r="A253">
        <f>80094040*0.00001</f>
        <v>800.94040000000007</v>
      </c>
      <c r="B253">
        <v>3483</v>
      </c>
      <c r="C253">
        <v>173</v>
      </c>
      <c r="D253" s="1">
        <f>35.6514</f>
        <v>35.651400000000002</v>
      </c>
      <c r="E253" s="1">
        <f>33503</f>
        <v>33503</v>
      </c>
      <c r="F253" s="1">
        <f>1603</f>
        <v>1603</v>
      </c>
      <c r="G253" s="1">
        <f>1</f>
        <v>1</v>
      </c>
      <c r="H253" s="1">
        <f>0.2</f>
        <v>0.2</v>
      </c>
      <c r="I253" s="1">
        <f>0</f>
        <v>0</v>
      </c>
      <c r="J253" s="1">
        <f>58.3834</f>
        <v>58.383400000000002</v>
      </c>
      <c r="K253" s="1">
        <f>4400</f>
        <v>4400</v>
      </c>
      <c r="L253" s="1">
        <f>0</f>
        <v>0</v>
      </c>
    </row>
    <row r="254" spans="1:12" x14ac:dyDescent="0.25">
      <c r="A254">
        <f>80094826*0.00001</f>
        <v>800.94826000000012</v>
      </c>
      <c r="B254">
        <v>3483</v>
      </c>
      <c r="C254">
        <v>174</v>
      </c>
      <c r="D254" s="1">
        <f>35.9879</f>
        <v>35.987900000000003</v>
      </c>
      <c r="E254" s="1">
        <f>33190</f>
        <v>33190</v>
      </c>
      <c r="F254" s="1">
        <f>1603</f>
        <v>1603</v>
      </c>
      <c r="G254" s="1">
        <f>1</f>
        <v>1</v>
      </c>
      <c r="H254" s="1">
        <f>0.2</f>
        <v>0.2</v>
      </c>
      <c r="I254" s="1">
        <f>0</f>
        <v>0</v>
      </c>
      <c r="J254" s="1">
        <f>58.2469</f>
        <v>58.246899999999997</v>
      </c>
      <c r="K254" s="1">
        <f>4400</f>
        <v>4400</v>
      </c>
      <c r="L254" s="1">
        <f>0</f>
        <v>0</v>
      </c>
    </row>
    <row r="255" spans="1:12" x14ac:dyDescent="0.25">
      <c r="A255">
        <f>80095592*0.00001</f>
        <v>800.95592000000011</v>
      </c>
      <c r="B255">
        <v>3483</v>
      </c>
      <c r="C255">
        <v>175</v>
      </c>
      <c r="D255" s="1">
        <f>36.3608</f>
        <v>36.360799999999998</v>
      </c>
      <c r="E255" s="1">
        <f>32849</f>
        <v>32849</v>
      </c>
      <c r="F255" s="1">
        <f>1603</f>
        <v>1603</v>
      </c>
      <c r="G255" s="1">
        <f>1</f>
        <v>1</v>
      </c>
      <c r="H255" s="1">
        <f>0.2</f>
        <v>0.2</v>
      </c>
      <c r="I255" s="1">
        <f>0</f>
        <v>0</v>
      </c>
      <c r="J255" s="1">
        <f>58.049</f>
        <v>58.048999999999999</v>
      </c>
      <c r="K255" s="1">
        <f>4400</f>
        <v>4400</v>
      </c>
      <c r="L255" s="1">
        <f>0</f>
        <v>0</v>
      </c>
    </row>
    <row r="256" spans="1:12" x14ac:dyDescent="0.25">
      <c r="A256">
        <f>80096342*0.00001</f>
        <v>800.96342000000004</v>
      </c>
      <c r="B256">
        <v>3483</v>
      </c>
      <c r="C256">
        <v>176</v>
      </c>
      <c r="D256" s="1">
        <f>37.2003</f>
        <v>37.200299999999999</v>
      </c>
      <c r="E256" s="1">
        <f>32108</f>
        <v>32108</v>
      </c>
      <c r="F256" s="1">
        <f>1603</f>
        <v>1603</v>
      </c>
      <c r="G256" s="1">
        <f>1</f>
        <v>1</v>
      </c>
      <c r="H256" s="1">
        <f>0.2</f>
        <v>0.2</v>
      </c>
      <c r="I256" s="1">
        <f>0</f>
        <v>0</v>
      </c>
      <c r="J256" s="1">
        <f>57.5845</f>
        <v>57.584499999999998</v>
      </c>
      <c r="K256" s="1">
        <f>4400</f>
        <v>4400</v>
      </c>
      <c r="L256" s="1">
        <f>0</f>
        <v>0</v>
      </c>
    </row>
    <row r="257" spans="1:12" x14ac:dyDescent="0.25">
      <c r="A257">
        <f>80097791*0.00001</f>
        <v>800.97791000000007</v>
      </c>
      <c r="B257">
        <v>3483</v>
      </c>
      <c r="C257">
        <v>178</v>
      </c>
      <c r="D257" s="1">
        <f>37.665</f>
        <v>37.664999999999999</v>
      </c>
      <c r="E257" s="1">
        <f>31712</f>
        <v>31712</v>
      </c>
      <c r="F257" s="1">
        <f>1603</f>
        <v>1603</v>
      </c>
      <c r="G257" s="1">
        <f>1</f>
        <v>1</v>
      </c>
      <c r="H257" s="1">
        <f>0.2</f>
        <v>0.2</v>
      </c>
      <c r="I257" s="1">
        <f>0</f>
        <v>0</v>
      </c>
      <c r="J257" s="1">
        <f>57.2948</f>
        <v>57.294800000000002</v>
      </c>
      <c r="K257" s="1">
        <f>4400</f>
        <v>4400</v>
      </c>
      <c r="L257" s="1">
        <f>0</f>
        <v>0</v>
      </c>
    </row>
    <row r="258" spans="1:12" s="2" customFormat="1" x14ac:dyDescent="0.25">
      <c r="A258" s="2">
        <f>80099176*0.00001</f>
        <v>800.99176000000011</v>
      </c>
      <c r="B258" s="2">
        <v>3484</v>
      </c>
      <c r="C258" s="2">
        <v>0</v>
      </c>
      <c r="D258" s="1">
        <f>38.8845</f>
        <v>38.884500000000003</v>
      </c>
      <c r="E258" s="1">
        <f>30717</f>
        <v>30717</v>
      </c>
      <c r="F258" s="1">
        <f>1603</f>
        <v>1603</v>
      </c>
      <c r="G258" s="1">
        <f>1</f>
        <v>1</v>
      </c>
      <c r="H258" s="1">
        <f>0.2</f>
        <v>0.2</v>
      </c>
      <c r="I258" s="1">
        <f>0</f>
        <v>0</v>
      </c>
      <c r="J258" s="1">
        <f>56.7754</f>
        <v>56.775399999999998</v>
      </c>
      <c r="K258" s="1">
        <f>4400</f>
        <v>4400</v>
      </c>
      <c r="L258" s="1">
        <f>0</f>
        <v>0</v>
      </c>
    </row>
    <row r="259" spans="1:12" x14ac:dyDescent="0.25">
      <c r="A259">
        <f>80101148*0.00001</f>
        <v>801.01148000000012</v>
      </c>
      <c r="B259">
        <v>3484</v>
      </c>
      <c r="C259">
        <v>3</v>
      </c>
      <c r="D259" s="1">
        <f>39.5271</f>
        <v>39.527099999999997</v>
      </c>
      <c r="E259" s="1">
        <f>30218</f>
        <v>30218</v>
      </c>
      <c r="F259" s="1">
        <f>1603</f>
        <v>1603</v>
      </c>
      <c r="G259" s="1">
        <f>1</f>
        <v>1</v>
      </c>
      <c r="H259" s="1">
        <f>0.2</f>
        <v>0.2</v>
      </c>
      <c r="I259" s="1">
        <f>0</f>
        <v>0</v>
      </c>
      <c r="J259" s="1">
        <f>56.2828</f>
        <v>56.282800000000002</v>
      </c>
      <c r="K259" s="1">
        <f>4400</f>
        <v>4400</v>
      </c>
      <c r="L259" s="1">
        <f>0</f>
        <v>0</v>
      </c>
    </row>
    <row r="260" spans="1:12" x14ac:dyDescent="0.25">
      <c r="A260">
        <f>80101779*0.00001</f>
        <v>801.0177900000001</v>
      </c>
      <c r="B260">
        <v>3484</v>
      </c>
      <c r="C260">
        <v>4</v>
      </c>
      <c r="D260" s="1">
        <f>40.1893</f>
        <v>40.189300000000003</v>
      </c>
      <c r="E260" s="1">
        <f>29720</f>
        <v>29720</v>
      </c>
      <c r="F260" s="1">
        <f>1603</f>
        <v>1603</v>
      </c>
      <c r="G260" s="1">
        <f>1</f>
        <v>1</v>
      </c>
      <c r="H260" s="1">
        <f>0.2</f>
        <v>0.2</v>
      </c>
      <c r="I260" s="1">
        <f>0</f>
        <v>0</v>
      </c>
      <c r="J260" s="1">
        <f>55.7706</f>
        <v>55.770600000000002</v>
      </c>
      <c r="K260" s="1">
        <f>4400</f>
        <v>4400</v>
      </c>
      <c r="L260" s="1">
        <f>0</f>
        <v>0</v>
      </c>
    </row>
    <row r="261" spans="1:12" x14ac:dyDescent="0.25">
      <c r="A261">
        <f>80102398*0.00001</f>
        <v>801.02398000000005</v>
      </c>
      <c r="B261">
        <v>3484</v>
      </c>
      <c r="C261">
        <v>5</v>
      </c>
      <c r="D261" s="1">
        <f>43.0271</f>
        <v>43.027099999999997</v>
      </c>
      <c r="E261" s="1">
        <f>27760</f>
        <v>27760</v>
      </c>
      <c r="F261" s="1">
        <f>1603</f>
        <v>1603</v>
      </c>
      <c r="G261" s="1">
        <f>1</f>
        <v>1</v>
      </c>
      <c r="H261" s="1">
        <f>0.2</f>
        <v>0.2</v>
      </c>
      <c r="I261" s="1">
        <f>0</f>
        <v>0</v>
      </c>
      <c r="J261" s="1">
        <f>53.5328</f>
        <v>53.532800000000002</v>
      </c>
      <c r="K261" s="1">
        <f>4400</f>
        <v>4400</v>
      </c>
      <c r="L261" s="1">
        <f>0</f>
        <v>0</v>
      </c>
    </row>
    <row r="262" spans="1:12" x14ac:dyDescent="0.25">
      <c r="A262">
        <f>80104757*0.00001</f>
        <v>801.04757000000006</v>
      </c>
      <c r="B262">
        <v>3484</v>
      </c>
      <c r="C262">
        <v>9</v>
      </c>
      <c r="D262" s="1">
        <f>43.7775</f>
        <v>43.777500000000003</v>
      </c>
      <c r="E262" s="1">
        <f>27284</f>
        <v>27284</v>
      </c>
      <c r="F262" s="1">
        <f>1603</f>
        <v>1603</v>
      </c>
      <c r="G262" s="1">
        <f>1</f>
        <v>1</v>
      </c>
      <c r="H262">
        <v>0.2</v>
      </c>
      <c r="I262" s="1">
        <f>0</f>
        <v>0</v>
      </c>
      <c r="J262" s="1">
        <f>52.9325</f>
        <v>52.932499999999997</v>
      </c>
      <c r="K262" s="1">
        <f>4400</f>
        <v>4400</v>
      </c>
      <c r="L262" s="1">
        <f>0</f>
        <v>0</v>
      </c>
    </row>
    <row r="263" spans="1:12" x14ac:dyDescent="0.25">
      <c r="A263">
        <f>80105320*0.00001</f>
        <v>801.05320000000006</v>
      </c>
      <c r="B263">
        <v>3484</v>
      </c>
      <c r="C263">
        <v>10</v>
      </c>
      <c r="D263" s="1">
        <f>44.5438</f>
        <v>44.543799999999997</v>
      </c>
      <c r="E263" s="1">
        <f>26815</f>
        <v>26815</v>
      </c>
      <c r="F263" s="1">
        <f>1603</f>
        <v>1603</v>
      </c>
      <c r="G263">
        <v>1</v>
      </c>
      <c r="H263" s="1">
        <f>0.2</f>
        <v>0.2</v>
      </c>
      <c r="I263" s="1">
        <f>0</f>
        <v>0</v>
      </c>
      <c r="J263" s="1">
        <f>52.3161</f>
        <v>52.316099999999999</v>
      </c>
      <c r="K263" s="1">
        <f>4400</f>
        <v>4400</v>
      </c>
      <c r="L263" s="1">
        <f>0</f>
        <v>0</v>
      </c>
    </row>
    <row r="264" spans="1:12" x14ac:dyDescent="0.25">
      <c r="A264">
        <f>80105873*0.00001</f>
        <v>801.05873000000008</v>
      </c>
      <c r="B264">
        <v>3484</v>
      </c>
      <c r="C264">
        <v>11</v>
      </c>
      <c r="D264" s="1">
        <f>46.9289</f>
        <v>46.928899999999999</v>
      </c>
      <c r="E264" s="1">
        <f>25015</f>
        <v>25015</v>
      </c>
      <c r="F264" s="1">
        <f>1603</f>
        <v>1603</v>
      </c>
      <c r="G264" s="1">
        <f>1</f>
        <v>1</v>
      </c>
      <c r="H264" s="1">
        <f>0.2</f>
        <v>0.2</v>
      </c>
      <c r="I264" s="1">
        <f>0</f>
        <v>0</v>
      </c>
      <c r="J264" s="1">
        <f>49.6361</f>
        <v>49.636099999999999</v>
      </c>
      <c r="K264" s="1">
        <f>4400</f>
        <v>4400</v>
      </c>
      <c r="L264" s="1">
        <f>0</f>
        <v>0</v>
      </c>
    </row>
    <row r="265" spans="1:12" x14ac:dyDescent="0.25">
      <c r="A265">
        <f>80107993*0.00001</f>
        <v>801.0799300000001</v>
      </c>
      <c r="B265">
        <v>3484</v>
      </c>
      <c r="C265">
        <v>15</v>
      </c>
      <c r="D265" s="1">
        <f>48.5835</f>
        <v>48.583500000000001</v>
      </c>
      <c r="E265" s="1">
        <f>24585</f>
        <v>24585</v>
      </c>
      <c r="F265" s="1">
        <f>1603</f>
        <v>1603</v>
      </c>
      <c r="G265" s="1">
        <f>1</f>
        <v>1</v>
      </c>
      <c r="H265" s="1">
        <f>0.2</f>
        <v>0.2</v>
      </c>
      <c r="I265" s="1">
        <f>0</f>
        <v>0</v>
      </c>
      <c r="J265">
        <v>49.636099999999999</v>
      </c>
      <c r="K265">
        <v>4400</v>
      </c>
      <c r="L265" s="1">
        <f>0</f>
        <v>0</v>
      </c>
    </row>
    <row r="266" spans="1:12" x14ac:dyDescent="0.25">
      <c r="A266">
        <f>80108501*0.00001</f>
        <v>801.08501000000001</v>
      </c>
      <c r="B266">
        <v>3484</v>
      </c>
      <c r="C266">
        <v>16</v>
      </c>
      <c r="D266" s="1">
        <f>49.4282</f>
        <v>49.428199999999997</v>
      </c>
      <c r="E266" s="1">
        <f>24165</f>
        <v>24165</v>
      </c>
      <c r="F266" s="1">
        <f>1603</f>
        <v>1603</v>
      </c>
      <c r="G266" s="1">
        <f>1</f>
        <v>1</v>
      </c>
      <c r="H266" s="1">
        <f>0.2</f>
        <v>0.2</v>
      </c>
      <c r="I266">
        <v>0</v>
      </c>
      <c r="J266">
        <v>49.636099999999999</v>
      </c>
      <c r="K266" s="1">
        <f>4400</f>
        <v>4400</v>
      </c>
      <c r="L266" s="1">
        <f>0</f>
        <v>0</v>
      </c>
    </row>
    <row r="267" spans="1:12" x14ac:dyDescent="0.25">
      <c r="A267">
        <f>80109001*0.00001</f>
        <v>801.09001000000012</v>
      </c>
      <c r="B267">
        <v>3484</v>
      </c>
      <c r="C267">
        <v>17</v>
      </c>
      <c r="D267" s="1">
        <f>50.2844</f>
        <v>50.284399999999998</v>
      </c>
      <c r="E267" s="1">
        <f>23753</f>
        <v>23753</v>
      </c>
      <c r="F267" s="1">
        <f>1603</f>
        <v>1603</v>
      </c>
      <c r="G267">
        <v>1</v>
      </c>
      <c r="H267">
        <v>0.2</v>
      </c>
      <c r="I267" s="1">
        <f>0</f>
        <v>0</v>
      </c>
      <c r="J267" s="1">
        <f>47.5007</f>
        <v>47.500700000000002</v>
      </c>
      <c r="K267" s="1">
        <f>4400</f>
        <v>4400</v>
      </c>
      <c r="L267" s="1">
        <f>0</f>
        <v>0</v>
      </c>
    </row>
    <row r="268" spans="1:12" x14ac:dyDescent="0.25">
      <c r="A268">
        <f>80109493*0.00001</f>
        <v>801.09493000000009</v>
      </c>
      <c r="B268">
        <v>3484</v>
      </c>
      <c r="C268">
        <v>18</v>
      </c>
      <c r="D268" s="1">
        <f>51.1517</f>
        <v>51.151699999999998</v>
      </c>
      <c r="E268" s="1">
        <f>23351</f>
        <v>23351</v>
      </c>
      <c r="F268" s="1">
        <f>1603</f>
        <v>1603</v>
      </c>
      <c r="G268" s="1">
        <f>1</f>
        <v>1</v>
      </c>
      <c r="H268" s="1">
        <f>0.2</f>
        <v>0.2</v>
      </c>
      <c r="I268" s="1">
        <f>0</f>
        <v>0</v>
      </c>
      <c r="J268" s="1">
        <f>45.98</f>
        <v>45.98</v>
      </c>
      <c r="K268" s="1">
        <f>4400</f>
        <v>4400</v>
      </c>
      <c r="L268" s="1">
        <f>0</f>
        <v>0</v>
      </c>
    </row>
    <row r="269" spans="1:12" x14ac:dyDescent="0.25">
      <c r="A269">
        <f>80110456*0.00001</f>
        <v>801.10456000000011</v>
      </c>
      <c r="B269">
        <v>3484</v>
      </c>
      <c r="C269">
        <v>20</v>
      </c>
      <c r="D269" s="1">
        <f>52.9147</f>
        <v>52.914700000000003</v>
      </c>
      <c r="E269" s="1">
        <f>22572</f>
        <v>22572</v>
      </c>
      <c r="F269" s="1">
        <f>1603</f>
        <v>1603</v>
      </c>
      <c r="G269" s="1">
        <f>1</f>
        <v>1</v>
      </c>
      <c r="H269" s="1">
        <f>0.2</f>
        <v>0.2</v>
      </c>
      <c r="I269" s="1">
        <f>0</f>
        <v>0</v>
      </c>
      <c r="J269" s="1">
        <f>45.2203</f>
        <v>45.220300000000002</v>
      </c>
      <c r="K269">
        <v>4400</v>
      </c>
      <c r="L269">
        <v>0</v>
      </c>
    </row>
    <row r="270" spans="1:12" x14ac:dyDescent="0.25">
      <c r="A270">
        <f>80110926*0.00001</f>
        <v>801.10926000000006</v>
      </c>
      <c r="B270">
        <v>3484</v>
      </c>
      <c r="C270">
        <v>21</v>
      </c>
      <c r="D270" s="1">
        <f>53.8123</f>
        <v>53.8123</v>
      </c>
      <c r="E270" s="1">
        <f>22196</f>
        <v>22196</v>
      </c>
      <c r="F270" s="1">
        <f>1603</f>
        <v>1603</v>
      </c>
      <c r="G270" s="1">
        <f>1</f>
        <v>1</v>
      </c>
      <c r="H270" s="1">
        <f>0.2</f>
        <v>0.2</v>
      </c>
      <c r="I270">
        <v>0</v>
      </c>
      <c r="J270">
        <v>45.220300000000002</v>
      </c>
      <c r="K270" s="1">
        <f>4400</f>
        <v>4400</v>
      </c>
      <c r="L270" s="1">
        <f>0</f>
        <v>0</v>
      </c>
    </row>
    <row r="271" spans="1:12" x14ac:dyDescent="0.25">
      <c r="A271">
        <f>80111389*0.00001</f>
        <v>801.11389000000008</v>
      </c>
      <c r="B271">
        <v>3484</v>
      </c>
      <c r="C271">
        <v>22</v>
      </c>
      <c r="D271" s="1">
        <f>54.7162</f>
        <v>54.716200000000001</v>
      </c>
      <c r="E271" s="1">
        <f>21829</f>
        <v>21829</v>
      </c>
      <c r="F271" s="1">
        <f>1603</f>
        <v>1603</v>
      </c>
      <c r="G271">
        <v>1</v>
      </c>
      <c r="H271">
        <v>0.2</v>
      </c>
      <c r="I271" s="1">
        <f>0</f>
        <v>0</v>
      </c>
      <c r="J271" s="1">
        <f>43.6439</f>
        <v>43.643900000000002</v>
      </c>
      <c r="K271" s="1">
        <f>4400</f>
        <v>4400</v>
      </c>
      <c r="L271" s="1">
        <f>0</f>
        <v>0</v>
      </c>
    </row>
    <row r="272" spans="1:12" x14ac:dyDescent="0.25">
      <c r="A272">
        <f>80111846*0.00001</f>
        <v>801.11846000000003</v>
      </c>
      <c r="B272">
        <v>3484</v>
      </c>
      <c r="C272">
        <v>23</v>
      </c>
      <c r="D272" s="1">
        <f>55.6274</f>
        <v>55.627400000000002</v>
      </c>
      <c r="E272">
        <v>21829</v>
      </c>
      <c r="F272">
        <v>1603</v>
      </c>
      <c r="G272" s="1">
        <f>1</f>
        <v>1</v>
      </c>
      <c r="H272" s="1">
        <f>0.2</f>
        <v>0.2</v>
      </c>
      <c r="I272" s="1">
        <f>0</f>
        <v>0</v>
      </c>
      <c r="J272" s="1">
        <f>42.8577</f>
        <v>42.857700000000001</v>
      </c>
      <c r="K272" s="1">
        <f>4400</f>
        <v>4400</v>
      </c>
      <c r="L272" s="1">
        <f>0</f>
        <v>0</v>
      </c>
    </row>
    <row r="273" spans="1:12" x14ac:dyDescent="0.25">
      <c r="A273">
        <f>80112296*0.00001</f>
        <v>801.12296000000003</v>
      </c>
      <c r="B273">
        <v>3484</v>
      </c>
      <c r="C273">
        <v>24</v>
      </c>
      <c r="D273" s="1">
        <f>57.4801</f>
        <v>57.4801</v>
      </c>
      <c r="E273" s="1">
        <f>20780</f>
        <v>20780</v>
      </c>
      <c r="F273" s="1">
        <f>1603</f>
        <v>1603</v>
      </c>
      <c r="G273" s="1">
        <f>1</f>
        <v>1</v>
      </c>
      <c r="H273" s="1">
        <f>0.2</f>
        <v>0.2</v>
      </c>
      <c r="I273" s="1">
        <f>0</f>
        <v>0</v>
      </c>
      <c r="J273" s="1">
        <f>42.0362</f>
        <v>42.036200000000001</v>
      </c>
      <c r="K273" s="1">
        <f>4400</f>
        <v>4400</v>
      </c>
      <c r="L273" s="1">
        <f>0</f>
        <v>0</v>
      </c>
    </row>
    <row r="274" spans="1:12" x14ac:dyDescent="0.25">
      <c r="A274">
        <f>80113176*0.00001</f>
        <v>801.1317600000001</v>
      </c>
      <c r="B274">
        <v>3484</v>
      </c>
      <c r="C274">
        <v>26</v>
      </c>
      <c r="D274" s="1">
        <f>58.4159</f>
        <v>58.415900000000001</v>
      </c>
      <c r="E274" s="1">
        <f>20447</f>
        <v>20447</v>
      </c>
      <c r="F274" s="1">
        <f>1603</f>
        <v>1603</v>
      </c>
      <c r="G274" s="1">
        <f>1</f>
        <v>1</v>
      </c>
      <c r="H274" s="1">
        <f>0.2</f>
        <v>0.2</v>
      </c>
      <c r="I274" s="1">
        <f>0</f>
        <v>0</v>
      </c>
      <c r="J274" s="1">
        <f>39.5772</f>
        <v>39.577199999999998</v>
      </c>
      <c r="K274" s="1">
        <f>4400</f>
        <v>4400</v>
      </c>
      <c r="L274" s="1">
        <f>0</f>
        <v>0</v>
      </c>
    </row>
    <row r="275" spans="1:12" x14ac:dyDescent="0.25">
      <c r="A275">
        <f>80114032*0.00001</f>
        <v>801.14032000000009</v>
      </c>
      <c r="B275">
        <v>3484</v>
      </c>
      <c r="C275">
        <v>28</v>
      </c>
      <c r="D275" s="1">
        <f>61.2613</f>
        <v>61.261299999999999</v>
      </c>
      <c r="E275" s="1">
        <f>19497</f>
        <v>19497</v>
      </c>
      <c r="F275" s="1">
        <f>1603</f>
        <v>1603</v>
      </c>
      <c r="G275" s="1">
        <f>1</f>
        <v>1</v>
      </c>
      <c r="H275" s="1">
        <f>0.2</f>
        <v>0.2</v>
      </c>
      <c r="I275" s="1">
        <f>0</f>
        <v>0</v>
      </c>
      <c r="J275" s="1">
        <f>38.7289</f>
        <v>38.728900000000003</v>
      </c>
      <c r="K275" s="1">
        <f>4400</f>
        <v>4400</v>
      </c>
      <c r="L275" s="1">
        <f>0</f>
        <v>0</v>
      </c>
    </row>
    <row r="276" spans="1:12" x14ac:dyDescent="0.25">
      <c r="A276">
        <f>80114865*0.00001</f>
        <v>801.14865000000009</v>
      </c>
      <c r="B276">
        <v>3484</v>
      </c>
      <c r="C276">
        <v>30</v>
      </c>
      <c r="D276" s="1">
        <f>62.2204</f>
        <v>62.220399999999998</v>
      </c>
      <c r="E276">
        <v>19497</v>
      </c>
      <c r="F276">
        <v>1603</v>
      </c>
      <c r="G276">
        <v>1</v>
      </c>
      <c r="H276" s="1">
        <f>0.2</f>
        <v>0.2</v>
      </c>
      <c r="I276" s="1">
        <f>0</f>
        <v>0</v>
      </c>
      <c r="J276" s="1">
        <f>37.0147</f>
        <v>37.014699999999998</v>
      </c>
      <c r="K276" s="1">
        <f>4400</f>
        <v>4400</v>
      </c>
      <c r="L276" s="1">
        <f>0</f>
        <v>0</v>
      </c>
    </row>
    <row r="277" spans="1:12" x14ac:dyDescent="0.25">
      <c r="A277">
        <f>80115272*0.00001</f>
        <v>801.15272000000004</v>
      </c>
      <c r="B277">
        <v>3484</v>
      </c>
      <c r="C277">
        <v>31</v>
      </c>
      <c r="D277">
        <v>62.220399999999998</v>
      </c>
      <c r="E277" s="1">
        <f>19196</f>
        <v>19196</v>
      </c>
      <c r="F277" s="1">
        <f>1603</f>
        <v>1603</v>
      </c>
      <c r="G277" s="1">
        <f>1</f>
        <v>1</v>
      </c>
      <c r="H277" s="1">
        <f>0.2</f>
        <v>0.2</v>
      </c>
      <c r="I277" s="1">
        <f>0</f>
        <v>0</v>
      </c>
      <c r="J277" s="1">
        <f>36.1445</f>
        <v>36.144500000000001</v>
      </c>
      <c r="K277">
        <v>4400</v>
      </c>
      <c r="L277">
        <v>0</v>
      </c>
    </row>
    <row r="278" spans="1:12" x14ac:dyDescent="0.25">
      <c r="A278">
        <f>80115674*0.00001</f>
        <v>801.15674000000001</v>
      </c>
      <c r="B278">
        <v>3484</v>
      </c>
      <c r="C278">
        <v>32</v>
      </c>
      <c r="D278" s="1">
        <f>64.165</f>
        <v>64.165000000000006</v>
      </c>
      <c r="E278" s="1">
        <f>18615</f>
        <v>18615</v>
      </c>
      <c r="F278" s="1">
        <f>1603</f>
        <v>1603</v>
      </c>
      <c r="G278" s="1">
        <f>1</f>
        <v>1</v>
      </c>
      <c r="H278">
        <v>0.2</v>
      </c>
      <c r="I278">
        <v>0</v>
      </c>
      <c r="J278">
        <v>36.144500000000001</v>
      </c>
      <c r="K278">
        <v>4400</v>
      </c>
      <c r="L278" s="1">
        <f>0</f>
        <v>0</v>
      </c>
    </row>
    <row r="279" spans="1:12" x14ac:dyDescent="0.25">
      <c r="A279">
        <f>80116071*0.00001</f>
        <v>801.16071000000011</v>
      </c>
      <c r="B279">
        <v>3484</v>
      </c>
      <c r="C279">
        <v>33</v>
      </c>
      <c r="D279" s="1">
        <f>65.1446</f>
        <v>65.144599999999997</v>
      </c>
      <c r="E279">
        <v>18615</v>
      </c>
      <c r="F279">
        <v>1603</v>
      </c>
      <c r="G279">
        <v>1</v>
      </c>
      <c r="H279">
        <v>0.2</v>
      </c>
      <c r="I279" s="1">
        <f>0</f>
        <v>0</v>
      </c>
      <c r="J279" s="1">
        <f>34.3905</f>
        <v>34.390500000000003</v>
      </c>
      <c r="K279" s="1">
        <f>4400</f>
        <v>4400</v>
      </c>
      <c r="L279" s="1">
        <f>0</f>
        <v>0</v>
      </c>
    </row>
    <row r="280" spans="1:12" x14ac:dyDescent="0.25">
      <c r="A280">
        <f>80116463*0.00001</f>
        <v>801.1646300000001</v>
      </c>
      <c r="B280">
        <v>3484</v>
      </c>
      <c r="C280">
        <v>34</v>
      </c>
      <c r="D280">
        <v>65.144599999999997</v>
      </c>
      <c r="E280">
        <v>18615</v>
      </c>
      <c r="F280" s="1">
        <f>1603</f>
        <v>1603</v>
      </c>
      <c r="G280" s="1">
        <f>1</f>
        <v>1</v>
      </c>
      <c r="H280" s="1">
        <f>0.2</f>
        <v>0.2</v>
      </c>
      <c r="I280" s="1">
        <f>0</f>
        <v>0</v>
      </c>
      <c r="J280" s="1">
        <f>33.5044</f>
        <v>33.504399999999997</v>
      </c>
      <c r="K280">
        <v>4400</v>
      </c>
      <c r="L280">
        <v>0</v>
      </c>
    </row>
    <row r="281" spans="1:12" x14ac:dyDescent="0.25">
      <c r="A281">
        <f>80116850*0.00001</f>
        <v>801.16850000000011</v>
      </c>
      <c r="B281">
        <v>3484</v>
      </c>
      <c r="C281">
        <v>35</v>
      </c>
      <c r="D281" s="1">
        <f>67.1156</f>
        <v>67.115600000000001</v>
      </c>
      <c r="E281" s="1">
        <f>17796</f>
        <v>17796</v>
      </c>
      <c r="F281" s="1">
        <f>1603</f>
        <v>1603</v>
      </c>
      <c r="G281" s="1">
        <f>1</f>
        <v>1</v>
      </c>
      <c r="H281">
        <v>0.2</v>
      </c>
      <c r="I281">
        <v>0</v>
      </c>
      <c r="J281">
        <v>33.504399999999997</v>
      </c>
      <c r="K281">
        <v>4400</v>
      </c>
      <c r="L281" s="1">
        <f>0</f>
        <v>0</v>
      </c>
    </row>
    <row r="282" spans="1:12" x14ac:dyDescent="0.25">
      <c r="A282">
        <f>80117233*0.00001</f>
        <v>801.1723300000001</v>
      </c>
      <c r="B282">
        <v>3484</v>
      </c>
      <c r="C282">
        <v>36</v>
      </c>
      <c r="D282" s="1">
        <f>68.1072</f>
        <v>68.107200000000006</v>
      </c>
      <c r="E282" s="1">
        <f>17537</f>
        <v>17537</v>
      </c>
      <c r="F282" s="1">
        <f>1603</f>
        <v>1603</v>
      </c>
      <c r="G282" s="1">
        <f>1</f>
        <v>1</v>
      </c>
      <c r="H282" s="1">
        <f>0.2</f>
        <v>0.2</v>
      </c>
      <c r="I282" s="1">
        <f>0</f>
        <v>0</v>
      </c>
      <c r="J282" s="1">
        <f>31.7279</f>
        <v>31.727900000000002</v>
      </c>
      <c r="K282" s="1">
        <f>4400</f>
        <v>4400</v>
      </c>
      <c r="L282" s="1">
        <f>0</f>
        <v>0</v>
      </c>
    </row>
    <row r="283" spans="1:12" x14ac:dyDescent="0.25">
      <c r="A283">
        <f>80117984*0.00001</f>
        <v>801.17984000000001</v>
      </c>
      <c r="B283">
        <v>3484</v>
      </c>
      <c r="C283">
        <v>38</v>
      </c>
      <c r="D283" s="1">
        <f>70.1068</f>
        <v>70.106800000000007</v>
      </c>
      <c r="E283" s="1">
        <f>17037</f>
        <v>17037</v>
      </c>
      <c r="F283" s="1">
        <f>1603</f>
        <v>1603</v>
      </c>
      <c r="G283">
        <v>1</v>
      </c>
      <c r="H283">
        <v>0.2</v>
      </c>
      <c r="I283">
        <v>0</v>
      </c>
      <c r="J283">
        <v>31.727900000000002</v>
      </c>
      <c r="K283" s="1">
        <f>4400</f>
        <v>4400</v>
      </c>
      <c r="L283" s="1">
        <f>0</f>
        <v>0</v>
      </c>
    </row>
    <row r="284" spans="1:12" x14ac:dyDescent="0.25">
      <c r="A284">
        <f>80118353*0.00001</f>
        <v>801.18353000000002</v>
      </c>
      <c r="B284">
        <v>3484</v>
      </c>
      <c r="C284">
        <v>39</v>
      </c>
      <c r="D284" s="1">
        <f>72.1208</f>
        <v>72.120800000000003</v>
      </c>
      <c r="E284" s="1">
        <f>16561</f>
        <v>16561</v>
      </c>
      <c r="F284" s="1">
        <f>1603</f>
        <v>1603</v>
      </c>
      <c r="G284" s="1">
        <f>1</f>
        <v>1</v>
      </c>
      <c r="H284" s="1">
        <f>0.2</f>
        <v>0.2</v>
      </c>
      <c r="I284" s="1">
        <f>0</f>
        <v>0</v>
      </c>
      <c r="J284" s="1">
        <f>28.9993</f>
        <v>28.999300000000002</v>
      </c>
      <c r="K284" s="1">
        <f>4400</f>
        <v>4400</v>
      </c>
      <c r="L284" s="1">
        <f>0</f>
        <v>0</v>
      </c>
    </row>
    <row r="285" spans="1:12" x14ac:dyDescent="0.25">
      <c r="A285">
        <f>80119078*0.00001</f>
        <v>801.19078000000002</v>
      </c>
      <c r="B285">
        <v>3484</v>
      </c>
      <c r="C285">
        <v>41</v>
      </c>
      <c r="D285" s="1">
        <f>73.1321</f>
        <v>73.132099999999994</v>
      </c>
      <c r="E285">
        <v>16561</v>
      </c>
      <c r="F285">
        <v>1603</v>
      </c>
      <c r="G285">
        <v>1</v>
      </c>
      <c r="H285">
        <v>0.2</v>
      </c>
      <c r="I285" s="1">
        <f>0</f>
        <v>0</v>
      </c>
      <c r="J285" s="1">
        <f>27.1531</f>
        <v>27.153099999999998</v>
      </c>
      <c r="K285" s="1">
        <f>4400</f>
        <v>4400</v>
      </c>
      <c r="L285" s="1">
        <f>0</f>
        <v>0</v>
      </c>
    </row>
    <row r="286" spans="1:12" x14ac:dyDescent="0.25">
      <c r="A286">
        <f>80119434*0.00001</f>
        <v>801.19434000000001</v>
      </c>
      <c r="B286">
        <v>3484</v>
      </c>
      <c r="C286">
        <v>42</v>
      </c>
      <c r="D286" s="1">
        <f>75.1656</f>
        <v>75.165599999999998</v>
      </c>
      <c r="E286" s="1">
        <f>15890</f>
        <v>15890</v>
      </c>
      <c r="F286" s="1">
        <f>1603</f>
        <v>1603</v>
      </c>
      <c r="G286" s="1">
        <f>1</f>
        <v>1</v>
      </c>
      <c r="H286" s="1">
        <f>0.2</f>
        <v>0.2</v>
      </c>
      <c r="I286" s="1">
        <f>0</f>
        <v>0</v>
      </c>
      <c r="J286" s="1">
        <f>26.2395</f>
        <v>26.2395</v>
      </c>
      <c r="K286" s="1">
        <f>4400</f>
        <v>4400</v>
      </c>
      <c r="L286" s="1">
        <f>0</f>
        <v>0</v>
      </c>
    </row>
    <row r="287" spans="1:12" x14ac:dyDescent="0.25">
      <c r="A287">
        <f>80120134*0.00001</f>
        <v>801.20134000000007</v>
      </c>
      <c r="B287">
        <v>3484</v>
      </c>
      <c r="C287">
        <v>44</v>
      </c>
      <c r="D287">
        <v>75.165599999999998</v>
      </c>
      <c r="E287">
        <v>15890</v>
      </c>
      <c r="F287">
        <v>1603</v>
      </c>
      <c r="G287" s="1">
        <f>1</f>
        <v>1</v>
      </c>
      <c r="H287" s="1">
        <f>0.2</f>
        <v>0.2</v>
      </c>
      <c r="I287" s="1">
        <f>0</f>
        <v>0</v>
      </c>
      <c r="J287" s="1">
        <f>24.3715</f>
        <v>24.371500000000001</v>
      </c>
      <c r="K287" s="1">
        <f>4400</f>
        <v>4400</v>
      </c>
      <c r="L287">
        <v>0</v>
      </c>
    </row>
    <row r="288" spans="1:12" x14ac:dyDescent="0.25">
      <c r="A288">
        <f>80120478*0.00001</f>
        <v>801.20478000000003</v>
      </c>
      <c r="B288">
        <v>3484</v>
      </c>
      <c r="C288">
        <v>45</v>
      </c>
      <c r="D288" s="1">
        <f>77.2148</f>
        <v>77.214799999999997</v>
      </c>
      <c r="E288" s="1">
        <f>15469</f>
        <v>15469</v>
      </c>
      <c r="F288" s="1">
        <f>1603</f>
        <v>1603</v>
      </c>
      <c r="G288" s="1">
        <f>1</f>
        <v>1</v>
      </c>
      <c r="H288">
        <v>0.2</v>
      </c>
      <c r="I288">
        <v>0</v>
      </c>
      <c r="J288">
        <v>24.371500000000001</v>
      </c>
      <c r="K288">
        <v>4400</v>
      </c>
      <c r="L288">
        <v>0</v>
      </c>
    </row>
    <row r="289" spans="1:12" x14ac:dyDescent="0.25">
      <c r="A289">
        <f>80120819*0.00001</f>
        <v>801.20819000000006</v>
      </c>
      <c r="B289">
        <v>3484</v>
      </c>
      <c r="C289">
        <v>46</v>
      </c>
      <c r="D289" s="1">
        <f>82.3763</f>
        <v>82.376300000000001</v>
      </c>
      <c r="E289" s="1">
        <f>14499</f>
        <v>14499</v>
      </c>
      <c r="F289" s="1">
        <f>1603</f>
        <v>1603</v>
      </c>
      <c r="G289" s="1">
        <f>1</f>
        <v>1</v>
      </c>
      <c r="H289" s="1">
        <f>0.2</f>
        <v>0.2</v>
      </c>
      <c r="I289" s="1">
        <f>0</f>
        <v>0</v>
      </c>
      <c r="J289" s="1">
        <f>19.6437</f>
        <v>19.643699999999999</v>
      </c>
      <c r="K289" s="1">
        <f>4400</f>
        <v>4400</v>
      </c>
      <c r="L289" s="1">
        <f>0</f>
        <v>0</v>
      </c>
    </row>
    <row r="290" spans="1:12" x14ac:dyDescent="0.25">
      <c r="A290">
        <f>80122466*0.00001</f>
        <v>801.22466000000009</v>
      </c>
      <c r="B290">
        <v>3484</v>
      </c>
      <c r="C290">
        <v>51</v>
      </c>
      <c r="D290">
        <v>82.376300000000001</v>
      </c>
      <c r="E290">
        <v>14499</v>
      </c>
      <c r="F290">
        <v>1603</v>
      </c>
      <c r="G290" s="1">
        <f>1</f>
        <v>1</v>
      </c>
      <c r="H290" s="1">
        <f>0.2</f>
        <v>0.2</v>
      </c>
      <c r="I290" s="1">
        <f>0</f>
        <v>0</v>
      </c>
      <c r="J290" s="1">
        <f>17.7157</f>
        <v>17.715699999999998</v>
      </c>
      <c r="K290">
        <v>4400</v>
      </c>
      <c r="L290">
        <v>0</v>
      </c>
    </row>
    <row r="291" spans="1:12" x14ac:dyDescent="0.25">
      <c r="A291">
        <f>80122785*0.00001</f>
        <v>801.2278500000001</v>
      </c>
      <c r="B291">
        <v>3484</v>
      </c>
      <c r="C291">
        <v>52</v>
      </c>
      <c r="D291" s="1">
        <f>84.4606</f>
        <v>84.460599999999999</v>
      </c>
      <c r="E291" s="1">
        <f>14142</f>
        <v>14142</v>
      </c>
      <c r="F291" s="1">
        <f>1603</f>
        <v>1603</v>
      </c>
      <c r="G291">
        <v>1</v>
      </c>
      <c r="H291">
        <v>0.2</v>
      </c>
      <c r="I291">
        <v>0</v>
      </c>
      <c r="J291">
        <v>17.715699999999998</v>
      </c>
      <c r="K291">
        <v>4400</v>
      </c>
      <c r="L291" s="1">
        <f>0</f>
        <v>0</v>
      </c>
    </row>
    <row r="292" spans="1:12" x14ac:dyDescent="0.25">
      <c r="A292">
        <f>80123101*0.00001</f>
        <v>801.23101000000008</v>
      </c>
      <c r="B292">
        <v>3484</v>
      </c>
      <c r="C292">
        <v>53</v>
      </c>
      <c r="D292">
        <v>84.460599999999999</v>
      </c>
      <c r="E292">
        <v>14142</v>
      </c>
      <c r="F292">
        <v>1603</v>
      </c>
      <c r="G292" s="1">
        <f>1</f>
        <v>1</v>
      </c>
      <c r="H292" s="1">
        <f>0.2</f>
        <v>0.2</v>
      </c>
      <c r="I292" s="1">
        <f>0</f>
        <v>0</v>
      </c>
      <c r="J292" s="1">
        <f>15.8063</f>
        <v>15.8063</v>
      </c>
      <c r="K292" s="1">
        <f>4400</f>
        <v>4400</v>
      </c>
      <c r="L292">
        <v>0</v>
      </c>
    </row>
    <row r="293" spans="1:12" x14ac:dyDescent="0.25">
      <c r="A293">
        <f>80123413*0.00001</f>
        <v>801.23413000000005</v>
      </c>
      <c r="B293">
        <v>3484</v>
      </c>
      <c r="C293">
        <v>54</v>
      </c>
      <c r="D293" s="1">
        <f>86.5523</f>
        <v>86.552300000000002</v>
      </c>
      <c r="E293" s="1">
        <f>13800</f>
        <v>13800</v>
      </c>
      <c r="F293" s="1">
        <f>1603</f>
        <v>1603</v>
      </c>
      <c r="G293" s="1">
        <f>1</f>
        <v>1</v>
      </c>
      <c r="H293" s="1">
        <f>0.2</f>
        <v>0.2</v>
      </c>
      <c r="I293" s="1">
        <f>0</f>
        <v>0</v>
      </c>
      <c r="J293" s="1">
        <f>13.8605</f>
        <v>13.8605</v>
      </c>
      <c r="K293" s="1">
        <f>4400</f>
        <v>4400</v>
      </c>
      <c r="L293" s="1">
        <f>0</f>
        <v>0</v>
      </c>
    </row>
    <row r="294" spans="1:12" x14ac:dyDescent="0.25">
      <c r="A294">
        <f>80124028*0.00001</f>
        <v>801.2402800000001</v>
      </c>
      <c r="B294">
        <v>3484</v>
      </c>
      <c r="C294">
        <v>56</v>
      </c>
      <c r="D294" s="1">
        <f>88.6474</f>
        <v>88.647400000000005</v>
      </c>
      <c r="E294" s="1">
        <f>13474</f>
        <v>13474</v>
      </c>
      <c r="F294" s="1">
        <f>1603</f>
        <v>1603</v>
      </c>
      <c r="G294" s="1">
        <f>1</f>
        <v>1</v>
      </c>
      <c r="H294" s="1">
        <f>0.2</f>
        <v>0.2</v>
      </c>
      <c r="I294" s="1">
        <f>0</f>
        <v>0</v>
      </c>
      <c r="J294" s="1">
        <f>11.9141</f>
        <v>11.914099999999999</v>
      </c>
      <c r="K294" s="1">
        <f>4400</f>
        <v>4400</v>
      </c>
      <c r="L294">
        <v>0</v>
      </c>
    </row>
    <row r="295" spans="1:12" x14ac:dyDescent="0.25">
      <c r="A295">
        <f>80124631*0.00001</f>
        <v>801.24631000000011</v>
      </c>
      <c r="B295">
        <v>3484</v>
      </c>
      <c r="C295">
        <v>58</v>
      </c>
      <c r="D295" s="1">
        <f>90.7453</f>
        <v>90.7453</v>
      </c>
      <c r="E295" s="1">
        <f>13162</f>
        <v>13162</v>
      </c>
      <c r="F295" s="1">
        <f>1603</f>
        <v>1603</v>
      </c>
      <c r="G295" s="1">
        <f>1</f>
        <v>1</v>
      </c>
      <c r="H295">
        <v>0.2</v>
      </c>
      <c r="I295">
        <v>0</v>
      </c>
      <c r="J295">
        <v>11.914099999999999</v>
      </c>
      <c r="K295">
        <v>4400</v>
      </c>
      <c r="L295">
        <v>0</v>
      </c>
    </row>
    <row r="296" spans="1:12" x14ac:dyDescent="0.25">
      <c r="A296">
        <f>80124929*0.00001</f>
        <v>801.24929000000009</v>
      </c>
      <c r="B296">
        <v>3484</v>
      </c>
      <c r="C296">
        <v>59</v>
      </c>
      <c r="D296">
        <v>90.7453</v>
      </c>
      <c r="E296">
        <v>13162</v>
      </c>
      <c r="F296">
        <v>1603</v>
      </c>
      <c r="G296">
        <v>1</v>
      </c>
      <c r="H296" s="1">
        <f>0.2</f>
        <v>0.2</v>
      </c>
      <c r="I296" s="1">
        <f>0</f>
        <v>0</v>
      </c>
      <c r="J296" s="1">
        <f>9.96352</f>
        <v>9.9635200000000008</v>
      </c>
      <c r="K296" s="1">
        <f>4400</f>
        <v>4400</v>
      </c>
      <c r="L296">
        <v>0</v>
      </c>
    </row>
    <row r="297" spans="1:12" x14ac:dyDescent="0.25">
      <c r="A297">
        <f>80125224*0.00001</f>
        <v>801.25224000000003</v>
      </c>
      <c r="B297">
        <v>3484</v>
      </c>
      <c r="C297">
        <v>60</v>
      </c>
      <c r="D297" s="1">
        <f>92.8504</f>
        <v>92.850399999999993</v>
      </c>
      <c r="E297" s="1">
        <f>12864</f>
        <v>12864</v>
      </c>
      <c r="F297" s="1">
        <f>1603</f>
        <v>1603</v>
      </c>
      <c r="G297" s="1">
        <f>1</f>
        <v>1</v>
      </c>
      <c r="H297" s="1">
        <f>0.2</f>
        <v>0.2</v>
      </c>
      <c r="I297" s="1">
        <f>0</f>
        <v>0</v>
      </c>
      <c r="J297" s="1">
        <f>8.00195</f>
        <v>8.0019500000000008</v>
      </c>
      <c r="K297" s="1">
        <f>4400</f>
        <v>4400</v>
      </c>
      <c r="L297">
        <v>0</v>
      </c>
    </row>
    <row r="298" spans="1:12" x14ac:dyDescent="0.25">
      <c r="A298">
        <f>80125805*0.00001</f>
        <v>801.25805000000003</v>
      </c>
      <c r="B298">
        <v>3484</v>
      </c>
      <c r="C298">
        <v>62</v>
      </c>
      <c r="D298" s="1">
        <f>94.9685</f>
        <v>94.968500000000006</v>
      </c>
      <c r="E298" s="1">
        <f>12577</f>
        <v>12577</v>
      </c>
      <c r="F298" s="1">
        <f>1603</f>
        <v>1603</v>
      </c>
      <c r="G298">
        <v>1</v>
      </c>
      <c r="H298">
        <v>0.2</v>
      </c>
      <c r="I298">
        <v>0</v>
      </c>
      <c r="J298">
        <v>8.0019500000000008</v>
      </c>
      <c r="K298">
        <v>4400</v>
      </c>
      <c r="L298">
        <v>0</v>
      </c>
    </row>
    <row r="299" spans="1:12" x14ac:dyDescent="0.25">
      <c r="A299">
        <f>80126092*0.00001</f>
        <v>801.26092000000006</v>
      </c>
      <c r="B299">
        <v>3484</v>
      </c>
      <c r="C299">
        <v>63</v>
      </c>
      <c r="D299" s="1">
        <f>97.0911</f>
        <v>97.091099999999997</v>
      </c>
      <c r="E299" s="1">
        <f>12302</f>
        <v>12302</v>
      </c>
      <c r="F299" s="1">
        <f>1603</f>
        <v>1603</v>
      </c>
      <c r="G299">
        <v>1</v>
      </c>
      <c r="H299" s="1">
        <f>0.2</f>
        <v>0.2</v>
      </c>
      <c r="I299" s="1">
        <f>0</f>
        <v>0</v>
      </c>
      <c r="J299" s="1">
        <f>6.00341</f>
        <v>6.0034099999999997</v>
      </c>
      <c r="K299" s="1">
        <f>4400</f>
        <v>4400</v>
      </c>
      <c r="L299" s="1">
        <f>0</f>
        <v>0</v>
      </c>
    </row>
    <row r="300" spans="1:12" x14ac:dyDescent="0.25">
      <c r="A300">
        <f>80126657*0.00001</f>
        <v>801.26657000000012</v>
      </c>
      <c r="B300">
        <v>3484</v>
      </c>
      <c r="C300">
        <v>65</v>
      </c>
      <c r="D300">
        <v>97.091099999999997</v>
      </c>
      <c r="E300">
        <v>12302</v>
      </c>
      <c r="F300">
        <v>1603</v>
      </c>
      <c r="G300" s="1">
        <f>1</f>
        <v>1</v>
      </c>
      <c r="H300" s="1">
        <f>0.2</f>
        <v>0.2</v>
      </c>
      <c r="I300" s="1">
        <f>0</f>
        <v>0</v>
      </c>
      <c r="J300" s="1">
        <f>4.03173</f>
        <v>4.0317299999999996</v>
      </c>
      <c r="K300">
        <v>4400</v>
      </c>
      <c r="L300">
        <v>0</v>
      </c>
    </row>
    <row r="301" spans="1:12" x14ac:dyDescent="0.25">
      <c r="A301">
        <f>80126936*0.00001</f>
        <v>801.26936000000012</v>
      </c>
      <c r="B301">
        <v>3484</v>
      </c>
      <c r="C301">
        <v>66</v>
      </c>
      <c r="D301" s="1">
        <f>99.2202</f>
        <v>99.220200000000006</v>
      </c>
      <c r="E301" s="1">
        <f>12038</f>
        <v>12038</v>
      </c>
      <c r="F301">
        <v>1603</v>
      </c>
      <c r="G301">
        <v>1</v>
      </c>
      <c r="H301">
        <v>0.2</v>
      </c>
      <c r="I301">
        <v>0</v>
      </c>
      <c r="J301">
        <v>4.0317299999999996</v>
      </c>
      <c r="K301">
        <v>4400</v>
      </c>
      <c r="L301" s="1">
        <f>0</f>
        <v>0</v>
      </c>
    </row>
    <row r="302" spans="1:12" x14ac:dyDescent="0.25">
      <c r="A302">
        <f>80127212*0.00001</f>
        <v>801.27212000000009</v>
      </c>
      <c r="B302">
        <v>3484</v>
      </c>
      <c r="C302">
        <v>67</v>
      </c>
      <c r="D302" s="1">
        <f>101.348</f>
        <v>101.348</v>
      </c>
      <c r="E302" s="1">
        <f>11785</f>
        <v>11785</v>
      </c>
      <c r="F302" s="1">
        <f>1603</f>
        <v>1603</v>
      </c>
      <c r="G302" s="1">
        <f>1</f>
        <v>1</v>
      </c>
      <c r="H302" s="1">
        <f>0.2</f>
        <v>0.2</v>
      </c>
      <c r="I302" s="1">
        <f>0</f>
        <v>0</v>
      </c>
      <c r="J302" s="1">
        <f>-0.943428</f>
        <v>-0.94342800000000004</v>
      </c>
      <c r="K302" s="1">
        <f>4400</f>
        <v>4400</v>
      </c>
      <c r="L302" s="1">
        <f>0</f>
        <v>0</v>
      </c>
    </row>
    <row r="303" spans="1:12" x14ac:dyDescent="0.25">
      <c r="A303">
        <f>80128291*0.00001</f>
        <v>801.28291000000002</v>
      </c>
      <c r="B303">
        <v>3484</v>
      </c>
      <c r="C303">
        <v>71</v>
      </c>
      <c r="D303" s="1">
        <f>104.548</f>
        <v>104.548</v>
      </c>
      <c r="E303" s="1">
        <f>11424</f>
        <v>11424</v>
      </c>
      <c r="F303" s="1">
        <f>1603</f>
        <v>1603</v>
      </c>
      <c r="G303" s="1">
        <f>1</f>
        <v>1</v>
      </c>
      <c r="H303">
        <v>0.2</v>
      </c>
      <c r="I303">
        <v>0</v>
      </c>
      <c r="J303">
        <v>-0.94342800000000004</v>
      </c>
      <c r="K303">
        <v>4400</v>
      </c>
      <c r="L303">
        <v>0</v>
      </c>
    </row>
    <row r="304" spans="1:12" x14ac:dyDescent="0.25">
      <c r="A304">
        <f>80128555*0.00001</f>
        <v>801.28555000000006</v>
      </c>
      <c r="B304">
        <v>3484</v>
      </c>
      <c r="C304">
        <v>72</v>
      </c>
      <c r="D304">
        <v>104.548</v>
      </c>
      <c r="E304">
        <v>11424</v>
      </c>
      <c r="F304">
        <v>1603</v>
      </c>
      <c r="G304">
        <v>1</v>
      </c>
      <c r="H304" s="1">
        <f>0.2</f>
        <v>0.2</v>
      </c>
      <c r="I304" s="1">
        <f>0</f>
        <v>0</v>
      </c>
      <c r="J304" s="1">
        <f>-2.95547</f>
        <v>-2.95547</v>
      </c>
      <c r="K304" s="1">
        <f>4400</f>
        <v>4400</v>
      </c>
      <c r="L304">
        <v>0</v>
      </c>
    </row>
    <row r="305" spans="1:12" x14ac:dyDescent="0.25">
      <c r="A305">
        <f>80128817*0.00001</f>
        <v>801.28817000000004</v>
      </c>
      <c r="B305">
        <v>3484</v>
      </c>
      <c r="C305">
        <v>73</v>
      </c>
      <c r="D305" s="1">
        <f>108.82</f>
        <v>108.82</v>
      </c>
      <c r="E305" s="1">
        <f>10976</f>
        <v>10976</v>
      </c>
      <c r="F305" s="1">
        <f>1603</f>
        <v>1603</v>
      </c>
      <c r="G305" s="1">
        <f>1</f>
        <v>1</v>
      </c>
      <c r="H305" s="1">
        <f>0.2</f>
        <v>0.2</v>
      </c>
      <c r="I305" s="1">
        <f>0</f>
        <v>0</v>
      </c>
      <c r="J305" s="1">
        <f>-4.96882</f>
        <v>-4.96882</v>
      </c>
      <c r="K305" s="1">
        <f>4399.99</f>
        <v>4399.99</v>
      </c>
      <c r="L305" s="1">
        <f>0</f>
        <v>0</v>
      </c>
    </row>
    <row r="306" spans="1:12" x14ac:dyDescent="0.25">
      <c r="A306">
        <f>80129842*0.00001</f>
        <v>801.29842000000008</v>
      </c>
      <c r="B306">
        <v>3484</v>
      </c>
      <c r="C306">
        <v>77</v>
      </c>
      <c r="D306">
        <v>108.82</v>
      </c>
      <c r="E306">
        <v>10976</v>
      </c>
      <c r="F306">
        <v>1603</v>
      </c>
      <c r="G306">
        <v>1</v>
      </c>
      <c r="H306">
        <v>0.2</v>
      </c>
      <c r="I306">
        <v>0</v>
      </c>
      <c r="J306" s="1">
        <f>-7.97721</f>
        <v>-7.9772100000000004</v>
      </c>
      <c r="K306" s="1">
        <f>4399.99</f>
        <v>4399.99</v>
      </c>
      <c r="L306" s="1">
        <f>0</f>
        <v>0</v>
      </c>
    </row>
    <row r="307" spans="1:12" x14ac:dyDescent="0.25">
      <c r="A307">
        <f>80130093*0.00001</f>
        <v>801.30093000000011</v>
      </c>
      <c r="B307">
        <v>3484</v>
      </c>
      <c r="C307">
        <v>78</v>
      </c>
      <c r="D307">
        <v>108.82</v>
      </c>
      <c r="E307" s="1">
        <f>10661</f>
        <v>10661</v>
      </c>
      <c r="F307" s="1">
        <f>1603</f>
        <v>1603</v>
      </c>
      <c r="G307" s="1">
        <f>1</f>
        <v>1</v>
      </c>
      <c r="H307">
        <v>0.2</v>
      </c>
      <c r="I307">
        <v>0</v>
      </c>
      <c r="J307">
        <v>-7.9772100000000004</v>
      </c>
      <c r="K307">
        <v>4399.99</v>
      </c>
      <c r="L307">
        <v>0</v>
      </c>
    </row>
    <row r="308" spans="1:12" x14ac:dyDescent="0.25">
      <c r="A308">
        <f>80130343*0.00001</f>
        <v>801.30343000000005</v>
      </c>
      <c r="B308">
        <v>3484</v>
      </c>
      <c r="C308">
        <v>79</v>
      </c>
      <c r="D308" s="1">
        <f>114.169</f>
        <v>114.169</v>
      </c>
      <c r="E308" s="1">
        <f>10462</f>
        <v>10462</v>
      </c>
      <c r="F308">
        <v>1603</v>
      </c>
      <c r="G308">
        <v>1</v>
      </c>
      <c r="H308" s="1">
        <f>0.2</f>
        <v>0.2</v>
      </c>
      <c r="I308" s="1">
        <f>0</f>
        <v>0</v>
      </c>
      <c r="J308" s="1">
        <f>-9.98966</f>
        <v>-9.9896600000000007</v>
      </c>
      <c r="K308" s="1">
        <f>4399.98</f>
        <v>4399.9799999999996</v>
      </c>
      <c r="L308" s="1">
        <f>0</f>
        <v>0</v>
      </c>
    </row>
    <row r="309" spans="1:12" x14ac:dyDescent="0.25">
      <c r="A309">
        <f>80130836*0.00001</f>
        <v>801.30836000000011</v>
      </c>
      <c r="B309">
        <v>3484</v>
      </c>
      <c r="C309">
        <v>81</v>
      </c>
      <c r="D309">
        <v>114.169</v>
      </c>
      <c r="E309">
        <v>10462</v>
      </c>
      <c r="F309">
        <v>1603</v>
      </c>
      <c r="G309" s="1">
        <f>1</f>
        <v>1</v>
      </c>
      <c r="H309" s="1">
        <f>0.2</f>
        <v>0.2</v>
      </c>
      <c r="I309" s="1">
        <f>0</f>
        <v>0</v>
      </c>
      <c r="J309">
        <v>-9.9896600000000007</v>
      </c>
      <c r="K309">
        <v>4399.9799999999996</v>
      </c>
      <c r="L309">
        <v>0</v>
      </c>
    </row>
    <row r="310" spans="1:12" x14ac:dyDescent="0.25">
      <c r="A310">
        <f>80131079*0.00001</f>
        <v>801.31079000000011</v>
      </c>
      <c r="B310">
        <v>3484</v>
      </c>
      <c r="C310">
        <v>82</v>
      </c>
      <c r="D310" s="1">
        <f>116.311</f>
        <v>116.31100000000001</v>
      </c>
      <c r="E310">
        <v>10462</v>
      </c>
      <c r="F310">
        <v>1603</v>
      </c>
      <c r="G310">
        <v>1</v>
      </c>
      <c r="H310">
        <v>0.2</v>
      </c>
      <c r="I310">
        <v>0</v>
      </c>
      <c r="J310">
        <v>-9.9896600000000007</v>
      </c>
      <c r="K310" s="1">
        <f>4399.97</f>
        <v>4399.97</v>
      </c>
      <c r="L310" s="1">
        <f>0</f>
        <v>0</v>
      </c>
    </row>
    <row r="311" spans="1:12" x14ac:dyDescent="0.25">
      <c r="A311">
        <f>80131320*0.00001</f>
        <v>801.31320000000005</v>
      </c>
      <c r="B311">
        <v>3484</v>
      </c>
      <c r="C311">
        <v>83</v>
      </c>
      <c r="D311">
        <v>116.31100000000001</v>
      </c>
      <c r="E311" s="1">
        <f>10269</f>
        <v>10269</v>
      </c>
      <c r="F311" s="1">
        <f>1603</f>
        <v>1603</v>
      </c>
      <c r="G311" s="1">
        <f>1</f>
        <v>1</v>
      </c>
      <c r="H311">
        <v>0.2</v>
      </c>
      <c r="I311">
        <v>0</v>
      </c>
      <c r="J311">
        <v>-9.9896600000000007</v>
      </c>
      <c r="K311">
        <v>4399.97</v>
      </c>
      <c r="L311">
        <v>0</v>
      </c>
    </row>
    <row r="312" spans="1:12" x14ac:dyDescent="0.25">
      <c r="A312">
        <f>80131560*0.00001</f>
        <v>801.31560000000002</v>
      </c>
      <c r="B312">
        <v>3484</v>
      </c>
      <c r="C312">
        <v>84</v>
      </c>
      <c r="D312">
        <v>116.31100000000001</v>
      </c>
      <c r="E312">
        <v>10269</v>
      </c>
      <c r="F312">
        <v>1603</v>
      </c>
      <c r="G312">
        <v>1</v>
      </c>
      <c r="H312">
        <v>0.2</v>
      </c>
      <c r="I312" s="1">
        <f>0</f>
        <v>0</v>
      </c>
      <c r="J312" s="1">
        <f>-15.0377</f>
        <v>-15.037699999999999</v>
      </c>
      <c r="K312" s="1">
        <f>4399.96</f>
        <v>4399.96</v>
      </c>
      <c r="L312">
        <v>0</v>
      </c>
    </row>
    <row r="313" spans="1:12" x14ac:dyDescent="0.25">
      <c r="A313">
        <f>80131798*0.00001</f>
        <v>801.31798000000003</v>
      </c>
      <c r="B313">
        <v>3484</v>
      </c>
      <c r="C313">
        <v>85</v>
      </c>
      <c r="D313" s="1">
        <f>119.52</f>
        <v>119.52</v>
      </c>
      <c r="E313" s="1">
        <f>9993</f>
        <v>9993</v>
      </c>
      <c r="F313" s="1">
        <f>1603</f>
        <v>1603</v>
      </c>
      <c r="G313" s="1">
        <f>1</f>
        <v>1</v>
      </c>
      <c r="H313" s="1">
        <f>0.2</f>
        <v>0.2</v>
      </c>
      <c r="I313" s="1">
        <f>0</f>
        <v>0</v>
      </c>
      <c r="J313">
        <v>-15.037699999999999</v>
      </c>
      <c r="K313">
        <v>4399.96</v>
      </c>
      <c r="L313" s="1">
        <f>0</f>
        <v>0</v>
      </c>
    </row>
    <row r="314" spans="1:12" x14ac:dyDescent="0.25">
      <c r="A314">
        <f>80132269*0.00001</f>
        <v>801.32269000000008</v>
      </c>
      <c r="B314">
        <v>3484</v>
      </c>
      <c r="C314">
        <v>87</v>
      </c>
      <c r="D314" s="1">
        <f>121.65</f>
        <v>121.65</v>
      </c>
      <c r="E314" s="1">
        <f>9818</f>
        <v>9818</v>
      </c>
      <c r="F314" s="1">
        <f>1603</f>
        <v>1603</v>
      </c>
      <c r="G314" s="1">
        <f>1</f>
        <v>1</v>
      </c>
      <c r="H314">
        <v>0.2</v>
      </c>
      <c r="I314">
        <v>0</v>
      </c>
      <c r="J314">
        <v>-15.037699999999999</v>
      </c>
      <c r="K314" s="1">
        <f>4399.95</f>
        <v>4399.95</v>
      </c>
      <c r="L314" s="1">
        <f>0</f>
        <v>0</v>
      </c>
    </row>
    <row r="315" spans="1:12" x14ac:dyDescent="0.25">
      <c r="A315">
        <f>80132733*0.00001</f>
        <v>801.32733000000007</v>
      </c>
      <c r="B315">
        <v>3484</v>
      </c>
      <c r="C315">
        <v>89</v>
      </c>
      <c r="D315" s="1">
        <f>124.844</f>
        <v>124.84399999999999</v>
      </c>
      <c r="E315" s="1">
        <f>9567</f>
        <v>9567</v>
      </c>
      <c r="F315">
        <v>1603</v>
      </c>
      <c r="G315">
        <v>1</v>
      </c>
      <c r="H315">
        <v>0.2</v>
      </c>
      <c r="I315" s="1">
        <f>0</f>
        <v>0</v>
      </c>
      <c r="J315" s="1">
        <f>-20.0724</f>
        <v>-20.072399999999998</v>
      </c>
      <c r="K315" s="1">
        <f>4399.94</f>
        <v>4399.9399999999996</v>
      </c>
      <c r="L315" s="1">
        <f>0</f>
        <v>0</v>
      </c>
    </row>
    <row r="316" spans="1:12" x14ac:dyDescent="0.25">
      <c r="A316">
        <f>80133189*0.00001</f>
        <v>801.33189000000004</v>
      </c>
      <c r="B316">
        <v>3484</v>
      </c>
      <c r="C316">
        <v>91</v>
      </c>
      <c r="D316">
        <v>124.84399999999999</v>
      </c>
      <c r="E316">
        <v>9567</v>
      </c>
      <c r="F316">
        <v>1603</v>
      </c>
      <c r="G316" s="1">
        <f>1</f>
        <v>1</v>
      </c>
      <c r="H316" s="1">
        <f>0.2</f>
        <v>0.2</v>
      </c>
      <c r="I316" s="1">
        <f>0</f>
        <v>0</v>
      </c>
      <c r="J316" s="1">
        <f>-23.0876</f>
        <v>-23.087599999999998</v>
      </c>
      <c r="K316" s="1">
        <f>4399.92</f>
        <v>4399.92</v>
      </c>
      <c r="L316" s="1">
        <f>0</f>
        <v>0</v>
      </c>
    </row>
    <row r="317" spans="1:12" x14ac:dyDescent="0.25">
      <c r="A317">
        <f>80133639*0.00001</f>
        <v>801.33639000000005</v>
      </c>
      <c r="B317">
        <v>3484</v>
      </c>
      <c r="C317">
        <v>93</v>
      </c>
      <c r="D317" s="1">
        <f>128.039</f>
        <v>128.03899999999999</v>
      </c>
      <c r="E317" s="1">
        <f>9328</f>
        <v>9328</v>
      </c>
      <c r="F317" s="1">
        <f>1603</f>
        <v>1603</v>
      </c>
      <c r="G317">
        <v>1</v>
      </c>
      <c r="H317">
        <v>0.2</v>
      </c>
      <c r="I317">
        <v>0</v>
      </c>
      <c r="J317">
        <v>-23.087599999999998</v>
      </c>
      <c r="K317">
        <v>4399.92</v>
      </c>
      <c r="L317">
        <v>0</v>
      </c>
    </row>
    <row r="318" spans="1:12" x14ac:dyDescent="0.25">
      <c r="A318">
        <f>80133862*0.00001</f>
        <v>801.33862000000011</v>
      </c>
      <c r="B318">
        <v>3484</v>
      </c>
      <c r="C318">
        <v>94</v>
      </c>
      <c r="D318" s="1">
        <f>130.162</f>
        <v>130.16200000000001</v>
      </c>
      <c r="E318">
        <v>9328</v>
      </c>
      <c r="F318">
        <v>1603</v>
      </c>
      <c r="G318">
        <v>1</v>
      </c>
      <c r="H318" s="1">
        <f>0.2</f>
        <v>0.2</v>
      </c>
      <c r="I318" s="1">
        <f>0</f>
        <v>0</v>
      </c>
      <c r="J318" s="1">
        <f>-25.1132</f>
        <v>-25.113199999999999</v>
      </c>
      <c r="K318" s="1">
        <f>4399.9</f>
        <v>4399.8999999999996</v>
      </c>
      <c r="L318" s="1">
        <f>0</f>
        <v>0</v>
      </c>
    </row>
    <row r="319" spans="1:12" x14ac:dyDescent="0.25">
      <c r="A319">
        <f>80134304*0.00001</f>
        <v>801.34304000000009</v>
      </c>
      <c r="B319">
        <v>3484</v>
      </c>
      <c r="C319">
        <v>96</v>
      </c>
      <c r="D319">
        <v>130.16200000000001</v>
      </c>
      <c r="E319" s="1">
        <f>9176</f>
        <v>9176</v>
      </c>
      <c r="F319" s="1">
        <f>1603</f>
        <v>1603</v>
      </c>
      <c r="G319" s="1">
        <f>1</f>
        <v>1</v>
      </c>
      <c r="H319">
        <v>0.2</v>
      </c>
      <c r="I319">
        <v>0</v>
      </c>
      <c r="J319">
        <v>-25.113199999999999</v>
      </c>
      <c r="K319">
        <v>4399.8999999999996</v>
      </c>
      <c r="L319">
        <v>0</v>
      </c>
    </row>
    <row r="320" spans="1:12" x14ac:dyDescent="0.25">
      <c r="A320">
        <f>80134523*0.00001</f>
        <v>801.34523000000002</v>
      </c>
      <c r="B320">
        <v>3484</v>
      </c>
      <c r="C320">
        <v>97</v>
      </c>
      <c r="D320" s="1">
        <f>133.338</f>
        <v>133.33799999999999</v>
      </c>
      <c r="E320" s="1">
        <f>8958</f>
        <v>8958</v>
      </c>
      <c r="F320">
        <v>1603</v>
      </c>
      <c r="G320">
        <v>1</v>
      </c>
      <c r="H320">
        <v>0.2</v>
      </c>
      <c r="I320" s="1">
        <f>0</f>
        <v>0</v>
      </c>
      <c r="J320" s="1">
        <f>-28.1173</f>
        <v>-28.1173</v>
      </c>
      <c r="K320" s="1">
        <f>4399.89</f>
        <v>4399.8900000000003</v>
      </c>
      <c r="L320" s="1">
        <f>0</f>
        <v>0</v>
      </c>
    </row>
    <row r="321" spans="1:12" x14ac:dyDescent="0.25">
      <c r="A321">
        <f>80134956*0.00001</f>
        <v>801.34956000000011</v>
      </c>
      <c r="B321">
        <v>3484</v>
      </c>
      <c r="C321">
        <v>99</v>
      </c>
      <c r="D321">
        <v>133.33799999999999</v>
      </c>
      <c r="E321">
        <v>8958</v>
      </c>
      <c r="F321" s="1">
        <f>1603</f>
        <v>1603</v>
      </c>
      <c r="G321" s="1">
        <f>1</f>
        <v>1</v>
      </c>
      <c r="H321" s="1">
        <f>0.2</f>
        <v>0.2</v>
      </c>
      <c r="I321">
        <v>0</v>
      </c>
      <c r="J321">
        <v>-28.1173</v>
      </c>
      <c r="K321">
        <v>4399.8900000000003</v>
      </c>
      <c r="L321">
        <v>0</v>
      </c>
    </row>
    <row r="322" spans="1:12" x14ac:dyDescent="0.25">
      <c r="A322">
        <f>80135170*0.00001</f>
        <v>801.35170000000005</v>
      </c>
      <c r="B322">
        <v>3484</v>
      </c>
      <c r="C322">
        <v>100</v>
      </c>
      <c r="D322">
        <v>133.33799999999999</v>
      </c>
      <c r="E322">
        <v>8958</v>
      </c>
      <c r="F322">
        <v>1603</v>
      </c>
      <c r="G322">
        <v>1</v>
      </c>
      <c r="H322">
        <v>0.2</v>
      </c>
      <c r="I322">
        <v>0</v>
      </c>
      <c r="J322" s="1">
        <f>-31.1401</f>
        <v>-31.1401</v>
      </c>
      <c r="K322" s="1">
        <f>4399.86</f>
        <v>4399.8599999999997</v>
      </c>
      <c r="L322">
        <v>0</v>
      </c>
    </row>
    <row r="323" spans="1:12" x14ac:dyDescent="0.25">
      <c r="A323">
        <f>80135382*0.00001</f>
        <v>801.35382000000004</v>
      </c>
      <c r="B323">
        <v>3484</v>
      </c>
      <c r="C323">
        <v>101</v>
      </c>
      <c r="D323" s="1">
        <f>136.511</f>
        <v>136.511</v>
      </c>
      <c r="E323" s="1">
        <f>8749</f>
        <v>8749</v>
      </c>
      <c r="F323" s="1">
        <f>1603</f>
        <v>1603</v>
      </c>
      <c r="G323" s="1">
        <f>1</f>
        <v>1</v>
      </c>
      <c r="H323" s="1">
        <f>0.2</f>
        <v>0.2</v>
      </c>
      <c r="I323" s="1">
        <f>0</f>
        <v>0</v>
      </c>
      <c r="J323" s="1">
        <f>-34.1329</f>
        <v>-34.132899999999999</v>
      </c>
      <c r="K323" s="1">
        <f>4399.84</f>
        <v>4399.84</v>
      </c>
      <c r="L323" s="1">
        <f>0</f>
        <v>0</v>
      </c>
    </row>
    <row r="324" spans="1:12" x14ac:dyDescent="0.25">
      <c r="A324">
        <f>80136010*0.00001</f>
        <v>801.3601000000001</v>
      </c>
      <c r="B324">
        <v>3484</v>
      </c>
      <c r="C324">
        <v>104</v>
      </c>
      <c r="D324" s="1">
        <f>139.671</f>
        <v>139.67099999999999</v>
      </c>
      <c r="E324" s="1">
        <f>8551</f>
        <v>8551</v>
      </c>
      <c r="F324" s="1">
        <f>1603</f>
        <v>1603</v>
      </c>
      <c r="G324">
        <v>1</v>
      </c>
      <c r="H324">
        <v>0.2</v>
      </c>
      <c r="I324">
        <v>0</v>
      </c>
      <c r="J324">
        <v>-34.132899999999999</v>
      </c>
      <c r="K324">
        <v>4399.84</v>
      </c>
      <c r="L324">
        <v>0</v>
      </c>
    </row>
    <row r="325" spans="1:12" x14ac:dyDescent="0.25">
      <c r="A325">
        <f>80136216*0.00001</f>
        <v>801.36216000000002</v>
      </c>
      <c r="B325">
        <v>3484</v>
      </c>
      <c r="C325">
        <v>105</v>
      </c>
      <c r="D325">
        <v>139.67099999999999</v>
      </c>
      <c r="E325">
        <v>8551</v>
      </c>
      <c r="F325">
        <v>1603</v>
      </c>
      <c r="G325" s="1">
        <f>1</f>
        <v>1</v>
      </c>
      <c r="H325" s="1">
        <f>0.2</f>
        <v>0.2</v>
      </c>
      <c r="I325" s="1">
        <f>0</f>
        <v>0</v>
      </c>
      <c r="J325">
        <v>-34.132899999999999</v>
      </c>
      <c r="K325">
        <v>4399.84</v>
      </c>
      <c r="L325">
        <v>0</v>
      </c>
    </row>
    <row r="326" spans="1:12" x14ac:dyDescent="0.25">
      <c r="A326">
        <f>80136421*0.00001</f>
        <v>801.36421000000007</v>
      </c>
      <c r="B326">
        <v>3484</v>
      </c>
      <c r="C326">
        <v>106</v>
      </c>
      <c r="D326">
        <v>139.67099999999999</v>
      </c>
      <c r="E326">
        <v>8551</v>
      </c>
      <c r="F326">
        <v>1603</v>
      </c>
      <c r="G326">
        <v>1</v>
      </c>
      <c r="H326">
        <v>0.2</v>
      </c>
      <c r="I326">
        <v>0</v>
      </c>
      <c r="J326">
        <v>-34.132899999999999</v>
      </c>
      <c r="K326" s="1">
        <f>4399.81</f>
        <v>4399.8100000000004</v>
      </c>
      <c r="L326" s="1">
        <f>0</f>
        <v>0</v>
      </c>
    </row>
    <row r="327" spans="1:12" x14ac:dyDescent="0.25">
      <c r="A327">
        <f>80136625*0.00001</f>
        <v>801.36625000000004</v>
      </c>
      <c r="B327">
        <v>3484</v>
      </c>
      <c r="C327">
        <v>107</v>
      </c>
      <c r="D327">
        <v>139.67099999999999</v>
      </c>
      <c r="E327" s="1">
        <f>8361</f>
        <v>8361</v>
      </c>
      <c r="F327" s="1">
        <f>1603</f>
        <v>1603</v>
      </c>
      <c r="G327">
        <v>1</v>
      </c>
      <c r="H327">
        <v>0.2</v>
      </c>
      <c r="I327">
        <v>0</v>
      </c>
      <c r="J327">
        <v>-34.132899999999999</v>
      </c>
      <c r="K327">
        <v>4399.8100000000004</v>
      </c>
      <c r="L327">
        <v>0</v>
      </c>
    </row>
    <row r="328" spans="1:12" x14ac:dyDescent="0.25">
      <c r="A328">
        <f>80136827*0.00001</f>
        <v>801.36827000000005</v>
      </c>
      <c r="B328">
        <v>3484</v>
      </c>
      <c r="C328">
        <v>108</v>
      </c>
      <c r="D328">
        <v>139.67099999999999</v>
      </c>
      <c r="E328">
        <v>8361</v>
      </c>
      <c r="F328">
        <v>1603</v>
      </c>
      <c r="G328">
        <v>1</v>
      </c>
      <c r="H328" s="1">
        <f>0.2</f>
        <v>0.2</v>
      </c>
      <c r="I328" s="1">
        <f>0</f>
        <v>0</v>
      </c>
      <c r="J328">
        <v>-34.132899999999999</v>
      </c>
      <c r="K328">
        <v>4399.8100000000004</v>
      </c>
      <c r="L328">
        <v>0</v>
      </c>
    </row>
    <row r="329" spans="1:12" x14ac:dyDescent="0.25">
      <c r="A329">
        <f>80137029*0.00001</f>
        <v>801.37029000000007</v>
      </c>
      <c r="B329">
        <v>3484</v>
      </c>
      <c r="C329">
        <v>109</v>
      </c>
      <c r="D329">
        <v>139.67099999999999</v>
      </c>
      <c r="E329">
        <v>8361</v>
      </c>
      <c r="F329">
        <v>1603</v>
      </c>
      <c r="G329">
        <v>1</v>
      </c>
      <c r="H329">
        <v>0.2</v>
      </c>
      <c r="I329">
        <v>0</v>
      </c>
      <c r="J329">
        <v>-34.132899999999999</v>
      </c>
      <c r="K329" s="1">
        <f>4399.78</f>
        <v>4399.78</v>
      </c>
      <c r="L329" s="1">
        <f>0</f>
        <v>0</v>
      </c>
    </row>
    <row r="330" spans="1:12" x14ac:dyDescent="0.25">
      <c r="A330">
        <f>80137229*0.00001</f>
        <v>801.37229000000002</v>
      </c>
      <c r="B330">
        <v>3484</v>
      </c>
      <c r="C330">
        <v>110</v>
      </c>
      <c r="D330">
        <v>139.67099999999999</v>
      </c>
      <c r="E330" s="1">
        <f>8180</f>
        <v>8180</v>
      </c>
      <c r="F330" s="1">
        <f>1603</f>
        <v>1603</v>
      </c>
      <c r="G330">
        <v>1</v>
      </c>
      <c r="H330">
        <v>0.2</v>
      </c>
      <c r="I330">
        <v>0</v>
      </c>
      <c r="J330">
        <v>-34.132899999999999</v>
      </c>
      <c r="K330">
        <v>4399.78</v>
      </c>
      <c r="L330">
        <v>0</v>
      </c>
    </row>
    <row r="331" spans="1:12" x14ac:dyDescent="0.25">
      <c r="A331">
        <f>80137428*0.00001</f>
        <v>801.37428000000011</v>
      </c>
      <c r="B331">
        <v>3484</v>
      </c>
      <c r="C331">
        <v>111</v>
      </c>
      <c r="D331">
        <v>139.67099999999999</v>
      </c>
      <c r="E331">
        <v>8180</v>
      </c>
      <c r="F331">
        <v>1603</v>
      </c>
      <c r="G331">
        <v>1</v>
      </c>
      <c r="H331" s="1">
        <f>0.2</f>
        <v>0.2</v>
      </c>
      <c r="I331" s="1">
        <f>0</f>
        <v>0</v>
      </c>
      <c r="J331">
        <v>-34.132899999999999</v>
      </c>
      <c r="K331">
        <v>4399.78</v>
      </c>
      <c r="L331">
        <v>0</v>
      </c>
    </row>
    <row r="332" spans="1:12" x14ac:dyDescent="0.25">
      <c r="A332">
        <f>80137626*0.00001</f>
        <v>801.37626000000012</v>
      </c>
      <c r="B332">
        <v>3484</v>
      </c>
      <c r="C332">
        <v>112</v>
      </c>
      <c r="D332">
        <v>139.67099999999999</v>
      </c>
      <c r="E332">
        <v>8180</v>
      </c>
      <c r="F332">
        <v>1603</v>
      </c>
      <c r="G332">
        <v>1</v>
      </c>
      <c r="H332">
        <v>0.2</v>
      </c>
      <c r="I332">
        <v>0</v>
      </c>
      <c r="J332">
        <v>-34.132899999999999</v>
      </c>
      <c r="K332" s="1">
        <f>4399.75</f>
        <v>4399.75</v>
      </c>
      <c r="L332" s="1">
        <f>0</f>
        <v>0</v>
      </c>
    </row>
    <row r="333" spans="1:12" x14ac:dyDescent="0.25">
      <c r="A333">
        <f>80137823*0.00001</f>
        <v>801.37823000000003</v>
      </c>
      <c r="B333">
        <v>3484</v>
      </c>
      <c r="C333">
        <v>113</v>
      </c>
      <c r="D333">
        <v>139.67099999999999</v>
      </c>
      <c r="E333" s="1">
        <f>8008</f>
        <v>8008</v>
      </c>
      <c r="F333" s="1">
        <f>1603</f>
        <v>1603</v>
      </c>
      <c r="G333">
        <v>1</v>
      </c>
      <c r="H333">
        <v>0.2</v>
      </c>
      <c r="I333">
        <v>0</v>
      </c>
      <c r="J333">
        <v>-34.132899999999999</v>
      </c>
      <c r="K333">
        <v>4399.75</v>
      </c>
      <c r="L333">
        <v>0</v>
      </c>
    </row>
    <row r="334" spans="1:12" x14ac:dyDescent="0.25">
      <c r="A334">
        <f>80138018*0.00001</f>
        <v>801.38018000000011</v>
      </c>
      <c r="B334">
        <v>3484</v>
      </c>
      <c r="C334">
        <v>114</v>
      </c>
      <c r="D334" s="1">
        <f>151.258</f>
        <v>151.25800000000001</v>
      </c>
      <c r="E334" s="1">
        <f>8242</f>
        <v>8242</v>
      </c>
      <c r="F334" s="1">
        <f>1603</f>
        <v>1603</v>
      </c>
      <c r="G334">
        <v>1</v>
      </c>
      <c r="H334" s="1">
        <f>0.2</f>
        <v>0.2</v>
      </c>
      <c r="I334" s="1">
        <f>0</f>
        <v>0</v>
      </c>
      <c r="J334" s="1">
        <f>-45.1674</f>
        <v>-45.167400000000001</v>
      </c>
      <c r="K334" s="1">
        <f>545.167</f>
        <v>545.16700000000003</v>
      </c>
      <c r="L334" s="1">
        <f>0</f>
        <v>0</v>
      </c>
    </row>
    <row r="335" spans="1:12" x14ac:dyDescent="0.25">
      <c r="A335">
        <f>80138597*0.00001</f>
        <v>801.38597000000004</v>
      </c>
      <c r="B335">
        <v>3484</v>
      </c>
      <c r="C335">
        <v>117</v>
      </c>
      <c r="D335">
        <v>151.25800000000001</v>
      </c>
      <c r="E335">
        <v>8242</v>
      </c>
      <c r="F335">
        <v>1603</v>
      </c>
      <c r="G335">
        <v>1</v>
      </c>
      <c r="H335" s="1">
        <f>0.2</f>
        <v>0.2</v>
      </c>
      <c r="I335" s="1">
        <f>0</f>
        <v>0</v>
      </c>
      <c r="J335">
        <v>-45.167400000000001</v>
      </c>
      <c r="K335">
        <v>545.16700000000003</v>
      </c>
      <c r="L335">
        <v>0</v>
      </c>
    </row>
    <row r="336" spans="1:12" x14ac:dyDescent="0.25">
      <c r="A336">
        <f>80138788*0.00001</f>
        <v>801.38788000000011</v>
      </c>
      <c r="B336">
        <v>3484</v>
      </c>
      <c r="C336">
        <v>118</v>
      </c>
      <c r="D336">
        <v>151.25800000000001</v>
      </c>
      <c r="E336">
        <v>8242</v>
      </c>
      <c r="F336">
        <v>1603</v>
      </c>
      <c r="G336">
        <v>1</v>
      </c>
      <c r="H336">
        <v>0.2</v>
      </c>
      <c r="I336">
        <v>0</v>
      </c>
      <c r="J336">
        <v>-45.167400000000001</v>
      </c>
      <c r="K336" s="1">
        <f>545.165</f>
        <v>545.16499999999996</v>
      </c>
      <c r="L336" s="1">
        <f>0</f>
        <v>0</v>
      </c>
    </row>
    <row r="337" spans="1:12" x14ac:dyDescent="0.25">
      <c r="A337">
        <f>80138978*0.00001</f>
        <v>801.38978000000009</v>
      </c>
      <c r="B337">
        <v>3484</v>
      </c>
      <c r="C337">
        <v>119</v>
      </c>
      <c r="D337" s="1">
        <f>155.417</f>
        <v>155.417</v>
      </c>
      <c r="E337" s="1">
        <f>8062</f>
        <v>8062</v>
      </c>
      <c r="F337" s="1">
        <f>1603</f>
        <v>1603</v>
      </c>
      <c r="G337">
        <v>1</v>
      </c>
      <c r="H337">
        <v>0.2</v>
      </c>
      <c r="I337">
        <v>0</v>
      </c>
      <c r="J337">
        <v>-45.167400000000001</v>
      </c>
      <c r="K337">
        <v>545.16499999999996</v>
      </c>
      <c r="L337">
        <v>0</v>
      </c>
    </row>
    <row r="338" spans="1:12" x14ac:dyDescent="0.25">
      <c r="A338">
        <f>80139167*0.00001</f>
        <v>801.39167000000009</v>
      </c>
      <c r="B338">
        <v>3484</v>
      </c>
      <c r="C338">
        <v>120</v>
      </c>
      <c r="D338" s="1">
        <f>158.484</f>
        <v>158.48400000000001</v>
      </c>
      <c r="E338" s="1">
        <f>7890</f>
        <v>7890</v>
      </c>
      <c r="F338">
        <v>1603</v>
      </c>
      <c r="G338" s="1">
        <f>1</f>
        <v>1</v>
      </c>
      <c r="H338" s="1">
        <f>0.2</f>
        <v>0.2</v>
      </c>
      <c r="I338" s="1">
        <f>0</f>
        <v>0</v>
      </c>
      <c r="J338" s="1">
        <f>-6.93971</f>
        <v>-6.9397099999999998</v>
      </c>
      <c r="K338" s="1">
        <f>545.161</f>
        <v>545.16099999999994</v>
      </c>
      <c r="L338" s="1">
        <f>0</f>
        <v>0</v>
      </c>
    </row>
    <row r="339" spans="1:12" x14ac:dyDescent="0.25">
      <c r="A339">
        <f>80139728*0.00001</f>
        <v>801.39728000000002</v>
      </c>
      <c r="B339">
        <v>3484</v>
      </c>
      <c r="C339">
        <v>123</v>
      </c>
      <c r="D339">
        <v>158.48400000000001</v>
      </c>
      <c r="E339">
        <v>7890</v>
      </c>
      <c r="F339">
        <v>1603</v>
      </c>
      <c r="G339" s="1">
        <f>1</f>
        <v>1</v>
      </c>
      <c r="H339" s="1">
        <f>0.2</f>
        <v>0.2</v>
      </c>
      <c r="I339">
        <v>0</v>
      </c>
      <c r="J339">
        <v>-6.9397099999999998</v>
      </c>
      <c r="K339">
        <v>545.16099999999994</v>
      </c>
      <c r="L339">
        <v>0</v>
      </c>
    </row>
    <row r="340" spans="1:12" x14ac:dyDescent="0.25">
      <c r="A340">
        <f>80139913*0.00001</f>
        <v>801.39913000000001</v>
      </c>
      <c r="B340">
        <v>3484</v>
      </c>
      <c r="C340">
        <v>124</v>
      </c>
      <c r="D340">
        <v>158.48400000000001</v>
      </c>
      <c r="E340">
        <v>7890</v>
      </c>
      <c r="F340">
        <v>1603</v>
      </c>
      <c r="G340">
        <v>1</v>
      </c>
      <c r="H340">
        <v>0.2</v>
      </c>
      <c r="I340">
        <v>0</v>
      </c>
      <c r="J340" s="1">
        <f>-9.82182</f>
        <v>-9.8218200000000007</v>
      </c>
      <c r="K340" s="1">
        <f>545.155</f>
        <v>545.15499999999997</v>
      </c>
      <c r="L340">
        <v>0</v>
      </c>
    </row>
    <row r="341" spans="1:12" x14ac:dyDescent="0.25">
      <c r="A341">
        <f>80140097*0.00001</f>
        <v>801.40097000000003</v>
      </c>
      <c r="B341">
        <v>3484</v>
      </c>
      <c r="C341">
        <v>125</v>
      </c>
      <c r="D341" s="1">
        <f>161.5</f>
        <v>161.5</v>
      </c>
      <c r="E341" s="1">
        <f>7691</f>
        <v>7691</v>
      </c>
      <c r="F341" s="1">
        <f>1603</f>
        <v>1603</v>
      </c>
      <c r="G341" s="1">
        <f>1</f>
        <v>1</v>
      </c>
      <c r="H341" s="1">
        <f>0.2</f>
        <v>0.2</v>
      </c>
      <c r="I341" s="1">
        <f>0</f>
        <v>0</v>
      </c>
      <c r="J341" s="1">
        <f>-12.685</f>
        <v>-12.685</v>
      </c>
      <c r="K341">
        <v>545.15499999999997</v>
      </c>
      <c r="L341" s="1">
        <f>0</f>
        <v>0</v>
      </c>
    </row>
    <row r="342" spans="1:12" x14ac:dyDescent="0.25">
      <c r="A342">
        <f>80140644*0.00001</f>
        <v>801.40644000000009</v>
      </c>
      <c r="B342">
        <v>3484</v>
      </c>
      <c r="C342">
        <v>128</v>
      </c>
      <c r="D342" s="1">
        <f>164.477</f>
        <v>164.477</v>
      </c>
      <c r="E342">
        <v>7691</v>
      </c>
      <c r="F342">
        <v>1603</v>
      </c>
      <c r="G342">
        <v>1</v>
      </c>
      <c r="H342">
        <v>0.2</v>
      </c>
      <c r="I342">
        <v>0</v>
      </c>
      <c r="J342">
        <v>-12.685</v>
      </c>
      <c r="K342">
        <v>545.15499999999997</v>
      </c>
      <c r="L342" s="1">
        <f>0</f>
        <v>0</v>
      </c>
    </row>
    <row r="343" spans="1:12" x14ac:dyDescent="0.25">
      <c r="A343">
        <f>80140824*0.00001</f>
        <v>801.40824000000009</v>
      </c>
      <c r="B343">
        <v>3484</v>
      </c>
      <c r="C343">
        <v>129</v>
      </c>
      <c r="D343">
        <v>164.477</v>
      </c>
      <c r="E343" s="1">
        <f>7528</f>
        <v>7528</v>
      </c>
      <c r="F343" s="1">
        <f>1603</f>
        <v>1603</v>
      </c>
      <c r="G343" s="1">
        <f>1</f>
        <v>1</v>
      </c>
      <c r="H343" s="1">
        <f>0.2</f>
        <v>0.2</v>
      </c>
      <c r="I343" s="1">
        <f>0</f>
        <v>0</v>
      </c>
      <c r="J343">
        <v>-12.685</v>
      </c>
      <c r="K343">
        <v>545.15499999999997</v>
      </c>
      <c r="L343">
        <v>0</v>
      </c>
    </row>
    <row r="344" spans="1:12" x14ac:dyDescent="0.25">
      <c r="A344">
        <f>80141181*0.00001</f>
        <v>801.41181000000006</v>
      </c>
      <c r="B344">
        <v>3484</v>
      </c>
      <c r="C344">
        <v>131</v>
      </c>
      <c r="D344">
        <v>164.477</v>
      </c>
      <c r="E344">
        <v>7528</v>
      </c>
      <c r="F344">
        <v>1603</v>
      </c>
      <c r="G344">
        <v>1</v>
      </c>
      <c r="H344">
        <v>0.2</v>
      </c>
      <c r="I344">
        <v>0</v>
      </c>
      <c r="J344">
        <v>-12.685</v>
      </c>
      <c r="K344" s="1">
        <f>545.134</f>
        <v>545.13400000000001</v>
      </c>
      <c r="L344" s="1">
        <f>0</f>
        <v>0</v>
      </c>
    </row>
    <row r="345" spans="1:12" x14ac:dyDescent="0.25">
      <c r="A345">
        <f>80141359*0.00001</f>
        <v>801.41359000000011</v>
      </c>
      <c r="B345">
        <v>3484</v>
      </c>
      <c r="C345">
        <v>132</v>
      </c>
      <c r="D345" s="1">
        <f>168.407</f>
        <v>168.40700000000001</v>
      </c>
      <c r="E345" s="1">
        <f>7321</f>
        <v>7321</v>
      </c>
      <c r="F345" s="1">
        <f>1603</f>
        <v>1603</v>
      </c>
      <c r="G345" s="1">
        <f>1</f>
        <v>1</v>
      </c>
      <c r="H345" s="1">
        <f>0.2</f>
        <v>0.2</v>
      </c>
      <c r="I345">
        <v>0</v>
      </c>
      <c r="J345">
        <v>-12.685</v>
      </c>
      <c r="K345">
        <v>545.13400000000001</v>
      </c>
      <c r="L345">
        <v>0</v>
      </c>
    </row>
    <row r="346" spans="1:12" x14ac:dyDescent="0.25">
      <c r="A346">
        <f>80141713*0.00001</f>
        <v>801.41713000000004</v>
      </c>
      <c r="B346">
        <v>3484</v>
      </c>
      <c r="C346">
        <v>134</v>
      </c>
      <c r="D346">
        <v>168.40700000000001</v>
      </c>
      <c r="E346">
        <v>7321</v>
      </c>
      <c r="F346">
        <v>1603</v>
      </c>
      <c r="G346">
        <v>1</v>
      </c>
      <c r="H346">
        <v>0.2</v>
      </c>
      <c r="I346">
        <v>0</v>
      </c>
      <c r="J346" s="1">
        <f>-19.2253</f>
        <v>-19.225300000000001</v>
      </c>
      <c r="K346" s="1">
        <f>545.123</f>
        <v>545.12300000000005</v>
      </c>
      <c r="L346">
        <v>0</v>
      </c>
    </row>
    <row r="347" spans="1:12" x14ac:dyDescent="0.25">
      <c r="A347">
        <f>80141888*0.00001</f>
        <v>801.41888000000006</v>
      </c>
      <c r="B347">
        <v>3484</v>
      </c>
      <c r="C347">
        <v>135</v>
      </c>
      <c r="D347" s="1">
        <f>171.328</f>
        <v>171.328</v>
      </c>
      <c r="E347" s="1">
        <f>7173</f>
        <v>7173</v>
      </c>
      <c r="F347" s="1">
        <f>1603</f>
        <v>1603</v>
      </c>
      <c r="G347" s="1">
        <f>1</f>
        <v>1</v>
      </c>
      <c r="H347">
        <v>0.2</v>
      </c>
      <c r="I347">
        <v>0</v>
      </c>
      <c r="J347">
        <v>-19.225300000000001</v>
      </c>
      <c r="K347">
        <v>545.12300000000005</v>
      </c>
      <c r="L347" s="1">
        <f>0</f>
        <v>0</v>
      </c>
    </row>
    <row r="348" spans="1:12" x14ac:dyDescent="0.25">
      <c r="A348">
        <f>80142235*0.00001</f>
        <v>801.42235000000005</v>
      </c>
      <c r="B348">
        <v>3484</v>
      </c>
      <c r="C348">
        <v>137</v>
      </c>
      <c r="D348">
        <v>171.328</v>
      </c>
      <c r="E348">
        <v>7173</v>
      </c>
      <c r="F348">
        <v>1603</v>
      </c>
      <c r="G348">
        <v>1</v>
      </c>
      <c r="H348">
        <v>0.2</v>
      </c>
      <c r="I348" s="1">
        <f>0</f>
        <v>0</v>
      </c>
      <c r="J348" s="1">
        <f>-22.0052</f>
        <v>-22.005199999999999</v>
      </c>
      <c r="K348" s="1">
        <f>545.104</f>
        <v>545.10400000000004</v>
      </c>
      <c r="L348" s="1">
        <f>0</f>
        <v>0</v>
      </c>
    </row>
    <row r="349" spans="1:12" x14ac:dyDescent="0.25">
      <c r="A349">
        <f>80142579*0.00001</f>
        <v>801.42579000000012</v>
      </c>
      <c r="B349">
        <v>3484</v>
      </c>
      <c r="C349">
        <v>139</v>
      </c>
      <c r="D349">
        <v>171.328</v>
      </c>
      <c r="E349" s="1">
        <f>6986</f>
        <v>6986</v>
      </c>
      <c r="F349" s="1">
        <f>1603</f>
        <v>1603</v>
      </c>
      <c r="G349">
        <v>1</v>
      </c>
      <c r="H349">
        <v>0.2</v>
      </c>
      <c r="I349">
        <v>0</v>
      </c>
      <c r="J349">
        <v>-22.005199999999999</v>
      </c>
      <c r="K349">
        <v>545.10400000000004</v>
      </c>
      <c r="L349">
        <v>0</v>
      </c>
    </row>
    <row r="350" spans="1:12" x14ac:dyDescent="0.25">
      <c r="A350">
        <f>80142750*0.00001</f>
        <v>801.42750000000001</v>
      </c>
      <c r="B350">
        <v>3484</v>
      </c>
      <c r="C350">
        <v>140</v>
      </c>
      <c r="D350">
        <v>171.328</v>
      </c>
      <c r="E350">
        <v>6986</v>
      </c>
      <c r="F350">
        <v>1603</v>
      </c>
      <c r="G350" s="1">
        <f>1</f>
        <v>1</v>
      </c>
      <c r="H350" s="1">
        <f>0.2</f>
        <v>0.2</v>
      </c>
      <c r="I350">
        <v>0</v>
      </c>
      <c r="J350">
        <v>-22.005199999999999</v>
      </c>
      <c r="K350">
        <v>545.10400000000004</v>
      </c>
      <c r="L350">
        <v>0</v>
      </c>
    </row>
    <row r="351" spans="1:12" x14ac:dyDescent="0.25">
      <c r="A351">
        <f>80142920*0.00001</f>
        <v>801.42920000000004</v>
      </c>
      <c r="B351">
        <v>3484</v>
      </c>
      <c r="C351">
        <v>141</v>
      </c>
      <c r="D351">
        <v>171.328</v>
      </c>
      <c r="E351">
        <v>6986</v>
      </c>
      <c r="F351">
        <v>1603</v>
      </c>
      <c r="G351">
        <v>1</v>
      </c>
      <c r="H351">
        <v>0.2</v>
      </c>
      <c r="I351">
        <v>0</v>
      </c>
      <c r="J351" s="1">
        <f>-25.6574</f>
        <v>-25.657399999999999</v>
      </c>
      <c r="K351" s="1">
        <f>545.089</f>
        <v>545.08900000000006</v>
      </c>
      <c r="L351">
        <v>0</v>
      </c>
    </row>
    <row r="352" spans="1:12" x14ac:dyDescent="0.25">
      <c r="A352">
        <f>80143089*0.00001</f>
        <v>801.43089000000009</v>
      </c>
      <c r="B352">
        <v>3484</v>
      </c>
      <c r="C352">
        <v>142</v>
      </c>
      <c r="D352" s="1">
        <f>178.042</f>
        <v>178.042</v>
      </c>
      <c r="E352" s="1">
        <f>6853</f>
        <v>6853</v>
      </c>
      <c r="F352" s="1">
        <f>1603</f>
        <v>1603</v>
      </c>
      <c r="G352" s="1">
        <f>1</f>
        <v>1</v>
      </c>
      <c r="H352">
        <v>0.2</v>
      </c>
      <c r="I352">
        <v>0</v>
      </c>
      <c r="J352">
        <v>-25.657399999999999</v>
      </c>
      <c r="K352">
        <v>545.08900000000006</v>
      </c>
      <c r="L352" s="1">
        <f>0</f>
        <v>0</v>
      </c>
    </row>
    <row r="353" spans="1:12" x14ac:dyDescent="0.25">
      <c r="A353">
        <f>80143425*0.00001</f>
        <v>801.43425000000002</v>
      </c>
      <c r="B353">
        <v>3484</v>
      </c>
      <c r="C353">
        <v>144</v>
      </c>
      <c r="D353">
        <v>178.042</v>
      </c>
      <c r="E353">
        <v>6853</v>
      </c>
      <c r="F353">
        <v>1603</v>
      </c>
      <c r="G353">
        <v>1</v>
      </c>
      <c r="H353" s="1">
        <f>0.2</f>
        <v>0.2</v>
      </c>
      <c r="I353" s="1">
        <f>0</f>
        <v>0</v>
      </c>
      <c r="J353" s="1">
        <f>-28.3882</f>
        <v>-28.388200000000001</v>
      </c>
      <c r="K353" s="1">
        <f>545.067</f>
        <v>545.06700000000001</v>
      </c>
      <c r="L353" s="1">
        <f>0</f>
        <v>0</v>
      </c>
    </row>
    <row r="354" spans="1:12" x14ac:dyDescent="0.25">
      <c r="A354">
        <f>80143758*0.00001</f>
        <v>801.43758000000003</v>
      </c>
      <c r="B354">
        <v>3484</v>
      </c>
      <c r="C354">
        <v>146</v>
      </c>
      <c r="D354" s="1">
        <f>181.833</f>
        <v>181.833</v>
      </c>
      <c r="E354" s="1">
        <f>6682</f>
        <v>6682</v>
      </c>
      <c r="F354" s="1">
        <f>1603</f>
        <v>1603</v>
      </c>
      <c r="G354" s="1">
        <f>1</f>
        <v>1</v>
      </c>
      <c r="H354" s="1">
        <f>0.2</f>
        <v>0.2</v>
      </c>
      <c r="I354">
        <v>0</v>
      </c>
      <c r="J354">
        <v>-28.388200000000001</v>
      </c>
      <c r="K354">
        <v>545.06700000000001</v>
      </c>
      <c r="L354">
        <v>0</v>
      </c>
    </row>
    <row r="355" spans="1:12" x14ac:dyDescent="0.25">
      <c r="A355">
        <f>80144088*0.00001</f>
        <v>801.44088000000011</v>
      </c>
      <c r="B355">
        <v>3484</v>
      </c>
      <c r="C355">
        <v>148</v>
      </c>
      <c r="D355" s="1">
        <f>184.657</f>
        <v>184.65700000000001</v>
      </c>
      <c r="E355">
        <v>6682</v>
      </c>
      <c r="F355">
        <v>1603</v>
      </c>
      <c r="G355">
        <v>1</v>
      </c>
      <c r="H355">
        <v>0.2</v>
      </c>
      <c r="I355" s="1">
        <f>0</f>
        <v>0</v>
      </c>
      <c r="J355" s="1">
        <f>-32.0195</f>
        <v>-32.019500000000001</v>
      </c>
      <c r="K355" s="1">
        <f>545.048</f>
        <v>545.048</v>
      </c>
      <c r="L355" s="1">
        <f>0</f>
        <v>0</v>
      </c>
    </row>
    <row r="356" spans="1:12" x14ac:dyDescent="0.25">
      <c r="A356">
        <f>80144415*0.00001</f>
        <v>801.44415000000004</v>
      </c>
      <c r="B356">
        <v>3484</v>
      </c>
      <c r="C356">
        <v>150</v>
      </c>
      <c r="D356">
        <v>184.65700000000001</v>
      </c>
      <c r="E356" s="1">
        <f>6559</f>
        <v>6559</v>
      </c>
      <c r="F356" s="1">
        <f>1603</f>
        <v>1603</v>
      </c>
      <c r="G356">
        <v>1</v>
      </c>
      <c r="H356">
        <v>0.2</v>
      </c>
      <c r="I356">
        <v>0</v>
      </c>
      <c r="J356">
        <v>-32.019500000000001</v>
      </c>
      <c r="K356">
        <v>545.048</v>
      </c>
      <c r="L356">
        <v>0</v>
      </c>
    </row>
    <row r="357" spans="1:12" x14ac:dyDescent="0.25">
      <c r="A357">
        <f>80144577*0.00001</f>
        <v>801.44577000000004</v>
      </c>
      <c r="B357">
        <v>3484</v>
      </c>
      <c r="C357">
        <v>151</v>
      </c>
      <c r="D357">
        <v>184.65700000000001</v>
      </c>
      <c r="E357">
        <v>6559</v>
      </c>
      <c r="F357">
        <v>1603</v>
      </c>
      <c r="G357">
        <v>1</v>
      </c>
      <c r="H357" s="1">
        <f>0.2</f>
        <v>0.2</v>
      </c>
      <c r="I357" s="1">
        <f>0</f>
        <v>0</v>
      </c>
      <c r="J357">
        <v>-32.019500000000001</v>
      </c>
      <c r="K357">
        <v>545.048</v>
      </c>
      <c r="L357">
        <v>0</v>
      </c>
    </row>
    <row r="358" spans="1:12" x14ac:dyDescent="0.25">
      <c r="A358">
        <f>80144739*0.00001</f>
        <v>801.44739000000004</v>
      </c>
      <c r="B358">
        <v>3484</v>
      </c>
      <c r="C358">
        <v>152</v>
      </c>
      <c r="D358">
        <v>184.65700000000001</v>
      </c>
      <c r="E358">
        <v>6559</v>
      </c>
      <c r="F358">
        <v>1603</v>
      </c>
      <c r="G358">
        <v>1</v>
      </c>
      <c r="H358">
        <v>0.2</v>
      </c>
      <c r="I358">
        <v>0</v>
      </c>
      <c r="J358" s="1">
        <f>-35.6009</f>
        <v>-35.600900000000003</v>
      </c>
      <c r="K358" s="1">
        <f>545.021</f>
        <v>545.02099999999996</v>
      </c>
      <c r="L358">
        <v>0</v>
      </c>
    </row>
    <row r="359" spans="1:12" x14ac:dyDescent="0.25">
      <c r="A359">
        <f>80144900*0.00001</f>
        <v>801.44900000000007</v>
      </c>
      <c r="B359">
        <v>3484</v>
      </c>
      <c r="C359">
        <v>153</v>
      </c>
      <c r="D359" s="1">
        <f>188.413</f>
        <v>188.41300000000001</v>
      </c>
      <c r="E359" s="1">
        <f>6402</f>
        <v>6402</v>
      </c>
      <c r="F359" s="1">
        <f>1603</f>
        <v>1603</v>
      </c>
      <c r="G359" s="1">
        <f>1</f>
        <v>1</v>
      </c>
      <c r="H359">
        <v>0.2</v>
      </c>
      <c r="I359">
        <v>0</v>
      </c>
      <c r="J359">
        <v>-35.600900000000003</v>
      </c>
      <c r="K359">
        <v>545.02099999999996</v>
      </c>
      <c r="L359">
        <v>0</v>
      </c>
    </row>
    <row r="360" spans="1:12" x14ac:dyDescent="0.25">
      <c r="A360">
        <f>80145220*0.00001</f>
        <v>801.45220000000006</v>
      </c>
      <c r="B360">
        <v>3484</v>
      </c>
      <c r="C360">
        <v>155</v>
      </c>
      <c r="D360">
        <v>188.41300000000001</v>
      </c>
      <c r="E360">
        <v>6402</v>
      </c>
      <c r="F360">
        <v>1603</v>
      </c>
      <c r="G360">
        <v>1</v>
      </c>
      <c r="H360" s="1">
        <f>0.2</f>
        <v>0.2</v>
      </c>
      <c r="I360" s="1">
        <f>0</f>
        <v>0</v>
      </c>
      <c r="J360" s="1">
        <f>-38.2689</f>
        <v>-38.268900000000002</v>
      </c>
      <c r="K360" s="1">
        <f>544.992</f>
        <v>544.99199999999996</v>
      </c>
      <c r="L360" s="1">
        <f>0</f>
        <v>0</v>
      </c>
    </row>
    <row r="361" spans="1:12" x14ac:dyDescent="0.25">
      <c r="A361">
        <f>80145537*0.00001</f>
        <v>801.45537000000002</v>
      </c>
      <c r="B361">
        <v>3484</v>
      </c>
      <c r="C361">
        <v>157</v>
      </c>
      <c r="D361" s="1">
        <f>192.139</f>
        <v>192.13900000000001</v>
      </c>
      <c r="E361" s="1">
        <f>6252</f>
        <v>6252</v>
      </c>
      <c r="F361">
        <v>1603</v>
      </c>
      <c r="G361">
        <v>1</v>
      </c>
      <c r="H361">
        <v>0.2</v>
      </c>
      <c r="I361">
        <v>0</v>
      </c>
      <c r="J361">
        <v>-38.268900000000002</v>
      </c>
      <c r="K361">
        <v>544.99199999999996</v>
      </c>
      <c r="L361">
        <v>0</v>
      </c>
    </row>
    <row r="362" spans="1:12" x14ac:dyDescent="0.25">
      <c r="A362">
        <f>80145695*0.00001</f>
        <v>801.45695000000012</v>
      </c>
      <c r="B362">
        <v>3484</v>
      </c>
      <c r="C362">
        <v>158</v>
      </c>
      <c r="D362">
        <v>192.13900000000001</v>
      </c>
      <c r="E362">
        <v>6252</v>
      </c>
      <c r="F362">
        <v>1603</v>
      </c>
      <c r="G362" s="1">
        <f>1</f>
        <v>1</v>
      </c>
      <c r="H362" s="1">
        <f>0.2</f>
        <v>0.2</v>
      </c>
      <c r="I362" s="1">
        <f>0</f>
        <v>0</v>
      </c>
      <c r="J362" s="1">
        <f>-41.8404</f>
        <v>-41.840400000000002</v>
      </c>
      <c r="K362">
        <v>544.99199999999996</v>
      </c>
      <c r="L362">
        <v>0</v>
      </c>
    </row>
    <row r="363" spans="1:12" x14ac:dyDescent="0.25">
      <c r="A363">
        <f>80146008*0.00001</f>
        <v>801.46008000000006</v>
      </c>
      <c r="B363">
        <v>3484</v>
      </c>
      <c r="C363">
        <v>160</v>
      </c>
      <c r="D363">
        <v>192.13900000000001</v>
      </c>
      <c r="E363">
        <v>6252</v>
      </c>
      <c r="F363">
        <v>1603</v>
      </c>
      <c r="G363">
        <v>1</v>
      </c>
      <c r="H363">
        <v>0.2</v>
      </c>
      <c r="I363">
        <v>0</v>
      </c>
      <c r="J363">
        <v>-41.840400000000002</v>
      </c>
      <c r="K363" s="1">
        <f>544.961</f>
        <v>544.96100000000001</v>
      </c>
      <c r="L363" s="1">
        <f>0</f>
        <v>0</v>
      </c>
    </row>
    <row r="364" spans="1:12" x14ac:dyDescent="0.25">
      <c r="A364">
        <f>80146163*0.00001</f>
        <v>801.46163000000001</v>
      </c>
      <c r="B364">
        <v>3484</v>
      </c>
      <c r="C364">
        <v>161</v>
      </c>
      <c r="D364">
        <v>192.13900000000001</v>
      </c>
      <c r="E364" s="1">
        <f>6108</f>
        <v>6108</v>
      </c>
      <c r="F364" s="1">
        <f>1603</f>
        <v>1603</v>
      </c>
      <c r="G364" s="1">
        <f>1</f>
        <v>1</v>
      </c>
      <c r="H364" s="1">
        <f>0.2</f>
        <v>0.2</v>
      </c>
      <c r="I364">
        <v>0</v>
      </c>
      <c r="J364">
        <v>-41.840400000000002</v>
      </c>
      <c r="K364">
        <v>544.96100000000001</v>
      </c>
      <c r="L364">
        <v>0</v>
      </c>
    </row>
    <row r="365" spans="1:12" x14ac:dyDescent="0.25">
      <c r="A365">
        <f>80146473*0.00001</f>
        <v>801.46473000000003</v>
      </c>
      <c r="B365">
        <v>3484</v>
      </c>
      <c r="C365">
        <v>163</v>
      </c>
      <c r="D365">
        <v>192.13900000000001</v>
      </c>
      <c r="E365">
        <v>6108</v>
      </c>
      <c r="F365">
        <v>1603</v>
      </c>
      <c r="G365">
        <v>1</v>
      </c>
      <c r="H365">
        <v>0.2</v>
      </c>
      <c r="I365" s="1">
        <f>0</f>
        <v>0</v>
      </c>
      <c r="J365" s="1">
        <f>-45.391</f>
        <v>-45.390999999999998</v>
      </c>
      <c r="K365">
        <v>544.96100000000001</v>
      </c>
      <c r="L365">
        <v>0</v>
      </c>
    </row>
    <row r="366" spans="1:12" x14ac:dyDescent="0.25">
      <c r="A366">
        <f>80146627*0.00001</f>
        <v>801.46627000000012</v>
      </c>
      <c r="B366">
        <v>3484</v>
      </c>
      <c r="C366">
        <v>164</v>
      </c>
      <c r="D366" s="1">
        <f>198.612</f>
        <v>198.61199999999999</v>
      </c>
      <c r="E366" s="1">
        <f>5970</f>
        <v>5970</v>
      </c>
      <c r="F366" s="1">
        <f>1603</f>
        <v>1603</v>
      </c>
      <c r="G366">
        <v>1</v>
      </c>
      <c r="H366">
        <v>0.2</v>
      </c>
      <c r="I366">
        <v>0</v>
      </c>
      <c r="J366">
        <v>-45.390999999999998</v>
      </c>
      <c r="K366">
        <v>544.96100000000001</v>
      </c>
      <c r="L366" s="1">
        <f>0</f>
        <v>0</v>
      </c>
    </row>
    <row r="367" spans="1:12" x14ac:dyDescent="0.25">
      <c r="A367">
        <f>80146933*0.00001</f>
        <v>801.46933000000001</v>
      </c>
      <c r="B367">
        <v>3484</v>
      </c>
      <c r="C367">
        <v>166</v>
      </c>
      <c r="D367">
        <v>198.61199999999999</v>
      </c>
      <c r="E367">
        <v>5970</v>
      </c>
      <c r="F367">
        <v>1603</v>
      </c>
      <c r="G367" s="1">
        <f>1</f>
        <v>1</v>
      </c>
      <c r="H367" s="1">
        <f>0.2</f>
        <v>0.2</v>
      </c>
      <c r="I367">
        <v>0</v>
      </c>
      <c r="J367">
        <v>-45.390999999999998</v>
      </c>
      <c r="K367">
        <v>544.96100000000001</v>
      </c>
      <c r="L367">
        <v>0</v>
      </c>
    </row>
    <row r="368" spans="1:12" x14ac:dyDescent="0.25">
      <c r="A368">
        <f>80147085*0.00001</f>
        <v>801.47085000000004</v>
      </c>
      <c r="B368">
        <v>3484</v>
      </c>
      <c r="C368">
        <v>167</v>
      </c>
      <c r="D368">
        <v>198.61199999999999</v>
      </c>
      <c r="E368">
        <v>5970</v>
      </c>
      <c r="F368">
        <v>1603</v>
      </c>
      <c r="G368">
        <v>1</v>
      </c>
      <c r="H368">
        <v>0.2</v>
      </c>
      <c r="I368" s="1">
        <f>0</f>
        <v>0</v>
      </c>
      <c r="J368" s="1">
        <f>-48.9293</f>
        <v>-48.929299999999998</v>
      </c>
      <c r="K368">
        <v>544.96100000000001</v>
      </c>
      <c r="L368">
        <v>0</v>
      </c>
    </row>
    <row r="369" spans="1:12" x14ac:dyDescent="0.25">
      <c r="A369">
        <f>80147236*0.00001</f>
        <v>801.47236000000009</v>
      </c>
      <c r="B369">
        <v>3484</v>
      </c>
      <c r="C369">
        <v>168</v>
      </c>
      <c r="D369" s="1">
        <f>202.301</f>
        <v>202.30099999999999</v>
      </c>
      <c r="E369" s="1">
        <f>5870</f>
        <v>5870</v>
      </c>
      <c r="F369" s="1">
        <f>1603</f>
        <v>1603</v>
      </c>
      <c r="G369">
        <v>1</v>
      </c>
      <c r="H369">
        <v>0.2</v>
      </c>
      <c r="I369">
        <v>0</v>
      </c>
      <c r="J369">
        <v>-48.929299999999998</v>
      </c>
      <c r="K369">
        <v>544.96100000000001</v>
      </c>
      <c r="L369" s="1">
        <f>0</f>
        <v>0</v>
      </c>
    </row>
    <row r="370" spans="1:12" x14ac:dyDescent="0.25">
      <c r="A370">
        <f>80147537*0.00001</f>
        <v>801.47537000000011</v>
      </c>
      <c r="B370">
        <v>3484</v>
      </c>
      <c r="C370">
        <v>170</v>
      </c>
      <c r="D370">
        <v>202.30099999999999</v>
      </c>
      <c r="E370">
        <v>5870</v>
      </c>
      <c r="F370">
        <v>1603</v>
      </c>
      <c r="G370" s="1">
        <f>1</f>
        <v>1</v>
      </c>
      <c r="H370" s="1">
        <f>0.2</f>
        <v>0.2</v>
      </c>
      <c r="I370">
        <v>0</v>
      </c>
      <c r="J370">
        <v>-48.929299999999998</v>
      </c>
      <c r="K370">
        <v>544.96100000000001</v>
      </c>
      <c r="L370">
        <v>0</v>
      </c>
    </row>
    <row r="371" spans="1:12" x14ac:dyDescent="0.25">
      <c r="A371">
        <f>80147686*0.00001</f>
        <v>801.4768600000001</v>
      </c>
      <c r="B371">
        <v>3484</v>
      </c>
      <c r="C371">
        <v>171</v>
      </c>
      <c r="D371">
        <v>202.30099999999999</v>
      </c>
      <c r="E371">
        <v>5870</v>
      </c>
      <c r="F371">
        <v>1603</v>
      </c>
      <c r="G371">
        <v>1</v>
      </c>
      <c r="H371">
        <v>0.2</v>
      </c>
      <c r="I371">
        <v>0</v>
      </c>
      <c r="J371" s="1">
        <f>-52.4447</f>
        <v>-52.444699999999997</v>
      </c>
      <c r="K371">
        <v>544.96100000000001</v>
      </c>
      <c r="L371">
        <v>0</v>
      </c>
    </row>
    <row r="372" spans="1:12" x14ac:dyDescent="0.25">
      <c r="A372">
        <f>80147835*0.00001</f>
        <v>801.47835000000009</v>
      </c>
      <c r="B372">
        <v>3484</v>
      </c>
      <c r="C372">
        <v>172</v>
      </c>
      <c r="D372" s="1">
        <f>205.959</f>
        <v>205.959</v>
      </c>
      <c r="E372" s="1">
        <f>5711</f>
        <v>5711</v>
      </c>
      <c r="F372" s="1">
        <f>1603</f>
        <v>1603</v>
      </c>
      <c r="G372">
        <v>1</v>
      </c>
      <c r="H372">
        <v>0.2</v>
      </c>
      <c r="I372">
        <v>0</v>
      </c>
      <c r="J372">
        <v>-52.444699999999997</v>
      </c>
      <c r="K372">
        <v>544.96100000000001</v>
      </c>
      <c r="L372" s="1">
        <f>0</f>
        <v>0</v>
      </c>
    </row>
    <row r="373" spans="1:12" x14ac:dyDescent="0.25">
      <c r="A373">
        <f>80148130*0.00001</f>
        <v>801.48130000000003</v>
      </c>
      <c r="B373">
        <v>3484</v>
      </c>
      <c r="C373">
        <v>174</v>
      </c>
      <c r="D373">
        <v>205.959</v>
      </c>
      <c r="E373">
        <v>5711</v>
      </c>
      <c r="F373">
        <v>1603</v>
      </c>
      <c r="G373" s="1">
        <f>1</f>
        <v>1</v>
      </c>
      <c r="H373" s="1">
        <f>0.2</f>
        <v>0.2</v>
      </c>
      <c r="I373">
        <v>0</v>
      </c>
      <c r="J373">
        <v>-52.444699999999997</v>
      </c>
      <c r="K373">
        <v>544.96100000000001</v>
      </c>
      <c r="L373">
        <v>0</v>
      </c>
    </row>
    <row r="374" spans="1:12" x14ac:dyDescent="0.25">
      <c r="A374">
        <f>80148277*0.00001</f>
        <v>801.48277000000007</v>
      </c>
      <c r="B374">
        <v>3484</v>
      </c>
      <c r="C374">
        <v>175</v>
      </c>
      <c r="D374">
        <v>205.959</v>
      </c>
      <c r="E374">
        <v>5711</v>
      </c>
      <c r="F374">
        <v>1603</v>
      </c>
      <c r="G374">
        <v>1</v>
      </c>
      <c r="H374">
        <v>0.2</v>
      </c>
      <c r="I374" s="1">
        <f>0</f>
        <v>0</v>
      </c>
      <c r="J374" s="1">
        <f>-55.9441</f>
        <v>-55.944099999999999</v>
      </c>
      <c r="K374">
        <v>544.96100000000001</v>
      </c>
      <c r="L374">
        <v>0</v>
      </c>
    </row>
    <row r="375" spans="1:12" x14ac:dyDescent="0.25">
      <c r="A375">
        <f>80148424*0.00001</f>
        <v>801.48424000000011</v>
      </c>
      <c r="B375">
        <v>3484</v>
      </c>
      <c r="C375">
        <v>176</v>
      </c>
      <c r="D375">
        <v>205.959</v>
      </c>
      <c r="E375">
        <v>5711</v>
      </c>
      <c r="F375">
        <v>1603</v>
      </c>
      <c r="G375">
        <v>1</v>
      </c>
      <c r="H375">
        <v>0.2</v>
      </c>
      <c r="I375">
        <v>0</v>
      </c>
      <c r="J375">
        <v>-55.944099999999999</v>
      </c>
      <c r="K375">
        <v>544.96100000000001</v>
      </c>
      <c r="L375" s="1">
        <f>0</f>
        <v>0</v>
      </c>
    </row>
    <row r="376" spans="1:12" x14ac:dyDescent="0.25">
      <c r="A376">
        <f>80148570*0.00001</f>
        <v>801.48570000000007</v>
      </c>
      <c r="B376">
        <v>3484</v>
      </c>
      <c r="C376">
        <v>177</v>
      </c>
      <c r="D376">
        <v>205.959</v>
      </c>
      <c r="E376" s="1">
        <f>5588</f>
        <v>5588</v>
      </c>
      <c r="F376" s="1">
        <f>1603</f>
        <v>1603</v>
      </c>
      <c r="G376" s="1">
        <f>1</f>
        <v>1</v>
      </c>
      <c r="H376" s="1">
        <f>0.2</f>
        <v>0.2</v>
      </c>
      <c r="I376" s="1">
        <f>0</f>
        <v>0</v>
      </c>
      <c r="J376" s="1">
        <f>-58.5605</f>
        <v>-58.560499999999998</v>
      </c>
      <c r="K376">
        <v>544.96100000000001</v>
      </c>
      <c r="L376">
        <v>0</v>
      </c>
    </row>
    <row r="377" spans="1:12" s="2" customFormat="1" x14ac:dyDescent="0.25">
      <c r="A377" s="2">
        <f>80149005*0.00001</f>
        <v>801.49005000000011</v>
      </c>
      <c r="B377" s="2">
        <v>3485</v>
      </c>
      <c r="C377" s="2">
        <v>0</v>
      </c>
      <c r="D377" s="2">
        <v>205.959</v>
      </c>
      <c r="E377" s="2">
        <v>5588</v>
      </c>
      <c r="F377" s="2">
        <v>1603</v>
      </c>
      <c r="G377" s="2">
        <v>1</v>
      </c>
      <c r="H377" s="2">
        <v>0.2</v>
      </c>
      <c r="I377" s="2">
        <v>0</v>
      </c>
      <c r="J377" s="2">
        <v>-58.560499999999998</v>
      </c>
      <c r="K377" s="1">
        <f>544.794</f>
        <v>544.79399999999998</v>
      </c>
      <c r="L377" s="1">
        <f>0</f>
        <v>0</v>
      </c>
    </row>
    <row r="378" spans="1:12" x14ac:dyDescent="0.25">
      <c r="A378">
        <f>80149149*0.00001</f>
        <v>801.49149000000011</v>
      </c>
      <c r="B378">
        <v>3485</v>
      </c>
      <c r="C378">
        <v>1</v>
      </c>
      <c r="D378" s="1">
        <f>212.442</f>
        <v>212.44200000000001</v>
      </c>
      <c r="E378" s="1">
        <f>5526</f>
        <v>5526</v>
      </c>
      <c r="F378">
        <v>1603</v>
      </c>
      <c r="G378">
        <v>1</v>
      </c>
      <c r="H378">
        <v>0.2</v>
      </c>
      <c r="I378">
        <v>0</v>
      </c>
      <c r="J378">
        <v>-58.560499999999998</v>
      </c>
      <c r="K378">
        <v>544.79399999999998</v>
      </c>
      <c r="L378">
        <v>0</v>
      </c>
    </row>
    <row r="379" spans="1:12" x14ac:dyDescent="0.25">
      <c r="A379">
        <f>80149292*0.00001</f>
        <v>801.49292000000003</v>
      </c>
      <c r="B379">
        <v>3485</v>
      </c>
      <c r="C379">
        <v>2</v>
      </c>
      <c r="D379">
        <v>212.44200000000001</v>
      </c>
      <c r="E379">
        <v>5526</v>
      </c>
      <c r="F379">
        <v>1603</v>
      </c>
      <c r="G379" s="1">
        <f>1</f>
        <v>1</v>
      </c>
      <c r="H379">
        <v>0.2</v>
      </c>
      <c r="I379">
        <v>0</v>
      </c>
      <c r="J379">
        <v>-58.560499999999998</v>
      </c>
      <c r="K379">
        <v>544.79399999999998</v>
      </c>
      <c r="L379">
        <v>0</v>
      </c>
    </row>
    <row r="380" spans="1:12" x14ac:dyDescent="0.25">
      <c r="A380">
        <f>80149434*0.00001</f>
        <v>801.49434000000008</v>
      </c>
      <c r="B380">
        <v>3485</v>
      </c>
      <c r="C380">
        <v>3</v>
      </c>
      <c r="D380" s="1">
        <f>216.383</f>
        <v>216.38300000000001</v>
      </c>
      <c r="E380" s="1">
        <f>5401</f>
        <v>5401</v>
      </c>
      <c r="F380" s="1">
        <f>1603</f>
        <v>1603</v>
      </c>
      <c r="G380" s="1">
        <f>1</f>
        <v>1</v>
      </c>
      <c r="H380">
        <v>0.2</v>
      </c>
      <c r="I380" s="1">
        <f>0</f>
        <v>0</v>
      </c>
      <c r="J380" s="1">
        <f>-61.3772</f>
        <v>-61.377200000000002</v>
      </c>
      <c r="K380" s="1">
        <f>544.753</f>
        <v>544.75300000000004</v>
      </c>
      <c r="L380" s="1">
        <f>0</f>
        <v>0</v>
      </c>
    </row>
    <row r="381" spans="1:12" x14ac:dyDescent="0.25">
      <c r="A381">
        <f>80149999*0.00001</f>
        <v>801.49999000000003</v>
      </c>
      <c r="B381">
        <v>3485</v>
      </c>
      <c r="C381">
        <v>7</v>
      </c>
      <c r="D381">
        <v>216.38300000000001</v>
      </c>
      <c r="E381">
        <v>5401</v>
      </c>
      <c r="F381">
        <v>1603</v>
      </c>
      <c r="G381">
        <v>1</v>
      </c>
      <c r="H381" s="1">
        <f>0.2</f>
        <v>0.2</v>
      </c>
      <c r="I381" s="1">
        <f>0</f>
        <v>0</v>
      </c>
      <c r="J381">
        <v>-61.377200000000002</v>
      </c>
      <c r="K381">
        <v>544.75300000000004</v>
      </c>
      <c r="L381">
        <v>0</v>
      </c>
    </row>
    <row r="382" spans="1:12" x14ac:dyDescent="0.25">
      <c r="A382">
        <f>80150139*0.00001</f>
        <v>801.50139000000001</v>
      </c>
      <c r="B382">
        <v>3485</v>
      </c>
      <c r="C382">
        <v>8</v>
      </c>
      <c r="D382">
        <v>216.38300000000001</v>
      </c>
      <c r="E382">
        <v>5401</v>
      </c>
      <c r="F382">
        <v>1603</v>
      </c>
      <c r="G382">
        <v>1</v>
      </c>
      <c r="H382">
        <v>0.2</v>
      </c>
      <c r="I382">
        <v>0</v>
      </c>
      <c r="J382" s="1">
        <f>-66.0713</f>
        <v>-66.071299999999994</v>
      </c>
      <c r="K382" s="1">
        <f>544.709</f>
        <v>544.70899999999995</v>
      </c>
      <c r="L382">
        <v>0</v>
      </c>
    </row>
    <row r="383" spans="1:12" x14ac:dyDescent="0.25">
      <c r="A383">
        <f>80150278*0.00001</f>
        <v>801.50278000000003</v>
      </c>
      <c r="B383">
        <v>3485</v>
      </c>
      <c r="C383">
        <v>9</v>
      </c>
      <c r="D383" s="1">
        <f>220.258</f>
        <v>220.25800000000001</v>
      </c>
      <c r="E383">
        <v>5401</v>
      </c>
      <c r="F383">
        <v>1603</v>
      </c>
      <c r="G383">
        <v>1</v>
      </c>
      <c r="H383">
        <v>0.2</v>
      </c>
      <c r="I383">
        <v>0</v>
      </c>
      <c r="J383">
        <v>-66.071299999999994</v>
      </c>
      <c r="K383">
        <v>544.70899999999995</v>
      </c>
      <c r="L383" s="1">
        <f>0</f>
        <v>0</v>
      </c>
    </row>
    <row r="384" spans="1:12" x14ac:dyDescent="0.25">
      <c r="A384">
        <f>80150416*0.00001</f>
        <v>801.50416000000007</v>
      </c>
      <c r="B384">
        <v>3485</v>
      </c>
      <c r="C384">
        <v>10</v>
      </c>
      <c r="D384">
        <v>220.25800000000001</v>
      </c>
      <c r="E384">
        <v>5401</v>
      </c>
      <c r="F384" s="1">
        <f>1603</f>
        <v>1603</v>
      </c>
      <c r="G384">
        <v>1</v>
      </c>
      <c r="H384">
        <v>0.2</v>
      </c>
      <c r="I384">
        <v>0</v>
      </c>
      <c r="J384">
        <v>-66.071299999999994</v>
      </c>
      <c r="K384">
        <v>544.70899999999995</v>
      </c>
      <c r="L384">
        <v>0</v>
      </c>
    </row>
    <row r="385" spans="1:12" x14ac:dyDescent="0.25">
      <c r="A385">
        <f>80150555*0.00001</f>
        <v>801.50555000000008</v>
      </c>
      <c r="B385">
        <v>3485</v>
      </c>
      <c r="C385">
        <v>11</v>
      </c>
      <c r="D385">
        <v>220.25800000000001</v>
      </c>
      <c r="E385">
        <v>5401</v>
      </c>
      <c r="F385">
        <v>1603</v>
      </c>
      <c r="G385">
        <v>1</v>
      </c>
      <c r="H385" s="1">
        <f>0.2</f>
        <v>0.2</v>
      </c>
      <c r="I385">
        <v>0</v>
      </c>
      <c r="J385">
        <v>-66.071299999999994</v>
      </c>
      <c r="K385">
        <v>544.70899999999995</v>
      </c>
      <c r="L385">
        <v>0</v>
      </c>
    </row>
    <row r="386" spans="1:12" x14ac:dyDescent="0.25">
      <c r="A386">
        <f>80150693*0.00001</f>
        <v>801.50693000000001</v>
      </c>
      <c r="B386">
        <v>3485</v>
      </c>
      <c r="C386">
        <v>12</v>
      </c>
      <c r="D386">
        <v>220.25800000000001</v>
      </c>
      <c r="E386">
        <v>5401</v>
      </c>
      <c r="F386">
        <v>1603</v>
      </c>
      <c r="G386">
        <v>1</v>
      </c>
      <c r="H386">
        <v>0.2</v>
      </c>
      <c r="I386">
        <v>0</v>
      </c>
      <c r="J386" s="1">
        <f>-69.6956</f>
        <v>-69.695599999999999</v>
      </c>
      <c r="K386">
        <v>544.70899999999995</v>
      </c>
      <c r="L386">
        <v>0</v>
      </c>
    </row>
    <row r="387" spans="1:12" x14ac:dyDescent="0.25">
      <c r="A387">
        <f>80150830*0.00001</f>
        <v>801.50830000000008</v>
      </c>
      <c r="B387">
        <v>3485</v>
      </c>
      <c r="C387">
        <v>13</v>
      </c>
      <c r="D387">
        <v>220.25800000000001</v>
      </c>
      <c r="E387">
        <v>5401</v>
      </c>
      <c r="F387">
        <v>1603</v>
      </c>
      <c r="G387">
        <v>1</v>
      </c>
      <c r="H387">
        <v>0.2</v>
      </c>
      <c r="I387">
        <v>0</v>
      </c>
      <c r="J387">
        <v>-69.695599999999999</v>
      </c>
      <c r="K387">
        <v>544.70899999999995</v>
      </c>
      <c r="L387" s="1">
        <f>0</f>
        <v>0</v>
      </c>
    </row>
    <row r="388" spans="1:12" x14ac:dyDescent="0.25">
      <c r="A388">
        <f>80150967*0.00001</f>
        <v>801.50967000000003</v>
      </c>
      <c r="B388">
        <v>3485</v>
      </c>
      <c r="C388">
        <v>14</v>
      </c>
      <c r="D388">
        <v>220.25800000000001</v>
      </c>
      <c r="E388" s="1">
        <f>5146</f>
        <v>5146</v>
      </c>
      <c r="F388">
        <v>1603</v>
      </c>
      <c r="G388">
        <v>1</v>
      </c>
      <c r="H388">
        <v>0.2</v>
      </c>
      <c r="I388">
        <v>0</v>
      </c>
      <c r="J388">
        <v>-69.695599999999999</v>
      </c>
      <c r="K388">
        <v>544.70899999999995</v>
      </c>
      <c r="L388">
        <v>0</v>
      </c>
    </row>
    <row r="389" spans="1:12" x14ac:dyDescent="0.25">
      <c r="A389">
        <f>80151103*0.00001</f>
        <v>801.51103000000012</v>
      </c>
      <c r="B389">
        <v>3485</v>
      </c>
      <c r="C389">
        <v>15</v>
      </c>
      <c r="D389" s="1">
        <f>235.888</f>
        <v>235.88800000000001</v>
      </c>
      <c r="E389" s="1">
        <f>4842</f>
        <v>4842</v>
      </c>
      <c r="F389" s="1">
        <f>1603</f>
        <v>1603</v>
      </c>
      <c r="G389" s="1">
        <f>1</f>
        <v>1</v>
      </c>
      <c r="H389" s="1">
        <f>0.2</f>
        <v>0.2</v>
      </c>
      <c r="I389" s="1">
        <f>0</f>
        <v>0</v>
      </c>
      <c r="J389" s="1">
        <f>-84.3035</f>
        <v>-84.3035</v>
      </c>
      <c r="K389" s="1">
        <f>544.437</f>
        <v>544.43700000000001</v>
      </c>
      <c r="L389" s="1">
        <f>0</f>
        <v>0</v>
      </c>
    </row>
    <row r="390" spans="1:12" x14ac:dyDescent="0.25">
      <c r="A390">
        <f>80153369*0.00001</f>
        <v>801.53369000000009</v>
      </c>
      <c r="B390">
        <v>3485</v>
      </c>
      <c r="C390">
        <v>32</v>
      </c>
      <c r="D390">
        <v>235.88800000000001</v>
      </c>
      <c r="E390" s="1">
        <f>4739</f>
        <v>4739</v>
      </c>
      <c r="F390">
        <v>1603</v>
      </c>
      <c r="G390">
        <v>1</v>
      </c>
      <c r="H390">
        <v>0.2</v>
      </c>
      <c r="I390">
        <v>0</v>
      </c>
      <c r="J390">
        <v>-84.3035</v>
      </c>
      <c r="K390">
        <v>544.43700000000001</v>
      </c>
      <c r="L390">
        <v>0</v>
      </c>
    </row>
    <row r="391" spans="1:12" x14ac:dyDescent="0.25">
      <c r="A391">
        <f>80153499*0.00001</f>
        <v>801.53499000000011</v>
      </c>
      <c r="B391">
        <v>3485</v>
      </c>
      <c r="C391">
        <v>33</v>
      </c>
      <c r="D391">
        <v>235.88800000000001</v>
      </c>
      <c r="E391">
        <v>4739</v>
      </c>
      <c r="F391">
        <v>1603</v>
      </c>
      <c r="G391" s="1">
        <f>1</f>
        <v>1</v>
      </c>
      <c r="H391">
        <v>0.2</v>
      </c>
      <c r="I391">
        <v>0</v>
      </c>
      <c r="J391">
        <v>-84.3035</v>
      </c>
      <c r="K391">
        <v>544.43700000000001</v>
      </c>
      <c r="L391">
        <v>0</v>
      </c>
    </row>
    <row r="392" spans="1:12" x14ac:dyDescent="0.25">
      <c r="A392">
        <f>80153628*0.00001</f>
        <v>801.53628000000003</v>
      </c>
      <c r="B392">
        <v>3485</v>
      </c>
      <c r="C392">
        <v>34</v>
      </c>
      <c r="D392">
        <v>235.88800000000001</v>
      </c>
      <c r="E392">
        <v>4739</v>
      </c>
      <c r="F392">
        <v>1603</v>
      </c>
      <c r="G392">
        <v>1</v>
      </c>
      <c r="H392">
        <v>0.2</v>
      </c>
      <c r="I392" s="1">
        <f>0</f>
        <v>0</v>
      </c>
      <c r="J392">
        <v>-84.3035</v>
      </c>
      <c r="K392">
        <v>544.43700000000001</v>
      </c>
      <c r="L392">
        <v>0</v>
      </c>
    </row>
    <row r="393" spans="1:12" x14ac:dyDescent="0.25">
      <c r="A393">
        <f>80153757*0.00001</f>
        <v>801.53757000000007</v>
      </c>
      <c r="B393">
        <v>3485</v>
      </c>
      <c r="C393">
        <v>35</v>
      </c>
      <c r="D393">
        <v>235.88800000000001</v>
      </c>
      <c r="E393">
        <v>4739</v>
      </c>
      <c r="F393">
        <v>1603</v>
      </c>
      <c r="G393">
        <v>1</v>
      </c>
      <c r="H393">
        <v>0.2</v>
      </c>
      <c r="I393">
        <v>0</v>
      </c>
      <c r="J393">
        <v>-84.3035</v>
      </c>
      <c r="K393" s="1">
        <f>544.37</f>
        <v>544.37</v>
      </c>
      <c r="L393">
        <v>0</v>
      </c>
    </row>
    <row r="394" spans="1:12" x14ac:dyDescent="0.25">
      <c r="A394">
        <f>80153886*0.00001</f>
        <v>801.53886000000011</v>
      </c>
      <c r="B394">
        <v>3485</v>
      </c>
      <c r="C394">
        <v>36</v>
      </c>
      <c r="D394" s="1">
        <f>242.951</f>
        <v>242.95099999999999</v>
      </c>
      <c r="E394">
        <v>4739</v>
      </c>
      <c r="F394">
        <v>1603</v>
      </c>
      <c r="G394">
        <v>1</v>
      </c>
      <c r="H394">
        <v>0.2</v>
      </c>
      <c r="I394">
        <v>0</v>
      </c>
      <c r="J394">
        <v>-84.3035</v>
      </c>
      <c r="K394">
        <v>544.37</v>
      </c>
      <c r="L394">
        <v>0</v>
      </c>
    </row>
    <row r="395" spans="1:12" x14ac:dyDescent="0.25">
      <c r="A395">
        <f>80154015*0.00001</f>
        <v>801.54015000000004</v>
      </c>
      <c r="B395">
        <v>3485</v>
      </c>
      <c r="C395">
        <v>37</v>
      </c>
      <c r="D395">
        <v>242.95099999999999</v>
      </c>
      <c r="E395">
        <v>4739</v>
      </c>
      <c r="F395" s="1">
        <f>1603</f>
        <v>1603</v>
      </c>
      <c r="G395">
        <v>1</v>
      </c>
      <c r="H395">
        <v>0.2</v>
      </c>
      <c r="I395">
        <v>0</v>
      </c>
      <c r="J395">
        <v>-84.3035</v>
      </c>
      <c r="K395">
        <v>544.37</v>
      </c>
      <c r="L395">
        <v>0</v>
      </c>
    </row>
    <row r="396" spans="1:12" x14ac:dyDescent="0.25">
      <c r="A396">
        <f>80154144*0.00001</f>
        <v>801.54144000000008</v>
      </c>
      <c r="B396">
        <v>3485</v>
      </c>
      <c r="C396">
        <v>38</v>
      </c>
      <c r="D396">
        <v>242.95099999999999</v>
      </c>
      <c r="E396">
        <v>4739</v>
      </c>
      <c r="F396">
        <v>1603</v>
      </c>
      <c r="G396" s="1">
        <f>1</f>
        <v>1</v>
      </c>
      <c r="H396" s="1">
        <f>0.2</f>
        <v>0.2</v>
      </c>
      <c r="I396">
        <v>0</v>
      </c>
      <c r="J396">
        <v>-84.3035</v>
      </c>
      <c r="K396">
        <v>544.37</v>
      </c>
      <c r="L396">
        <v>0</v>
      </c>
    </row>
    <row r="397" spans="1:12" x14ac:dyDescent="0.25">
      <c r="A397">
        <f>80154272*0.00001</f>
        <v>801.54272000000003</v>
      </c>
      <c r="B397">
        <v>3485</v>
      </c>
      <c r="C397">
        <v>39</v>
      </c>
      <c r="D397">
        <v>242.95099999999999</v>
      </c>
      <c r="E397">
        <v>4739</v>
      </c>
      <c r="F397">
        <v>1603</v>
      </c>
      <c r="G397">
        <v>1</v>
      </c>
      <c r="H397">
        <v>0.2</v>
      </c>
      <c r="I397" s="1">
        <f>0</f>
        <v>0</v>
      </c>
      <c r="J397" s="1">
        <f>-90.9893</f>
        <v>-90.9893</v>
      </c>
      <c r="K397">
        <v>544.37</v>
      </c>
      <c r="L397">
        <v>0</v>
      </c>
    </row>
    <row r="398" spans="1:12" x14ac:dyDescent="0.25">
      <c r="A398">
        <f>80154399*0.00001</f>
        <v>801.54399000000012</v>
      </c>
      <c r="B398">
        <v>3485</v>
      </c>
      <c r="C398">
        <v>40</v>
      </c>
      <c r="D398" s="1">
        <f>246.757</f>
        <v>246.75700000000001</v>
      </c>
      <c r="E398" s="1">
        <f>4569</f>
        <v>4569</v>
      </c>
      <c r="F398" s="1">
        <f>1603</f>
        <v>1603</v>
      </c>
      <c r="G398" s="1">
        <f>1</f>
        <v>1</v>
      </c>
      <c r="H398" s="1">
        <f>0.2</f>
        <v>0.2</v>
      </c>
      <c r="I398" s="1">
        <f>0</f>
        <v>0</v>
      </c>
      <c r="J398" s="1">
        <f>-94.5916</f>
        <v>-94.5916</v>
      </c>
      <c r="K398" s="1">
        <f>544.3</f>
        <v>544.29999999999995</v>
      </c>
      <c r="L398" s="1">
        <f>0</f>
        <v>0</v>
      </c>
    </row>
    <row r="399" spans="1:12" x14ac:dyDescent="0.25">
      <c r="A399">
        <f>80155031*0.00001</f>
        <v>801.55031000000008</v>
      </c>
      <c r="B399">
        <v>3485</v>
      </c>
      <c r="C399">
        <v>45</v>
      </c>
      <c r="D399">
        <v>246.75700000000001</v>
      </c>
      <c r="E399">
        <v>4569</v>
      </c>
      <c r="F399">
        <v>1603</v>
      </c>
      <c r="G399">
        <v>1</v>
      </c>
      <c r="H399">
        <v>0.2</v>
      </c>
      <c r="I399">
        <v>0</v>
      </c>
      <c r="J399">
        <v>-94.5916</v>
      </c>
      <c r="K399">
        <v>544.29999999999995</v>
      </c>
      <c r="L399" s="1">
        <f>0</f>
        <v>0</v>
      </c>
    </row>
    <row r="400" spans="1:12" x14ac:dyDescent="0.25">
      <c r="A400">
        <f>80155156*0.00001</f>
        <v>801.55156000000011</v>
      </c>
      <c r="B400">
        <v>3485</v>
      </c>
      <c r="C400">
        <v>46</v>
      </c>
      <c r="D400">
        <v>246.75700000000001</v>
      </c>
      <c r="E400" s="1">
        <f>4480</f>
        <v>4480</v>
      </c>
      <c r="F400">
        <v>1603</v>
      </c>
      <c r="G400">
        <v>1</v>
      </c>
      <c r="H400">
        <v>0.2</v>
      </c>
      <c r="I400">
        <v>0</v>
      </c>
      <c r="J400">
        <v>-94.5916</v>
      </c>
      <c r="K400">
        <v>544.29999999999995</v>
      </c>
      <c r="L400">
        <v>0</v>
      </c>
    </row>
    <row r="401" spans="1:12" x14ac:dyDescent="0.25">
      <c r="A401">
        <f>80155281*0.00001</f>
        <v>801.55281000000002</v>
      </c>
      <c r="B401">
        <v>3485</v>
      </c>
      <c r="C401">
        <v>47</v>
      </c>
      <c r="D401">
        <v>246.75700000000001</v>
      </c>
      <c r="E401">
        <v>4480</v>
      </c>
      <c r="F401">
        <v>1603</v>
      </c>
      <c r="G401" s="1">
        <f>1</f>
        <v>1</v>
      </c>
      <c r="H401">
        <v>0.2</v>
      </c>
      <c r="I401">
        <v>0</v>
      </c>
      <c r="J401">
        <v>-94.5916</v>
      </c>
      <c r="K401">
        <v>544.29999999999995</v>
      </c>
      <c r="L401">
        <v>0</v>
      </c>
    </row>
    <row r="402" spans="1:12" x14ac:dyDescent="0.25">
      <c r="A402">
        <f>80155406*0.00001</f>
        <v>801.55406000000005</v>
      </c>
      <c r="B402">
        <v>3485</v>
      </c>
      <c r="C402">
        <v>48</v>
      </c>
      <c r="D402">
        <v>246.75700000000001</v>
      </c>
      <c r="E402">
        <v>4480</v>
      </c>
      <c r="F402">
        <v>1603</v>
      </c>
      <c r="G402">
        <v>1</v>
      </c>
      <c r="H402" s="1">
        <f>0.2</f>
        <v>0.2</v>
      </c>
      <c r="I402" s="1">
        <f>0</f>
        <v>0</v>
      </c>
      <c r="J402">
        <v>-94.5916</v>
      </c>
      <c r="K402">
        <v>544.29999999999995</v>
      </c>
      <c r="L402">
        <v>0</v>
      </c>
    </row>
    <row r="403" spans="1:12" x14ac:dyDescent="0.25">
      <c r="A403">
        <f>80155530*0.00001</f>
        <v>801.5553000000001</v>
      </c>
      <c r="B403">
        <v>3485</v>
      </c>
      <c r="C403">
        <v>49</v>
      </c>
      <c r="D403" s="1">
        <f>253.446</f>
        <v>253.446</v>
      </c>
      <c r="E403" s="1">
        <f>4396</f>
        <v>4396</v>
      </c>
      <c r="F403">
        <v>1603</v>
      </c>
      <c r="G403">
        <v>1</v>
      </c>
      <c r="H403">
        <v>0.2</v>
      </c>
      <c r="I403">
        <v>0</v>
      </c>
      <c r="J403" s="1">
        <f>-98.1364</f>
        <v>-98.136399999999995</v>
      </c>
      <c r="K403" s="1">
        <f>544.17</f>
        <v>544.16999999999996</v>
      </c>
      <c r="L403" s="1">
        <f>0</f>
        <v>0</v>
      </c>
    </row>
    <row r="404" spans="1:12" x14ac:dyDescent="0.25">
      <c r="A404">
        <f>80155902*0.00001</f>
        <v>801.55902000000003</v>
      </c>
      <c r="B404">
        <v>3485</v>
      </c>
      <c r="C404">
        <v>52</v>
      </c>
      <c r="D404">
        <v>253.446</v>
      </c>
      <c r="E404">
        <v>4396</v>
      </c>
      <c r="F404">
        <v>1603</v>
      </c>
      <c r="G404" s="1">
        <f>1</f>
        <v>1</v>
      </c>
      <c r="H404">
        <v>0.2</v>
      </c>
      <c r="I404">
        <v>0</v>
      </c>
      <c r="J404">
        <v>-98.136399999999995</v>
      </c>
      <c r="K404">
        <v>544.16999999999996</v>
      </c>
      <c r="L404">
        <v>0</v>
      </c>
    </row>
    <row r="405" spans="1:12" x14ac:dyDescent="0.25">
      <c r="A405">
        <f>80156025*0.00001</f>
        <v>801.56025000000011</v>
      </c>
      <c r="B405">
        <v>3485</v>
      </c>
      <c r="C405">
        <v>53</v>
      </c>
      <c r="D405">
        <v>253.446</v>
      </c>
      <c r="E405">
        <v>4396</v>
      </c>
      <c r="F405">
        <v>1603</v>
      </c>
      <c r="G405">
        <v>1</v>
      </c>
      <c r="H405">
        <v>0.2</v>
      </c>
      <c r="I405" s="1">
        <f>0</f>
        <v>0</v>
      </c>
      <c r="J405">
        <v>-98.136399999999995</v>
      </c>
      <c r="K405">
        <v>544.16999999999996</v>
      </c>
      <c r="L405">
        <v>0</v>
      </c>
    </row>
    <row r="406" spans="1:12" x14ac:dyDescent="0.25">
      <c r="A406">
        <f>80156148*0.00001</f>
        <v>801.56148000000007</v>
      </c>
      <c r="B406">
        <v>3485</v>
      </c>
      <c r="C406">
        <v>54</v>
      </c>
      <c r="D406">
        <v>253.446</v>
      </c>
      <c r="E406">
        <v>4396</v>
      </c>
      <c r="F406">
        <v>1603</v>
      </c>
      <c r="G406">
        <v>1</v>
      </c>
      <c r="H406">
        <v>0.2</v>
      </c>
      <c r="I406">
        <v>0</v>
      </c>
      <c r="J406">
        <v>-98.136399999999995</v>
      </c>
      <c r="K406" s="1">
        <f>544.096</f>
        <v>544.096</v>
      </c>
      <c r="L406">
        <v>0</v>
      </c>
    </row>
    <row r="407" spans="1:12" x14ac:dyDescent="0.25">
      <c r="A407">
        <f>80156271*0.00001</f>
        <v>801.56271000000004</v>
      </c>
      <c r="B407">
        <v>3485</v>
      </c>
      <c r="C407">
        <v>55</v>
      </c>
      <c r="D407" s="1">
        <f>257.08</f>
        <v>257.08</v>
      </c>
      <c r="E407">
        <v>4396</v>
      </c>
      <c r="F407">
        <v>1603</v>
      </c>
      <c r="G407">
        <v>1</v>
      </c>
      <c r="H407">
        <v>0.2</v>
      </c>
      <c r="I407">
        <v>0</v>
      </c>
      <c r="J407">
        <v>-98.136399999999995</v>
      </c>
      <c r="K407">
        <v>544.096</v>
      </c>
      <c r="L407" s="1">
        <f>0</f>
        <v>0</v>
      </c>
    </row>
    <row r="408" spans="1:12" x14ac:dyDescent="0.25">
      <c r="A408">
        <f>80156394*0.00001</f>
        <v>801.56394000000012</v>
      </c>
      <c r="B408">
        <v>3485</v>
      </c>
      <c r="C408">
        <v>56</v>
      </c>
      <c r="D408">
        <v>257.08</v>
      </c>
      <c r="E408" s="1">
        <f>4331</f>
        <v>4331</v>
      </c>
      <c r="F408" s="1">
        <f>1603</f>
        <v>1603</v>
      </c>
      <c r="G408" s="1">
        <f>1</f>
        <v>1</v>
      </c>
      <c r="H408" s="1">
        <f>0.2</f>
        <v>0.2</v>
      </c>
      <c r="I408" s="1">
        <f>0</f>
        <v>0</v>
      </c>
      <c r="J408">
        <v>-98.136399999999995</v>
      </c>
      <c r="K408">
        <v>544.096</v>
      </c>
      <c r="L408">
        <v>0</v>
      </c>
    </row>
    <row r="409" spans="1:12" x14ac:dyDescent="0.25">
      <c r="A409">
        <f>80156759*0.00001</f>
        <v>801.56759000000011</v>
      </c>
      <c r="B409">
        <v>3485</v>
      </c>
      <c r="C409">
        <v>59</v>
      </c>
      <c r="D409">
        <v>257.08</v>
      </c>
      <c r="E409">
        <v>4331</v>
      </c>
      <c r="F409">
        <v>1603</v>
      </c>
      <c r="G409">
        <v>1</v>
      </c>
      <c r="H409">
        <v>0.2</v>
      </c>
      <c r="I409">
        <v>0</v>
      </c>
      <c r="J409">
        <v>-98.136399999999995</v>
      </c>
      <c r="K409" s="1">
        <f>544.019</f>
        <v>544.01900000000001</v>
      </c>
      <c r="L409">
        <v>0</v>
      </c>
    </row>
    <row r="410" spans="1:12" x14ac:dyDescent="0.25">
      <c r="A410">
        <f>80156880*0.00001</f>
        <v>801.56880000000001</v>
      </c>
      <c r="B410">
        <v>3485</v>
      </c>
      <c r="C410">
        <v>60</v>
      </c>
      <c r="D410" s="1">
        <f>260.682</f>
        <v>260.68200000000002</v>
      </c>
      <c r="E410">
        <v>4331</v>
      </c>
      <c r="F410">
        <v>1603</v>
      </c>
      <c r="G410">
        <v>1</v>
      </c>
      <c r="H410">
        <v>0.2</v>
      </c>
      <c r="I410">
        <v>0</v>
      </c>
      <c r="J410">
        <v>-98.136399999999995</v>
      </c>
      <c r="K410">
        <v>544.01900000000001</v>
      </c>
      <c r="L410" s="1">
        <f>0</f>
        <v>0</v>
      </c>
    </row>
    <row r="411" spans="1:12" x14ac:dyDescent="0.25">
      <c r="A411">
        <f>80157000*0.00001</f>
        <v>801.57</v>
      </c>
      <c r="B411">
        <v>3485</v>
      </c>
      <c r="C411">
        <v>61</v>
      </c>
      <c r="D411">
        <v>260.68200000000002</v>
      </c>
      <c r="E411" s="1">
        <f>4252</f>
        <v>4252</v>
      </c>
      <c r="F411" s="1">
        <f>1603</f>
        <v>1603</v>
      </c>
      <c r="G411" s="1">
        <f>1</f>
        <v>1</v>
      </c>
      <c r="H411" s="1">
        <f>0.2</f>
        <v>0.2</v>
      </c>
      <c r="I411" s="1">
        <f>0</f>
        <v>0</v>
      </c>
      <c r="J411">
        <v>-98.136399999999995</v>
      </c>
      <c r="K411">
        <v>544.01900000000001</v>
      </c>
      <c r="L411">
        <v>0</v>
      </c>
    </row>
    <row r="412" spans="1:12" x14ac:dyDescent="0.25">
      <c r="A412">
        <f>80157360*0.00001</f>
        <v>801.57360000000006</v>
      </c>
      <c r="B412">
        <v>3485</v>
      </c>
      <c r="C412">
        <v>64</v>
      </c>
      <c r="D412">
        <v>260.68200000000002</v>
      </c>
      <c r="E412">
        <v>4252</v>
      </c>
      <c r="F412">
        <v>1603</v>
      </c>
      <c r="G412">
        <v>1</v>
      </c>
      <c r="H412">
        <v>0.2</v>
      </c>
      <c r="I412">
        <v>0</v>
      </c>
      <c r="J412">
        <v>-98.136399999999995</v>
      </c>
      <c r="K412" s="1">
        <f>543.942</f>
        <v>543.94200000000001</v>
      </c>
      <c r="L412">
        <v>0</v>
      </c>
    </row>
    <row r="413" spans="1:12" x14ac:dyDescent="0.25">
      <c r="A413">
        <f>80157479*0.00001</f>
        <v>801.57479000000012</v>
      </c>
      <c r="B413">
        <v>3485</v>
      </c>
      <c r="C413">
        <v>65</v>
      </c>
      <c r="D413" s="1">
        <f>264.256</f>
        <v>264.25599999999997</v>
      </c>
      <c r="E413">
        <v>4252</v>
      </c>
      <c r="F413">
        <v>1603</v>
      </c>
      <c r="G413">
        <v>1</v>
      </c>
      <c r="H413">
        <v>0.2</v>
      </c>
      <c r="I413">
        <v>0</v>
      </c>
      <c r="J413">
        <v>-98.136399999999995</v>
      </c>
      <c r="K413">
        <v>543.94200000000001</v>
      </c>
      <c r="L413">
        <v>0</v>
      </c>
    </row>
    <row r="414" spans="1:12" x14ac:dyDescent="0.25">
      <c r="A414">
        <f>80157598*0.00001</f>
        <v>801.57598000000007</v>
      </c>
      <c r="B414">
        <v>3485</v>
      </c>
      <c r="C414">
        <v>66</v>
      </c>
      <c r="D414">
        <v>264.25599999999997</v>
      </c>
      <c r="E414" s="1">
        <f>4176</f>
        <v>4176</v>
      </c>
      <c r="F414" s="1">
        <f>1603</f>
        <v>1603</v>
      </c>
      <c r="G414" s="1">
        <f>1</f>
        <v>1</v>
      </c>
      <c r="H414" s="1">
        <f>0.2</f>
        <v>0.2</v>
      </c>
      <c r="I414" s="1">
        <f>0</f>
        <v>0</v>
      </c>
      <c r="J414">
        <v>-98.136399999999995</v>
      </c>
      <c r="K414">
        <v>543.94200000000001</v>
      </c>
      <c r="L414">
        <v>0</v>
      </c>
    </row>
    <row r="415" spans="1:12" x14ac:dyDescent="0.25">
      <c r="A415">
        <f>80157955*0.00001</f>
        <v>801.57955000000004</v>
      </c>
      <c r="B415">
        <v>3485</v>
      </c>
      <c r="C415">
        <v>69</v>
      </c>
      <c r="D415">
        <v>264.25599999999997</v>
      </c>
      <c r="E415">
        <v>4176</v>
      </c>
      <c r="F415">
        <v>1603</v>
      </c>
      <c r="G415">
        <v>1</v>
      </c>
      <c r="H415">
        <v>0.2</v>
      </c>
      <c r="I415">
        <v>0</v>
      </c>
      <c r="J415">
        <v>-98.136399999999995</v>
      </c>
      <c r="K415" s="1">
        <f>543.862</f>
        <v>543.86199999999997</v>
      </c>
      <c r="L415">
        <v>0</v>
      </c>
    </row>
    <row r="416" spans="1:12" x14ac:dyDescent="0.25">
      <c r="A416">
        <f>80158073*0.00001</f>
        <v>801.58073000000002</v>
      </c>
      <c r="B416">
        <v>3485</v>
      </c>
      <c r="C416">
        <v>70</v>
      </c>
      <c r="D416" s="1">
        <f>267.788</f>
        <v>267.78800000000001</v>
      </c>
      <c r="E416" s="1">
        <f>4103</f>
        <v>4103</v>
      </c>
      <c r="F416" s="1">
        <f>1603</f>
        <v>1603</v>
      </c>
      <c r="G416" s="1">
        <f>1</f>
        <v>1</v>
      </c>
      <c r="H416">
        <v>0.2</v>
      </c>
      <c r="I416">
        <v>0</v>
      </c>
      <c r="J416">
        <v>-98.136399999999995</v>
      </c>
      <c r="K416">
        <v>543.86199999999997</v>
      </c>
      <c r="L416" s="1">
        <f>0</f>
        <v>0</v>
      </c>
    </row>
    <row r="417" spans="1:12" x14ac:dyDescent="0.25">
      <c r="A417">
        <f>80158426*0.00001</f>
        <v>801.58426000000009</v>
      </c>
      <c r="B417">
        <v>3485</v>
      </c>
      <c r="C417">
        <v>73</v>
      </c>
      <c r="D417">
        <v>267.78800000000001</v>
      </c>
      <c r="E417">
        <v>4103</v>
      </c>
      <c r="F417">
        <v>1603</v>
      </c>
      <c r="G417">
        <v>1</v>
      </c>
      <c r="H417">
        <v>0.2</v>
      </c>
      <c r="I417" s="1">
        <f>0</f>
        <v>0</v>
      </c>
      <c r="J417">
        <v>-98.136399999999995</v>
      </c>
      <c r="K417">
        <v>543.86199999999997</v>
      </c>
      <c r="L417">
        <v>0</v>
      </c>
    </row>
    <row r="418" spans="1:12" x14ac:dyDescent="0.25">
      <c r="A418">
        <f>80158543*0.00001</f>
        <v>801.58543000000009</v>
      </c>
      <c r="B418">
        <v>3485</v>
      </c>
      <c r="C418">
        <v>74</v>
      </c>
      <c r="D418" s="1">
        <f>271.318</f>
        <v>271.31799999999998</v>
      </c>
      <c r="E418" s="1">
        <f>4018</f>
        <v>4018</v>
      </c>
      <c r="F418">
        <v>1603</v>
      </c>
      <c r="G418">
        <v>1</v>
      </c>
      <c r="H418">
        <v>0.2</v>
      </c>
      <c r="I418">
        <v>0</v>
      </c>
      <c r="J418" s="1">
        <f>-115.287</f>
        <v>-115.28700000000001</v>
      </c>
      <c r="K418" s="1">
        <f>543.782</f>
        <v>543.78200000000004</v>
      </c>
      <c r="L418" s="1">
        <f>0</f>
        <v>0</v>
      </c>
    </row>
    <row r="419" spans="1:12" x14ac:dyDescent="0.25">
      <c r="A419">
        <f>80158893*0.00001</f>
        <v>801.58893000000012</v>
      </c>
      <c r="B419">
        <v>3485</v>
      </c>
      <c r="C419">
        <v>77</v>
      </c>
      <c r="D419">
        <v>271.31799999999998</v>
      </c>
      <c r="E419">
        <v>4018</v>
      </c>
      <c r="F419">
        <v>1603</v>
      </c>
      <c r="G419" s="1">
        <f>1</f>
        <v>1</v>
      </c>
      <c r="H419">
        <v>0.2</v>
      </c>
      <c r="I419">
        <v>0</v>
      </c>
      <c r="J419">
        <v>-115.28700000000001</v>
      </c>
      <c r="K419">
        <v>543.78200000000004</v>
      </c>
      <c r="L419">
        <v>0</v>
      </c>
    </row>
    <row r="420" spans="1:12" x14ac:dyDescent="0.25">
      <c r="A420">
        <f>80159009*0.00001</f>
        <v>801.59009000000003</v>
      </c>
      <c r="B420">
        <v>3485</v>
      </c>
      <c r="C420">
        <v>78</v>
      </c>
      <c r="D420">
        <v>271.31799999999998</v>
      </c>
      <c r="E420">
        <v>4018</v>
      </c>
      <c r="F420">
        <v>1603</v>
      </c>
      <c r="G420">
        <v>1</v>
      </c>
      <c r="H420" s="1">
        <f>0.2</f>
        <v>0.2</v>
      </c>
      <c r="I420" s="1">
        <f>0</f>
        <v>0</v>
      </c>
      <c r="J420" s="1">
        <f>-118.642</f>
        <v>-118.642</v>
      </c>
      <c r="K420" s="1">
        <f>543.7</f>
        <v>543.70000000000005</v>
      </c>
      <c r="L420" s="1">
        <f>0</f>
        <v>0</v>
      </c>
    </row>
    <row r="421" spans="1:12" x14ac:dyDescent="0.25">
      <c r="A421">
        <f>80159355*0.00001</f>
        <v>801.59355000000005</v>
      </c>
      <c r="B421">
        <v>3485</v>
      </c>
      <c r="C421">
        <v>81</v>
      </c>
      <c r="D421">
        <v>271.31799999999998</v>
      </c>
      <c r="E421" s="1">
        <f>3950</f>
        <v>3950</v>
      </c>
      <c r="F421">
        <v>1603</v>
      </c>
      <c r="G421">
        <v>1</v>
      </c>
      <c r="H421">
        <v>0.2</v>
      </c>
      <c r="I421">
        <v>0</v>
      </c>
      <c r="J421">
        <v>-118.642</v>
      </c>
      <c r="K421">
        <v>543.70000000000005</v>
      </c>
      <c r="L421">
        <v>0</v>
      </c>
    </row>
    <row r="422" spans="1:12" x14ac:dyDescent="0.25">
      <c r="A422">
        <f>80159469*0.00001</f>
        <v>801.59469000000001</v>
      </c>
      <c r="B422">
        <v>3485</v>
      </c>
      <c r="C422">
        <v>82</v>
      </c>
      <c r="D422">
        <v>271.31799999999998</v>
      </c>
      <c r="E422">
        <v>3950</v>
      </c>
      <c r="F422" s="1">
        <f>1603</f>
        <v>1603</v>
      </c>
      <c r="G422" s="1">
        <f>1</f>
        <v>1</v>
      </c>
      <c r="H422" s="1">
        <f>0.2</f>
        <v>0.2</v>
      </c>
      <c r="I422">
        <v>0</v>
      </c>
      <c r="J422">
        <v>-118.642</v>
      </c>
      <c r="K422">
        <v>543.70000000000005</v>
      </c>
      <c r="L422">
        <v>0</v>
      </c>
    </row>
    <row r="423" spans="1:12" x14ac:dyDescent="0.25">
      <c r="A423">
        <f>80159697*0.00001</f>
        <v>801.59697000000006</v>
      </c>
      <c r="B423">
        <v>3485</v>
      </c>
      <c r="C423">
        <v>84</v>
      </c>
      <c r="D423">
        <v>271.31799999999998</v>
      </c>
      <c r="E423">
        <v>3950</v>
      </c>
      <c r="F423">
        <v>1603</v>
      </c>
      <c r="G423">
        <v>1</v>
      </c>
      <c r="H423">
        <v>0.2</v>
      </c>
      <c r="I423">
        <v>0</v>
      </c>
      <c r="J423" s="1">
        <f>-121.994</f>
        <v>-121.994</v>
      </c>
      <c r="K423">
        <v>543.70000000000005</v>
      </c>
      <c r="L423">
        <v>0</v>
      </c>
    </row>
    <row r="424" spans="1:12" x14ac:dyDescent="0.25">
      <c r="A424">
        <f>80159811*0.00001</f>
        <v>801.59811000000002</v>
      </c>
      <c r="B424">
        <v>3485</v>
      </c>
      <c r="C424">
        <v>85</v>
      </c>
      <c r="D424" s="1">
        <f>278.996</f>
        <v>278.99599999999998</v>
      </c>
      <c r="E424" s="1">
        <f>3884</f>
        <v>3884</v>
      </c>
      <c r="F424" s="1">
        <f>1603</f>
        <v>1603</v>
      </c>
      <c r="G424">
        <v>1</v>
      </c>
      <c r="H424">
        <v>0.2</v>
      </c>
      <c r="I424">
        <v>0</v>
      </c>
      <c r="J424">
        <v>-121.994</v>
      </c>
      <c r="K424" s="1">
        <f>543.6</f>
        <v>543.6</v>
      </c>
      <c r="L424" s="1">
        <f>0</f>
        <v>0</v>
      </c>
    </row>
    <row r="425" spans="1:12" x14ac:dyDescent="0.25">
      <c r="A425">
        <f>80160151*0.00001</f>
        <v>801.60151000000008</v>
      </c>
      <c r="B425">
        <v>3485</v>
      </c>
      <c r="C425">
        <v>88</v>
      </c>
      <c r="D425">
        <v>278.99599999999998</v>
      </c>
      <c r="E425">
        <v>3884</v>
      </c>
      <c r="F425">
        <v>1603</v>
      </c>
      <c r="G425">
        <v>1</v>
      </c>
      <c r="H425" s="1">
        <f>0.2</f>
        <v>0.2</v>
      </c>
      <c r="I425">
        <v>0</v>
      </c>
      <c r="J425">
        <v>-121.994</v>
      </c>
      <c r="K425">
        <v>543.6</v>
      </c>
      <c r="L425">
        <v>0</v>
      </c>
    </row>
    <row r="426" spans="1:12" x14ac:dyDescent="0.25">
      <c r="A426">
        <f>80160264*0.00001</f>
        <v>801.60264000000006</v>
      </c>
      <c r="B426">
        <v>3485</v>
      </c>
      <c r="C426">
        <v>89</v>
      </c>
      <c r="D426">
        <v>278.99599999999998</v>
      </c>
      <c r="E426">
        <v>3884</v>
      </c>
      <c r="F426">
        <v>1603</v>
      </c>
      <c r="G426">
        <v>1</v>
      </c>
      <c r="H426">
        <v>0.2</v>
      </c>
      <c r="I426" s="1">
        <f>0</f>
        <v>0</v>
      </c>
      <c r="J426" s="1">
        <f>-125.316</f>
        <v>-125.316</v>
      </c>
      <c r="K426" s="1">
        <f>543.515</f>
        <v>543.51499999999999</v>
      </c>
      <c r="L426">
        <v>0</v>
      </c>
    </row>
    <row r="427" spans="1:12" x14ac:dyDescent="0.25">
      <c r="A427">
        <f>80160488*0.00001</f>
        <v>801.60488000000009</v>
      </c>
      <c r="B427">
        <v>3485</v>
      </c>
      <c r="C427">
        <v>91</v>
      </c>
      <c r="D427" s="1">
        <f>282.468</f>
        <v>282.46800000000002</v>
      </c>
      <c r="E427">
        <v>3884</v>
      </c>
      <c r="F427">
        <v>1603</v>
      </c>
      <c r="G427">
        <v>1</v>
      </c>
      <c r="H427">
        <v>0.2</v>
      </c>
      <c r="I427">
        <v>0</v>
      </c>
      <c r="J427">
        <v>-125.316</v>
      </c>
      <c r="K427">
        <v>543.51499999999999</v>
      </c>
      <c r="L427">
        <v>0</v>
      </c>
    </row>
    <row r="428" spans="1:12" x14ac:dyDescent="0.25">
      <c r="A428">
        <f>80160600*0.00001</f>
        <v>801.60600000000011</v>
      </c>
      <c r="B428">
        <v>3485</v>
      </c>
      <c r="C428">
        <v>92</v>
      </c>
      <c r="D428">
        <v>282.46800000000002</v>
      </c>
      <c r="E428" s="1">
        <f>3819</f>
        <v>3819</v>
      </c>
      <c r="F428" s="1">
        <f>1603</f>
        <v>1603</v>
      </c>
      <c r="G428" s="1">
        <f>1</f>
        <v>1</v>
      </c>
      <c r="H428">
        <v>0.2</v>
      </c>
      <c r="I428">
        <v>0</v>
      </c>
      <c r="J428">
        <v>-125.316</v>
      </c>
      <c r="K428">
        <v>543.51499999999999</v>
      </c>
      <c r="L428">
        <v>0</v>
      </c>
    </row>
    <row r="429" spans="1:12" x14ac:dyDescent="0.25">
      <c r="A429">
        <f>80160823*0.00001</f>
        <v>801.60823000000005</v>
      </c>
      <c r="B429">
        <v>3485</v>
      </c>
      <c r="C429">
        <v>94</v>
      </c>
      <c r="D429">
        <v>282.46800000000002</v>
      </c>
      <c r="E429">
        <v>3819</v>
      </c>
      <c r="F429">
        <v>1603</v>
      </c>
      <c r="G429">
        <v>1</v>
      </c>
      <c r="H429">
        <v>0.2</v>
      </c>
      <c r="I429" s="1">
        <f>0</f>
        <v>0</v>
      </c>
      <c r="J429">
        <v>-125.316</v>
      </c>
      <c r="K429">
        <v>543.51499999999999</v>
      </c>
      <c r="L429">
        <v>0</v>
      </c>
    </row>
    <row r="430" spans="1:12" x14ac:dyDescent="0.25">
      <c r="A430">
        <f>80160934*0.00001</f>
        <v>801.60934000000009</v>
      </c>
      <c r="B430">
        <v>3485</v>
      </c>
      <c r="C430">
        <v>95</v>
      </c>
      <c r="D430">
        <v>282.46800000000002</v>
      </c>
      <c r="E430">
        <v>3819</v>
      </c>
      <c r="F430">
        <v>1603</v>
      </c>
      <c r="G430">
        <v>1</v>
      </c>
      <c r="H430">
        <v>0.2</v>
      </c>
      <c r="I430">
        <v>0</v>
      </c>
      <c r="J430" s="1">
        <f>-129.3</f>
        <v>-129.30000000000001</v>
      </c>
      <c r="K430" s="1">
        <f>543.428</f>
        <v>543.428</v>
      </c>
      <c r="L430" s="1">
        <f>0</f>
        <v>0</v>
      </c>
    </row>
    <row r="431" spans="1:12" x14ac:dyDescent="0.25">
      <c r="A431">
        <f>80161157*0.00001</f>
        <v>801.61157000000003</v>
      </c>
      <c r="B431">
        <v>3485</v>
      </c>
      <c r="C431">
        <v>97</v>
      </c>
      <c r="D431">
        <v>282.46800000000002</v>
      </c>
      <c r="E431" s="1">
        <f>3744</f>
        <v>3744</v>
      </c>
      <c r="F431">
        <v>1603</v>
      </c>
      <c r="G431">
        <v>1</v>
      </c>
      <c r="H431">
        <v>0.2</v>
      </c>
      <c r="I431">
        <v>0</v>
      </c>
      <c r="J431">
        <v>-129.30000000000001</v>
      </c>
      <c r="K431">
        <v>543.428</v>
      </c>
      <c r="L431">
        <v>0</v>
      </c>
    </row>
    <row r="432" spans="1:12" x14ac:dyDescent="0.25">
      <c r="A432">
        <f>80161268*0.00001</f>
        <v>801.61268000000007</v>
      </c>
      <c r="B432">
        <v>3485</v>
      </c>
      <c r="C432">
        <v>98</v>
      </c>
      <c r="D432">
        <v>282.46800000000002</v>
      </c>
      <c r="E432">
        <v>3744</v>
      </c>
      <c r="F432" s="1">
        <f>1603</f>
        <v>1603</v>
      </c>
      <c r="G432" s="1">
        <f>1</f>
        <v>1</v>
      </c>
      <c r="H432" s="1">
        <f>0.2</f>
        <v>0.2</v>
      </c>
      <c r="I432">
        <v>0</v>
      </c>
      <c r="J432">
        <v>-129.30000000000001</v>
      </c>
      <c r="K432">
        <v>543.428</v>
      </c>
      <c r="L432">
        <v>0</v>
      </c>
    </row>
    <row r="433" spans="1:12" x14ac:dyDescent="0.25">
      <c r="A433">
        <f>80161488*0.00001</f>
        <v>801.61488000000008</v>
      </c>
      <c r="B433">
        <v>3485</v>
      </c>
      <c r="C433">
        <v>100</v>
      </c>
      <c r="D433">
        <v>282.46800000000002</v>
      </c>
      <c r="E433">
        <v>3744</v>
      </c>
      <c r="F433">
        <v>1603</v>
      </c>
      <c r="G433">
        <v>1</v>
      </c>
      <c r="H433">
        <v>0.2</v>
      </c>
      <c r="I433">
        <v>0</v>
      </c>
      <c r="J433" s="1">
        <f>-132.607</f>
        <v>-132.607</v>
      </c>
      <c r="K433">
        <v>543.428</v>
      </c>
      <c r="L433">
        <v>0</v>
      </c>
    </row>
    <row r="434" spans="1:12" x14ac:dyDescent="0.25">
      <c r="A434">
        <f>80161597*0.00001</f>
        <v>801.61597000000006</v>
      </c>
      <c r="B434">
        <v>3485</v>
      </c>
      <c r="C434">
        <v>101</v>
      </c>
      <c r="D434" s="1">
        <f>290.04</f>
        <v>290.04000000000002</v>
      </c>
      <c r="E434">
        <v>3744</v>
      </c>
      <c r="F434">
        <v>1603</v>
      </c>
      <c r="G434">
        <v>1</v>
      </c>
      <c r="H434">
        <v>0.2</v>
      </c>
      <c r="I434">
        <v>0</v>
      </c>
      <c r="J434">
        <v>-132.607</v>
      </c>
      <c r="K434" s="1">
        <f>543.323</f>
        <v>543.32299999999998</v>
      </c>
      <c r="L434" s="1">
        <f>0</f>
        <v>0</v>
      </c>
    </row>
    <row r="435" spans="1:12" x14ac:dyDescent="0.25">
      <c r="A435">
        <f>80161815*0.00001</f>
        <v>801.61815000000001</v>
      </c>
      <c r="B435">
        <v>3485</v>
      </c>
      <c r="C435">
        <v>103</v>
      </c>
      <c r="D435">
        <v>290.04000000000002</v>
      </c>
      <c r="E435">
        <v>3744</v>
      </c>
      <c r="F435" s="1">
        <f>1603</f>
        <v>1603</v>
      </c>
      <c r="G435" s="1">
        <f>1</f>
        <v>1</v>
      </c>
      <c r="H435">
        <v>0.2</v>
      </c>
      <c r="I435">
        <v>0</v>
      </c>
      <c r="J435">
        <v>-132.607</v>
      </c>
      <c r="K435">
        <v>543.32299999999998</v>
      </c>
      <c r="L435">
        <v>0</v>
      </c>
    </row>
    <row r="436" spans="1:12" x14ac:dyDescent="0.25">
      <c r="A436">
        <f>80162033*0.00001</f>
        <v>801.62033000000008</v>
      </c>
      <c r="B436">
        <v>3485</v>
      </c>
      <c r="C436">
        <v>105</v>
      </c>
      <c r="D436">
        <v>290.04000000000002</v>
      </c>
      <c r="E436">
        <v>3744</v>
      </c>
      <c r="F436">
        <v>1603</v>
      </c>
      <c r="G436">
        <v>1</v>
      </c>
      <c r="H436">
        <v>0.2</v>
      </c>
      <c r="I436" s="1">
        <f>0</f>
        <v>0</v>
      </c>
      <c r="J436">
        <v>-132.607</v>
      </c>
      <c r="K436">
        <v>543.32299999999998</v>
      </c>
      <c r="L436">
        <v>0</v>
      </c>
    </row>
    <row r="437" spans="1:12" x14ac:dyDescent="0.25">
      <c r="A437">
        <f>80162141*0.00001</f>
        <v>801.62141000000008</v>
      </c>
      <c r="B437">
        <v>3485</v>
      </c>
      <c r="C437">
        <v>106</v>
      </c>
      <c r="D437">
        <v>290.04000000000002</v>
      </c>
      <c r="E437">
        <v>3744</v>
      </c>
      <c r="F437">
        <v>1603</v>
      </c>
      <c r="G437">
        <v>1</v>
      </c>
      <c r="H437">
        <v>0.2</v>
      </c>
      <c r="I437">
        <v>0</v>
      </c>
      <c r="J437" s="1">
        <f>-136.554</f>
        <v>-136.554</v>
      </c>
      <c r="K437" s="1">
        <f>543.234</f>
        <v>543.23400000000004</v>
      </c>
      <c r="L437" s="1">
        <f>0</f>
        <v>0</v>
      </c>
    </row>
    <row r="438" spans="1:12" x14ac:dyDescent="0.25">
      <c r="A438">
        <f>80162357*0.00001</f>
        <v>801.62357000000009</v>
      </c>
      <c r="B438">
        <v>3485</v>
      </c>
      <c r="C438">
        <v>108</v>
      </c>
      <c r="D438">
        <v>290.04000000000002</v>
      </c>
      <c r="E438" s="1">
        <f>3613</f>
        <v>3613</v>
      </c>
      <c r="F438">
        <v>1603</v>
      </c>
      <c r="G438">
        <v>1</v>
      </c>
      <c r="H438">
        <v>0.2</v>
      </c>
      <c r="I438">
        <v>0</v>
      </c>
      <c r="J438">
        <v>-136.554</v>
      </c>
      <c r="K438">
        <v>543.23400000000004</v>
      </c>
      <c r="L438">
        <v>0</v>
      </c>
    </row>
    <row r="439" spans="1:12" x14ac:dyDescent="0.25">
      <c r="A439">
        <f>80162465*0.00001</f>
        <v>801.62465000000009</v>
      </c>
      <c r="B439">
        <v>3485</v>
      </c>
      <c r="C439">
        <v>109</v>
      </c>
      <c r="D439">
        <v>290.04000000000002</v>
      </c>
      <c r="E439">
        <v>3613</v>
      </c>
      <c r="F439" s="1">
        <f>1603</f>
        <v>1603</v>
      </c>
      <c r="G439" s="1">
        <f>1</f>
        <v>1</v>
      </c>
      <c r="H439" s="1">
        <f>0.2</f>
        <v>0.2</v>
      </c>
      <c r="I439">
        <v>0</v>
      </c>
      <c r="J439">
        <v>-136.554</v>
      </c>
      <c r="K439">
        <v>543.23400000000004</v>
      </c>
      <c r="L439">
        <v>0</v>
      </c>
    </row>
    <row r="440" spans="1:12" x14ac:dyDescent="0.25">
      <c r="A440">
        <f>80162679*0.00001</f>
        <v>801.62679000000003</v>
      </c>
      <c r="B440">
        <v>3485</v>
      </c>
      <c r="C440">
        <v>111</v>
      </c>
      <c r="D440">
        <v>290.04000000000002</v>
      </c>
      <c r="E440">
        <v>3613</v>
      </c>
      <c r="F440">
        <v>1603</v>
      </c>
      <c r="G440">
        <v>1</v>
      </c>
      <c r="H440">
        <v>0.2</v>
      </c>
      <c r="I440">
        <v>0</v>
      </c>
      <c r="J440" s="1">
        <f>-139.83</f>
        <v>-139.83000000000001</v>
      </c>
      <c r="K440" s="1">
        <f>543.126</f>
        <v>543.12599999999998</v>
      </c>
      <c r="L440">
        <v>0</v>
      </c>
    </row>
    <row r="441" spans="1:12" x14ac:dyDescent="0.25">
      <c r="A441">
        <f>80162892*0.00001</f>
        <v>801.62892000000011</v>
      </c>
      <c r="B441">
        <v>3485</v>
      </c>
      <c r="C441">
        <v>113</v>
      </c>
      <c r="D441" s="1">
        <f>297.531</f>
        <v>297.53100000000001</v>
      </c>
      <c r="E441">
        <v>3613</v>
      </c>
      <c r="F441">
        <v>1603</v>
      </c>
      <c r="G441">
        <v>1</v>
      </c>
      <c r="H441">
        <v>0.2</v>
      </c>
      <c r="I441">
        <v>0</v>
      </c>
      <c r="J441">
        <v>-139.83000000000001</v>
      </c>
      <c r="K441">
        <v>543.12599999999998</v>
      </c>
      <c r="L441">
        <v>0</v>
      </c>
    </row>
    <row r="442" spans="1:12" x14ac:dyDescent="0.25">
      <c r="A442">
        <f>80162999*0.00001</f>
        <v>801.62999000000002</v>
      </c>
      <c r="B442">
        <v>3485</v>
      </c>
      <c r="C442">
        <v>114</v>
      </c>
      <c r="D442">
        <v>297.53100000000001</v>
      </c>
      <c r="E442" s="1">
        <f>3556</f>
        <v>3556</v>
      </c>
      <c r="F442" s="1">
        <f>1603</f>
        <v>1603</v>
      </c>
      <c r="G442" s="1">
        <f>1</f>
        <v>1</v>
      </c>
      <c r="H442">
        <v>0.2</v>
      </c>
      <c r="I442">
        <v>0</v>
      </c>
      <c r="J442">
        <v>-139.83000000000001</v>
      </c>
      <c r="K442">
        <v>543.12599999999998</v>
      </c>
      <c r="L442">
        <v>0</v>
      </c>
    </row>
    <row r="443" spans="1:12" x14ac:dyDescent="0.25">
      <c r="A443">
        <f>80163211*0.00001</f>
        <v>801.63211000000001</v>
      </c>
      <c r="B443">
        <v>3485</v>
      </c>
      <c r="C443">
        <v>116</v>
      </c>
      <c r="D443">
        <v>297.53100000000001</v>
      </c>
      <c r="E443">
        <v>3556</v>
      </c>
      <c r="F443">
        <v>1603</v>
      </c>
      <c r="G443">
        <v>1</v>
      </c>
      <c r="H443">
        <v>0.2</v>
      </c>
      <c r="I443" s="1">
        <f>0</f>
        <v>0</v>
      </c>
      <c r="J443" s="1">
        <f>-143.73</f>
        <v>-143.72999999999999</v>
      </c>
      <c r="K443">
        <v>543.12599999999998</v>
      </c>
      <c r="L443">
        <v>0</v>
      </c>
    </row>
    <row r="444" spans="1:12" x14ac:dyDescent="0.25">
      <c r="A444">
        <f>80163423*0.00001</f>
        <v>801.63423000000012</v>
      </c>
      <c r="B444">
        <v>3485</v>
      </c>
      <c r="C444">
        <v>118</v>
      </c>
      <c r="D444">
        <v>297.53100000000001</v>
      </c>
      <c r="E444">
        <v>3556</v>
      </c>
      <c r="F444">
        <v>1603</v>
      </c>
      <c r="G444">
        <v>1</v>
      </c>
      <c r="H444">
        <v>0.2</v>
      </c>
      <c r="I444">
        <v>0</v>
      </c>
      <c r="J444">
        <v>-143.72999999999999</v>
      </c>
      <c r="K444">
        <v>543.12599999999998</v>
      </c>
      <c r="L444" s="1">
        <f>0</f>
        <v>0</v>
      </c>
    </row>
    <row r="445" spans="1:12" x14ac:dyDescent="0.25">
      <c r="A445">
        <f>80163528*0.00001</f>
        <v>801.63528000000008</v>
      </c>
      <c r="B445">
        <v>3485</v>
      </c>
      <c r="C445">
        <v>119</v>
      </c>
      <c r="D445" s="1">
        <f>301.592</f>
        <v>301.59199999999998</v>
      </c>
      <c r="E445" s="1">
        <f>3490</f>
        <v>3490</v>
      </c>
      <c r="F445" s="1">
        <f>1603</f>
        <v>1603</v>
      </c>
      <c r="G445">
        <v>1</v>
      </c>
      <c r="H445">
        <v>0.2</v>
      </c>
      <c r="I445">
        <v>0</v>
      </c>
      <c r="J445">
        <v>-143.72999999999999</v>
      </c>
      <c r="K445">
        <v>543.12599999999998</v>
      </c>
      <c r="L445">
        <v>0</v>
      </c>
    </row>
    <row r="446" spans="1:12" x14ac:dyDescent="0.25">
      <c r="A446">
        <f>80163739*0.00001</f>
        <v>801.6373900000001</v>
      </c>
      <c r="B446">
        <v>3485</v>
      </c>
      <c r="C446">
        <v>121</v>
      </c>
      <c r="D446">
        <v>301.59199999999998</v>
      </c>
      <c r="E446">
        <v>3490</v>
      </c>
      <c r="F446">
        <v>1603</v>
      </c>
      <c r="G446" s="1">
        <f>1</f>
        <v>1</v>
      </c>
      <c r="H446" s="1">
        <f>0.2</f>
        <v>0.2</v>
      </c>
      <c r="I446" s="1">
        <f>0</f>
        <v>0</v>
      </c>
      <c r="J446">
        <v>-143.72999999999999</v>
      </c>
      <c r="K446">
        <v>543.12599999999998</v>
      </c>
      <c r="L446">
        <v>0</v>
      </c>
    </row>
    <row r="447" spans="1:12" x14ac:dyDescent="0.25">
      <c r="A447">
        <f>80163948*0.00001</f>
        <v>801.63948000000005</v>
      </c>
      <c r="B447">
        <v>3485</v>
      </c>
      <c r="C447">
        <v>123</v>
      </c>
      <c r="D447">
        <v>301.59199999999998</v>
      </c>
      <c r="E447">
        <v>3490</v>
      </c>
      <c r="F447">
        <v>1603</v>
      </c>
      <c r="G447">
        <v>1</v>
      </c>
      <c r="H447">
        <v>0.2</v>
      </c>
      <c r="I447">
        <v>0</v>
      </c>
      <c r="J447">
        <v>-143.72999999999999</v>
      </c>
      <c r="K447" s="1">
        <f>542.924</f>
        <v>542.92399999999998</v>
      </c>
      <c r="L447" s="1">
        <f>0</f>
        <v>0</v>
      </c>
    </row>
    <row r="448" spans="1:12" x14ac:dyDescent="0.25">
      <c r="A448">
        <f>80164156*0.00001</f>
        <v>801.64156000000003</v>
      </c>
      <c r="B448">
        <v>3485</v>
      </c>
      <c r="C448">
        <v>125</v>
      </c>
      <c r="D448">
        <v>301.59199999999998</v>
      </c>
      <c r="E448" s="1">
        <f>3425</f>
        <v>3425</v>
      </c>
      <c r="F448">
        <v>1603</v>
      </c>
      <c r="G448">
        <v>1</v>
      </c>
      <c r="H448">
        <v>0.2</v>
      </c>
      <c r="I448">
        <v>0</v>
      </c>
      <c r="J448">
        <v>-143.72999999999999</v>
      </c>
      <c r="K448">
        <v>542.92399999999998</v>
      </c>
      <c r="L448">
        <v>0</v>
      </c>
    </row>
    <row r="449" spans="1:12" x14ac:dyDescent="0.25">
      <c r="A449">
        <f>80164260*0.00001</f>
        <v>801.64260000000002</v>
      </c>
      <c r="B449">
        <v>3485</v>
      </c>
      <c r="C449">
        <v>126</v>
      </c>
      <c r="D449">
        <v>301.59199999999998</v>
      </c>
      <c r="E449">
        <v>3425</v>
      </c>
      <c r="F449" s="1">
        <f>1603</f>
        <v>1603</v>
      </c>
      <c r="G449">
        <v>1</v>
      </c>
      <c r="H449">
        <v>0.2</v>
      </c>
      <c r="I449">
        <v>0</v>
      </c>
      <c r="J449">
        <v>-143.72999999999999</v>
      </c>
      <c r="K449">
        <v>542.92399999999998</v>
      </c>
      <c r="L449">
        <v>0</v>
      </c>
    </row>
    <row r="450" spans="1:12" x14ac:dyDescent="0.25">
      <c r="A450">
        <f>80164364*0.00001</f>
        <v>801.64364000000012</v>
      </c>
      <c r="B450">
        <v>3485</v>
      </c>
      <c r="C450">
        <v>127</v>
      </c>
      <c r="D450">
        <v>301.59199999999998</v>
      </c>
      <c r="E450">
        <v>3425</v>
      </c>
      <c r="F450">
        <v>1603</v>
      </c>
      <c r="G450">
        <v>1</v>
      </c>
      <c r="H450" s="1">
        <f>0.2</f>
        <v>0.2</v>
      </c>
      <c r="I450">
        <v>0</v>
      </c>
      <c r="J450">
        <v>-143.72999999999999</v>
      </c>
      <c r="K450">
        <v>542.92399999999998</v>
      </c>
      <c r="L450">
        <v>0</v>
      </c>
    </row>
    <row r="451" spans="1:12" x14ac:dyDescent="0.25">
      <c r="A451">
        <f>80164468*0.00001</f>
        <v>801.64468000000011</v>
      </c>
      <c r="B451">
        <v>3485</v>
      </c>
      <c r="C451">
        <v>128</v>
      </c>
      <c r="D451">
        <v>301.59199999999998</v>
      </c>
      <c r="E451">
        <v>3425</v>
      </c>
      <c r="F451">
        <v>1603</v>
      </c>
      <c r="G451">
        <v>1</v>
      </c>
      <c r="H451">
        <v>0.2</v>
      </c>
      <c r="I451" s="1">
        <f>0</f>
        <v>0</v>
      </c>
      <c r="J451" s="1">
        <f>-150.868</f>
        <v>-150.86799999999999</v>
      </c>
      <c r="K451" s="1">
        <f>542.811</f>
        <v>542.81100000000004</v>
      </c>
      <c r="L451">
        <v>0</v>
      </c>
    </row>
    <row r="452" spans="1:12" x14ac:dyDescent="0.25">
      <c r="A452">
        <f>80164675*0.00001</f>
        <v>801.64675000000011</v>
      </c>
      <c r="B452">
        <v>3485</v>
      </c>
      <c r="C452">
        <v>130</v>
      </c>
      <c r="D452" s="1">
        <f>309.006</f>
        <v>309.00599999999997</v>
      </c>
      <c r="E452" s="1">
        <f>3363</f>
        <v>3363</v>
      </c>
      <c r="F452">
        <v>1603</v>
      </c>
      <c r="G452">
        <v>1</v>
      </c>
      <c r="H452">
        <v>0.2</v>
      </c>
      <c r="I452">
        <v>0</v>
      </c>
      <c r="J452">
        <v>-150.86799999999999</v>
      </c>
      <c r="K452">
        <v>542.81100000000004</v>
      </c>
      <c r="L452" s="1">
        <f>0</f>
        <v>0</v>
      </c>
    </row>
    <row r="453" spans="1:12" x14ac:dyDescent="0.25">
      <c r="A453">
        <f>80164881*0.00001</f>
        <v>801.64881000000003</v>
      </c>
      <c r="B453">
        <v>3485</v>
      </c>
      <c r="C453">
        <v>132</v>
      </c>
      <c r="D453">
        <v>309.00599999999997</v>
      </c>
      <c r="E453">
        <v>3363</v>
      </c>
      <c r="F453">
        <v>1603</v>
      </c>
      <c r="G453" s="1">
        <f>1</f>
        <v>1</v>
      </c>
      <c r="H453" s="1">
        <f>0.2</f>
        <v>0.2</v>
      </c>
      <c r="I453">
        <v>0</v>
      </c>
      <c r="J453">
        <v>-150.86799999999999</v>
      </c>
      <c r="K453">
        <v>542.81100000000004</v>
      </c>
      <c r="L453">
        <v>0</v>
      </c>
    </row>
    <row r="454" spans="1:12" x14ac:dyDescent="0.25">
      <c r="A454">
        <f>80165085*0.00001</f>
        <v>801.6508500000001</v>
      </c>
      <c r="B454">
        <v>3485</v>
      </c>
      <c r="C454">
        <v>134</v>
      </c>
      <c r="D454">
        <v>309.00599999999997</v>
      </c>
      <c r="E454">
        <v>3363</v>
      </c>
      <c r="F454">
        <v>1603</v>
      </c>
      <c r="G454">
        <v>1</v>
      </c>
      <c r="H454">
        <v>0.2</v>
      </c>
      <c r="I454">
        <v>0</v>
      </c>
      <c r="J454" s="1">
        <f>-154.789</f>
        <v>-154.78899999999999</v>
      </c>
      <c r="K454" s="1">
        <f>542.697</f>
        <v>542.697</v>
      </c>
      <c r="L454">
        <v>0</v>
      </c>
    </row>
    <row r="455" spans="1:12" x14ac:dyDescent="0.25">
      <c r="A455">
        <f>80165289*0.00001</f>
        <v>801.65289000000007</v>
      </c>
      <c r="B455">
        <v>3485</v>
      </c>
      <c r="C455">
        <v>136</v>
      </c>
      <c r="D455" s="1">
        <f>313.093</f>
        <v>313.09300000000002</v>
      </c>
      <c r="E455" s="1">
        <f>3311</f>
        <v>3311</v>
      </c>
      <c r="F455">
        <v>1603</v>
      </c>
      <c r="G455">
        <v>1</v>
      </c>
      <c r="H455">
        <v>0.2</v>
      </c>
      <c r="I455">
        <v>0</v>
      </c>
      <c r="J455">
        <v>-154.78899999999999</v>
      </c>
      <c r="K455">
        <v>542.697</v>
      </c>
      <c r="L455">
        <v>0</v>
      </c>
    </row>
    <row r="456" spans="1:12" x14ac:dyDescent="0.25">
      <c r="A456">
        <f>80165493*0.00001</f>
        <v>801.65493000000004</v>
      </c>
      <c r="B456">
        <v>3485</v>
      </c>
      <c r="C456">
        <v>138</v>
      </c>
      <c r="D456">
        <v>313.09300000000002</v>
      </c>
      <c r="E456">
        <v>3311</v>
      </c>
      <c r="F456">
        <v>1603</v>
      </c>
      <c r="G456" s="1">
        <f>1</f>
        <v>1</v>
      </c>
      <c r="H456" s="1">
        <f>0.2</f>
        <v>0.2</v>
      </c>
      <c r="I456">
        <v>0</v>
      </c>
      <c r="J456">
        <v>-154.78899999999999</v>
      </c>
      <c r="K456">
        <v>542.697</v>
      </c>
      <c r="L456">
        <v>0</v>
      </c>
    </row>
    <row r="457" spans="1:12" x14ac:dyDescent="0.25">
      <c r="A457">
        <f>80165695*0.00001</f>
        <v>801.65695000000005</v>
      </c>
      <c r="B457">
        <v>3485</v>
      </c>
      <c r="C457">
        <v>140</v>
      </c>
      <c r="D457">
        <v>313.09300000000002</v>
      </c>
      <c r="E457">
        <v>3311</v>
      </c>
      <c r="F457">
        <v>1603</v>
      </c>
      <c r="G457">
        <v>1</v>
      </c>
      <c r="H457">
        <v>0.2</v>
      </c>
      <c r="I457">
        <v>0</v>
      </c>
      <c r="J457" s="1">
        <f>-158.676</f>
        <v>-158.67599999999999</v>
      </c>
      <c r="K457">
        <v>542.697</v>
      </c>
      <c r="L457">
        <v>0</v>
      </c>
    </row>
    <row r="458" spans="1:12" x14ac:dyDescent="0.25">
      <c r="A458">
        <f>80165796*0.00001</f>
        <v>801.65796000000012</v>
      </c>
      <c r="B458">
        <v>3485</v>
      </c>
      <c r="C458">
        <v>141</v>
      </c>
      <c r="D458">
        <v>313.09300000000002</v>
      </c>
      <c r="E458">
        <v>3311</v>
      </c>
      <c r="F458">
        <v>1603</v>
      </c>
      <c r="G458">
        <v>1</v>
      </c>
      <c r="H458">
        <v>0.2</v>
      </c>
      <c r="I458">
        <v>0</v>
      </c>
      <c r="J458">
        <v>-158.67599999999999</v>
      </c>
      <c r="K458" s="1">
        <f>542.582</f>
        <v>542.58199999999999</v>
      </c>
      <c r="L458">
        <v>0</v>
      </c>
    </row>
    <row r="459" spans="1:12" x14ac:dyDescent="0.25">
      <c r="A459">
        <f>80165896*0.00001</f>
        <v>801.65896000000009</v>
      </c>
      <c r="B459">
        <v>3485</v>
      </c>
      <c r="C459">
        <v>142</v>
      </c>
      <c r="D459" s="1">
        <f>317.113</f>
        <v>317.113</v>
      </c>
      <c r="E459">
        <v>3311</v>
      </c>
      <c r="F459">
        <v>1603</v>
      </c>
      <c r="G459">
        <v>1</v>
      </c>
      <c r="H459">
        <v>0.2</v>
      </c>
      <c r="I459">
        <v>0</v>
      </c>
      <c r="J459">
        <v>-158.67599999999999</v>
      </c>
      <c r="K459">
        <v>542.58199999999999</v>
      </c>
      <c r="L459">
        <v>0</v>
      </c>
    </row>
    <row r="460" spans="1:12" x14ac:dyDescent="0.25">
      <c r="A460">
        <f>80165996*0.00001</f>
        <v>801.65996000000007</v>
      </c>
      <c r="B460">
        <v>3485</v>
      </c>
      <c r="C460">
        <v>143</v>
      </c>
      <c r="D460">
        <v>317.113</v>
      </c>
      <c r="E460" s="1">
        <f>3252</f>
        <v>3252</v>
      </c>
      <c r="F460">
        <v>1603</v>
      </c>
      <c r="G460">
        <v>1</v>
      </c>
      <c r="H460">
        <v>0.2</v>
      </c>
      <c r="I460">
        <v>0</v>
      </c>
      <c r="J460">
        <v>-158.67599999999999</v>
      </c>
      <c r="K460">
        <v>542.58199999999999</v>
      </c>
      <c r="L460">
        <v>0</v>
      </c>
    </row>
    <row r="461" spans="1:12" x14ac:dyDescent="0.25">
      <c r="A461">
        <f>80166096*0.00001</f>
        <v>801.66096000000005</v>
      </c>
      <c r="B461">
        <v>3485</v>
      </c>
      <c r="C461">
        <v>144</v>
      </c>
      <c r="D461">
        <v>317.113</v>
      </c>
      <c r="E461">
        <v>3252</v>
      </c>
      <c r="F461">
        <v>1603</v>
      </c>
      <c r="G461" s="1">
        <f>1</f>
        <v>1</v>
      </c>
      <c r="H461" s="1">
        <f>0.2</f>
        <v>0.2</v>
      </c>
      <c r="I461">
        <v>0</v>
      </c>
      <c r="J461">
        <v>-158.67599999999999</v>
      </c>
      <c r="K461">
        <v>542.58199999999999</v>
      </c>
      <c r="L461">
        <v>0</v>
      </c>
    </row>
    <row r="462" spans="1:12" x14ac:dyDescent="0.25">
      <c r="A462">
        <f>80166296*0.00001</f>
        <v>801.66296000000011</v>
      </c>
      <c r="B462">
        <v>3485</v>
      </c>
      <c r="C462">
        <v>146</v>
      </c>
      <c r="D462">
        <v>317.113</v>
      </c>
      <c r="E462">
        <v>3252</v>
      </c>
      <c r="F462">
        <v>1603</v>
      </c>
      <c r="G462">
        <v>1</v>
      </c>
      <c r="H462">
        <v>0.2</v>
      </c>
      <c r="I462">
        <v>0</v>
      </c>
      <c r="J462" s="1">
        <f>-162.525</f>
        <v>-162.52500000000001</v>
      </c>
      <c r="K462" s="1">
        <f>542.465</f>
        <v>542.46500000000003</v>
      </c>
      <c r="L462">
        <v>0</v>
      </c>
    </row>
    <row r="463" spans="1:12" x14ac:dyDescent="0.25">
      <c r="A463">
        <f>80166494*0.00001</f>
        <v>801.66494000000012</v>
      </c>
      <c r="B463">
        <v>3485</v>
      </c>
      <c r="C463">
        <v>148</v>
      </c>
      <c r="D463" s="1">
        <f>321.092</f>
        <v>321.09199999999998</v>
      </c>
      <c r="E463" s="1">
        <f>3195</f>
        <v>3195</v>
      </c>
      <c r="F463">
        <v>1603</v>
      </c>
      <c r="G463">
        <v>1</v>
      </c>
      <c r="H463">
        <v>0.2</v>
      </c>
      <c r="I463">
        <v>0</v>
      </c>
      <c r="J463">
        <v>-162.52500000000001</v>
      </c>
      <c r="K463">
        <v>542.46500000000003</v>
      </c>
      <c r="L463">
        <v>0</v>
      </c>
    </row>
    <row r="464" spans="1:12" x14ac:dyDescent="0.25">
      <c r="A464">
        <f>80166692*0.00001</f>
        <v>801.66692000000012</v>
      </c>
      <c r="B464">
        <v>3485</v>
      </c>
      <c r="C464">
        <v>150</v>
      </c>
      <c r="D464">
        <v>321.09199999999998</v>
      </c>
      <c r="E464">
        <v>3195</v>
      </c>
      <c r="F464">
        <v>1603</v>
      </c>
      <c r="G464" s="1">
        <f>1</f>
        <v>1</v>
      </c>
      <c r="H464" s="1">
        <f>0.2</f>
        <v>0.2</v>
      </c>
      <c r="I464">
        <v>0</v>
      </c>
      <c r="J464">
        <v>-162.52500000000001</v>
      </c>
      <c r="K464">
        <v>542.46500000000003</v>
      </c>
      <c r="L464">
        <v>0</v>
      </c>
    </row>
    <row r="465" spans="1:12" x14ac:dyDescent="0.25">
      <c r="A465">
        <f>80166889*0.00001</f>
        <v>801.66889000000003</v>
      </c>
      <c r="B465">
        <v>3485</v>
      </c>
      <c r="C465">
        <v>152</v>
      </c>
      <c r="D465">
        <v>321.09199999999998</v>
      </c>
      <c r="E465">
        <v>3195</v>
      </c>
      <c r="F465">
        <v>1603</v>
      </c>
      <c r="G465">
        <v>1</v>
      </c>
      <c r="H465">
        <v>0.2</v>
      </c>
      <c r="I465">
        <v>0</v>
      </c>
      <c r="J465" s="1">
        <f>-166.359</f>
        <v>-166.35900000000001</v>
      </c>
      <c r="K465" s="1">
        <f>542.346</f>
        <v>542.346</v>
      </c>
      <c r="L465">
        <v>0</v>
      </c>
    </row>
    <row r="466" spans="1:12" x14ac:dyDescent="0.25">
      <c r="A466">
        <f>80167085*0.00001</f>
        <v>801.67085000000009</v>
      </c>
      <c r="B466">
        <v>3485</v>
      </c>
      <c r="C466">
        <v>154</v>
      </c>
      <c r="D466" s="1">
        <f>325.098</f>
        <v>325.09800000000001</v>
      </c>
      <c r="E466" s="1">
        <f>3129</f>
        <v>3129</v>
      </c>
      <c r="F466">
        <v>1603</v>
      </c>
      <c r="G466">
        <v>1</v>
      </c>
      <c r="H466">
        <v>0.2</v>
      </c>
      <c r="I466">
        <v>0</v>
      </c>
      <c r="J466">
        <v>-166.35900000000001</v>
      </c>
      <c r="K466">
        <v>542.346</v>
      </c>
      <c r="L466">
        <v>0</v>
      </c>
    </row>
    <row r="467" spans="1:12" x14ac:dyDescent="0.25">
      <c r="A467">
        <f>80167281*0.00001</f>
        <v>801.67281000000003</v>
      </c>
      <c r="B467">
        <v>3485</v>
      </c>
      <c r="C467">
        <v>156</v>
      </c>
      <c r="D467">
        <v>325.09800000000001</v>
      </c>
      <c r="E467">
        <v>3129</v>
      </c>
      <c r="F467" s="1">
        <f>1603</f>
        <v>1603</v>
      </c>
      <c r="G467" s="1">
        <f>1</f>
        <v>1</v>
      </c>
      <c r="H467" s="1">
        <f>0.2</f>
        <v>0.2</v>
      </c>
      <c r="I467">
        <v>0</v>
      </c>
      <c r="J467">
        <v>-166.35900000000001</v>
      </c>
      <c r="K467">
        <v>542.346</v>
      </c>
      <c r="L467">
        <v>0</v>
      </c>
    </row>
    <row r="468" spans="1:12" x14ac:dyDescent="0.25">
      <c r="A468">
        <f>80167477*0.00001</f>
        <v>801.67477000000008</v>
      </c>
      <c r="B468">
        <v>3485</v>
      </c>
      <c r="C468">
        <v>158</v>
      </c>
      <c r="D468">
        <v>325.09800000000001</v>
      </c>
      <c r="E468">
        <v>3129</v>
      </c>
      <c r="F468">
        <v>1603</v>
      </c>
      <c r="G468">
        <v>1</v>
      </c>
      <c r="H468">
        <v>0.2</v>
      </c>
      <c r="I468" s="1">
        <f>0</f>
        <v>0</v>
      </c>
      <c r="J468">
        <v>-166.35900000000001</v>
      </c>
      <c r="K468">
        <v>542.346</v>
      </c>
      <c r="L468">
        <v>0</v>
      </c>
    </row>
    <row r="469" spans="1:12" x14ac:dyDescent="0.25">
      <c r="A469">
        <f>80167574*0.00001</f>
        <v>801.67574000000002</v>
      </c>
      <c r="B469">
        <v>3485</v>
      </c>
      <c r="C469">
        <v>159</v>
      </c>
      <c r="D469">
        <v>325.09800000000001</v>
      </c>
      <c r="E469">
        <v>3129</v>
      </c>
      <c r="F469">
        <v>1603</v>
      </c>
      <c r="G469">
        <v>1</v>
      </c>
      <c r="H469">
        <v>0.2</v>
      </c>
      <c r="I469">
        <v>0</v>
      </c>
      <c r="J469" s="1">
        <f>-170.848</f>
        <v>-170.84800000000001</v>
      </c>
      <c r="K469">
        <v>542.346</v>
      </c>
      <c r="L469">
        <v>0</v>
      </c>
    </row>
    <row r="470" spans="1:12" x14ac:dyDescent="0.25">
      <c r="A470">
        <f>80167671*0.00001</f>
        <v>801.67671000000007</v>
      </c>
      <c r="B470">
        <v>3485</v>
      </c>
      <c r="C470">
        <v>160</v>
      </c>
      <c r="D470">
        <v>325.09800000000001</v>
      </c>
      <c r="E470">
        <v>3129</v>
      </c>
      <c r="F470">
        <v>1603</v>
      </c>
      <c r="G470">
        <v>1</v>
      </c>
      <c r="H470">
        <v>0.2</v>
      </c>
      <c r="I470">
        <v>0</v>
      </c>
      <c r="J470">
        <v>-170.84800000000001</v>
      </c>
      <c r="K470" s="1">
        <f>542.206</f>
        <v>542.20600000000002</v>
      </c>
      <c r="L470">
        <v>0</v>
      </c>
    </row>
    <row r="471" spans="1:12" x14ac:dyDescent="0.25">
      <c r="A471">
        <f>80167768*0.00001</f>
        <v>801.67768000000001</v>
      </c>
      <c r="B471">
        <v>3485</v>
      </c>
      <c r="C471">
        <v>161</v>
      </c>
      <c r="D471" s="1">
        <f>329.746</f>
        <v>329.74599999999998</v>
      </c>
      <c r="E471">
        <v>3129</v>
      </c>
      <c r="F471">
        <v>1603</v>
      </c>
      <c r="G471">
        <v>1</v>
      </c>
      <c r="H471">
        <v>0.2</v>
      </c>
      <c r="I471">
        <v>0</v>
      </c>
      <c r="J471">
        <v>-170.84800000000001</v>
      </c>
      <c r="K471">
        <v>542.20600000000002</v>
      </c>
      <c r="L471">
        <v>0</v>
      </c>
    </row>
    <row r="472" spans="1:12" x14ac:dyDescent="0.25">
      <c r="A472">
        <f>80167864*0.00001</f>
        <v>801.67864000000009</v>
      </c>
      <c r="B472">
        <v>3485</v>
      </c>
      <c r="C472">
        <v>162</v>
      </c>
      <c r="D472">
        <v>329.74599999999998</v>
      </c>
      <c r="E472" s="1">
        <f>3075</f>
        <v>3075</v>
      </c>
      <c r="F472">
        <v>1603</v>
      </c>
      <c r="G472">
        <v>1</v>
      </c>
      <c r="H472">
        <v>0.2</v>
      </c>
      <c r="I472">
        <v>0</v>
      </c>
      <c r="J472">
        <v>-170.84800000000001</v>
      </c>
      <c r="K472">
        <v>542.20600000000002</v>
      </c>
      <c r="L472">
        <v>0</v>
      </c>
    </row>
    <row r="473" spans="1:12" x14ac:dyDescent="0.25">
      <c r="A473">
        <f>80167960*0.00001</f>
        <v>801.67960000000005</v>
      </c>
      <c r="B473">
        <v>3485</v>
      </c>
      <c r="C473">
        <v>163</v>
      </c>
      <c r="D473">
        <v>329.74599999999998</v>
      </c>
      <c r="E473">
        <v>3075</v>
      </c>
      <c r="F473">
        <v>1603</v>
      </c>
      <c r="G473" s="1">
        <f>1</f>
        <v>1</v>
      </c>
      <c r="H473" s="1">
        <f>0.2</f>
        <v>0.2</v>
      </c>
      <c r="I473">
        <v>0</v>
      </c>
      <c r="J473">
        <v>-170.84800000000001</v>
      </c>
      <c r="K473">
        <v>542.20600000000002</v>
      </c>
      <c r="L473">
        <v>0</v>
      </c>
    </row>
    <row r="474" spans="1:12" x14ac:dyDescent="0.25">
      <c r="A474">
        <f>80168153*0.00001</f>
        <v>801.68153000000007</v>
      </c>
      <c r="B474">
        <v>3485</v>
      </c>
      <c r="C474">
        <v>165</v>
      </c>
      <c r="D474">
        <v>329.74599999999998</v>
      </c>
      <c r="E474">
        <v>3075</v>
      </c>
      <c r="F474">
        <v>1603</v>
      </c>
      <c r="G474">
        <v>1</v>
      </c>
      <c r="H474">
        <v>0.2</v>
      </c>
      <c r="I474">
        <v>0</v>
      </c>
      <c r="J474" s="1">
        <f>-174.664</f>
        <v>-174.66399999999999</v>
      </c>
      <c r="K474" s="1">
        <f>542.085</f>
        <v>542.08500000000004</v>
      </c>
      <c r="L474">
        <v>0</v>
      </c>
    </row>
    <row r="475" spans="1:12" x14ac:dyDescent="0.25">
      <c r="A475">
        <f>80168345*0.00001</f>
        <v>801.68345000000011</v>
      </c>
      <c r="B475">
        <v>3485</v>
      </c>
      <c r="C475">
        <v>167</v>
      </c>
      <c r="D475">
        <v>329.74599999999998</v>
      </c>
      <c r="E475">
        <v>3075</v>
      </c>
      <c r="F475">
        <v>1603</v>
      </c>
      <c r="G475">
        <v>1</v>
      </c>
      <c r="H475">
        <v>0.2</v>
      </c>
      <c r="I475">
        <v>0</v>
      </c>
      <c r="J475">
        <v>-174.66399999999999</v>
      </c>
      <c r="K475">
        <v>542.08500000000004</v>
      </c>
      <c r="L475" s="1">
        <f>0</f>
        <v>0</v>
      </c>
    </row>
    <row r="476" spans="1:12" x14ac:dyDescent="0.25">
      <c r="A476">
        <f>80168441*0.00001</f>
        <v>801.68441000000007</v>
      </c>
      <c r="B476">
        <v>3485</v>
      </c>
      <c r="C476">
        <v>168</v>
      </c>
      <c r="D476">
        <v>329.74599999999998</v>
      </c>
      <c r="E476" s="1">
        <f>3013</f>
        <v>3013</v>
      </c>
      <c r="F476">
        <v>1603</v>
      </c>
      <c r="G476">
        <v>1</v>
      </c>
      <c r="H476">
        <v>0.2</v>
      </c>
      <c r="I476">
        <v>0</v>
      </c>
      <c r="J476">
        <v>-174.66399999999999</v>
      </c>
      <c r="K476">
        <v>542.08500000000004</v>
      </c>
      <c r="L476">
        <v>0</v>
      </c>
    </row>
    <row r="477" spans="1:12" x14ac:dyDescent="0.25">
      <c r="A477">
        <f>80168537*0.00001</f>
        <v>801.68537000000003</v>
      </c>
      <c r="B477">
        <v>3485</v>
      </c>
      <c r="C477">
        <v>169</v>
      </c>
      <c r="D477">
        <v>329.74599999999998</v>
      </c>
      <c r="E477">
        <v>3013</v>
      </c>
      <c r="F477" s="1">
        <f>1604</f>
        <v>1604</v>
      </c>
      <c r="G477">
        <v>1</v>
      </c>
      <c r="H477">
        <v>0.2</v>
      </c>
      <c r="I477">
        <v>0</v>
      </c>
      <c r="J477">
        <v>-174.66399999999999</v>
      </c>
      <c r="K477">
        <v>542.08500000000004</v>
      </c>
      <c r="L477">
        <v>0</v>
      </c>
    </row>
    <row r="478" spans="1:12" x14ac:dyDescent="0.25">
      <c r="A478">
        <f>80168633*0.00001</f>
        <v>801.68633000000011</v>
      </c>
      <c r="B478">
        <v>3485</v>
      </c>
      <c r="C478">
        <v>170</v>
      </c>
      <c r="D478">
        <v>329.74599999999998</v>
      </c>
      <c r="E478">
        <v>3013</v>
      </c>
      <c r="F478">
        <v>1604</v>
      </c>
      <c r="G478">
        <v>1</v>
      </c>
      <c r="H478" s="1">
        <f>0.2</f>
        <v>0.2</v>
      </c>
      <c r="I478" s="1">
        <f>0</f>
        <v>0</v>
      </c>
      <c r="J478">
        <v>-174.66399999999999</v>
      </c>
      <c r="K478">
        <v>542.08500000000004</v>
      </c>
      <c r="L478">
        <v>0</v>
      </c>
    </row>
    <row r="479" spans="1:12" x14ac:dyDescent="0.25">
      <c r="A479">
        <f>80168823*0.00001</f>
        <v>801.68823000000009</v>
      </c>
      <c r="B479">
        <v>3485</v>
      </c>
      <c r="C479">
        <v>172</v>
      </c>
      <c r="D479">
        <v>329.74599999999998</v>
      </c>
      <c r="E479">
        <v>3013</v>
      </c>
      <c r="F479">
        <v>1604</v>
      </c>
      <c r="G479">
        <v>1</v>
      </c>
      <c r="H479">
        <v>0.2</v>
      </c>
      <c r="I479">
        <v>0</v>
      </c>
      <c r="J479">
        <v>-174.66399999999999</v>
      </c>
      <c r="K479" s="1">
        <f>541.963</f>
        <v>541.96299999999997</v>
      </c>
      <c r="L479" s="1">
        <f>0</f>
        <v>0</v>
      </c>
    </row>
    <row r="480" spans="1:12" x14ac:dyDescent="0.25">
      <c r="A480">
        <f>80169012*0.00001</f>
        <v>801.69012000000009</v>
      </c>
      <c r="B480">
        <v>3485</v>
      </c>
      <c r="C480">
        <v>174</v>
      </c>
      <c r="D480" s="1">
        <f>338.315</f>
        <v>338.315</v>
      </c>
      <c r="E480">
        <v>3013</v>
      </c>
      <c r="F480">
        <v>1604</v>
      </c>
      <c r="G480">
        <v>1</v>
      </c>
      <c r="H480">
        <v>0.2</v>
      </c>
      <c r="I480">
        <v>0</v>
      </c>
      <c r="J480">
        <v>-174.66399999999999</v>
      </c>
      <c r="K480">
        <v>541.96299999999997</v>
      </c>
      <c r="L480">
        <v>0</v>
      </c>
    </row>
    <row r="481" spans="1:12" x14ac:dyDescent="0.25">
      <c r="A481">
        <f>80169106*0.00001</f>
        <v>801.69106000000011</v>
      </c>
      <c r="B481">
        <v>3485</v>
      </c>
      <c r="C481">
        <v>175</v>
      </c>
      <c r="D481">
        <v>338.315</v>
      </c>
      <c r="E481">
        <v>3013</v>
      </c>
      <c r="F481" s="1">
        <f>1604</f>
        <v>1604</v>
      </c>
      <c r="G481" s="1">
        <f>1</f>
        <v>1</v>
      </c>
      <c r="H481">
        <v>0.2</v>
      </c>
      <c r="I481">
        <v>0</v>
      </c>
      <c r="J481">
        <v>-174.66399999999999</v>
      </c>
      <c r="K481">
        <v>541.96299999999997</v>
      </c>
      <c r="L481">
        <v>0</v>
      </c>
    </row>
    <row r="482" spans="1:12" x14ac:dyDescent="0.25">
      <c r="A482">
        <f>80169295*0.00001</f>
        <v>801.69295000000011</v>
      </c>
      <c r="B482">
        <v>3485</v>
      </c>
      <c r="C482">
        <v>177</v>
      </c>
      <c r="D482">
        <v>338.315</v>
      </c>
      <c r="E482">
        <v>3013</v>
      </c>
      <c r="F482">
        <v>1604</v>
      </c>
      <c r="G482">
        <v>1</v>
      </c>
      <c r="H482">
        <v>0.2</v>
      </c>
      <c r="I482" s="1">
        <f>0</f>
        <v>0</v>
      </c>
      <c r="J482" s="1">
        <f>-182.899</f>
        <v>-182.899</v>
      </c>
      <c r="K482" s="1">
        <f>541.839</f>
        <v>541.83900000000006</v>
      </c>
      <c r="L482">
        <v>0</v>
      </c>
    </row>
    <row r="483" spans="1:12" s="2" customFormat="1" x14ac:dyDescent="0.25">
      <c r="A483" s="2">
        <f>80169578*0.00001</f>
        <v>801.69578000000001</v>
      </c>
      <c r="B483" s="2">
        <v>3486</v>
      </c>
      <c r="C483" s="2">
        <v>0</v>
      </c>
      <c r="D483" s="2">
        <v>338.315</v>
      </c>
      <c r="E483" s="2">
        <v>3013</v>
      </c>
      <c r="F483" s="2">
        <v>1604</v>
      </c>
      <c r="G483" s="2">
        <v>1</v>
      </c>
      <c r="H483" s="2">
        <v>0.2</v>
      </c>
      <c r="I483" s="2">
        <v>0</v>
      </c>
      <c r="J483" s="2">
        <v>-182.899</v>
      </c>
      <c r="K483" s="2">
        <v>541.83900000000006</v>
      </c>
      <c r="L483" s="1">
        <f>0</f>
        <v>0</v>
      </c>
    </row>
    <row r="484" spans="1:12" x14ac:dyDescent="0.25">
      <c r="A484">
        <f>80169673*0.00001</f>
        <v>801.69673000000012</v>
      </c>
      <c r="B484">
        <v>3486</v>
      </c>
      <c r="C484">
        <v>1</v>
      </c>
      <c r="D484" s="1">
        <f>341.483</f>
        <v>341.483</v>
      </c>
      <c r="E484">
        <v>3013</v>
      </c>
      <c r="F484">
        <v>1604</v>
      </c>
      <c r="G484">
        <v>1</v>
      </c>
      <c r="H484">
        <v>0.2</v>
      </c>
      <c r="I484">
        <v>0</v>
      </c>
      <c r="J484">
        <v>-182.899</v>
      </c>
      <c r="K484">
        <v>541.83900000000006</v>
      </c>
      <c r="L484">
        <v>0</v>
      </c>
    </row>
    <row r="485" spans="1:12" x14ac:dyDescent="0.25">
      <c r="A485">
        <f>80169767*0.00001</f>
        <v>801.69767000000002</v>
      </c>
      <c r="B485">
        <v>3486</v>
      </c>
      <c r="C485">
        <v>2</v>
      </c>
      <c r="D485">
        <v>341.483</v>
      </c>
      <c r="E485">
        <v>3013</v>
      </c>
      <c r="F485" s="1">
        <f>1604</f>
        <v>1604</v>
      </c>
      <c r="G485" s="1">
        <f>1</f>
        <v>1</v>
      </c>
      <c r="H485">
        <v>0.2</v>
      </c>
      <c r="I485">
        <v>0</v>
      </c>
      <c r="J485">
        <v>-182.899</v>
      </c>
      <c r="K485">
        <v>541.83900000000006</v>
      </c>
      <c r="L485">
        <v>0</v>
      </c>
    </row>
    <row r="486" spans="1:12" x14ac:dyDescent="0.25">
      <c r="A486">
        <f>80169955*0.00001</f>
        <v>801.69955000000004</v>
      </c>
      <c r="B486">
        <v>3486</v>
      </c>
      <c r="C486">
        <v>4</v>
      </c>
      <c r="D486">
        <v>341.483</v>
      </c>
      <c r="E486">
        <v>3013</v>
      </c>
      <c r="F486">
        <v>1604</v>
      </c>
      <c r="G486">
        <v>1</v>
      </c>
      <c r="H486">
        <v>0.2</v>
      </c>
      <c r="I486" s="1">
        <f>0</f>
        <v>0</v>
      </c>
      <c r="J486" s="1">
        <f>-185.249</f>
        <v>-185.249</v>
      </c>
      <c r="K486">
        <v>541.83900000000006</v>
      </c>
      <c r="L486">
        <v>0</v>
      </c>
    </row>
    <row r="487" spans="1:12" x14ac:dyDescent="0.25">
      <c r="A487">
        <f>80170143*0.00001</f>
        <v>801.70143000000007</v>
      </c>
      <c r="B487">
        <v>3486</v>
      </c>
      <c r="C487">
        <v>6</v>
      </c>
      <c r="D487">
        <v>341.483</v>
      </c>
      <c r="E487">
        <v>3013</v>
      </c>
      <c r="F487">
        <v>1604</v>
      </c>
      <c r="G487">
        <v>1</v>
      </c>
      <c r="H487">
        <v>0.2</v>
      </c>
      <c r="I487">
        <v>0</v>
      </c>
      <c r="J487">
        <v>-185.249</v>
      </c>
      <c r="K487" s="1">
        <f>541.713</f>
        <v>541.71299999999997</v>
      </c>
      <c r="L487">
        <v>0</v>
      </c>
    </row>
    <row r="488" spans="1:12" x14ac:dyDescent="0.25">
      <c r="A488">
        <f>80170237*0.00001</f>
        <v>801.70237000000009</v>
      </c>
      <c r="B488">
        <v>3486</v>
      </c>
      <c r="C488">
        <v>7</v>
      </c>
      <c r="D488" s="1">
        <f>344.254</f>
        <v>344.25400000000002</v>
      </c>
      <c r="E488" s="1">
        <f>2887</f>
        <v>2887</v>
      </c>
      <c r="F488">
        <v>1604</v>
      </c>
      <c r="G488">
        <v>1</v>
      </c>
      <c r="H488">
        <v>0.2</v>
      </c>
      <c r="I488">
        <v>0</v>
      </c>
      <c r="J488">
        <v>-185.249</v>
      </c>
      <c r="K488">
        <v>541.71299999999997</v>
      </c>
      <c r="L488">
        <v>0</v>
      </c>
    </row>
    <row r="489" spans="1:12" x14ac:dyDescent="0.25">
      <c r="A489">
        <f>80170425*0.00001</f>
        <v>801.70425000000012</v>
      </c>
      <c r="B489">
        <v>3486</v>
      </c>
      <c r="C489">
        <v>9</v>
      </c>
      <c r="D489">
        <v>344.25400000000002</v>
      </c>
      <c r="E489">
        <v>2887</v>
      </c>
      <c r="F489">
        <v>1604</v>
      </c>
      <c r="G489" s="1">
        <f>1</f>
        <v>1</v>
      </c>
      <c r="H489" s="1">
        <f>0.2</f>
        <v>0.2</v>
      </c>
      <c r="I489">
        <v>0</v>
      </c>
      <c r="J489">
        <v>-185.249</v>
      </c>
      <c r="K489">
        <v>541.71299999999997</v>
      </c>
      <c r="L489">
        <v>0</v>
      </c>
    </row>
    <row r="490" spans="1:12" x14ac:dyDescent="0.25">
      <c r="A490">
        <f>80170613*0.00001</f>
        <v>801.70613000000003</v>
      </c>
      <c r="B490">
        <v>3486</v>
      </c>
      <c r="C490">
        <v>11</v>
      </c>
      <c r="D490">
        <v>344.25400000000002</v>
      </c>
      <c r="E490">
        <v>2887</v>
      </c>
      <c r="F490">
        <v>1604</v>
      </c>
      <c r="G490">
        <v>1</v>
      </c>
      <c r="H490">
        <v>0.2</v>
      </c>
      <c r="I490" s="1">
        <f>0</f>
        <v>0</v>
      </c>
      <c r="J490">
        <v>-185.249</v>
      </c>
      <c r="K490">
        <v>541.71299999999997</v>
      </c>
      <c r="L490">
        <v>0</v>
      </c>
    </row>
    <row r="491" spans="1:12" x14ac:dyDescent="0.25">
      <c r="A491">
        <f>80170707*0.00001</f>
        <v>801.70707000000004</v>
      </c>
      <c r="B491">
        <v>3486</v>
      </c>
      <c r="C491">
        <v>12</v>
      </c>
      <c r="D491">
        <v>344.25400000000002</v>
      </c>
      <c r="E491">
        <v>2887</v>
      </c>
      <c r="F491">
        <v>1604</v>
      </c>
      <c r="G491">
        <v>1</v>
      </c>
      <c r="H491">
        <v>0.2</v>
      </c>
      <c r="I491">
        <v>0</v>
      </c>
      <c r="J491">
        <v>-185.249</v>
      </c>
      <c r="K491" s="1">
        <f>541.586</f>
        <v>541.58600000000001</v>
      </c>
      <c r="L491">
        <v>0</v>
      </c>
    </row>
    <row r="492" spans="1:12" x14ac:dyDescent="0.25">
      <c r="A492">
        <f>80170801*0.00001</f>
        <v>801.70801000000006</v>
      </c>
      <c r="B492">
        <v>3486</v>
      </c>
      <c r="C492">
        <v>13</v>
      </c>
      <c r="D492">
        <v>344.25400000000002</v>
      </c>
      <c r="E492">
        <v>2887</v>
      </c>
      <c r="F492">
        <v>1604</v>
      </c>
      <c r="G492">
        <v>1</v>
      </c>
      <c r="H492">
        <v>0.2</v>
      </c>
      <c r="I492">
        <v>0</v>
      </c>
      <c r="J492">
        <v>-185.249</v>
      </c>
      <c r="K492">
        <v>541.58600000000001</v>
      </c>
      <c r="L492" s="1">
        <f>0</f>
        <v>0</v>
      </c>
    </row>
    <row r="493" spans="1:12" x14ac:dyDescent="0.25">
      <c r="A493">
        <f>80170896*0.00001</f>
        <v>801.70896000000005</v>
      </c>
      <c r="B493">
        <v>3486</v>
      </c>
      <c r="C493">
        <v>14</v>
      </c>
      <c r="D493">
        <v>344.25400000000002</v>
      </c>
      <c r="E493" s="1">
        <f>2862</f>
        <v>2862</v>
      </c>
      <c r="F493" s="1">
        <f>1604</f>
        <v>1604</v>
      </c>
      <c r="G493">
        <v>1</v>
      </c>
      <c r="H493">
        <v>0.2</v>
      </c>
      <c r="I493">
        <v>0</v>
      </c>
      <c r="J493">
        <v>-185.249</v>
      </c>
      <c r="K493">
        <v>541.58600000000001</v>
      </c>
      <c r="L493">
        <v>0</v>
      </c>
    </row>
    <row r="494" spans="1:12" x14ac:dyDescent="0.25">
      <c r="A494">
        <f>80171086*0.00001</f>
        <v>801.71086000000003</v>
      </c>
      <c r="B494">
        <v>3486</v>
      </c>
      <c r="C494">
        <v>16</v>
      </c>
      <c r="D494">
        <v>344.25400000000002</v>
      </c>
      <c r="E494">
        <v>2862</v>
      </c>
      <c r="F494">
        <v>1604</v>
      </c>
      <c r="G494" s="1">
        <f>1</f>
        <v>1</v>
      </c>
      <c r="H494" s="1">
        <f>0.2</f>
        <v>0.2</v>
      </c>
      <c r="I494" s="1">
        <f>0</f>
        <v>0</v>
      </c>
      <c r="J494">
        <v>-185.249</v>
      </c>
      <c r="K494">
        <v>541.58600000000001</v>
      </c>
      <c r="L494">
        <v>0</v>
      </c>
    </row>
    <row r="495" spans="1:12" x14ac:dyDescent="0.25">
      <c r="A495">
        <f>80171276*0.00001</f>
        <v>801.71276000000012</v>
      </c>
      <c r="B495">
        <v>3486</v>
      </c>
      <c r="C495">
        <v>18</v>
      </c>
      <c r="D495">
        <v>344.25400000000002</v>
      </c>
      <c r="E495">
        <v>2862</v>
      </c>
      <c r="F495">
        <v>1604</v>
      </c>
      <c r="G495">
        <v>1</v>
      </c>
      <c r="H495">
        <v>0.2</v>
      </c>
      <c r="I495">
        <v>0</v>
      </c>
      <c r="J495" s="1">
        <f>-188.614</f>
        <v>-188.614</v>
      </c>
      <c r="K495">
        <v>541.58600000000001</v>
      </c>
      <c r="L495">
        <v>0</v>
      </c>
    </row>
    <row r="496" spans="1:12" x14ac:dyDescent="0.25">
      <c r="A496">
        <f>80171370*0.00001</f>
        <v>801.71370000000002</v>
      </c>
      <c r="B496">
        <v>3486</v>
      </c>
      <c r="C496">
        <v>19</v>
      </c>
      <c r="D496" s="1">
        <f>347.401</f>
        <v>347.40100000000001</v>
      </c>
      <c r="E496">
        <v>2862</v>
      </c>
      <c r="F496">
        <v>1604</v>
      </c>
      <c r="G496">
        <v>1</v>
      </c>
      <c r="H496">
        <v>0.2</v>
      </c>
      <c r="I496">
        <v>0</v>
      </c>
      <c r="J496">
        <v>-188.614</v>
      </c>
      <c r="K496">
        <v>541.58600000000001</v>
      </c>
      <c r="L496" s="1">
        <f>0</f>
        <v>0</v>
      </c>
    </row>
    <row r="497" spans="1:12" x14ac:dyDescent="0.25">
      <c r="A497">
        <f>80171560*0.00001</f>
        <v>801.71560000000011</v>
      </c>
      <c r="B497">
        <v>3486</v>
      </c>
      <c r="C497">
        <v>21</v>
      </c>
      <c r="D497">
        <v>347.40100000000001</v>
      </c>
      <c r="E497">
        <v>2862</v>
      </c>
      <c r="F497" s="1">
        <f>1604</f>
        <v>1604</v>
      </c>
      <c r="G497" s="1">
        <f>1</f>
        <v>1</v>
      </c>
      <c r="H497">
        <v>0.2</v>
      </c>
      <c r="I497">
        <v>0</v>
      </c>
      <c r="J497">
        <v>-188.614</v>
      </c>
      <c r="K497">
        <v>541.58600000000001</v>
      </c>
      <c r="L497">
        <v>0</v>
      </c>
    </row>
    <row r="498" spans="1:12" x14ac:dyDescent="0.25">
      <c r="A498">
        <f>80171749*0.00001</f>
        <v>801.71749000000011</v>
      </c>
      <c r="B498">
        <v>3486</v>
      </c>
      <c r="C498">
        <v>23</v>
      </c>
      <c r="D498">
        <v>347.40100000000001</v>
      </c>
      <c r="E498">
        <v>2862</v>
      </c>
      <c r="F498">
        <v>1604</v>
      </c>
      <c r="G498">
        <v>1</v>
      </c>
      <c r="H498" s="1">
        <f>0.2</f>
        <v>0.2</v>
      </c>
      <c r="I498">
        <v>0</v>
      </c>
      <c r="J498">
        <v>-188.614</v>
      </c>
      <c r="K498">
        <v>541.58600000000001</v>
      </c>
      <c r="L498">
        <v>0</v>
      </c>
    </row>
    <row r="499" spans="1:12" x14ac:dyDescent="0.25">
      <c r="A499">
        <f>80171844*0.00001</f>
        <v>801.7184400000001</v>
      </c>
      <c r="B499">
        <v>3486</v>
      </c>
      <c r="C499">
        <v>24</v>
      </c>
      <c r="D499">
        <v>347.40100000000001</v>
      </c>
      <c r="E499">
        <v>2862</v>
      </c>
      <c r="F499">
        <v>1604</v>
      </c>
      <c r="G499">
        <v>1</v>
      </c>
      <c r="H499">
        <v>0.2</v>
      </c>
      <c r="I499">
        <v>0</v>
      </c>
      <c r="J499" s="1">
        <f>-189.207</f>
        <v>-189.20699999999999</v>
      </c>
      <c r="K499">
        <v>541.58600000000001</v>
      </c>
      <c r="L499">
        <v>0</v>
      </c>
    </row>
    <row r="500" spans="1:12" x14ac:dyDescent="0.25">
      <c r="A500">
        <f>80171939*0.00001</f>
        <v>801.71939000000009</v>
      </c>
      <c r="B500">
        <v>3486</v>
      </c>
      <c r="C500">
        <v>25</v>
      </c>
      <c r="D500">
        <v>347.40100000000001</v>
      </c>
      <c r="E500">
        <v>2862</v>
      </c>
      <c r="F500">
        <v>1604</v>
      </c>
      <c r="G500">
        <v>1</v>
      </c>
      <c r="H500">
        <v>0.2</v>
      </c>
      <c r="I500">
        <v>0</v>
      </c>
      <c r="J500">
        <v>-189.20699999999999</v>
      </c>
      <c r="K500" s="1">
        <f>541.305</f>
        <v>541.30499999999995</v>
      </c>
      <c r="L500">
        <v>0</v>
      </c>
    </row>
    <row r="501" spans="1:12" x14ac:dyDescent="0.25">
      <c r="A501">
        <f>80172034*0.00001</f>
        <v>801.72034000000008</v>
      </c>
      <c r="B501">
        <v>3486</v>
      </c>
      <c r="C501">
        <v>26</v>
      </c>
      <c r="D501" s="1">
        <f>348</f>
        <v>348</v>
      </c>
      <c r="E501" s="1">
        <f>2841</f>
        <v>2841</v>
      </c>
      <c r="F501">
        <v>1604</v>
      </c>
      <c r="G501">
        <v>1</v>
      </c>
      <c r="H501">
        <v>0.2</v>
      </c>
      <c r="I501">
        <v>0</v>
      </c>
      <c r="J501">
        <v>-189.20699999999999</v>
      </c>
      <c r="K501">
        <v>541.30499999999995</v>
      </c>
      <c r="L501">
        <v>0</v>
      </c>
    </row>
    <row r="502" spans="1:12" x14ac:dyDescent="0.25">
      <c r="A502">
        <f>80172224*0.00001</f>
        <v>801.72224000000006</v>
      </c>
      <c r="B502">
        <v>3486</v>
      </c>
      <c r="C502">
        <v>28</v>
      </c>
      <c r="D502">
        <v>348</v>
      </c>
      <c r="E502">
        <v>2841</v>
      </c>
      <c r="F502" s="1">
        <f>1604</f>
        <v>1604</v>
      </c>
      <c r="G502" s="1">
        <f>1</f>
        <v>1</v>
      </c>
      <c r="H502" s="1">
        <f>0.2</f>
        <v>0.2</v>
      </c>
      <c r="I502">
        <v>0</v>
      </c>
      <c r="J502">
        <v>-189.20699999999999</v>
      </c>
      <c r="K502">
        <v>541.30499999999995</v>
      </c>
      <c r="L502">
        <v>0</v>
      </c>
    </row>
    <row r="503" spans="1:12" x14ac:dyDescent="0.25">
      <c r="A503">
        <f>80172414*0.00001</f>
        <v>801.72414000000003</v>
      </c>
      <c r="B503">
        <v>3486</v>
      </c>
      <c r="C503">
        <v>30</v>
      </c>
      <c r="D503">
        <v>348</v>
      </c>
      <c r="E503">
        <v>2841</v>
      </c>
      <c r="F503">
        <v>1604</v>
      </c>
      <c r="G503">
        <v>1</v>
      </c>
      <c r="H503">
        <v>0.2</v>
      </c>
      <c r="I503" s="1">
        <f>0</f>
        <v>0</v>
      </c>
      <c r="J503">
        <v>-189.20699999999999</v>
      </c>
      <c r="K503">
        <v>541.30499999999995</v>
      </c>
      <c r="L503">
        <v>0</v>
      </c>
    </row>
    <row r="504" spans="1:12" x14ac:dyDescent="0.25">
      <c r="A504">
        <f>80172509*0.00001</f>
        <v>801.72509000000002</v>
      </c>
      <c r="B504">
        <v>3486</v>
      </c>
      <c r="C504">
        <v>31</v>
      </c>
      <c r="D504">
        <v>348</v>
      </c>
      <c r="E504">
        <v>2841</v>
      </c>
      <c r="F504">
        <v>1604</v>
      </c>
      <c r="G504">
        <v>1</v>
      </c>
      <c r="H504">
        <v>0.2</v>
      </c>
      <c r="I504">
        <v>0</v>
      </c>
      <c r="J504">
        <v>-189.20699999999999</v>
      </c>
      <c r="K504" s="1">
        <f>541.175</f>
        <v>541.17499999999995</v>
      </c>
      <c r="L504" s="1">
        <f>0</f>
        <v>0</v>
      </c>
    </row>
    <row r="505" spans="1:12" x14ac:dyDescent="0.25">
      <c r="A505">
        <f>80172699*0.00001</f>
        <v>801.72699000000011</v>
      </c>
      <c r="B505">
        <v>3486</v>
      </c>
      <c r="C505">
        <v>33</v>
      </c>
      <c r="D505">
        <v>348</v>
      </c>
      <c r="E505" s="1">
        <f>2838</f>
        <v>2838</v>
      </c>
      <c r="F505" s="1">
        <f>1604</f>
        <v>1604</v>
      </c>
      <c r="G505">
        <v>1</v>
      </c>
      <c r="H505">
        <v>0.2</v>
      </c>
      <c r="I505">
        <v>0</v>
      </c>
      <c r="J505">
        <v>-189.20699999999999</v>
      </c>
      <c r="K505">
        <v>541.17499999999995</v>
      </c>
      <c r="L505">
        <v>0</v>
      </c>
    </row>
    <row r="506" spans="1:12" x14ac:dyDescent="0.25">
      <c r="A506">
        <f>80172889*0.00001</f>
        <v>801.72889000000009</v>
      </c>
      <c r="B506">
        <v>3486</v>
      </c>
      <c r="C506">
        <v>35</v>
      </c>
      <c r="D506">
        <v>348</v>
      </c>
      <c r="E506">
        <v>2838</v>
      </c>
      <c r="F506">
        <v>1604</v>
      </c>
      <c r="G506" s="1">
        <f>1</f>
        <v>1</v>
      </c>
      <c r="H506" s="1">
        <f>0.2</f>
        <v>0.2</v>
      </c>
      <c r="I506" s="1">
        <f>0</f>
        <v>0</v>
      </c>
      <c r="J506">
        <v>-189.20699999999999</v>
      </c>
      <c r="K506">
        <v>541.17499999999995</v>
      </c>
      <c r="L506">
        <v>0</v>
      </c>
    </row>
    <row r="507" spans="1:12" x14ac:dyDescent="0.25">
      <c r="A507">
        <f>80173080*0.00001</f>
        <v>801.73080000000004</v>
      </c>
      <c r="B507">
        <v>3486</v>
      </c>
      <c r="C507">
        <v>37</v>
      </c>
      <c r="D507">
        <v>348</v>
      </c>
      <c r="E507">
        <v>2838</v>
      </c>
      <c r="F507">
        <v>1604</v>
      </c>
      <c r="G507">
        <v>1</v>
      </c>
      <c r="H507">
        <v>0.2</v>
      </c>
      <c r="I507">
        <v>0</v>
      </c>
      <c r="J507" s="1">
        <f>-189.313</f>
        <v>-189.31299999999999</v>
      </c>
      <c r="K507">
        <v>541.17499999999995</v>
      </c>
      <c r="L507">
        <v>0</v>
      </c>
    </row>
    <row r="508" spans="1:12" x14ac:dyDescent="0.25">
      <c r="A508">
        <f>80173176*0.00001</f>
        <v>801.73176000000012</v>
      </c>
      <c r="B508">
        <v>3486</v>
      </c>
      <c r="C508">
        <v>38</v>
      </c>
      <c r="D508" s="1">
        <f>348.207</f>
        <v>348.20699999999999</v>
      </c>
      <c r="E508">
        <v>2838</v>
      </c>
      <c r="F508">
        <v>1604</v>
      </c>
      <c r="G508">
        <v>1</v>
      </c>
      <c r="H508">
        <v>0.2</v>
      </c>
      <c r="I508">
        <v>0</v>
      </c>
      <c r="J508">
        <v>-189.31299999999999</v>
      </c>
      <c r="K508">
        <v>541.17499999999995</v>
      </c>
      <c r="L508" s="1">
        <f>0</f>
        <v>0</v>
      </c>
    </row>
    <row r="509" spans="1:12" x14ac:dyDescent="0.25">
      <c r="A509">
        <f>80173366*0.00001</f>
        <v>801.7336600000001</v>
      </c>
      <c r="B509">
        <v>3486</v>
      </c>
      <c r="C509">
        <v>40</v>
      </c>
      <c r="D509">
        <v>348.20699999999999</v>
      </c>
      <c r="E509">
        <v>2838</v>
      </c>
      <c r="F509" s="1">
        <f>1604</f>
        <v>1604</v>
      </c>
      <c r="G509" s="1">
        <f>1</f>
        <v>1</v>
      </c>
      <c r="H509">
        <v>0.2</v>
      </c>
      <c r="I509">
        <v>0</v>
      </c>
      <c r="J509">
        <v>-189.31299999999999</v>
      </c>
      <c r="K509">
        <v>541.17499999999995</v>
      </c>
      <c r="L509">
        <v>0</v>
      </c>
    </row>
    <row r="510" spans="1:12" x14ac:dyDescent="0.25">
      <c r="A510">
        <f>80173556*0.00001</f>
        <v>801.73556000000008</v>
      </c>
      <c r="B510">
        <v>3486</v>
      </c>
      <c r="C510">
        <v>42</v>
      </c>
      <c r="D510">
        <v>348.20699999999999</v>
      </c>
      <c r="E510">
        <v>2838</v>
      </c>
      <c r="F510">
        <v>1604</v>
      </c>
      <c r="G510">
        <v>1</v>
      </c>
      <c r="H510" s="1">
        <f>0.2</f>
        <v>0.2</v>
      </c>
      <c r="I510" s="1">
        <f>0</f>
        <v>0</v>
      </c>
      <c r="J510" s="1">
        <f>-189.008</f>
        <v>-189.00800000000001</v>
      </c>
      <c r="K510">
        <v>541.17499999999995</v>
      </c>
      <c r="L510">
        <v>0</v>
      </c>
    </row>
    <row r="511" spans="1:12" x14ac:dyDescent="0.25">
      <c r="A511">
        <f>80173746*0.00001</f>
        <v>801.73746000000006</v>
      </c>
      <c r="B511">
        <v>3486</v>
      </c>
      <c r="C511">
        <v>44</v>
      </c>
      <c r="D511">
        <v>348.20699999999999</v>
      </c>
      <c r="E511">
        <v>2838</v>
      </c>
      <c r="F511">
        <v>1604</v>
      </c>
      <c r="G511">
        <v>1</v>
      </c>
      <c r="H511">
        <v>0.2</v>
      </c>
      <c r="I511">
        <v>0</v>
      </c>
      <c r="J511">
        <v>-189.00800000000001</v>
      </c>
      <c r="K511" s="1">
        <f>540.893</f>
        <v>540.89300000000003</v>
      </c>
      <c r="L511">
        <v>0</v>
      </c>
    </row>
    <row r="512" spans="1:12" x14ac:dyDescent="0.25">
      <c r="A512">
        <f>80173842*0.00001</f>
        <v>801.73842000000002</v>
      </c>
      <c r="B512">
        <v>3486</v>
      </c>
      <c r="C512">
        <v>45</v>
      </c>
      <c r="D512" s="1">
        <f>347.996</f>
        <v>347.99599999999998</v>
      </c>
      <c r="E512" s="1">
        <f>2841</f>
        <v>2841</v>
      </c>
      <c r="F512">
        <v>1604</v>
      </c>
      <c r="G512">
        <v>1</v>
      </c>
      <c r="H512">
        <v>0.2</v>
      </c>
      <c r="I512">
        <v>0</v>
      </c>
      <c r="J512">
        <v>-189.00800000000001</v>
      </c>
      <c r="K512">
        <v>540.89300000000003</v>
      </c>
      <c r="L512">
        <v>0</v>
      </c>
    </row>
    <row r="513" spans="1:12" x14ac:dyDescent="0.25">
      <c r="A513">
        <f>80174034*0.00001</f>
        <v>801.74034000000006</v>
      </c>
      <c r="B513">
        <v>3486</v>
      </c>
      <c r="C513">
        <v>47</v>
      </c>
      <c r="D513">
        <v>347.99599999999998</v>
      </c>
      <c r="E513">
        <v>2841</v>
      </c>
      <c r="F513">
        <v>1604</v>
      </c>
      <c r="G513" s="1">
        <f>1</f>
        <v>1</v>
      </c>
      <c r="H513" s="1">
        <f>0.2</f>
        <v>0.2</v>
      </c>
      <c r="I513">
        <v>0</v>
      </c>
      <c r="J513">
        <v>-189.00800000000001</v>
      </c>
      <c r="K513">
        <v>540.89300000000003</v>
      </c>
      <c r="L513">
        <v>0</v>
      </c>
    </row>
    <row r="514" spans="1:12" x14ac:dyDescent="0.25">
      <c r="A514">
        <f>80174225*0.00001</f>
        <v>801.74225000000001</v>
      </c>
      <c r="B514">
        <v>3486</v>
      </c>
      <c r="C514">
        <v>49</v>
      </c>
      <c r="D514">
        <v>347.99599999999998</v>
      </c>
      <c r="E514">
        <v>2841</v>
      </c>
      <c r="F514">
        <v>1604</v>
      </c>
      <c r="G514">
        <v>1</v>
      </c>
      <c r="H514">
        <v>0.2</v>
      </c>
      <c r="I514" s="1">
        <f>0</f>
        <v>0</v>
      </c>
      <c r="J514" s="1">
        <f>-188.553</f>
        <v>-188.553</v>
      </c>
      <c r="K514" s="1">
        <f>540.762</f>
        <v>540.76199999999994</v>
      </c>
      <c r="L514">
        <v>0</v>
      </c>
    </row>
    <row r="515" spans="1:12" x14ac:dyDescent="0.25">
      <c r="A515">
        <f>80174417*0.00001</f>
        <v>801.74417000000005</v>
      </c>
      <c r="B515">
        <v>3486</v>
      </c>
      <c r="C515">
        <v>51</v>
      </c>
      <c r="D515">
        <v>347.99599999999998</v>
      </c>
      <c r="E515">
        <v>2841</v>
      </c>
      <c r="F515">
        <v>1604</v>
      </c>
      <c r="G515">
        <v>1</v>
      </c>
      <c r="H515">
        <v>0.2</v>
      </c>
      <c r="I515">
        <v>0</v>
      </c>
      <c r="J515">
        <v>-188.553</v>
      </c>
      <c r="K515">
        <v>540.76199999999994</v>
      </c>
      <c r="L515" s="1">
        <f>0</f>
        <v>0</v>
      </c>
    </row>
    <row r="516" spans="1:12" x14ac:dyDescent="0.25">
      <c r="A516">
        <f>80174513*0.00001</f>
        <v>801.74513000000002</v>
      </c>
      <c r="B516">
        <v>3486</v>
      </c>
      <c r="C516">
        <v>52</v>
      </c>
      <c r="D516">
        <v>347.99599999999998</v>
      </c>
      <c r="E516" s="1">
        <f>2846</f>
        <v>2846</v>
      </c>
      <c r="F516" s="1">
        <f>1604</f>
        <v>1604</v>
      </c>
      <c r="G516">
        <v>1</v>
      </c>
      <c r="H516">
        <v>0.2</v>
      </c>
      <c r="I516">
        <v>0</v>
      </c>
      <c r="J516">
        <v>-188.553</v>
      </c>
      <c r="K516">
        <v>540.76199999999994</v>
      </c>
      <c r="L516">
        <v>0</v>
      </c>
    </row>
    <row r="517" spans="1:12" x14ac:dyDescent="0.25">
      <c r="A517">
        <f>80174705*0.00001</f>
        <v>801.74705000000006</v>
      </c>
      <c r="B517">
        <v>3486</v>
      </c>
      <c r="C517">
        <v>54</v>
      </c>
      <c r="D517">
        <v>347.99599999999998</v>
      </c>
      <c r="E517">
        <v>2846</v>
      </c>
      <c r="F517">
        <v>1604</v>
      </c>
      <c r="G517">
        <v>1</v>
      </c>
      <c r="H517" s="1">
        <f>0.2</f>
        <v>0.2</v>
      </c>
      <c r="I517" s="1">
        <f>0</f>
        <v>0</v>
      </c>
      <c r="J517">
        <v>-188.553</v>
      </c>
      <c r="K517">
        <v>540.76199999999994</v>
      </c>
      <c r="L517">
        <v>0</v>
      </c>
    </row>
    <row r="518" spans="1:12" x14ac:dyDescent="0.25">
      <c r="A518">
        <f>80174897*0.00001</f>
        <v>801.7489700000001</v>
      </c>
      <c r="B518">
        <v>3486</v>
      </c>
      <c r="C518">
        <v>56</v>
      </c>
      <c r="D518">
        <v>347.99599999999998</v>
      </c>
      <c r="E518">
        <v>2846</v>
      </c>
      <c r="F518">
        <v>1604</v>
      </c>
      <c r="G518">
        <v>1</v>
      </c>
      <c r="H518">
        <v>0.2</v>
      </c>
      <c r="I518">
        <v>0</v>
      </c>
      <c r="J518" s="1">
        <f>-187.911</f>
        <v>-187.911</v>
      </c>
      <c r="K518" s="1">
        <f>540.632</f>
        <v>540.63199999999995</v>
      </c>
      <c r="L518" s="1">
        <f>0</f>
        <v>0</v>
      </c>
    </row>
    <row r="519" spans="1:12" x14ac:dyDescent="0.25">
      <c r="A519">
        <f>80175089*0.00001</f>
        <v>801.75089000000003</v>
      </c>
      <c r="B519">
        <v>3486</v>
      </c>
      <c r="C519">
        <v>58</v>
      </c>
      <c r="D519" s="1">
        <f>347.136</f>
        <v>347.13600000000002</v>
      </c>
      <c r="E519">
        <v>2846</v>
      </c>
      <c r="F519">
        <v>1604</v>
      </c>
      <c r="G519">
        <v>1</v>
      </c>
      <c r="H519">
        <v>0.2</v>
      </c>
      <c r="I519">
        <v>0</v>
      </c>
      <c r="J519">
        <v>-187.911</v>
      </c>
      <c r="K519">
        <v>540.63199999999995</v>
      </c>
      <c r="L519">
        <v>0</v>
      </c>
    </row>
    <row r="520" spans="1:12" x14ac:dyDescent="0.25">
      <c r="A520">
        <f>80175185*0.00001</f>
        <v>801.7518500000001</v>
      </c>
      <c r="B520">
        <v>3486</v>
      </c>
      <c r="C520">
        <v>59</v>
      </c>
      <c r="D520">
        <v>347.13600000000002</v>
      </c>
      <c r="E520">
        <v>2846</v>
      </c>
      <c r="F520" s="1">
        <f>1604</f>
        <v>1604</v>
      </c>
      <c r="G520">
        <v>1</v>
      </c>
      <c r="H520">
        <v>0.2</v>
      </c>
      <c r="I520">
        <v>0</v>
      </c>
      <c r="J520">
        <v>-187.911</v>
      </c>
      <c r="K520">
        <v>540.63199999999995</v>
      </c>
      <c r="L520">
        <v>0</v>
      </c>
    </row>
    <row r="521" spans="1:12" x14ac:dyDescent="0.25">
      <c r="A521">
        <f>80175281*0.00001</f>
        <v>801.75281000000007</v>
      </c>
      <c r="B521">
        <v>3486</v>
      </c>
      <c r="C521">
        <v>60</v>
      </c>
      <c r="D521">
        <v>347.13600000000002</v>
      </c>
      <c r="E521">
        <v>2846</v>
      </c>
      <c r="F521">
        <v>1604</v>
      </c>
      <c r="G521" s="1">
        <f>1</f>
        <v>1</v>
      </c>
      <c r="H521">
        <v>0.2</v>
      </c>
      <c r="I521">
        <v>0</v>
      </c>
      <c r="J521">
        <v>-187.911</v>
      </c>
      <c r="K521">
        <v>540.63199999999995</v>
      </c>
      <c r="L521">
        <v>0</v>
      </c>
    </row>
    <row r="522" spans="1:12" x14ac:dyDescent="0.25">
      <c r="A522">
        <f>80175378*0.00001</f>
        <v>801.75378000000012</v>
      </c>
      <c r="B522">
        <v>3486</v>
      </c>
      <c r="C522">
        <v>61</v>
      </c>
      <c r="D522">
        <v>347.13600000000002</v>
      </c>
      <c r="E522">
        <v>2846</v>
      </c>
      <c r="F522">
        <v>1604</v>
      </c>
      <c r="G522">
        <v>1</v>
      </c>
      <c r="H522">
        <v>0.2</v>
      </c>
      <c r="I522" s="1">
        <f>0</f>
        <v>0</v>
      </c>
      <c r="J522" s="1">
        <f>-187.267</f>
        <v>-187.267</v>
      </c>
      <c r="K522">
        <v>540.63199999999995</v>
      </c>
      <c r="L522">
        <v>0</v>
      </c>
    </row>
    <row r="523" spans="1:12" x14ac:dyDescent="0.25">
      <c r="A523">
        <f>80175570*0.00001</f>
        <v>801.75570000000005</v>
      </c>
      <c r="B523">
        <v>3486</v>
      </c>
      <c r="C523">
        <v>63</v>
      </c>
      <c r="D523" s="1">
        <f>346.621</f>
        <v>346.62099999999998</v>
      </c>
      <c r="E523">
        <v>2846</v>
      </c>
      <c r="F523">
        <v>1604</v>
      </c>
      <c r="G523">
        <v>1</v>
      </c>
      <c r="H523">
        <v>0.2</v>
      </c>
      <c r="I523">
        <v>0</v>
      </c>
      <c r="J523">
        <v>-187.267</v>
      </c>
      <c r="K523">
        <v>540.63199999999995</v>
      </c>
      <c r="L523" s="1">
        <f>0</f>
        <v>0</v>
      </c>
    </row>
    <row r="524" spans="1:12" x14ac:dyDescent="0.25">
      <c r="A524">
        <f>80175763*0.00001</f>
        <v>801.75763000000006</v>
      </c>
      <c r="B524">
        <v>3486</v>
      </c>
      <c r="C524">
        <v>65</v>
      </c>
      <c r="D524">
        <v>346.62099999999998</v>
      </c>
      <c r="E524" s="1">
        <f>2858</f>
        <v>2858</v>
      </c>
      <c r="F524" s="1">
        <f>1604</f>
        <v>1604</v>
      </c>
      <c r="G524" s="1">
        <f>1</f>
        <v>1</v>
      </c>
      <c r="H524">
        <v>0.2</v>
      </c>
      <c r="I524">
        <v>0</v>
      </c>
      <c r="J524">
        <v>-187.267</v>
      </c>
      <c r="K524">
        <v>540.63199999999995</v>
      </c>
      <c r="L524">
        <v>0</v>
      </c>
    </row>
    <row r="525" spans="1:12" x14ac:dyDescent="0.25">
      <c r="A525">
        <f>80175956*0.00001</f>
        <v>801.75956000000008</v>
      </c>
      <c r="B525">
        <v>3486</v>
      </c>
      <c r="C525">
        <v>67</v>
      </c>
      <c r="D525">
        <v>346.62099999999998</v>
      </c>
      <c r="E525">
        <v>2858</v>
      </c>
      <c r="F525">
        <v>1604</v>
      </c>
      <c r="G525">
        <v>1</v>
      </c>
      <c r="H525" s="1">
        <f>0.2</f>
        <v>0.2</v>
      </c>
      <c r="I525">
        <v>0</v>
      </c>
      <c r="J525">
        <v>-187.267</v>
      </c>
      <c r="K525">
        <v>540.63199999999995</v>
      </c>
      <c r="L525">
        <v>0</v>
      </c>
    </row>
    <row r="526" spans="1:12" x14ac:dyDescent="0.25">
      <c r="A526">
        <f>80176052*0.00001</f>
        <v>801.76052000000004</v>
      </c>
      <c r="B526">
        <v>3486</v>
      </c>
      <c r="C526">
        <v>68</v>
      </c>
      <c r="D526">
        <v>346.62099999999998</v>
      </c>
      <c r="E526">
        <v>2858</v>
      </c>
      <c r="F526">
        <v>1604</v>
      </c>
      <c r="G526">
        <v>1</v>
      </c>
      <c r="H526">
        <v>0.2</v>
      </c>
      <c r="I526">
        <v>0</v>
      </c>
      <c r="J526" s="1">
        <f>-186.583</f>
        <v>-186.583</v>
      </c>
      <c r="K526" s="1">
        <f>540.35</f>
        <v>540.35</v>
      </c>
      <c r="L526">
        <v>0</v>
      </c>
    </row>
    <row r="527" spans="1:12" x14ac:dyDescent="0.25">
      <c r="A527">
        <f>80176246*0.00001</f>
        <v>801.76246000000003</v>
      </c>
      <c r="B527">
        <v>3486</v>
      </c>
      <c r="C527">
        <v>70</v>
      </c>
      <c r="D527" s="1">
        <f>346.07</f>
        <v>346.07</v>
      </c>
      <c r="E527" s="1">
        <f>2865</f>
        <v>2865</v>
      </c>
      <c r="F527">
        <v>1604</v>
      </c>
      <c r="G527">
        <v>1</v>
      </c>
      <c r="H527">
        <v>0.2</v>
      </c>
      <c r="I527">
        <v>0</v>
      </c>
      <c r="J527">
        <v>-186.583</v>
      </c>
      <c r="K527">
        <v>540.35</v>
      </c>
      <c r="L527">
        <v>0</v>
      </c>
    </row>
    <row r="528" spans="1:12" x14ac:dyDescent="0.25">
      <c r="A528">
        <f>80176439*0.00001</f>
        <v>801.76439000000005</v>
      </c>
      <c r="B528">
        <v>3486</v>
      </c>
      <c r="C528">
        <v>72</v>
      </c>
      <c r="D528">
        <v>346.07</v>
      </c>
      <c r="E528">
        <v>2865</v>
      </c>
      <c r="F528" s="1">
        <f>1604</f>
        <v>1604</v>
      </c>
      <c r="G528" s="1">
        <f>1</f>
        <v>1</v>
      </c>
      <c r="H528" s="1">
        <f>0.2</f>
        <v>0.2</v>
      </c>
      <c r="I528">
        <v>0</v>
      </c>
      <c r="J528">
        <v>-186.583</v>
      </c>
      <c r="K528">
        <v>540.35</v>
      </c>
      <c r="L528">
        <v>0</v>
      </c>
    </row>
    <row r="529" spans="1:12" x14ac:dyDescent="0.25">
      <c r="A529">
        <f>80176631*0.00001</f>
        <v>801.76631000000009</v>
      </c>
      <c r="B529">
        <v>3486</v>
      </c>
      <c r="C529">
        <v>74</v>
      </c>
      <c r="D529">
        <v>346.07</v>
      </c>
      <c r="E529">
        <v>2865</v>
      </c>
      <c r="F529">
        <v>1604</v>
      </c>
      <c r="G529">
        <v>1</v>
      </c>
      <c r="H529">
        <v>0.2</v>
      </c>
      <c r="I529" s="1">
        <f>0</f>
        <v>0</v>
      </c>
      <c r="J529">
        <v>-186.583</v>
      </c>
      <c r="K529">
        <v>540.35</v>
      </c>
      <c r="L529">
        <v>0</v>
      </c>
    </row>
    <row r="530" spans="1:12" x14ac:dyDescent="0.25">
      <c r="A530">
        <f>80176728*0.00001</f>
        <v>801.76728000000003</v>
      </c>
      <c r="B530">
        <v>3486</v>
      </c>
      <c r="C530">
        <v>75</v>
      </c>
      <c r="D530">
        <v>346.07</v>
      </c>
      <c r="E530">
        <v>2865</v>
      </c>
      <c r="F530">
        <v>1604</v>
      </c>
      <c r="G530">
        <v>1</v>
      </c>
      <c r="H530">
        <v>0.2</v>
      </c>
      <c r="I530">
        <v>0</v>
      </c>
      <c r="J530">
        <v>-186.583</v>
      </c>
      <c r="K530" s="1">
        <f>540.22</f>
        <v>540.22</v>
      </c>
      <c r="L530">
        <v>0</v>
      </c>
    </row>
    <row r="531" spans="1:12" x14ac:dyDescent="0.25">
      <c r="A531">
        <f>80176825*0.00001</f>
        <v>801.76825000000008</v>
      </c>
      <c r="B531">
        <v>3486</v>
      </c>
      <c r="C531">
        <v>76</v>
      </c>
      <c r="D531">
        <v>346.07</v>
      </c>
      <c r="E531">
        <v>2865</v>
      </c>
      <c r="F531">
        <v>1604</v>
      </c>
      <c r="G531">
        <v>1</v>
      </c>
      <c r="H531">
        <v>0.2</v>
      </c>
      <c r="I531">
        <v>0</v>
      </c>
      <c r="J531">
        <v>-186.583</v>
      </c>
      <c r="K531">
        <v>540.22</v>
      </c>
      <c r="L531" s="1">
        <f>0</f>
        <v>0</v>
      </c>
    </row>
    <row r="532" spans="1:12" x14ac:dyDescent="0.25">
      <c r="A532">
        <f>80176922*0.00001</f>
        <v>801.76922000000002</v>
      </c>
      <c r="B532">
        <v>3486</v>
      </c>
      <c r="C532">
        <v>77</v>
      </c>
      <c r="D532">
        <v>346.07</v>
      </c>
      <c r="E532" s="1">
        <f>2874</f>
        <v>2874</v>
      </c>
      <c r="F532" s="1">
        <f>1604</f>
        <v>1604</v>
      </c>
      <c r="G532">
        <v>1</v>
      </c>
      <c r="H532">
        <v>0.2</v>
      </c>
      <c r="I532">
        <v>0</v>
      </c>
      <c r="J532">
        <v>-186.583</v>
      </c>
      <c r="K532">
        <v>540.22</v>
      </c>
      <c r="L532">
        <v>0</v>
      </c>
    </row>
    <row r="533" spans="1:12" x14ac:dyDescent="0.25">
      <c r="A533">
        <f>80177114*0.00001</f>
        <v>801.77114000000006</v>
      </c>
      <c r="B533">
        <v>3486</v>
      </c>
      <c r="C533">
        <v>79</v>
      </c>
      <c r="D533">
        <v>346.07</v>
      </c>
      <c r="E533">
        <v>2874</v>
      </c>
      <c r="F533">
        <v>1604</v>
      </c>
      <c r="G533">
        <v>1</v>
      </c>
      <c r="H533" s="1">
        <f>0.2</f>
        <v>0.2</v>
      </c>
      <c r="I533" s="1">
        <f>0</f>
        <v>0</v>
      </c>
      <c r="J533">
        <v>-186.583</v>
      </c>
      <c r="K533">
        <v>540.22</v>
      </c>
      <c r="L533">
        <v>0</v>
      </c>
    </row>
    <row r="534" spans="1:12" x14ac:dyDescent="0.25">
      <c r="A534">
        <f>80177307*0.00001</f>
        <v>801.77307000000008</v>
      </c>
      <c r="B534">
        <v>3486</v>
      </c>
      <c r="C534">
        <v>81</v>
      </c>
      <c r="D534">
        <v>346.07</v>
      </c>
      <c r="E534">
        <v>2874</v>
      </c>
      <c r="F534">
        <v>1604</v>
      </c>
      <c r="G534">
        <v>1</v>
      </c>
      <c r="H534">
        <v>0.2</v>
      </c>
      <c r="I534">
        <v>0</v>
      </c>
      <c r="J534">
        <v>-186.583</v>
      </c>
      <c r="K534" s="1">
        <f>540.09</f>
        <v>540.09</v>
      </c>
      <c r="L534" s="1">
        <f>0</f>
        <v>0</v>
      </c>
    </row>
    <row r="535" spans="1:12" x14ac:dyDescent="0.25">
      <c r="A535">
        <f>80177500*0.00001</f>
        <v>801.77500000000009</v>
      </c>
      <c r="B535">
        <v>3486</v>
      </c>
      <c r="C535">
        <v>83</v>
      </c>
      <c r="D535" s="1">
        <f>344.743</f>
        <v>344.74299999999999</v>
      </c>
      <c r="E535" s="1">
        <f>2882</f>
        <v>2882</v>
      </c>
      <c r="F535" s="1">
        <f>1604</f>
        <v>1604</v>
      </c>
      <c r="G535">
        <v>1</v>
      </c>
      <c r="H535">
        <v>0.2</v>
      </c>
      <c r="I535">
        <v>0</v>
      </c>
      <c r="J535">
        <v>-186.583</v>
      </c>
      <c r="K535">
        <v>540.09</v>
      </c>
      <c r="L535">
        <v>0</v>
      </c>
    </row>
    <row r="536" spans="1:12" x14ac:dyDescent="0.25">
      <c r="A536">
        <f>80177694*0.00001</f>
        <v>801.77694000000008</v>
      </c>
      <c r="B536">
        <v>3486</v>
      </c>
      <c r="C536">
        <v>85</v>
      </c>
      <c r="D536">
        <v>344.74299999999999</v>
      </c>
      <c r="E536">
        <v>2882</v>
      </c>
      <c r="F536">
        <v>1604</v>
      </c>
      <c r="G536" s="1">
        <f>1</f>
        <v>1</v>
      </c>
      <c r="H536">
        <v>0.2</v>
      </c>
      <c r="I536">
        <v>0</v>
      </c>
      <c r="J536">
        <v>-186.583</v>
      </c>
      <c r="K536">
        <v>540.09</v>
      </c>
      <c r="L536">
        <v>0</v>
      </c>
    </row>
    <row r="537" spans="1:12" x14ac:dyDescent="0.25">
      <c r="A537">
        <f>80177790*0.00001</f>
        <v>801.77790000000005</v>
      </c>
      <c r="B537">
        <v>3486</v>
      </c>
      <c r="C537">
        <v>86</v>
      </c>
      <c r="D537">
        <v>344.74299999999999</v>
      </c>
      <c r="E537">
        <v>2882</v>
      </c>
      <c r="F537">
        <v>1604</v>
      </c>
      <c r="G537">
        <v>1</v>
      </c>
      <c r="H537">
        <v>0.2</v>
      </c>
      <c r="I537" s="1">
        <f>0</f>
        <v>0</v>
      </c>
      <c r="J537">
        <v>-186.583</v>
      </c>
      <c r="K537">
        <v>540.09</v>
      </c>
      <c r="L537">
        <v>0</v>
      </c>
    </row>
    <row r="538" spans="1:12" x14ac:dyDescent="0.25">
      <c r="A538">
        <f>80177887*0.00001</f>
        <v>801.7788700000001</v>
      </c>
      <c r="B538">
        <v>3486</v>
      </c>
      <c r="C538">
        <v>87</v>
      </c>
      <c r="D538">
        <v>344.74299999999999</v>
      </c>
      <c r="E538">
        <v>2882</v>
      </c>
      <c r="F538">
        <v>1604</v>
      </c>
      <c r="G538">
        <v>1</v>
      </c>
      <c r="H538">
        <v>0.2</v>
      </c>
      <c r="I538">
        <v>0</v>
      </c>
      <c r="J538" s="1">
        <f>-184.191</f>
        <v>-184.191</v>
      </c>
      <c r="K538">
        <v>540.09</v>
      </c>
      <c r="L538">
        <v>0</v>
      </c>
    </row>
    <row r="539" spans="1:12" x14ac:dyDescent="0.25">
      <c r="A539">
        <f>80177984*0.00001</f>
        <v>801.77984000000004</v>
      </c>
      <c r="B539">
        <v>3486</v>
      </c>
      <c r="C539">
        <v>88</v>
      </c>
      <c r="D539" s="1">
        <f>344.11</f>
        <v>344.11</v>
      </c>
      <c r="E539">
        <v>2882</v>
      </c>
      <c r="F539">
        <v>1604</v>
      </c>
      <c r="G539">
        <v>1</v>
      </c>
      <c r="H539">
        <v>0.2</v>
      </c>
      <c r="I539">
        <v>0</v>
      </c>
      <c r="J539">
        <v>-184.191</v>
      </c>
      <c r="K539">
        <v>540.09</v>
      </c>
      <c r="L539" s="1">
        <f>0</f>
        <v>0</v>
      </c>
    </row>
    <row r="540" spans="1:12" x14ac:dyDescent="0.25">
      <c r="A540">
        <f>80178178*0.00001</f>
        <v>801.78178000000003</v>
      </c>
      <c r="B540">
        <v>3486</v>
      </c>
      <c r="C540">
        <v>90</v>
      </c>
      <c r="D540">
        <v>344.11</v>
      </c>
      <c r="E540">
        <v>2882</v>
      </c>
      <c r="F540" s="1">
        <f>1604</f>
        <v>1604</v>
      </c>
      <c r="G540" s="1">
        <f>1</f>
        <v>1</v>
      </c>
      <c r="H540">
        <v>0.2</v>
      </c>
      <c r="I540">
        <v>0</v>
      </c>
      <c r="J540">
        <v>-184.191</v>
      </c>
      <c r="K540">
        <v>540.09</v>
      </c>
      <c r="L540">
        <v>0</v>
      </c>
    </row>
    <row r="541" spans="1:12" x14ac:dyDescent="0.25">
      <c r="A541">
        <f>80178372*0.00001</f>
        <v>801.78372000000002</v>
      </c>
      <c r="B541">
        <v>3486</v>
      </c>
      <c r="C541">
        <v>92</v>
      </c>
      <c r="D541">
        <v>344.11</v>
      </c>
      <c r="E541">
        <v>2882</v>
      </c>
      <c r="F541">
        <v>1604</v>
      </c>
      <c r="G541">
        <v>1</v>
      </c>
      <c r="H541" s="1">
        <f>0.2</f>
        <v>0.2</v>
      </c>
      <c r="I541" s="1">
        <f>0</f>
        <v>0</v>
      </c>
      <c r="J541" s="1">
        <f>-183.395</f>
        <v>-183.39500000000001</v>
      </c>
      <c r="K541">
        <v>540.09</v>
      </c>
      <c r="L541">
        <v>0</v>
      </c>
    </row>
    <row r="542" spans="1:12" x14ac:dyDescent="0.25">
      <c r="A542">
        <f>80178566*0.00001</f>
        <v>801.78566000000012</v>
      </c>
      <c r="B542">
        <v>3486</v>
      </c>
      <c r="C542">
        <v>94</v>
      </c>
      <c r="D542">
        <v>344.11</v>
      </c>
      <c r="E542">
        <v>2882</v>
      </c>
      <c r="F542">
        <v>1604</v>
      </c>
      <c r="G542">
        <v>1</v>
      </c>
      <c r="H542">
        <v>0.2</v>
      </c>
      <c r="I542">
        <v>0</v>
      </c>
      <c r="J542">
        <v>-183.39500000000001</v>
      </c>
      <c r="K542" s="1">
        <f>539.81</f>
        <v>539.80999999999995</v>
      </c>
      <c r="L542">
        <v>0</v>
      </c>
    </row>
    <row r="543" spans="1:12" x14ac:dyDescent="0.25">
      <c r="A543">
        <f>80178663*0.00001</f>
        <v>801.78663000000006</v>
      </c>
      <c r="B543">
        <v>3486</v>
      </c>
      <c r="C543">
        <v>95</v>
      </c>
      <c r="D543" s="1">
        <f>343.459</f>
        <v>343.459</v>
      </c>
      <c r="E543">
        <v>2882</v>
      </c>
      <c r="F543">
        <v>1604</v>
      </c>
      <c r="G543">
        <v>1</v>
      </c>
      <c r="H543">
        <v>0.2</v>
      </c>
      <c r="I543">
        <v>0</v>
      </c>
      <c r="J543">
        <v>-183.39500000000001</v>
      </c>
      <c r="K543">
        <v>539.80999999999995</v>
      </c>
      <c r="L543">
        <v>0</v>
      </c>
    </row>
    <row r="544" spans="1:12" x14ac:dyDescent="0.25">
      <c r="A544">
        <f>80178760*0.00001</f>
        <v>801.78760000000011</v>
      </c>
      <c r="B544">
        <v>3486</v>
      </c>
      <c r="C544">
        <v>96</v>
      </c>
      <c r="D544">
        <v>343.459</v>
      </c>
      <c r="E544" s="1">
        <f>2898</f>
        <v>2898</v>
      </c>
      <c r="F544">
        <v>1604</v>
      </c>
      <c r="G544">
        <v>1</v>
      </c>
      <c r="H544">
        <v>0.2</v>
      </c>
      <c r="I544">
        <v>0</v>
      </c>
      <c r="J544">
        <v>-183.39500000000001</v>
      </c>
      <c r="K544">
        <v>539.80999999999995</v>
      </c>
      <c r="L544">
        <v>0</v>
      </c>
    </row>
    <row r="545" spans="1:12" x14ac:dyDescent="0.25">
      <c r="A545">
        <f>80178857*0.00001</f>
        <v>801.78857000000005</v>
      </c>
      <c r="B545">
        <v>3486</v>
      </c>
      <c r="C545">
        <v>97</v>
      </c>
      <c r="D545">
        <v>343.459</v>
      </c>
      <c r="E545">
        <v>2898</v>
      </c>
      <c r="F545">
        <v>1604</v>
      </c>
      <c r="G545" s="1">
        <f>1</f>
        <v>1</v>
      </c>
      <c r="H545" s="1">
        <f>0.2</f>
        <v>0.2</v>
      </c>
      <c r="I545">
        <v>0</v>
      </c>
      <c r="J545">
        <v>-183.39500000000001</v>
      </c>
      <c r="K545">
        <v>539.80999999999995</v>
      </c>
      <c r="L545">
        <v>0</v>
      </c>
    </row>
    <row r="546" spans="1:12" x14ac:dyDescent="0.25">
      <c r="A546">
        <f>80179051*0.00001</f>
        <v>801.79051000000004</v>
      </c>
      <c r="B546">
        <v>3486</v>
      </c>
      <c r="C546">
        <v>99</v>
      </c>
      <c r="D546">
        <v>343.459</v>
      </c>
      <c r="E546">
        <v>2898</v>
      </c>
      <c r="F546">
        <v>1604</v>
      </c>
      <c r="G546">
        <v>1</v>
      </c>
      <c r="H546">
        <v>0.2</v>
      </c>
      <c r="I546">
        <v>0</v>
      </c>
      <c r="J546" s="1">
        <f>-182.585</f>
        <v>-182.58500000000001</v>
      </c>
      <c r="K546" s="1">
        <f>539.682</f>
        <v>539.68200000000002</v>
      </c>
      <c r="L546">
        <v>0</v>
      </c>
    </row>
    <row r="547" spans="1:12" x14ac:dyDescent="0.25">
      <c r="A547">
        <f>80179247*0.00001</f>
        <v>801.79247000000009</v>
      </c>
      <c r="B547">
        <v>3486</v>
      </c>
      <c r="C547">
        <v>101</v>
      </c>
      <c r="D547" s="1">
        <f>342.796</f>
        <v>342.79599999999999</v>
      </c>
      <c r="E547" s="1">
        <f>2907</f>
        <v>2907</v>
      </c>
      <c r="F547">
        <v>1604</v>
      </c>
      <c r="G547">
        <v>1</v>
      </c>
      <c r="H547">
        <v>0.2</v>
      </c>
      <c r="I547">
        <v>0</v>
      </c>
      <c r="J547">
        <v>-182.58500000000001</v>
      </c>
      <c r="K547">
        <v>539.68200000000002</v>
      </c>
      <c r="L547">
        <v>0</v>
      </c>
    </row>
    <row r="548" spans="1:12" x14ac:dyDescent="0.25">
      <c r="A548">
        <f>80179443*0.00001</f>
        <v>801.79443000000003</v>
      </c>
      <c r="B548">
        <v>3486</v>
      </c>
      <c r="C548">
        <v>103</v>
      </c>
      <c r="D548">
        <v>342.79599999999999</v>
      </c>
      <c r="E548">
        <v>2907</v>
      </c>
      <c r="F548" s="1">
        <f>1604</f>
        <v>1604</v>
      </c>
      <c r="G548" s="1">
        <f>1</f>
        <v>1</v>
      </c>
      <c r="H548" s="1">
        <f>0.2</f>
        <v>0.2</v>
      </c>
      <c r="I548">
        <v>0</v>
      </c>
      <c r="J548">
        <v>-182.58500000000001</v>
      </c>
      <c r="K548">
        <v>539.68200000000002</v>
      </c>
      <c r="L548">
        <v>0</v>
      </c>
    </row>
    <row r="549" spans="1:12" x14ac:dyDescent="0.25">
      <c r="A549">
        <f>80179639*0.00001</f>
        <v>801.79639000000009</v>
      </c>
      <c r="B549">
        <v>3486</v>
      </c>
      <c r="C549">
        <v>105</v>
      </c>
      <c r="D549">
        <v>342.79599999999999</v>
      </c>
      <c r="E549">
        <v>2907</v>
      </c>
      <c r="F549">
        <v>1604</v>
      </c>
      <c r="G549">
        <v>1</v>
      </c>
      <c r="H549">
        <v>0.2</v>
      </c>
      <c r="I549" s="1">
        <f>0</f>
        <v>0</v>
      </c>
      <c r="J549">
        <v>-182.58500000000001</v>
      </c>
      <c r="K549">
        <v>539.68200000000002</v>
      </c>
      <c r="L549">
        <v>0</v>
      </c>
    </row>
    <row r="550" spans="1:12" x14ac:dyDescent="0.25">
      <c r="A550">
        <f>80179737*0.00001</f>
        <v>801.79737000000011</v>
      </c>
      <c r="B550">
        <v>3486</v>
      </c>
      <c r="C550">
        <v>106</v>
      </c>
      <c r="D550">
        <v>342.79599999999999</v>
      </c>
      <c r="E550">
        <v>2907</v>
      </c>
      <c r="F550">
        <v>1604</v>
      </c>
      <c r="G550">
        <v>1</v>
      </c>
      <c r="H550">
        <v>0.2</v>
      </c>
      <c r="I550">
        <v>0</v>
      </c>
      <c r="J550">
        <v>-182.58500000000001</v>
      </c>
      <c r="K550" s="1">
        <f>539.553</f>
        <v>539.553</v>
      </c>
      <c r="L550">
        <v>0</v>
      </c>
    </row>
    <row r="551" spans="1:12" x14ac:dyDescent="0.25">
      <c r="A551">
        <f>80179835*0.00001</f>
        <v>801.79835000000003</v>
      </c>
      <c r="B551">
        <v>3486</v>
      </c>
      <c r="C551">
        <v>107</v>
      </c>
      <c r="D551">
        <v>342.79599999999999</v>
      </c>
      <c r="E551">
        <v>2907</v>
      </c>
      <c r="F551">
        <v>1604</v>
      </c>
      <c r="G551">
        <v>1</v>
      </c>
      <c r="H551">
        <v>0.2</v>
      </c>
      <c r="I551">
        <v>0</v>
      </c>
      <c r="J551">
        <v>-182.58500000000001</v>
      </c>
      <c r="K551">
        <v>539.553</v>
      </c>
      <c r="L551" s="1">
        <f>0</f>
        <v>0</v>
      </c>
    </row>
    <row r="552" spans="1:12" x14ac:dyDescent="0.25">
      <c r="A552">
        <f>80179932*0.00001</f>
        <v>801.79932000000008</v>
      </c>
      <c r="B552">
        <v>3486</v>
      </c>
      <c r="C552">
        <v>108</v>
      </c>
      <c r="D552">
        <v>342.79599999999999</v>
      </c>
      <c r="E552" s="1">
        <f>2916</f>
        <v>2916</v>
      </c>
      <c r="F552" s="1">
        <f>1604</f>
        <v>1604</v>
      </c>
      <c r="G552">
        <v>1</v>
      </c>
      <c r="H552">
        <v>0.2</v>
      </c>
      <c r="I552">
        <v>0</v>
      </c>
      <c r="J552">
        <v>-182.58500000000001</v>
      </c>
      <c r="K552">
        <v>539.553</v>
      </c>
      <c r="L552">
        <v>0</v>
      </c>
    </row>
    <row r="553" spans="1:12" x14ac:dyDescent="0.25">
      <c r="A553">
        <f>80180126*0.00001</f>
        <v>801.80126000000007</v>
      </c>
      <c r="B553">
        <v>3486</v>
      </c>
      <c r="C553">
        <v>110</v>
      </c>
      <c r="D553">
        <v>342.79599999999999</v>
      </c>
      <c r="E553">
        <v>2916</v>
      </c>
      <c r="F553">
        <v>1604</v>
      </c>
      <c r="G553">
        <v>1</v>
      </c>
      <c r="H553" s="1">
        <f>0.2</f>
        <v>0.2</v>
      </c>
      <c r="I553" s="1">
        <f>0</f>
        <v>0</v>
      </c>
      <c r="J553">
        <v>-182.58500000000001</v>
      </c>
      <c r="K553">
        <v>539.553</v>
      </c>
      <c r="L553">
        <v>0</v>
      </c>
    </row>
    <row r="554" spans="1:12" x14ac:dyDescent="0.25">
      <c r="A554">
        <f>80180322*0.00001</f>
        <v>801.80322000000001</v>
      </c>
      <c r="B554">
        <v>3486</v>
      </c>
      <c r="C554">
        <v>112</v>
      </c>
      <c r="D554">
        <v>342.79599999999999</v>
      </c>
      <c r="E554">
        <v>2916</v>
      </c>
      <c r="F554">
        <v>1604</v>
      </c>
      <c r="G554">
        <v>1</v>
      </c>
      <c r="H554">
        <v>0.2</v>
      </c>
      <c r="I554">
        <v>0</v>
      </c>
      <c r="J554">
        <v>-182.58500000000001</v>
      </c>
      <c r="K554" s="1">
        <f>539.426</f>
        <v>539.42600000000004</v>
      </c>
      <c r="L554" s="1">
        <f>0</f>
        <v>0</v>
      </c>
    </row>
    <row r="555" spans="1:12" x14ac:dyDescent="0.25">
      <c r="A555">
        <f>80180518*0.00001</f>
        <v>801.80518000000006</v>
      </c>
      <c r="B555">
        <v>3486</v>
      </c>
      <c r="C555">
        <v>114</v>
      </c>
      <c r="D555" s="1">
        <f>341.354</f>
        <v>341.35399999999998</v>
      </c>
      <c r="E555" s="1">
        <f>2924</f>
        <v>2924</v>
      </c>
      <c r="F555" s="1">
        <f>1604</f>
        <v>1604</v>
      </c>
      <c r="G555">
        <v>1</v>
      </c>
      <c r="H555">
        <v>0.2</v>
      </c>
      <c r="I555">
        <v>0</v>
      </c>
      <c r="J555">
        <v>-182.58500000000001</v>
      </c>
      <c r="K555">
        <v>539.42600000000004</v>
      </c>
      <c r="L555">
        <v>0</v>
      </c>
    </row>
    <row r="556" spans="1:12" x14ac:dyDescent="0.25">
      <c r="A556">
        <f>80180714*0.00001</f>
        <v>801.80714000000012</v>
      </c>
      <c r="B556">
        <v>3486</v>
      </c>
      <c r="C556">
        <v>116</v>
      </c>
      <c r="D556">
        <v>341.35399999999998</v>
      </c>
      <c r="E556">
        <v>2924</v>
      </c>
      <c r="F556">
        <v>1604</v>
      </c>
      <c r="G556" s="1">
        <f>1</f>
        <v>1</v>
      </c>
      <c r="H556" s="1">
        <f>0.2</f>
        <v>0.2</v>
      </c>
      <c r="I556" s="1">
        <f>0</f>
        <v>0</v>
      </c>
      <c r="J556">
        <v>-182.58500000000001</v>
      </c>
      <c r="K556">
        <v>539.42600000000004</v>
      </c>
      <c r="L556">
        <v>0</v>
      </c>
    </row>
    <row r="557" spans="1:12" x14ac:dyDescent="0.25">
      <c r="A557">
        <f>80180910*0.00001</f>
        <v>801.80910000000006</v>
      </c>
      <c r="B557">
        <v>3486</v>
      </c>
      <c r="C557">
        <v>118</v>
      </c>
      <c r="D557">
        <v>341.35399999999998</v>
      </c>
      <c r="E557">
        <v>2924</v>
      </c>
      <c r="F557">
        <v>1604</v>
      </c>
      <c r="G557">
        <v>1</v>
      </c>
      <c r="H557">
        <v>0.2</v>
      </c>
      <c r="I557">
        <v>0</v>
      </c>
      <c r="J557" s="1">
        <f>-180.018</f>
        <v>-180.018</v>
      </c>
      <c r="K557">
        <v>539.42600000000004</v>
      </c>
      <c r="L557">
        <v>0</v>
      </c>
    </row>
    <row r="558" spans="1:12" x14ac:dyDescent="0.25">
      <c r="A558">
        <f>80181008*0.00001</f>
        <v>801.81008000000008</v>
      </c>
      <c r="B558">
        <v>3486</v>
      </c>
      <c r="C558">
        <v>119</v>
      </c>
      <c r="D558">
        <v>341.35399999999998</v>
      </c>
      <c r="E558">
        <v>2924</v>
      </c>
      <c r="F558">
        <v>1604</v>
      </c>
      <c r="G558">
        <v>1</v>
      </c>
      <c r="H558">
        <v>0.2</v>
      </c>
      <c r="I558">
        <v>0</v>
      </c>
      <c r="J558">
        <v>-180.018</v>
      </c>
      <c r="K558">
        <v>539.42600000000004</v>
      </c>
      <c r="L558" s="1">
        <f>0</f>
        <v>0</v>
      </c>
    </row>
    <row r="559" spans="1:12" x14ac:dyDescent="0.25">
      <c r="A559">
        <f>80181106*0.00001</f>
        <v>801.81106000000011</v>
      </c>
      <c r="B559">
        <v>3486</v>
      </c>
      <c r="C559">
        <v>120</v>
      </c>
      <c r="D559" s="1">
        <f>340.704</f>
        <v>340.70400000000001</v>
      </c>
      <c r="E559">
        <v>2924</v>
      </c>
      <c r="F559">
        <v>1604</v>
      </c>
      <c r="G559">
        <v>1</v>
      </c>
      <c r="H559">
        <v>0.2</v>
      </c>
      <c r="I559">
        <v>0</v>
      </c>
      <c r="J559">
        <v>-180.018</v>
      </c>
      <c r="K559">
        <v>539.42600000000004</v>
      </c>
      <c r="L559">
        <v>0</v>
      </c>
    </row>
    <row r="560" spans="1:12" x14ac:dyDescent="0.25">
      <c r="A560">
        <f>80181204*0.00001</f>
        <v>801.81204000000002</v>
      </c>
      <c r="B560">
        <v>3486</v>
      </c>
      <c r="C560">
        <v>121</v>
      </c>
      <c r="D560">
        <v>340.70400000000001</v>
      </c>
      <c r="E560">
        <v>2924</v>
      </c>
      <c r="F560" s="1">
        <f>1604</f>
        <v>1604</v>
      </c>
      <c r="G560">
        <v>1</v>
      </c>
      <c r="H560">
        <v>0.2</v>
      </c>
      <c r="I560">
        <v>0</v>
      </c>
      <c r="J560">
        <v>-180.018</v>
      </c>
      <c r="K560">
        <v>539.42600000000004</v>
      </c>
      <c r="L560">
        <v>0</v>
      </c>
    </row>
    <row r="561" spans="1:12" x14ac:dyDescent="0.25">
      <c r="A561">
        <f>80181302*0.00001</f>
        <v>801.81302000000005</v>
      </c>
      <c r="B561">
        <v>3486</v>
      </c>
      <c r="C561">
        <v>122</v>
      </c>
      <c r="D561">
        <v>340.70400000000001</v>
      </c>
      <c r="E561">
        <v>2924</v>
      </c>
      <c r="F561">
        <v>1604</v>
      </c>
      <c r="G561" s="1">
        <f>1</f>
        <v>1</v>
      </c>
      <c r="H561">
        <v>0.2</v>
      </c>
      <c r="I561">
        <v>0</v>
      </c>
      <c r="J561">
        <v>-180.018</v>
      </c>
      <c r="K561">
        <v>539.42600000000004</v>
      </c>
      <c r="L561">
        <v>0</v>
      </c>
    </row>
    <row r="562" spans="1:12" x14ac:dyDescent="0.25">
      <c r="A562">
        <f>80181400*0.00001</f>
        <v>801.81400000000008</v>
      </c>
      <c r="B562">
        <v>3486</v>
      </c>
      <c r="C562">
        <v>123</v>
      </c>
      <c r="D562">
        <v>340.70400000000001</v>
      </c>
      <c r="E562">
        <v>2924</v>
      </c>
      <c r="F562">
        <v>1604</v>
      </c>
      <c r="G562">
        <v>1</v>
      </c>
      <c r="H562">
        <v>0.2</v>
      </c>
      <c r="I562" s="1">
        <f>0</f>
        <v>0</v>
      </c>
      <c r="J562" s="1">
        <f>-179.228</f>
        <v>-179.22800000000001</v>
      </c>
      <c r="K562">
        <v>539.42600000000004</v>
      </c>
      <c r="L562">
        <v>0</v>
      </c>
    </row>
    <row r="563" spans="1:12" x14ac:dyDescent="0.25">
      <c r="A563">
        <f>80181596*0.00001</f>
        <v>801.81596000000002</v>
      </c>
      <c r="B563">
        <v>3486</v>
      </c>
      <c r="C563">
        <v>125</v>
      </c>
      <c r="D563" s="1">
        <f>340.037</f>
        <v>340.03699999999998</v>
      </c>
      <c r="E563">
        <v>2924</v>
      </c>
      <c r="F563">
        <v>1604</v>
      </c>
      <c r="G563">
        <v>1</v>
      </c>
      <c r="H563">
        <v>0.2</v>
      </c>
      <c r="I563">
        <v>0</v>
      </c>
      <c r="J563">
        <v>-179.22800000000001</v>
      </c>
      <c r="K563">
        <v>539.42600000000004</v>
      </c>
      <c r="L563" s="1">
        <f>0</f>
        <v>0</v>
      </c>
    </row>
    <row r="564" spans="1:12" x14ac:dyDescent="0.25">
      <c r="A564">
        <f>80181793*0.00001</f>
        <v>801.81793000000005</v>
      </c>
      <c r="B564">
        <v>3486</v>
      </c>
      <c r="C564">
        <v>127</v>
      </c>
      <c r="D564">
        <v>340.03699999999998</v>
      </c>
      <c r="E564">
        <v>2924</v>
      </c>
      <c r="F564" s="1">
        <f>1604</f>
        <v>1604</v>
      </c>
      <c r="G564" s="1">
        <f>1</f>
        <v>1</v>
      </c>
      <c r="H564">
        <v>0.2</v>
      </c>
      <c r="I564">
        <v>0</v>
      </c>
      <c r="J564">
        <v>-179.22800000000001</v>
      </c>
      <c r="K564">
        <v>539.42600000000004</v>
      </c>
      <c r="L564">
        <v>0</v>
      </c>
    </row>
    <row r="565" spans="1:12" x14ac:dyDescent="0.25">
      <c r="A565">
        <f>80181989*0.00001</f>
        <v>801.8198900000001</v>
      </c>
      <c r="B565">
        <v>3486</v>
      </c>
      <c r="C565">
        <v>129</v>
      </c>
      <c r="D565">
        <v>340.03699999999998</v>
      </c>
      <c r="E565">
        <v>2924</v>
      </c>
      <c r="F565">
        <v>1604</v>
      </c>
      <c r="G565">
        <v>1</v>
      </c>
      <c r="H565" s="1">
        <f>0.2</f>
        <v>0.2</v>
      </c>
      <c r="I565" s="1">
        <f>0</f>
        <v>0</v>
      </c>
      <c r="J565" s="1">
        <f>-178.407</f>
        <v>-178.40700000000001</v>
      </c>
      <c r="K565">
        <v>539.42600000000004</v>
      </c>
      <c r="L565">
        <v>0</v>
      </c>
    </row>
    <row r="566" spans="1:12" x14ac:dyDescent="0.25">
      <c r="A566">
        <f>80182185*0.00001</f>
        <v>801.82185000000004</v>
      </c>
      <c r="B566">
        <v>3486</v>
      </c>
      <c r="C566">
        <v>131</v>
      </c>
      <c r="D566" s="1">
        <f>339.366</f>
        <v>339.36599999999999</v>
      </c>
      <c r="E566">
        <v>2924</v>
      </c>
      <c r="F566">
        <v>1604</v>
      </c>
      <c r="G566">
        <v>1</v>
      </c>
      <c r="H566">
        <v>0.2</v>
      </c>
      <c r="I566">
        <v>0</v>
      </c>
      <c r="J566">
        <v>-178.40700000000001</v>
      </c>
      <c r="K566" s="1">
        <f>539.023</f>
        <v>539.02300000000002</v>
      </c>
      <c r="L566" s="1">
        <f>0</f>
        <v>0</v>
      </c>
    </row>
    <row r="567" spans="1:12" x14ac:dyDescent="0.25">
      <c r="A567">
        <f>80182383*0.00001</f>
        <v>801.82383000000004</v>
      </c>
      <c r="B567">
        <v>3486</v>
      </c>
      <c r="C567">
        <v>133</v>
      </c>
      <c r="D567">
        <v>339.36599999999999</v>
      </c>
      <c r="E567" s="1">
        <f>2950</f>
        <v>2950</v>
      </c>
      <c r="F567" s="1">
        <f>1604</f>
        <v>1604</v>
      </c>
      <c r="G567" s="1">
        <f>1</f>
        <v>1</v>
      </c>
      <c r="H567">
        <v>0.2</v>
      </c>
      <c r="I567">
        <v>0</v>
      </c>
      <c r="J567">
        <v>-178.40700000000001</v>
      </c>
      <c r="K567">
        <v>539.02300000000002</v>
      </c>
      <c r="L567">
        <v>0</v>
      </c>
    </row>
    <row r="568" spans="1:12" x14ac:dyDescent="0.25">
      <c r="A568">
        <f>80182581*0.00001</f>
        <v>801.82581000000005</v>
      </c>
      <c r="B568">
        <v>3486</v>
      </c>
      <c r="C568">
        <v>135</v>
      </c>
      <c r="D568">
        <v>339.36599999999999</v>
      </c>
      <c r="E568">
        <v>2950</v>
      </c>
      <c r="F568">
        <v>1604</v>
      </c>
      <c r="G568">
        <v>1</v>
      </c>
      <c r="H568" s="1">
        <f>0.2</f>
        <v>0.2</v>
      </c>
      <c r="I568">
        <v>0</v>
      </c>
      <c r="J568">
        <v>-178.40700000000001</v>
      </c>
      <c r="K568">
        <v>539.02300000000002</v>
      </c>
      <c r="L568">
        <v>0</v>
      </c>
    </row>
    <row r="569" spans="1:12" x14ac:dyDescent="0.25">
      <c r="A569">
        <f>80182680*0.00001</f>
        <v>801.82680000000005</v>
      </c>
      <c r="B569">
        <v>3486</v>
      </c>
      <c r="C569">
        <v>136</v>
      </c>
      <c r="D569">
        <v>339.36599999999999</v>
      </c>
      <c r="E569">
        <v>2950</v>
      </c>
      <c r="F569">
        <v>1604</v>
      </c>
      <c r="G569">
        <v>1</v>
      </c>
      <c r="H569">
        <v>0.2</v>
      </c>
      <c r="I569" s="1">
        <f>0</f>
        <v>0</v>
      </c>
      <c r="J569">
        <v>-178.40700000000001</v>
      </c>
      <c r="K569">
        <v>539.02300000000002</v>
      </c>
      <c r="L569">
        <v>0</v>
      </c>
    </row>
    <row r="570" spans="1:12" x14ac:dyDescent="0.25">
      <c r="A570">
        <f>80182778*0.00001</f>
        <v>801.82778000000008</v>
      </c>
      <c r="B570">
        <v>3486</v>
      </c>
      <c r="C570">
        <v>137</v>
      </c>
      <c r="D570">
        <v>339.36599999999999</v>
      </c>
      <c r="E570">
        <v>2950</v>
      </c>
      <c r="F570">
        <v>1604</v>
      </c>
      <c r="G570">
        <v>1</v>
      </c>
      <c r="H570">
        <v>0.2</v>
      </c>
      <c r="I570">
        <v>0</v>
      </c>
      <c r="J570" s="1">
        <f>-177.434</f>
        <v>-177.434</v>
      </c>
      <c r="K570">
        <v>539.02300000000002</v>
      </c>
      <c r="L570">
        <v>0</v>
      </c>
    </row>
    <row r="571" spans="1:12" x14ac:dyDescent="0.25">
      <c r="A571">
        <f>80182876*0.00001</f>
        <v>801.8287600000001</v>
      </c>
      <c r="B571">
        <v>3486</v>
      </c>
      <c r="C571">
        <v>138</v>
      </c>
      <c r="D571">
        <v>339.36599999999999</v>
      </c>
      <c r="E571">
        <v>2950</v>
      </c>
      <c r="F571">
        <v>1604</v>
      </c>
      <c r="G571">
        <v>1</v>
      </c>
      <c r="H571">
        <v>0.2</v>
      </c>
      <c r="I571">
        <v>0</v>
      </c>
      <c r="J571">
        <v>-177.434</v>
      </c>
      <c r="K571">
        <v>539.02300000000002</v>
      </c>
      <c r="L571" s="1">
        <f>0</f>
        <v>0</v>
      </c>
    </row>
    <row r="572" spans="1:12" x14ac:dyDescent="0.25">
      <c r="A572">
        <f>80182974*0.00001</f>
        <v>801.82974000000002</v>
      </c>
      <c r="B572">
        <v>3486</v>
      </c>
      <c r="C572">
        <v>139</v>
      </c>
      <c r="D572" s="1">
        <f>338.579</f>
        <v>338.57900000000001</v>
      </c>
      <c r="E572">
        <v>2950</v>
      </c>
      <c r="F572">
        <v>1604</v>
      </c>
      <c r="G572">
        <v>1</v>
      </c>
      <c r="H572">
        <v>0.2</v>
      </c>
      <c r="I572">
        <v>0</v>
      </c>
      <c r="J572">
        <v>-177.434</v>
      </c>
      <c r="K572">
        <v>539.02300000000002</v>
      </c>
      <c r="L572">
        <v>0</v>
      </c>
    </row>
    <row r="573" spans="1:12" x14ac:dyDescent="0.25">
      <c r="A573">
        <f>80183072*0.00001</f>
        <v>801.83072000000004</v>
      </c>
      <c r="B573">
        <v>3486</v>
      </c>
      <c r="C573">
        <v>140</v>
      </c>
      <c r="D573">
        <v>338.57900000000001</v>
      </c>
      <c r="E573">
        <v>2950</v>
      </c>
      <c r="F573" s="1">
        <f>1604</f>
        <v>1604</v>
      </c>
      <c r="G573">
        <v>1</v>
      </c>
      <c r="H573">
        <v>0.2</v>
      </c>
      <c r="I573">
        <v>0</v>
      </c>
      <c r="J573">
        <v>-177.434</v>
      </c>
      <c r="K573">
        <v>539.02300000000002</v>
      </c>
      <c r="L573">
        <v>0</v>
      </c>
    </row>
    <row r="574" spans="1:12" x14ac:dyDescent="0.25">
      <c r="A574">
        <f>80183171*0.00001</f>
        <v>801.83171000000004</v>
      </c>
      <c r="B574">
        <v>3486</v>
      </c>
      <c r="C574">
        <v>141</v>
      </c>
      <c r="D574">
        <v>338.57900000000001</v>
      </c>
      <c r="E574">
        <v>2950</v>
      </c>
      <c r="F574">
        <v>1604</v>
      </c>
      <c r="G574" s="1">
        <f>1</f>
        <v>1</v>
      </c>
      <c r="H574">
        <v>0.2</v>
      </c>
      <c r="I574">
        <v>0</v>
      </c>
      <c r="J574">
        <v>-177.434</v>
      </c>
      <c r="K574">
        <v>539.02300000000002</v>
      </c>
      <c r="L574">
        <v>0</v>
      </c>
    </row>
    <row r="575" spans="1:12" x14ac:dyDescent="0.25">
      <c r="A575">
        <f>80183270*0.00001</f>
        <v>801.83270000000005</v>
      </c>
      <c r="B575">
        <v>3486</v>
      </c>
      <c r="C575">
        <v>142</v>
      </c>
      <c r="D575">
        <v>338.57900000000001</v>
      </c>
      <c r="E575">
        <v>2950</v>
      </c>
      <c r="F575">
        <v>1604</v>
      </c>
      <c r="G575">
        <v>1</v>
      </c>
      <c r="H575">
        <v>0.2</v>
      </c>
      <c r="I575" s="1">
        <f>0</f>
        <v>0</v>
      </c>
      <c r="J575" s="1">
        <f>-176.609</f>
        <v>-176.60900000000001</v>
      </c>
      <c r="K575">
        <v>539.02300000000002</v>
      </c>
      <c r="L575">
        <v>0</v>
      </c>
    </row>
    <row r="576" spans="1:12" x14ac:dyDescent="0.25">
      <c r="A576">
        <f>80183467*0.00001</f>
        <v>801.83467000000007</v>
      </c>
      <c r="B576">
        <v>3486</v>
      </c>
      <c r="C576">
        <v>144</v>
      </c>
      <c r="D576" s="1">
        <f>337.903</f>
        <v>337.90300000000002</v>
      </c>
      <c r="E576">
        <v>2950</v>
      </c>
      <c r="F576">
        <v>1604</v>
      </c>
      <c r="G576">
        <v>1</v>
      </c>
      <c r="H576">
        <v>0.2</v>
      </c>
      <c r="I576">
        <v>0</v>
      </c>
      <c r="J576">
        <v>-176.60900000000001</v>
      </c>
      <c r="K576">
        <v>539.02300000000002</v>
      </c>
      <c r="L576" s="1">
        <f>0</f>
        <v>0</v>
      </c>
    </row>
    <row r="577" spans="1:12" x14ac:dyDescent="0.25">
      <c r="A577">
        <f>80183665*0.00001</f>
        <v>801.83665000000008</v>
      </c>
      <c r="B577">
        <v>3486</v>
      </c>
      <c r="C577">
        <v>146</v>
      </c>
      <c r="D577">
        <v>337.90300000000002</v>
      </c>
      <c r="E577">
        <v>2950</v>
      </c>
      <c r="F577" s="1">
        <f>1604</f>
        <v>1604</v>
      </c>
      <c r="G577" s="1">
        <f>1</f>
        <v>1</v>
      </c>
      <c r="H577">
        <v>0.2</v>
      </c>
      <c r="I577">
        <v>0</v>
      </c>
      <c r="J577">
        <v>-176.60900000000001</v>
      </c>
      <c r="K577">
        <v>539.02300000000002</v>
      </c>
      <c r="L577">
        <v>0</v>
      </c>
    </row>
    <row r="578" spans="1:12" x14ac:dyDescent="0.25">
      <c r="A578">
        <f>80183863*0.00001</f>
        <v>801.83863000000008</v>
      </c>
      <c r="B578">
        <v>3486</v>
      </c>
      <c r="C578">
        <v>148</v>
      </c>
      <c r="D578">
        <v>337.90300000000002</v>
      </c>
      <c r="E578">
        <v>2950</v>
      </c>
      <c r="F578">
        <v>1604</v>
      </c>
      <c r="G578">
        <v>1</v>
      </c>
      <c r="H578">
        <v>0.2</v>
      </c>
      <c r="I578" s="1">
        <f>0</f>
        <v>0</v>
      </c>
      <c r="J578" s="1">
        <f>-175.813</f>
        <v>-175.81299999999999</v>
      </c>
      <c r="K578">
        <v>539.02300000000002</v>
      </c>
      <c r="L578">
        <v>0</v>
      </c>
    </row>
    <row r="579" spans="1:12" x14ac:dyDescent="0.25">
      <c r="A579">
        <f>80184061*0.00001</f>
        <v>801.84061000000008</v>
      </c>
      <c r="B579">
        <v>3486</v>
      </c>
      <c r="C579">
        <v>150</v>
      </c>
      <c r="D579" s="1">
        <f>337.248</f>
        <v>337.24799999999999</v>
      </c>
      <c r="E579">
        <v>2950</v>
      </c>
      <c r="F579">
        <v>1604</v>
      </c>
      <c r="G579">
        <v>1</v>
      </c>
      <c r="H579">
        <v>0.2</v>
      </c>
      <c r="I579">
        <v>0</v>
      </c>
      <c r="J579">
        <v>-175.81299999999999</v>
      </c>
      <c r="K579">
        <v>539.02300000000002</v>
      </c>
      <c r="L579" s="1">
        <f>0</f>
        <v>0</v>
      </c>
    </row>
    <row r="580" spans="1:12" x14ac:dyDescent="0.25">
      <c r="A580">
        <f>80184259*0.00001</f>
        <v>801.84259000000009</v>
      </c>
      <c r="B580">
        <v>3486</v>
      </c>
      <c r="C580">
        <v>152</v>
      </c>
      <c r="D580">
        <v>337.24799999999999</v>
      </c>
      <c r="E580" s="1">
        <f>2977</f>
        <v>2977</v>
      </c>
      <c r="F580" s="1">
        <f>1604</f>
        <v>1604</v>
      </c>
      <c r="G580" s="1">
        <f>1</f>
        <v>1</v>
      </c>
      <c r="H580">
        <v>0.2</v>
      </c>
      <c r="I580">
        <v>0</v>
      </c>
      <c r="J580">
        <v>-175.81299999999999</v>
      </c>
      <c r="K580">
        <v>539.02300000000002</v>
      </c>
      <c r="L580">
        <v>0</v>
      </c>
    </row>
    <row r="581" spans="1:12" x14ac:dyDescent="0.25">
      <c r="A581">
        <f>80184457*0.00001</f>
        <v>801.84457000000009</v>
      </c>
      <c r="B581">
        <v>3486</v>
      </c>
      <c r="C581">
        <v>154</v>
      </c>
      <c r="D581">
        <v>337.24799999999999</v>
      </c>
      <c r="E581">
        <v>2977</v>
      </c>
      <c r="F581">
        <v>1604</v>
      </c>
      <c r="G581">
        <v>1</v>
      </c>
      <c r="H581" s="1">
        <f>0.2</f>
        <v>0.2</v>
      </c>
      <c r="I581" s="1">
        <f>0</f>
        <v>0</v>
      </c>
      <c r="J581" s="1">
        <f>-175.015</f>
        <v>-175.01499999999999</v>
      </c>
      <c r="K581">
        <v>539.02300000000002</v>
      </c>
      <c r="L581">
        <v>0</v>
      </c>
    </row>
    <row r="582" spans="1:12" x14ac:dyDescent="0.25">
      <c r="A582">
        <f>80184655*0.00001</f>
        <v>801.84655000000009</v>
      </c>
      <c r="B582">
        <v>3486</v>
      </c>
      <c r="C582">
        <v>156</v>
      </c>
      <c r="D582" s="1">
        <f>336.604</f>
        <v>336.60399999999998</v>
      </c>
      <c r="E582">
        <v>2977</v>
      </c>
      <c r="F582">
        <v>1604</v>
      </c>
      <c r="G582">
        <v>1</v>
      </c>
      <c r="H582">
        <v>0.2</v>
      </c>
      <c r="I582">
        <v>0</v>
      </c>
      <c r="J582">
        <v>-175.01499999999999</v>
      </c>
      <c r="K582" s="1">
        <f>538.497</f>
        <v>538.49699999999996</v>
      </c>
      <c r="L582" s="1">
        <f>0</f>
        <v>0</v>
      </c>
    </row>
    <row r="583" spans="1:12" x14ac:dyDescent="0.25">
      <c r="A583">
        <f>80184853*0.00001</f>
        <v>801.8485300000001</v>
      </c>
      <c r="B583">
        <v>3486</v>
      </c>
      <c r="C583">
        <v>158</v>
      </c>
      <c r="D583">
        <v>336.60399999999998</v>
      </c>
      <c r="E583" s="1">
        <f>2986</f>
        <v>2986</v>
      </c>
      <c r="F583" s="1">
        <f>1604</f>
        <v>1604</v>
      </c>
      <c r="G583" s="1">
        <f>1</f>
        <v>1</v>
      </c>
      <c r="H583">
        <v>0.2</v>
      </c>
      <c r="I583">
        <v>0</v>
      </c>
      <c r="J583">
        <v>-175.01499999999999</v>
      </c>
      <c r="K583">
        <v>538.49699999999996</v>
      </c>
      <c r="L583">
        <v>0</v>
      </c>
    </row>
    <row r="584" spans="1:12" x14ac:dyDescent="0.25">
      <c r="A584">
        <f>80185051*0.00001</f>
        <v>801.8505100000001</v>
      </c>
      <c r="B584">
        <v>3486</v>
      </c>
      <c r="C584">
        <v>160</v>
      </c>
      <c r="D584">
        <v>336.60399999999998</v>
      </c>
      <c r="E584">
        <v>2986</v>
      </c>
      <c r="F584">
        <v>1604</v>
      </c>
      <c r="G584">
        <v>1</v>
      </c>
      <c r="H584" s="1">
        <f>0.2</f>
        <v>0.2</v>
      </c>
      <c r="I584" s="1">
        <f>0</f>
        <v>0</v>
      </c>
      <c r="J584" s="1">
        <f>-174.208</f>
        <v>-174.208</v>
      </c>
      <c r="K584">
        <v>538.49699999999996</v>
      </c>
      <c r="L584">
        <v>0</v>
      </c>
    </row>
    <row r="585" spans="1:12" x14ac:dyDescent="0.25">
      <c r="A585">
        <f>80185250*0.00001</f>
        <v>801.85250000000008</v>
      </c>
      <c r="B585">
        <v>3486</v>
      </c>
      <c r="C585">
        <v>162</v>
      </c>
      <c r="D585">
        <v>336.60399999999998</v>
      </c>
      <c r="E585">
        <v>2986</v>
      </c>
      <c r="F585">
        <v>1604</v>
      </c>
      <c r="G585">
        <v>1</v>
      </c>
      <c r="H585">
        <v>0.2</v>
      </c>
      <c r="I585">
        <v>0</v>
      </c>
      <c r="J585">
        <v>-174.208</v>
      </c>
      <c r="K585" s="1">
        <f>538.372</f>
        <v>538.37199999999996</v>
      </c>
      <c r="L585">
        <v>0</v>
      </c>
    </row>
    <row r="586" spans="1:12" x14ac:dyDescent="0.25">
      <c r="A586">
        <f>80185349*0.00001</f>
        <v>801.85349000000008</v>
      </c>
      <c r="B586">
        <v>3486</v>
      </c>
      <c r="C586">
        <v>163</v>
      </c>
      <c r="D586" s="1">
        <f>335.946</f>
        <v>335.94600000000003</v>
      </c>
      <c r="E586">
        <v>2986</v>
      </c>
      <c r="F586">
        <v>1604</v>
      </c>
      <c r="G586">
        <v>1</v>
      </c>
      <c r="H586">
        <v>0.2</v>
      </c>
      <c r="I586">
        <v>0</v>
      </c>
      <c r="J586">
        <v>-174.208</v>
      </c>
      <c r="K586">
        <v>538.37199999999996</v>
      </c>
      <c r="L586">
        <v>0</v>
      </c>
    </row>
    <row r="587" spans="1:12" x14ac:dyDescent="0.25">
      <c r="A587">
        <f>80185448*0.00001</f>
        <v>801.85448000000008</v>
      </c>
      <c r="B587">
        <v>3486</v>
      </c>
      <c r="C587">
        <v>164</v>
      </c>
      <c r="D587">
        <v>335.94600000000003</v>
      </c>
      <c r="E587" s="1">
        <f>2994</f>
        <v>2994</v>
      </c>
      <c r="F587">
        <v>1604</v>
      </c>
      <c r="G587">
        <v>1</v>
      </c>
      <c r="H587">
        <v>0.2</v>
      </c>
      <c r="I587">
        <v>0</v>
      </c>
      <c r="J587">
        <v>-174.208</v>
      </c>
      <c r="K587">
        <v>538.37199999999996</v>
      </c>
      <c r="L587">
        <v>0</v>
      </c>
    </row>
    <row r="588" spans="1:12" x14ac:dyDescent="0.25">
      <c r="A588">
        <f>80185547*0.00001</f>
        <v>801.85547000000008</v>
      </c>
      <c r="B588">
        <v>3486</v>
      </c>
      <c r="C588">
        <v>165</v>
      </c>
      <c r="D588">
        <v>335.94600000000003</v>
      </c>
      <c r="E588">
        <v>2994</v>
      </c>
      <c r="F588">
        <v>1604</v>
      </c>
      <c r="G588" s="1">
        <f>1</f>
        <v>1</v>
      </c>
      <c r="H588">
        <v>0.2</v>
      </c>
      <c r="I588">
        <v>0</v>
      </c>
      <c r="J588">
        <v>-174.208</v>
      </c>
      <c r="K588">
        <v>538.37199999999996</v>
      </c>
      <c r="L588">
        <v>0</v>
      </c>
    </row>
    <row r="589" spans="1:12" x14ac:dyDescent="0.25">
      <c r="A589">
        <f>80185646*0.00001</f>
        <v>801.85646000000008</v>
      </c>
      <c r="B589">
        <v>3486</v>
      </c>
      <c r="C589">
        <v>166</v>
      </c>
      <c r="D589">
        <v>335.94600000000003</v>
      </c>
      <c r="E589">
        <v>2994</v>
      </c>
      <c r="F589">
        <v>1604</v>
      </c>
      <c r="G589">
        <v>1</v>
      </c>
      <c r="H589" s="1">
        <f>0.2</f>
        <v>0.2</v>
      </c>
      <c r="I589">
        <v>0</v>
      </c>
      <c r="J589">
        <v>-174.208</v>
      </c>
      <c r="K589">
        <v>538.37199999999996</v>
      </c>
      <c r="L589">
        <v>0</v>
      </c>
    </row>
    <row r="590" spans="1:12" x14ac:dyDescent="0.25">
      <c r="A590">
        <f>80185745*0.00001</f>
        <v>801.85745000000009</v>
      </c>
      <c r="B590">
        <v>3486</v>
      </c>
      <c r="C590">
        <v>167</v>
      </c>
      <c r="D590">
        <v>335.94600000000003</v>
      </c>
      <c r="E590">
        <v>2994</v>
      </c>
      <c r="F590">
        <v>1604</v>
      </c>
      <c r="G590">
        <v>1</v>
      </c>
      <c r="H590">
        <v>0.2</v>
      </c>
      <c r="I590">
        <v>0</v>
      </c>
      <c r="J590" s="1">
        <f>-173.381</f>
        <v>-173.381</v>
      </c>
      <c r="K590">
        <v>538.37199999999996</v>
      </c>
      <c r="L590">
        <v>0</v>
      </c>
    </row>
    <row r="591" spans="1:12" x14ac:dyDescent="0.25">
      <c r="A591">
        <f>80185844*0.00001</f>
        <v>801.85844000000009</v>
      </c>
      <c r="B591">
        <v>3486</v>
      </c>
      <c r="C591">
        <v>168</v>
      </c>
      <c r="D591">
        <v>335.94600000000003</v>
      </c>
      <c r="E591">
        <v>2994</v>
      </c>
      <c r="F591">
        <v>1604</v>
      </c>
      <c r="G591">
        <v>1</v>
      </c>
      <c r="H591">
        <v>0.2</v>
      </c>
      <c r="I591">
        <v>0</v>
      </c>
      <c r="J591">
        <v>-173.381</v>
      </c>
      <c r="K591" s="1">
        <f>538.247</f>
        <v>538.24699999999996</v>
      </c>
      <c r="L591">
        <v>0</v>
      </c>
    </row>
    <row r="592" spans="1:12" x14ac:dyDescent="0.25">
      <c r="A592">
        <f>80185944*0.00001</f>
        <v>801.85944000000006</v>
      </c>
      <c r="B592">
        <v>3486</v>
      </c>
      <c r="C592">
        <v>169</v>
      </c>
      <c r="D592" s="1">
        <f>335.266</f>
        <v>335.26600000000002</v>
      </c>
      <c r="E592">
        <v>2994</v>
      </c>
      <c r="F592">
        <v>1604</v>
      </c>
      <c r="G592">
        <v>1</v>
      </c>
      <c r="H592">
        <v>0.2</v>
      </c>
      <c r="I592">
        <v>0</v>
      </c>
      <c r="J592">
        <v>-173.381</v>
      </c>
      <c r="K592">
        <v>538.24699999999996</v>
      </c>
      <c r="L592">
        <v>0</v>
      </c>
    </row>
    <row r="593" spans="1:12" x14ac:dyDescent="0.25">
      <c r="A593">
        <f>80186044*0.00001</f>
        <v>801.86044000000004</v>
      </c>
      <c r="B593">
        <v>3486</v>
      </c>
      <c r="C593">
        <v>170</v>
      </c>
      <c r="D593">
        <v>335.26600000000002</v>
      </c>
      <c r="E593" s="1">
        <f>3003</f>
        <v>3003</v>
      </c>
      <c r="F593">
        <v>1604</v>
      </c>
      <c r="G593">
        <v>1</v>
      </c>
      <c r="H593">
        <v>0.2</v>
      </c>
      <c r="I593">
        <v>0</v>
      </c>
      <c r="J593">
        <v>-173.381</v>
      </c>
      <c r="K593">
        <v>538.24699999999996</v>
      </c>
      <c r="L593">
        <v>0</v>
      </c>
    </row>
    <row r="594" spans="1:12" x14ac:dyDescent="0.25">
      <c r="A594">
        <f>80186144*0.00001</f>
        <v>801.86144000000002</v>
      </c>
      <c r="B594">
        <v>3486</v>
      </c>
      <c r="C594">
        <v>171</v>
      </c>
      <c r="D594">
        <v>335.26600000000002</v>
      </c>
      <c r="E594">
        <v>3003</v>
      </c>
      <c r="F594">
        <v>1604</v>
      </c>
      <c r="G594" s="1">
        <f>1</f>
        <v>1</v>
      </c>
      <c r="H594">
        <v>0.2</v>
      </c>
      <c r="I594">
        <v>0</v>
      </c>
      <c r="J594">
        <v>-173.381</v>
      </c>
      <c r="K594">
        <v>538.24699999999996</v>
      </c>
      <c r="L594">
        <v>0</v>
      </c>
    </row>
    <row r="595" spans="1:12" x14ac:dyDescent="0.25">
      <c r="A595">
        <f>80186244*0.00001</f>
        <v>801.86244000000011</v>
      </c>
      <c r="B595">
        <v>3486</v>
      </c>
      <c r="C595">
        <v>172</v>
      </c>
      <c r="D595">
        <v>335.26600000000002</v>
      </c>
      <c r="E595">
        <v>3003</v>
      </c>
      <c r="F595">
        <v>1604</v>
      </c>
      <c r="G595">
        <v>1</v>
      </c>
      <c r="H595" s="1">
        <f>0.2</f>
        <v>0.2</v>
      </c>
      <c r="I595">
        <v>0</v>
      </c>
      <c r="J595">
        <v>-173.381</v>
      </c>
      <c r="K595">
        <v>538.24699999999996</v>
      </c>
      <c r="L595">
        <v>0</v>
      </c>
    </row>
    <row r="596" spans="1:12" x14ac:dyDescent="0.25">
      <c r="A596">
        <f>80186343*0.00001</f>
        <v>801.86343000000011</v>
      </c>
      <c r="B596">
        <v>3486</v>
      </c>
      <c r="C596">
        <v>173</v>
      </c>
      <c r="D596">
        <v>335.26600000000002</v>
      </c>
      <c r="E596">
        <v>3003</v>
      </c>
      <c r="F596">
        <v>1604</v>
      </c>
      <c r="G596">
        <v>1</v>
      </c>
      <c r="H596">
        <v>0.2</v>
      </c>
      <c r="I596">
        <v>0</v>
      </c>
      <c r="J596" s="1">
        <f>-172.573</f>
        <v>-172.57300000000001</v>
      </c>
      <c r="K596">
        <v>538.24699999999996</v>
      </c>
      <c r="L596">
        <v>0</v>
      </c>
    </row>
    <row r="597" spans="1:12" x14ac:dyDescent="0.25">
      <c r="A597">
        <f>80186443*0.00001</f>
        <v>801.86443000000008</v>
      </c>
      <c r="B597">
        <v>3486</v>
      </c>
      <c r="C597">
        <v>174</v>
      </c>
      <c r="D597">
        <v>335.26600000000002</v>
      </c>
      <c r="E597">
        <v>3003</v>
      </c>
      <c r="F597">
        <v>1604</v>
      </c>
      <c r="G597">
        <v>1</v>
      </c>
      <c r="H597">
        <v>0.2</v>
      </c>
      <c r="I597">
        <v>0</v>
      </c>
      <c r="J597">
        <v>-172.57300000000001</v>
      </c>
      <c r="K597" s="1">
        <f>538.123</f>
        <v>538.12300000000005</v>
      </c>
      <c r="L597">
        <v>0</v>
      </c>
    </row>
    <row r="598" spans="1:12" x14ac:dyDescent="0.25">
      <c r="A598">
        <f>80186543*0.00001</f>
        <v>801.86543000000006</v>
      </c>
      <c r="B598">
        <v>3486</v>
      </c>
      <c r="C598">
        <v>175</v>
      </c>
      <c r="D598" s="1">
        <f>334.612</f>
        <v>334.61200000000002</v>
      </c>
      <c r="E598">
        <v>3003</v>
      </c>
      <c r="F598">
        <v>1604</v>
      </c>
      <c r="G598">
        <v>1</v>
      </c>
      <c r="H598">
        <v>0.2</v>
      </c>
      <c r="I598">
        <v>0</v>
      </c>
      <c r="J598">
        <v>-172.57300000000001</v>
      </c>
      <c r="K598">
        <v>538.12300000000005</v>
      </c>
      <c r="L598">
        <v>0</v>
      </c>
    </row>
    <row r="599" spans="1:12" x14ac:dyDescent="0.25">
      <c r="A599">
        <f>80186642*0.00001</f>
        <v>801.86642000000006</v>
      </c>
      <c r="B599">
        <v>3486</v>
      </c>
      <c r="C599">
        <v>176</v>
      </c>
      <c r="D599">
        <v>334.61200000000002</v>
      </c>
      <c r="E599" s="1">
        <f>3012</f>
        <v>3012</v>
      </c>
      <c r="F599">
        <v>1604</v>
      </c>
      <c r="G599">
        <v>1</v>
      </c>
      <c r="H599">
        <v>0.2</v>
      </c>
      <c r="I599">
        <v>0</v>
      </c>
      <c r="J599">
        <v>-172.57300000000001</v>
      </c>
      <c r="K599">
        <v>538.12300000000005</v>
      </c>
      <c r="L599">
        <v>0</v>
      </c>
    </row>
    <row r="600" spans="1:12" x14ac:dyDescent="0.25">
      <c r="A600">
        <f>80186742*0.00001</f>
        <v>801.86742000000004</v>
      </c>
      <c r="B600">
        <v>3486</v>
      </c>
      <c r="C600">
        <v>177</v>
      </c>
      <c r="D600">
        <v>334.61200000000002</v>
      </c>
      <c r="E600">
        <v>3012</v>
      </c>
      <c r="F600">
        <v>1604</v>
      </c>
      <c r="G600" s="1">
        <f>1</f>
        <v>1</v>
      </c>
      <c r="H600">
        <v>0.2</v>
      </c>
      <c r="I600">
        <v>0</v>
      </c>
      <c r="J600">
        <v>-172.57300000000001</v>
      </c>
      <c r="K600">
        <v>538.12300000000005</v>
      </c>
      <c r="L600">
        <v>0</v>
      </c>
    </row>
    <row r="601" spans="1:12" x14ac:dyDescent="0.25">
      <c r="A601">
        <f>80186842*0.00001</f>
        <v>801.86842000000001</v>
      </c>
      <c r="B601">
        <v>3486</v>
      </c>
      <c r="C601">
        <v>178</v>
      </c>
      <c r="D601">
        <v>334.61200000000002</v>
      </c>
      <c r="E601">
        <v>3012</v>
      </c>
      <c r="F601">
        <v>1604</v>
      </c>
      <c r="G601">
        <v>1</v>
      </c>
      <c r="H601" s="1">
        <f>0.2</f>
        <v>0.2</v>
      </c>
      <c r="I601" s="1">
        <f>0</f>
        <v>0</v>
      </c>
      <c r="J601" s="1">
        <f>-171.9</f>
        <v>-171.9</v>
      </c>
      <c r="K601">
        <v>538.12300000000005</v>
      </c>
      <c r="L601">
        <v>0</v>
      </c>
    </row>
    <row r="602" spans="1:12" s="2" customFormat="1" x14ac:dyDescent="0.25">
      <c r="A602" s="2">
        <f>80187042*0.00001</f>
        <v>801.87042000000008</v>
      </c>
      <c r="B602" s="2">
        <v>3487</v>
      </c>
      <c r="C602" s="2">
        <v>0</v>
      </c>
      <c r="D602" s="2">
        <v>334.61200000000002</v>
      </c>
      <c r="E602" s="2">
        <v>3012</v>
      </c>
      <c r="F602" s="2">
        <v>1604</v>
      </c>
      <c r="G602" s="2">
        <v>1</v>
      </c>
      <c r="H602" s="2">
        <v>0.2</v>
      </c>
      <c r="I602" s="2">
        <v>0</v>
      </c>
      <c r="J602" s="2">
        <v>-171.9</v>
      </c>
      <c r="K602" s="1">
        <f>538.04</f>
        <v>538.04</v>
      </c>
      <c r="L602" s="2">
        <v>0</v>
      </c>
    </row>
    <row r="603" spans="1:12" x14ac:dyDescent="0.25">
      <c r="A603">
        <f>80187142*0.00001</f>
        <v>801.87142000000006</v>
      </c>
      <c r="B603">
        <v>3487</v>
      </c>
      <c r="C603">
        <v>1</v>
      </c>
      <c r="D603" s="1">
        <f>334.173</f>
        <v>334.173</v>
      </c>
      <c r="E603">
        <v>3012</v>
      </c>
      <c r="F603">
        <v>1604</v>
      </c>
      <c r="G603">
        <v>1</v>
      </c>
      <c r="H603">
        <v>0.2</v>
      </c>
      <c r="I603">
        <v>0</v>
      </c>
      <c r="J603">
        <v>-171.9</v>
      </c>
      <c r="K603">
        <v>538.04</v>
      </c>
      <c r="L603">
        <v>0</v>
      </c>
    </row>
    <row r="604" spans="1:12" x14ac:dyDescent="0.25">
      <c r="A604">
        <f>80187242*0.00001</f>
        <v>801.87242000000003</v>
      </c>
      <c r="B604">
        <v>3487</v>
      </c>
      <c r="C604">
        <v>2</v>
      </c>
      <c r="D604">
        <v>334.173</v>
      </c>
      <c r="E604" s="1">
        <f>3018</f>
        <v>3018</v>
      </c>
      <c r="F604">
        <v>1604</v>
      </c>
      <c r="G604">
        <v>1</v>
      </c>
      <c r="H604">
        <v>0.2</v>
      </c>
      <c r="I604">
        <v>0</v>
      </c>
      <c r="J604">
        <v>-171.9</v>
      </c>
      <c r="K604">
        <v>538.04</v>
      </c>
      <c r="L604">
        <v>0</v>
      </c>
    </row>
    <row r="605" spans="1:12" x14ac:dyDescent="0.25">
      <c r="A605">
        <f>80187342*0.00001</f>
        <v>801.87342000000001</v>
      </c>
      <c r="B605">
        <v>3487</v>
      </c>
      <c r="C605">
        <v>3</v>
      </c>
      <c r="D605">
        <v>334.173</v>
      </c>
      <c r="E605">
        <v>3018</v>
      </c>
      <c r="F605">
        <v>1604</v>
      </c>
      <c r="G605" s="1">
        <f>1</f>
        <v>1</v>
      </c>
      <c r="H605">
        <v>0.2</v>
      </c>
      <c r="I605">
        <v>0</v>
      </c>
      <c r="J605">
        <v>-171.9</v>
      </c>
      <c r="K605">
        <v>538.04</v>
      </c>
      <c r="L605">
        <v>0</v>
      </c>
    </row>
    <row r="606" spans="1:12" x14ac:dyDescent="0.25">
      <c r="A606">
        <f>80187442*0.00001</f>
        <v>801.8744200000001</v>
      </c>
      <c r="B606">
        <v>3487</v>
      </c>
      <c r="C606">
        <v>4</v>
      </c>
      <c r="D606">
        <v>334.173</v>
      </c>
      <c r="E606">
        <v>3018</v>
      </c>
      <c r="F606">
        <v>1604</v>
      </c>
      <c r="G606">
        <v>1</v>
      </c>
      <c r="H606" s="1">
        <f>0.2</f>
        <v>0.2</v>
      </c>
      <c r="I606">
        <v>0</v>
      </c>
      <c r="J606">
        <v>-171.9</v>
      </c>
      <c r="K606">
        <v>538.04</v>
      </c>
      <c r="L606">
        <v>0</v>
      </c>
    </row>
    <row r="607" spans="1:12" x14ac:dyDescent="0.25">
      <c r="A607">
        <f>80187542*0.00001</f>
        <v>801.87542000000008</v>
      </c>
      <c r="B607">
        <v>3487</v>
      </c>
      <c r="C607">
        <v>5</v>
      </c>
      <c r="D607">
        <v>334.173</v>
      </c>
      <c r="E607">
        <v>3018</v>
      </c>
      <c r="F607">
        <v>1604</v>
      </c>
      <c r="G607">
        <v>1</v>
      </c>
      <c r="H607">
        <v>0.2</v>
      </c>
      <c r="I607">
        <v>0</v>
      </c>
      <c r="J607" s="1">
        <f>-171.134</f>
        <v>-171.13399999999999</v>
      </c>
      <c r="K607">
        <v>538.04</v>
      </c>
      <c r="L607">
        <v>0</v>
      </c>
    </row>
    <row r="608" spans="1:12" x14ac:dyDescent="0.25">
      <c r="A608">
        <f>80187642*0.00001</f>
        <v>801.87642000000005</v>
      </c>
      <c r="B608">
        <v>3487</v>
      </c>
      <c r="C608">
        <v>6</v>
      </c>
      <c r="D608">
        <v>334.173</v>
      </c>
      <c r="E608">
        <v>3018</v>
      </c>
      <c r="F608">
        <v>1604</v>
      </c>
      <c r="G608">
        <v>1</v>
      </c>
      <c r="H608">
        <v>0.2</v>
      </c>
      <c r="I608">
        <v>0</v>
      </c>
      <c r="J608">
        <v>-171.13399999999999</v>
      </c>
      <c r="K608" s="1">
        <f>537.916</f>
        <v>537.91600000000005</v>
      </c>
      <c r="L608">
        <v>0</v>
      </c>
    </row>
    <row r="609" spans="1:12" x14ac:dyDescent="0.25">
      <c r="A609">
        <f>80187742*0.00001</f>
        <v>801.87742000000003</v>
      </c>
      <c r="B609">
        <v>3487</v>
      </c>
      <c r="C609">
        <v>7</v>
      </c>
      <c r="D609" s="1">
        <f>333.455</f>
        <v>333.45499999999998</v>
      </c>
      <c r="E609">
        <v>3018</v>
      </c>
      <c r="F609">
        <v>1604</v>
      </c>
      <c r="G609">
        <v>1</v>
      </c>
      <c r="H609">
        <v>0.2</v>
      </c>
      <c r="I609">
        <v>0</v>
      </c>
      <c r="J609">
        <v>-171.13399999999999</v>
      </c>
      <c r="K609">
        <v>537.91600000000005</v>
      </c>
      <c r="L609">
        <v>0</v>
      </c>
    </row>
    <row r="610" spans="1:12" x14ac:dyDescent="0.25">
      <c r="A610">
        <f>80187842*0.00001</f>
        <v>801.87842000000012</v>
      </c>
      <c r="B610">
        <v>3487</v>
      </c>
      <c r="C610">
        <v>8</v>
      </c>
      <c r="D610">
        <v>333.45499999999998</v>
      </c>
      <c r="E610" s="1">
        <f>3028</f>
        <v>3028</v>
      </c>
      <c r="F610">
        <v>1604</v>
      </c>
      <c r="G610">
        <v>1</v>
      </c>
      <c r="H610">
        <v>0.2</v>
      </c>
      <c r="I610">
        <v>0</v>
      </c>
      <c r="J610">
        <v>-171.13399999999999</v>
      </c>
      <c r="K610">
        <v>537.91600000000005</v>
      </c>
      <c r="L610">
        <v>0</v>
      </c>
    </row>
    <row r="611" spans="1:12" x14ac:dyDescent="0.25">
      <c r="A611">
        <f>80187942*0.00001</f>
        <v>801.8794200000001</v>
      </c>
      <c r="B611">
        <v>3487</v>
      </c>
      <c r="C611">
        <v>9</v>
      </c>
      <c r="D611">
        <v>333.45499999999998</v>
      </c>
      <c r="E611">
        <v>3028</v>
      </c>
      <c r="F611">
        <v>1604</v>
      </c>
      <c r="G611" s="1">
        <f>1</f>
        <v>1</v>
      </c>
      <c r="H611" s="1">
        <f>0.2</f>
        <v>0.2</v>
      </c>
      <c r="I611">
        <v>0</v>
      </c>
      <c r="J611">
        <v>-171.13399999999999</v>
      </c>
      <c r="K611">
        <v>537.91600000000005</v>
      </c>
      <c r="L611">
        <v>0</v>
      </c>
    </row>
    <row r="612" spans="1:12" x14ac:dyDescent="0.25">
      <c r="A612">
        <f>80188142*0.00001</f>
        <v>801.88142000000005</v>
      </c>
      <c r="B612">
        <v>3487</v>
      </c>
      <c r="C612">
        <v>11</v>
      </c>
      <c r="D612">
        <v>333.45499999999998</v>
      </c>
      <c r="E612">
        <v>3028</v>
      </c>
      <c r="F612">
        <v>1604</v>
      </c>
      <c r="G612">
        <v>1</v>
      </c>
      <c r="H612">
        <v>0.2</v>
      </c>
      <c r="I612">
        <v>0</v>
      </c>
      <c r="J612" s="1">
        <f>-170.293</f>
        <v>-170.29300000000001</v>
      </c>
      <c r="K612">
        <v>537.91600000000005</v>
      </c>
      <c r="L612">
        <v>0</v>
      </c>
    </row>
    <row r="613" spans="1:12" x14ac:dyDescent="0.25">
      <c r="A613">
        <f>80188242*0.00001</f>
        <v>801.88242000000002</v>
      </c>
      <c r="B613">
        <v>3487</v>
      </c>
      <c r="C613">
        <v>12</v>
      </c>
      <c r="D613">
        <v>333.45499999999998</v>
      </c>
      <c r="E613">
        <v>3028</v>
      </c>
      <c r="F613">
        <v>1604</v>
      </c>
      <c r="G613">
        <v>1</v>
      </c>
      <c r="H613">
        <v>0.2</v>
      </c>
      <c r="I613">
        <v>0</v>
      </c>
      <c r="J613">
        <v>-170.29300000000001</v>
      </c>
      <c r="K613" s="1">
        <f>537.792</f>
        <v>537.79200000000003</v>
      </c>
      <c r="L613">
        <v>0</v>
      </c>
    </row>
    <row r="614" spans="1:12" x14ac:dyDescent="0.25">
      <c r="A614">
        <f>80188342*0.00001</f>
        <v>801.88342000000011</v>
      </c>
      <c r="B614">
        <v>3487</v>
      </c>
      <c r="C614">
        <v>13</v>
      </c>
      <c r="D614" s="1">
        <f>332.767</f>
        <v>332.767</v>
      </c>
      <c r="E614">
        <v>3028</v>
      </c>
      <c r="F614">
        <v>1604</v>
      </c>
      <c r="G614">
        <v>1</v>
      </c>
      <c r="H614">
        <v>0.2</v>
      </c>
      <c r="I614">
        <v>0</v>
      </c>
      <c r="J614">
        <v>-170.29300000000001</v>
      </c>
      <c r="K614">
        <v>537.79200000000003</v>
      </c>
      <c r="L614">
        <v>0</v>
      </c>
    </row>
    <row r="615" spans="1:12" x14ac:dyDescent="0.25">
      <c r="A615">
        <f>80188442*0.00001</f>
        <v>801.88442000000009</v>
      </c>
      <c r="B615">
        <v>3487</v>
      </c>
      <c r="C615">
        <v>14</v>
      </c>
      <c r="D615">
        <v>332.767</v>
      </c>
      <c r="E615" s="1">
        <f>3037</f>
        <v>3037</v>
      </c>
      <c r="F615">
        <v>1604</v>
      </c>
      <c r="G615">
        <v>1</v>
      </c>
      <c r="H615">
        <v>0.2</v>
      </c>
      <c r="I615">
        <v>0</v>
      </c>
      <c r="J615">
        <v>-170.29300000000001</v>
      </c>
      <c r="K615">
        <v>537.79200000000003</v>
      </c>
      <c r="L615">
        <v>0</v>
      </c>
    </row>
    <row r="616" spans="1:12" x14ac:dyDescent="0.25">
      <c r="A616">
        <f>80188542*0.00001</f>
        <v>801.88542000000007</v>
      </c>
      <c r="B616">
        <v>3487</v>
      </c>
      <c r="C616">
        <v>15</v>
      </c>
      <c r="D616">
        <v>332.767</v>
      </c>
      <c r="E616">
        <v>3037</v>
      </c>
      <c r="F616">
        <v>1604</v>
      </c>
      <c r="G616" s="1">
        <f>1</f>
        <v>1</v>
      </c>
      <c r="H616">
        <v>0.2</v>
      </c>
      <c r="I616">
        <v>0</v>
      </c>
      <c r="J616">
        <v>-170.29300000000001</v>
      </c>
      <c r="K616">
        <v>537.79200000000003</v>
      </c>
      <c r="L616">
        <v>0</v>
      </c>
    </row>
    <row r="617" spans="1:12" x14ac:dyDescent="0.25">
      <c r="A617">
        <f>80188642*0.00001</f>
        <v>801.88642000000004</v>
      </c>
      <c r="B617">
        <v>3487</v>
      </c>
      <c r="C617">
        <v>16</v>
      </c>
      <c r="D617">
        <v>332.767</v>
      </c>
      <c r="E617">
        <v>3037</v>
      </c>
      <c r="F617">
        <v>1604</v>
      </c>
      <c r="G617">
        <v>1</v>
      </c>
      <c r="H617" s="1">
        <f>0.2</f>
        <v>0.2</v>
      </c>
      <c r="I617">
        <v>0</v>
      </c>
      <c r="J617">
        <v>-170.29300000000001</v>
      </c>
      <c r="K617">
        <v>537.79200000000003</v>
      </c>
      <c r="L617">
        <v>0</v>
      </c>
    </row>
    <row r="618" spans="1:12" x14ac:dyDescent="0.25">
      <c r="A618">
        <f>80188742*0.00001</f>
        <v>801.88742000000002</v>
      </c>
      <c r="B618">
        <v>3487</v>
      </c>
      <c r="C618">
        <v>17</v>
      </c>
      <c r="D618">
        <v>332.767</v>
      </c>
      <c r="E618">
        <v>3037</v>
      </c>
      <c r="F618">
        <v>1604</v>
      </c>
      <c r="G618">
        <v>1</v>
      </c>
      <c r="H618">
        <v>0.2</v>
      </c>
      <c r="I618">
        <v>0</v>
      </c>
      <c r="J618" s="1">
        <f>-169.462</f>
        <v>-169.46199999999999</v>
      </c>
      <c r="K618">
        <v>537.79200000000003</v>
      </c>
      <c r="L618">
        <v>0</v>
      </c>
    </row>
    <row r="619" spans="1:12" x14ac:dyDescent="0.25">
      <c r="A619">
        <f>80188843*0.00001</f>
        <v>801.88843000000008</v>
      </c>
      <c r="B619">
        <v>3487</v>
      </c>
      <c r="C619">
        <v>18</v>
      </c>
      <c r="D619">
        <v>332.767</v>
      </c>
      <c r="E619">
        <v>3037</v>
      </c>
      <c r="F619">
        <v>1604</v>
      </c>
      <c r="G619">
        <v>1</v>
      </c>
      <c r="H619">
        <v>0.2</v>
      </c>
      <c r="I619">
        <v>0</v>
      </c>
      <c r="J619">
        <v>-169.46199999999999</v>
      </c>
      <c r="K619" s="1">
        <f>537.669</f>
        <v>537.66899999999998</v>
      </c>
      <c r="L619">
        <v>0</v>
      </c>
    </row>
    <row r="620" spans="1:12" x14ac:dyDescent="0.25">
      <c r="A620">
        <f>80188943*0.00001</f>
        <v>801.88943000000006</v>
      </c>
      <c r="B620">
        <v>3487</v>
      </c>
      <c r="C620">
        <v>19</v>
      </c>
      <c r="D620" s="1">
        <f>332.088</f>
        <v>332.08800000000002</v>
      </c>
      <c r="E620">
        <v>3037</v>
      </c>
      <c r="F620">
        <v>1604</v>
      </c>
      <c r="G620">
        <v>1</v>
      </c>
      <c r="H620">
        <v>0.2</v>
      </c>
      <c r="I620">
        <v>0</v>
      </c>
      <c r="J620">
        <v>-169.46199999999999</v>
      </c>
      <c r="K620">
        <v>537.66899999999998</v>
      </c>
      <c r="L620">
        <v>0</v>
      </c>
    </row>
    <row r="621" spans="1:12" x14ac:dyDescent="0.25">
      <c r="A621">
        <f>80189043*0.00001</f>
        <v>801.89043000000004</v>
      </c>
      <c r="B621">
        <v>3487</v>
      </c>
      <c r="C621">
        <v>20</v>
      </c>
      <c r="D621">
        <v>332.08800000000002</v>
      </c>
      <c r="E621" s="1">
        <f>3046</f>
        <v>3046</v>
      </c>
      <c r="F621">
        <v>1604</v>
      </c>
      <c r="G621">
        <v>1</v>
      </c>
      <c r="H621">
        <v>0.2</v>
      </c>
      <c r="I621">
        <v>0</v>
      </c>
      <c r="J621">
        <v>-169.46199999999999</v>
      </c>
      <c r="K621">
        <v>537.66899999999998</v>
      </c>
      <c r="L621">
        <v>0</v>
      </c>
    </row>
    <row r="622" spans="1:12" x14ac:dyDescent="0.25">
      <c r="A622">
        <f>80189144*0.00001</f>
        <v>801.8914400000001</v>
      </c>
      <c r="B622">
        <v>3487</v>
      </c>
      <c r="C622">
        <v>21</v>
      </c>
      <c r="D622">
        <v>332.08800000000002</v>
      </c>
      <c r="E622">
        <v>3046</v>
      </c>
      <c r="F622">
        <v>1604</v>
      </c>
      <c r="G622" s="1">
        <f>1</f>
        <v>1</v>
      </c>
      <c r="H622">
        <v>0.2</v>
      </c>
      <c r="I622">
        <v>0</v>
      </c>
      <c r="J622">
        <v>-169.46199999999999</v>
      </c>
      <c r="K622">
        <v>537.66899999999998</v>
      </c>
      <c r="L622">
        <v>0</v>
      </c>
    </row>
    <row r="623" spans="1:12" x14ac:dyDescent="0.25">
      <c r="A623">
        <f>80189245*0.00001</f>
        <v>801.89245000000005</v>
      </c>
      <c r="B623">
        <v>3487</v>
      </c>
      <c r="C623">
        <v>22</v>
      </c>
      <c r="D623">
        <v>332.08800000000002</v>
      </c>
      <c r="E623">
        <v>3046</v>
      </c>
      <c r="F623">
        <v>1604</v>
      </c>
      <c r="G623">
        <v>1</v>
      </c>
      <c r="H623" s="1">
        <f>0.2</f>
        <v>0.2</v>
      </c>
      <c r="I623">
        <v>0</v>
      </c>
      <c r="J623">
        <v>-169.46199999999999</v>
      </c>
      <c r="K623">
        <v>537.66899999999998</v>
      </c>
      <c r="L623">
        <v>0</v>
      </c>
    </row>
    <row r="624" spans="1:12" x14ac:dyDescent="0.25">
      <c r="A624">
        <f>80189346*0.00001</f>
        <v>801.89346000000012</v>
      </c>
      <c r="B624">
        <v>3487</v>
      </c>
      <c r="C624">
        <v>23</v>
      </c>
      <c r="D624">
        <v>332.08800000000002</v>
      </c>
      <c r="E624">
        <v>3046</v>
      </c>
      <c r="F624">
        <v>1604</v>
      </c>
      <c r="G624">
        <v>1</v>
      </c>
      <c r="H624">
        <v>0.2</v>
      </c>
      <c r="I624">
        <v>0</v>
      </c>
      <c r="J624" s="1">
        <f>-168.638</f>
        <v>-168.63800000000001</v>
      </c>
      <c r="K624">
        <v>537.66899999999998</v>
      </c>
      <c r="L624">
        <v>0</v>
      </c>
    </row>
    <row r="625" spans="1:12" x14ac:dyDescent="0.25">
      <c r="A625">
        <f>80189447*0.00001</f>
        <v>801.89447000000007</v>
      </c>
      <c r="B625">
        <v>3487</v>
      </c>
      <c r="C625">
        <v>24</v>
      </c>
      <c r="D625">
        <v>332.08800000000002</v>
      </c>
      <c r="E625">
        <v>3046</v>
      </c>
      <c r="F625">
        <v>1604</v>
      </c>
      <c r="G625">
        <v>1</v>
      </c>
      <c r="H625">
        <v>0.2</v>
      </c>
      <c r="I625">
        <v>0</v>
      </c>
      <c r="J625">
        <v>-168.63800000000001</v>
      </c>
      <c r="K625" s="1">
        <f>537.546</f>
        <v>537.54600000000005</v>
      </c>
      <c r="L625">
        <v>0</v>
      </c>
    </row>
    <row r="626" spans="1:12" x14ac:dyDescent="0.25">
      <c r="A626">
        <f>80189547*0.00001</f>
        <v>801.89547000000005</v>
      </c>
      <c r="B626">
        <v>3487</v>
      </c>
      <c r="C626">
        <v>25</v>
      </c>
      <c r="D626" s="1">
        <f>331.416</f>
        <v>331.416</v>
      </c>
      <c r="E626">
        <v>3046</v>
      </c>
      <c r="F626">
        <v>1604</v>
      </c>
      <c r="G626">
        <v>1</v>
      </c>
      <c r="H626">
        <v>0.2</v>
      </c>
      <c r="I626">
        <v>0</v>
      </c>
      <c r="J626">
        <v>-168.63800000000001</v>
      </c>
      <c r="K626">
        <v>537.54600000000005</v>
      </c>
      <c r="L626">
        <v>0</v>
      </c>
    </row>
    <row r="627" spans="1:12" x14ac:dyDescent="0.25">
      <c r="A627">
        <f>80189648*0.00001</f>
        <v>801.89648000000011</v>
      </c>
      <c r="B627">
        <v>3487</v>
      </c>
      <c r="C627">
        <v>26</v>
      </c>
      <c r="D627">
        <v>331.416</v>
      </c>
      <c r="E627" s="1">
        <f>3055</f>
        <v>3055</v>
      </c>
      <c r="F627">
        <v>1604</v>
      </c>
      <c r="G627">
        <v>1</v>
      </c>
      <c r="H627">
        <v>0.2</v>
      </c>
      <c r="I627">
        <v>0</v>
      </c>
      <c r="J627">
        <v>-168.63800000000001</v>
      </c>
      <c r="K627">
        <v>537.54600000000005</v>
      </c>
      <c r="L627">
        <v>0</v>
      </c>
    </row>
    <row r="628" spans="1:12" x14ac:dyDescent="0.25">
      <c r="A628">
        <f>80189749*0.00001</f>
        <v>801.89749000000006</v>
      </c>
      <c r="B628">
        <v>3487</v>
      </c>
      <c r="C628">
        <v>27</v>
      </c>
      <c r="D628">
        <v>331.416</v>
      </c>
      <c r="E628">
        <v>3055</v>
      </c>
      <c r="F628">
        <v>1604</v>
      </c>
      <c r="G628" s="1">
        <f>1</f>
        <v>1</v>
      </c>
      <c r="H628">
        <v>0.2</v>
      </c>
      <c r="I628">
        <v>0</v>
      </c>
      <c r="J628">
        <v>-168.63800000000001</v>
      </c>
      <c r="K628">
        <v>537.54600000000005</v>
      </c>
      <c r="L628">
        <v>0</v>
      </c>
    </row>
    <row r="629" spans="1:12" x14ac:dyDescent="0.25">
      <c r="A629">
        <f>80189850*0.00001</f>
        <v>801.89850000000001</v>
      </c>
      <c r="B629">
        <v>3487</v>
      </c>
      <c r="C629">
        <v>28</v>
      </c>
      <c r="D629">
        <v>331.416</v>
      </c>
      <c r="E629">
        <v>3055</v>
      </c>
      <c r="F629">
        <v>1604</v>
      </c>
      <c r="G629">
        <v>1</v>
      </c>
      <c r="H629" s="1">
        <f>0.2</f>
        <v>0.2</v>
      </c>
      <c r="I629">
        <v>0</v>
      </c>
      <c r="J629">
        <v>-168.63800000000001</v>
      </c>
      <c r="K629">
        <v>537.54600000000005</v>
      </c>
      <c r="L629">
        <v>0</v>
      </c>
    </row>
    <row r="630" spans="1:12" x14ac:dyDescent="0.25">
      <c r="A630">
        <f>80189951*0.00001</f>
        <v>801.89951000000008</v>
      </c>
      <c r="B630">
        <v>3487</v>
      </c>
      <c r="C630">
        <v>29</v>
      </c>
      <c r="D630">
        <v>331.416</v>
      </c>
      <c r="E630">
        <v>3055</v>
      </c>
      <c r="F630">
        <v>1604</v>
      </c>
      <c r="G630">
        <v>1</v>
      </c>
      <c r="H630">
        <v>0.2</v>
      </c>
      <c r="I630">
        <v>0</v>
      </c>
      <c r="J630" s="1">
        <f>-167.819</f>
        <v>-167.81899999999999</v>
      </c>
      <c r="K630">
        <v>537.54600000000005</v>
      </c>
      <c r="L630">
        <v>0</v>
      </c>
    </row>
    <row r="631" spans="1:12" x14ac:dyDescent="0.25">
      <c r="A631">
        <f>80190052*0.00001</f>
        <v>801.90052000000003</v>
      </c>
      <c r="B631">
        <v>3487</v>
      </c>
      <c r="C631">
        <v>30</v>
      </c>
      <c r="D631">
        <v>331.416</v>
      </c>
      <c r="E631">
        <v>3055</v>
      </c>
      <c r="F631">
        <v>1604</v>
      </c>
      <c r="G631">
        <v>1</v>
      </c>
      <c r="H631">
        <v>0.2</v>
      </c>
      <c r="I631">
        <v>0</v>
      </c>
      <c r="J631">
        <v>-167.81899999999999</v>
      </c>
      <c r="K631" s="1">
        <f>537.423</f>
        <v>537.423</v>
      </c>
      <c r="L631">
        <v>0</v>
      </c>
    </row>
    <row r="632" spans="1:12" x14ac:dyDescent="0.25">
      <c r="A632">
        <f>80190153*0.00001</f>
        <v>801.90153000000009</v>
      </c>
      <c r="B632">
        <v>3487</v>
      </c>
      <c r="C632">
        <v>31</v>
      </c>
      <c r="D632" s="1">
        <f>330.765</f>
        <v>330.76499999999999</v>
      </c>
      <c r="E632">
        <v>3055</v>
      </c>
      <c r="F632">
        <v>1604</v>
      </c>
      <c r="G632">
        <v>1</v>
      </c>
      <c r="H632">
        <v>0.2</v>
      </c>
      <c r="I632">
        <v>0</v>
      </c>
      <c r="J632">
        <v>-167.81899999999999</v>
      </c>
      <c r="K632">
        <v>537.423</v>
      </c>
      <c r="L632">
        <v>0</v>
      </c>
    </row>
    <row r="633" spans="1:12" x14ac:dyDescent="0.25">
      <c r="A633">
        <f>80190254*0.00001</f>
        <v>801.90254000000004</v>
      </c>
      <c r="B633">
        <v>3487</v>
      </c>
      <c r="C633">
        <v>32</v>
      </c>
      <c r="D633">
        <v>330.76499999999999</v>
      </c>
      <c r="E633" s="1">
        <f>3064</f>
        <v>3064</v>
      </c>
      <c r="F633">
        <v>1604</v>
      </c>
      <c r="G633">
        <v>1</v>
      </c>
      <c r="H633">
        <v>0.2</v>
      </c>
      <c r="I633">
        <v>0</v>
      </c>
      <c r="J633">
        <v>-167.81899999999999</v>
      </c>
      <c r="K633">
        <v>537.423</v>
      </c>
      <c r="L633">
        <v>0</v>
      </c>
    </row>
    <row r="634" spans="1:12" x14ac:dyDescent="0.25">
      <c r="A634">
        <f>80190355*0.00001</f>
        <v>801.90355000000011</v>
      </c>
      <c r="B634">
        <v>3487</v>
      </c>
      <c r="C634">
        <v>33</v>
      </c>
      <c r="D634">
        <v>330.76499999999999</v>
      </c>
      <c r="E634">
        <v>3064</v>
      </c>
      <c r="F634">
        <v>1604</v>
      </c>
      <c r="G634" s="1">
        <f>1</f>
        <v>1</v>
      </c>
      <c r="H634">
        <v>0.2</v>
      </c>
      <c r="I634">
        <v>0</v>
      </c>
      <c r="J634">
        <v>-167.81899999999999</v>
      </c>
      <c r="K634">
        <v>537.423</v>
      </c>
      <c r="L634">
        <v>0</v>
      </c>
    </row>
    <row r="635" spans="1:12" x14ac:dyDescent="0.25">
      <c r="A635">
        <f>80190456*0.00001</f>
        <v>801.90456000000006</v>
      </c>
      <c r="B635">
        <v>3487</v>
      </c>
      <c r="C635">
        <v>34</v>
      </c>
      <c r="D635">
        <v>330.76499999999999</v>
      </c>
      <c r="E635">
        <v>3064</v>
      </c>
      <c r="F635">
        <v>1604</v>
      </c>
      <c r="G635">
        <v>1</v>
      </c>
      <c r="H635" s="1">
        <f>0.2</f>
        <v>0.2</v>
      </c>
      <c r="I635">
        <v>0</v>
      </c>
      <c r="J635">
        <v>-167.81899999999999</v>
      </c>
      <c r="K635">
        <v>537.423</v>
      </c>
      <c r="L635">
        <v>0</v>
      </c>
    </row>
    <row r="636" spans="1:12" x14ac:dyDescent="0.25">
      <c r="A636">
        <f>80190557*0.00001</f>
        <v>801.90557000000001</v>
      </c>
      <c r="B636">
        <v>3487</v>
      </c>
      <c r="C636">
        <v>35</v>
      </c>
      <c r="D636">
        <v>330.76499999999999</v>
      </c>
      <c r="E636">
        <v>3064</v>
      </c>
      <c r="F636">
        <v>1604</v>
      </c>
      <c r="G636">
        <v>1</v>
      </c>
      <c r="H636">
        <v>0.2</v>
      </c>
      <c r="I636">
        <v>0</v>
      </c>
      <c r="J636" s="1">
        <f>-167.019</f>
        <v>-167.01900000000001</v>
      </c>
      <c r="K636">
        <v>537.423</v>
      </c>
      <c r="L636">
        <v>0</v>
      </c>
    </row>
    <row r="637" spans="1:12" x14ac:dyDescent="0.25">
      <c r="A637">
        <f>80190658*0.00001</f>
        <v>801.90658000000008</v>
      </c>
      <c r="B637">
        <v>3487</v>
      </c>
      <c r="C637">
        <v>36</v>
      </c>
      <c r="D637">
        <v>330.76499999999999</v>
      </c>
      <c r="E637">
        <v>3064</v>
      </c>
      <c r="F637">
        <v>1604</v>
      </c>
      <c r="G637">
        <v>1</v>
      </c>
      <c r="H637">
        <v>0.2</v>
      </c>
      <c r="I637">
        <v>0</v>
      </c>
      <c r="J637">
        <v>-167.01900000000001</v>
      </c>
      <c r="K637" s="1">
        <f>537.301</f>
        <v>537.30100000000004</v>
      </c>
      <c r="L637">
        <v>0</v>
      </c>
    </row>
    <row r="638" spans="1:12" x14ac:dyDescent="0.25">
      <c r="A638">
        <f>80190759*0.00001</f>
        <v>801.90759000000003</v>
      </c>
      <c r="B638">
        <v>3487</v>
      </c>
      <c r="C638">
        <v>37</v>
      </c>
      <c r="D638">
        <v>330.76499999999999</v>
      </c>
      <c r="E638">
        <v>3064</v>
      </c>
      <c r="F638">
        <v>1604</v>
      </c>
      <c r="G638">
        <v>1</v>
      </c>
      <c r="H638">
        <v>0.2</v>
      </c>
      <c r="I638">
        <v>0</v>
      </c>
      <c r="J638">
        <v>-167.01900000000001</v>
      </c>
      <c r="K638">
        <v>537.30100000000004</v>
      </c>
      <c r="L638" s="1">
        <f>0</f>
        <v>0</v>
      </c>
    </row>
    <row r="639" spans="1:12" x14ac:dyDescent="0.25">
      <c r="A639">
        <f>80190860*0.00001</f>
        <v>801.90860000000009</v>
      </c>
      <c r="B639">
        <v>3487</v>
      </c>
      <c r="C639">
        <v>38</v>
      </c>
      <c r="D639" s="1">
        <f>330.002</f>
        <v>330.00200000000001</v>
      </c>
      <c r="E639" s="1">
        <f>3075</f>
        <v>3075</v>
      </c>
      <c r="F639" s="1">
        <f>1604</f>
        <v>1604</v>
      </c>
      <c r="G639">
        <v>1</v>
      </c>
      <c r="H639">
        <v>0.2</v>
      </c>
      <c r="I639">
        <v>0</v>
      </c>
      <c r="J639">
        <v>-167.01900000000001</v>
      </c>
      <c r="K639">
        <v>537.30100000000004</v>
      </c>
      <c r="L639">
        <v>0</v>
      </c>
    </row>
    <row r="640" spans="1:12" x14ac:dyDescent="0.25">
      <c r="A640">
        <f>80191062*0.00001</f>
        <v>801.91062000000011</v>
      </c>
      <c r="B640">
        <v>3487</v>
      </c>
      <c r="C640">
        <v>40</v>
      </c>
      <c r="D640">
        <v>330.00200000000001</v>
      </c>
      <c r="E640">
        <v>3075</v>
      </c>
      <c r="F640">
        <v>1604</v>
      </c>
      <c r="G640" s="1">
        <f>1</f>
        <v>1</v>
      </c>
      <c r="H640" s="1">
        <f>0.2</f>
        <v>0.2</v>
      </c>
      <c r="I640" s="1">
        <f>0</f>
        <v>0</v>
      </c>
      <c r="J640">
        <v>-167.01900000000001</v>
      </c>
      <c r="K640">
        <v>537.30100000000004</v>
      </c>
      <c r="L640">
        <v>0</v>
      </c>
    </row>
    <row r="641" spans="1:12" x14ac:dyDescent="0.25">
      <c r="A641">
        <f>80191264*0.00001</f>
        <v>801.91264000000001</v>
      </c>
      <c r="B641">
        <v>3487</v>
      </c>
      <c r="C641">
        <v>42</v>
      </c>
      <c r="D641">
        <v>330.00200000000001</v>
      </c>
      <c r="E641">
        <v>3075</v>
      </c>
      <c r="F641">
        <v>1604</v>
      </c>
      <c r="G641">
        <v>1</v>
      </c>
      <c r="H641">
        <v>0.2</v>
      </c>
      <c r="I641">
        <v>0</v>
      </c>
      <c r="J641" s="1">
        <f>-166.086</f>
        <v>-166.08600000000001</v>
      </c>
      <c r="K641" s="1">
        <f>537.179</f>
        <v>537.17899999999997</v>
      </c>
      <c r="L641" s="1">
        <f>0</f>
        <v>0</v>
      </c>
    </row>
    <row r="642" spans="1:12" x14ac:dyDescent="0.25">
      <c r="A642">
        <f>80191466*0.00001</f>
        <v>801.91466000000003</v>
      </c>
      <c r="B642">
        <v>3487</v>
      </c>
      <c r="C642">
        <v>44</v>
      </c>
      <c r="D642" s="1">
        <f>329.353</f>
        <v>329.35300000000001</v>
      </c>
      <c r="E642" s="1">
        <f>3084</f>
        <v>3084</v>
      </c>
      <c r="F642" s="1">
        <f>1604</f>
        <v>1604</v>
      </c>
      <c r="G642">
        <v>1</v>
      </c>
      <c r="H642">
        <v>0.2</v>
      </c>
      <c r="I642">
        <v>0</v>
      </c>
      <c r="J642">
        <v>-166.08600000000001</v>
      </c>
      <c r="K642">
        <v>537.17899999999997</v>
      </c>
      <c r="L642">
        <v>0</v>
      </c>
    </row>
    <row r="643" spans="1:12" x14ac:dyDescent="0.25">
      <c r="A643">
        <f>80191668*0.00001</f>
        <v>801.91668000000004</v>
      </c>
      <c r="B643">
        <v>3487</v>
      </c>
      <c r="C643">
        <v>46</v>
      </c>
      <c r="D643">
        <v>329.35300000000001</v>
      </c>
      <c r="E643">
        <v>3084</v>
      </c>
      <c r="F643">
        <v>1604</v>
      </c>
      <c r="G643">
        <v>1</v>
      </c>
      <c r="H643" s="1">
        <f>0.2</f>
        <v>0.2</v>
      </c>
      <c r="I643" s="1">
        <f>0</f>
        <v>0</v>
      </c>
      <c r="J643">
        <v>-166.08600000000001</v>
      </c>
      <c r="K643">
        <v>537.17899999999997</v>
      </c>
      <c r="L643">
        <v>0</v>
      </c>
    </row>
    <row r="644" spans="1:12" x14ac:dyDescent="0.25">
      <c r="A644">
        <f>80191870*0.00001</f>
        <v>801.91870000000006</v>
      </c>
      <c r="B644">
        <v>3487</v>
      </c>
      <c r="C644">
        <v>48</v>
      </c>
      <c r="D644">
        <v>329.35300000000001</v>
      </c>
      <c r="E644">
        <v>3084</v>
      </c>
      <c r="F644">
        <v>1604</v>
      </c>
      <c r="G644">
        <v>1</v>
      </c>
      <c r="H644">
        <v>0.2</v>
      </c>
      <c r="I644">
        <v>0</v>
      </c>
      <c r="J644">
        <v>-166.08600000000001</v>
      </c>
      <c r="K644" s="1">
        <f>537.058</f>
        <v>537.05799999999999</v>
      </c>
      <c r="L644" s="1">
        <f>0</f>
        <v>0</v>
      </c>
    </row>
    <row r="645" spans="1:12" x14ac:dyDescent="0.25">
      <c r="A645">
        <f>80192072*0.00001</f>
        <v>801.92072000000007</v>
      </c>
      <c r="B645">
        <v>3487</v>
      </c>
      <c r="C645">
        <v>50</v>
      </c>
      <c r="D645">
        <v>329.35300000000001</v>
      </c>
      <c r="E645" s="1">
        <f>3092</f>
        <v>3092</v>
      </c>
      <c r="F645" s="1">
        <f>1604</f>
        <v>1604</v>
      </c>
      <c r="G645">
        <v>1</v>
      </c>
      <c r="H645">
        <v>0.2</v>
      </c>
      <c r="I645">
        <v>0</v>
      </c>
      <c r="J645">
        <v>-166.08600000000001</v>
      </c>
      <c r="K645">
        <v>537.05799999999999</v>
      </c>
      <c r="L645">
        <v>0</v>
      </c>
    </row>
    <row r="646" spans="1:12" x14ac:dyDescent="0.25">
      <c r="A646">
        <f>80192276*0.00001</f>
        <v>801.92276000000004</v>
      </c>
      <c r="B646">
        <v>3487</v>
      </c>
      <c r="C646">
        <v>52</v>
      </c>
      <c r="D646">
        <v>329.35300000000001</v>
      </c>
      <c r="E646">
        <v>3092</v>
      </c>
      <c r="F646">
        <v>1604</v>
      </c>
      <c r="G646">
        <v>1</v>
      </c>
      <c r="H646" s="1">
        <f>0.2</f>
        <v>0.2</v>
      </c>
      <c r="I646" s="1">
        <f>0</f>
        <v>0</v>
      </c>
      <c r="J646">
        <v>-166.08600000000001</v>
      </c>
      <c r="K646">
        <v>537.05799999999999</v>
      </c>
      <c r="L646">
        <v>0</v>
      </c>
    </row>
    <row r="647" spans="1:12" x14ac:dyDescent="0.25">
      <c r="A647">
        <f>80192480*0.00001</f>
        <v>801.92480000000012</v>
      </c>
      <c r="B647">
        <v>3487</v>
      </c>
      <c r="C647">
        <v>54</v>
      </c>
      <c r="D647">
        <v>329.35300000000001</v>
      </c>
      <c r="E647">
        <v>3092</v>
      </c>
      <c r="F647">
        <v>1604</v>
      </c>
      <c r="G647">
        <v>1</v>
      </c>
      <c r="H647">
        <v>0.2</v>
      </c>
      <c r="I647">
        <v>0</v>
      </c>
      <c r="J647">
        <v>-166.08600000000001</v>
      </c>
      <c r="K647" s="1">
        <f>536.937</f>
        <v>536.93700000000001</v>
      </c>
      <c r="L647">
        <v>0</v>
      </c>
    </row>
    <row r="648" spans="1:12" x14ac:dyDescent="0.25">
      <c r="A648">
        <f>80192581*0.00001</f>
        <v>801.92581000000007</v>
      </c>
      <c r="B648">
        <v>3487</v>
      </c>
      <c r="C648">
        <v>55</v>
      </c>
      <c r="D648">
        <v>329.35300000000001</v>
      </c>
      <c r="E648">
        <v>3092</v>
      </c>
      <c r="F648">
        <v>1604</v>
      </c>
      <c r="G648">
        <v>1</v>
      </c>
      <c r="H648">
        <v>0.2</v>
      </c>
      <c r="I648">
        <v>0</v>
      </c>
      <c r="J648">
        <v>-166.08600000000001</v>
      </c>
      <c r="K648">
        <v>536.93700000000001</v>
      </c>
      <c r="L648" s="1">
        <f>0</f>
        <v>0</v>
      </c>
    </row>
    <row r="649" spans="1:12" x14ac:dyDescent="0.25">
      <c r="A649">
        <f>80192683*0.00001</f>
        <v>801.92683000000011</v>
      </c>
      <c r="B649">
        <v>3487</v>
      </c>
      <c r="C649">
        <v>56</v>
      </c>
      <c r="D649">
        <v>329.35300000000001</v>
      </c>
      <c r="E649" s="1">
        <f>3101</f>
        <v>3101</v>
      </c>
      <c r="F649">
        <v>1604</v>
      </c>
      <c r="G649">
        <v>1</v>
      </c>
      <c r="H649">
        <v>0.2</v>
      </c>
      <c r="I649">
        <v>0</v>
      </c>
      <c r="J649">
        <v>-166.08600000000001</v>
      </c>
      <c r="K649">
        <v>536.93700000000001</v>
      </c>
      <c r="L649">
        <v>0</v>
      </c>
    </row>
    <row r="650" spans="1:12" x14ac:dyDescent="0.25">
      <c r="A650">
        <f>80192785*0.00001</f>
        <v>801.92785000000003</v>
      </c>
      <c r="B650">
        <v>3487</v>
      </c>
      <c r="C650">
        <v>57</v>
      </c>
      <c r="D650">
        <v>329.35300000000001</v>
      </c>
      <c r="E650">
        <v>3101</v>
      </c>
      <c r="F650" s="1">
        <f>1604</f>
        <v>1604</v>
      </c>
      <c r="G650">
        <v>1</v>
      </c>
      <c r="H650">
        <v>0.2</v>
      </c>
      <c r="I650">
        <v>0</v>
      </c>
      <c r="J650">
        <v>-166.08600000000001</v>
      </c>
      <c r="K650">
        <v>536.93700000000001</v>
      </c>
      <c r="L650">
        <v>0</v>
      </c>
    </row>
    <row r="651" spans="1:12" x14ac:dyDescent="0.25">
      <c r="A651">
        <f>80192886*0.00001</f>
        <v>801.9288600000001</v>
      </c>
      <c r="B651">
        <v>3487</v>
      </c>
      <c r="C651">
        <v>58</v>
      </c>
      <c r="D651">
        <v>329.35300000000001</v>
      </c>
      <c r="E651">
        <v>3101</v>
      </c>
      <c r="F651">
        <v>1604</v>
      </c>
      <c r="G651">
        <v>1</v>
      </c>
      <c r="H651" s="1">
        <f>0.2</f>
        <v>0.2</v>
      </c>
      <c r="I651">
        <v>0</v>
      </c>
      <c r="J651">
        <v>-166.08600000000001</v>
      </c>
      <c r="K651">
        <v>536.93700000000001</v>
      </c>
      <c r="L651">
        <v>0</v>
      </c>
    </row>
    <row r="652" spans="1:12" x14ac:dyDescent="0.25">
      <c r="A652">
        <f>80192988*0.00001</f>
        <v>801.92988000000003</v>
      </c>
      <c r="B652">
        <v>3487</v>
      </c>
      <c r="C652">
        <v>59</v>
      </c>
      <c r="D652">
        <v>329.35300000000001</v>
      </c>
      <c r="E652">
        <v>3101</v>
      </c>
      <c r="F652">
        <v>1604</v>
      </c>
      <c r="G652">
        <v>1</v>
      </c>
      <c r="H652">
        <v>0.2</v>
      </c>
      <c r="I652" s="1">
        <f>0</f>
        <v>0</v>
      </c>
      <c r="J652">
        <v>-166.08600000000001</v>
      </c>
      <c r="K652">
        <v>536.93700000000001</v>
      </c>
      <c r="L652">
        <v>0</v>
      </c>
    </row>
    <row r="653" spans="1:12" x14ac:dyDescent="0.25">
      <c r="A653">
        <f>80193090*0.00001</f>
        <v>801.93090000000007</v>
      </c>
      <c r="B653">
        <v>3487</v>
      </c>
      <c r="C653">
        <v>60</v>
      </c>
      <c r="D653">
        <v>329.35300000000001</v>
      </c>
      <c r="E653">
        <v>3101</v>
      </c>
      <c r="F653">
        <v>1604</v>
      </c>
      <c r="G653">
        <v>1</v>
      </c>
      <c r="H653">
        <v>0.2</v>
      </c>
      <c r="I653">
        <v>0</v>
      </c>
      <c r="J653">
        <v>-166.08600000000001</v>
      </c>
      <c r="K653" s="1">
        <f>536.816</f>
        <v>536.81600000000003</v>
      </c>
      <c r="L653">
        <v>0</v>
      </c>
    </row>
    <row r="654" spans="1:12" x14ac:dyDescent="0.25">
      <c r="A654">
        <f>80193192*0.00001</f>
        <v>801.9319200000001</v>
      </c>
      <c r="B654">
        <v>3487</v>
      </c>
      <c r="C654">
        <v>61</v>
      </c>
      <c r="D654" s="1">
        <f>327.556</f>
        <v>327.55599999999998</v>
      </c>
      <c r="E654" s="1">
        <f>3110</f>
        <v>3110</v>
      </c>
      <c r="F654">
        <v>1604</v>
      </c>
      <c r="G654">
        <v>1</v>
      </c>
      <c r="H654">
        <v>0.2</v>
      </c>
      <c r="I654">
        <v>0</v>
      </c>
      <c r="J654">
        <v>-166.08600000000001</v>
      </c>
      <c r="K654">
        <v>536.81600000000003</v>
      </c>
      <c r="L654" s="1">
        <f>0</f>
        <v>0</v>
      </c>
    </row>
    <row r="655" spans="1:12" x14ac:dyDescent="0.25">
      <c r="A655">
        <f>80193397*0.00001</f>
        <v>801.93397000000004</v>
      </c>
      <c r="B655">
        <v>3487</v>
      </c>
      <c r="C655">
        <v>63</v>
      </c>
      <c r="D655">
        <v>327.55599999999998</v>
      </c>
      <c r="E655">
        <v>3110</v>
      </c>
      <c r="F655" s="1">
        <f>1604</f>
        <v>1604</v>
      </c>
      <c r="G655" s="1">
        <f>1</f>
        <v>1</v>
      </c>
      <c r="H655" s="1">
        <f>0.2</f>
        <v>0.2</v>
      </c>
      <c r="I655">
        <v>0</v>
      </c>
      <c r="J655">
        <v>-166.08600000000001</v>
      </c>
      <c r="K655">
        <v>536.81600000000003</v>
      </c>
      <c r="L655">
        <v>0</v>
      </c>
    </row>
    <row r="656" spans="1:12" x14ac:dyDescent="0.25">
      <c r="A656">
        <f>80193601*0.00001</f>
        <v>801.93601000000001</v>
      </c>
      <c r="B656">
        <v>3487</v>
      </c>
      <c r="C656">
        <v>65</v>
      </c>
      <c r="D656">
        <v>327.55599999999998</v>
      </c>
      <c r="E656">
        <v>3110</v>
      </c>
      <c r="F656">
        <v>1604</v>
      </c>
      <c r="G656">
        <v>1</v>
      </c>
      <c r="H656">
        <v>0.2</v>
      </c>
      <c r="I656" s="1">
        <f>0</f>
        <v>0</v>
      </c>
      <c r="J656" s="1">
        <f>-163.035</f>
        <v>-163.035</v>
      </c>
      <c r="K656" s="1">
        <f>536.695</f>
        <v>536.69500000000005</v>
      </c>
      <c r="L656">
        <v>0</v>
      </c>
    </row>
    <row r="657" spans="1:12" x14ac:dyDescent="0.25">
      <c r="A657">
        <f>80193805*0.00001</f>
        <v>801.93805000000009</v>
      </c>
      <c r="B657">
        <v>3487</v>
      </c>
      <c r="C657">
        <v>67</v>
      </c>
      <c r="D657" s="1">
        <f>326.923</f>
        <v>326.923</v>
      </c>
      <c r="E657" s="1">
        <f>3117</f>
        <v>3117</v>
      </c>
      <c r="F657">
        <v>1604</v>
      </c>
      <c r="G657">
        <v>1</v>
      </c>
      <c r="H657">
        <v>0.2</v>
      </c>
      <c r="I657">
        <v>0</v>
      </c>
      <c r="J657">
        <v>-163.035</v>
      </c>
      <c r="K657">
        <v>536.69500000000005</v>
      </c>
      <c r="L657">
        <v>0</v>
      </c>
    </row>
    <row r="658" spans="1:12" x14ac:dyDescent="0.25">
      <c r="A658">
        <f>80194010*0.00001</f>
        <v>801.94010000000003</v>
      </c>
      <c r="B658">
        <v>3487</v>
      </c>
      <c r="C658">
        <v>69</v>
      </c>
      <c r="D658">
        <v>326.923</v>
      </c>
      <c r="E658">
        <v>3117</v>
      </c>
      <c r="F658">
        <v>1604</v>
      </c>
      <c r="G658" s="1">
        <f>1</f>
        <v>1</v>
      </c>
      <c r="H658" s="1">
        <f>0.2</f>
        <v>0.2</v>
      </c>
      <c r="I658">
        <v>0</v>
      </c>
      <c r="J658">
        <v>-163.035</v>
      </c>
      <c r="K658">
        <v>536.69500000000005</v>
      </c>
      <c r="L658">
        <v>0</v>
      </c>
    </row>
    <row r="659" spans="1:12" x14ac:dyDescent="0.25">
      <c r="A659">
        <f>80194214*0.00001</f>
        <v>801.94214000000011</v>
      </c>
      <c r="B659">
        <v>3487</v>
      </c>
      <c r="C659">
        <v>71</v>
      </c>
      <c r="D659">
        <v>326.923</v>
      </c>
      <c r="E659">
        <v>3117</v>
      </c>
      <c r="F659">
        <v>1604</v>
      </c>
      <c r="G659">
        <v>1</v>
      </c>
      <c r="H659">
        <v>0.2</v>
      </c>
      <c r="I659">
        <v>0</v>
      </c>
      <c r="J659" s="1">
        <f>-162.252</f>
        <v>-162.25200000000001</v>
      </c>
      <c r="K659">
        <v>536.69500000000005</v>
      </c>
      <c r="L659">
        <v>0</v>
      </c>
    </row>
    <row r="660" spans="1:12" x14ac:dyDescent="0.25">
      <c r="A660">
        <f>80194316*0.00001</f>
        <v>801.94316000000003</v>
      </c>
      <c r="B660">
        <v>3487</v>
      </c>
      <c r="C660">
        <v>72</v>
      </c>
      <c r="D660">
        <v>326.923</v>
      </c>
      <c r="E660">
        <v>3117</v>
      </c>
      <c r="F660">
        <v>1604</v>
      </c>
      <c r="G660">
        <v>1</v>
      </c>
      <c r="H660">
        <v>0.2</v>
      </c>
      <c r="I660">
        <v>0</v>
      </c>
      <c r="J660">
        <v>-162.25200000000001</v>
      </c>
      <c r="K660" s="1">
        <f>536.575</f>
        <v>536.57500000000005</v>
      </c>
      <c r="L660">
        <v>0</v>
      </c>
    </row>
    <row r="661" spans="1:12" x14ac:dyDescent="0.25">
      <c r="A661">
        <f>80194419*0.00001</f>
        <v>801.94419000000005</v>
      </c>
      <c r="B661">
        <v>3487</v>
      </c>
      <c r="C661">
        <v>73</v>
      </c>
      <c r="D661" s="1">
        <f>326.289</f>
        <v>326.28899999999999</v>
      </c>
      <c r="E661">
        <v>3117</v>
      </c>
      <c r="F661">
        <v>1604</v>
      </c>
      <c r="G661">
        <v>1</v>
      </c>
      <c r="H661">
        <v>0.2</v>
      </c>
      <c r="I661">
        <v>0</v>
      </c>
      <c r="J661">
        <v>-162.25200000000001</v>
      </c>
      <c r="K661">
        <v>536.57500000000005</v>
      </c>
      <c r="L661">
        <v>0</v>
      </c>
    </row>
    <row r="662" spans="1:12" x14ac:dyDescent="0.25">
      <c r="A662">
        <f>80194522*0.00001</f>
        <v>801.94522000000006</v>
      </c>
      <c r="B662">
        <v>3487</v>
      </c>
      <c r="C662">
        <v>74</v>
      </c>
      <c r="D662">
        <v>326.28899999999999</v>
      </c>
      <c r="E662" s="1">
        <f>3126</f>
        <v>3126</v>
      </c>
      <c r="F662">
        <v>1604</v>
      </c>
      <c r="G662">
        <v>1</v>
      </c>
      <c r="H662">
        <v>0.2</v>
      </c>
      <c r="I662">
        <v>0</v>
      </c>
      <c r="J662">
        <v>-162.25200000000001</v>
      </c>
      <c r="K662">
        <v>536.57500000000005</v>
      </c>
      <c r="L662">
        <v>0</v>
      </c>
    </row>
    <row r="663" spans="1:12" x14ac:dyDescent="0.25">
      <c r="A663">
        <f>80194625*0.00001</f>
        <v>801.94625000000008</v>
      </c>
      <c r="B663">
        <v>3487</v>
      </c>
      <c r="C663">
        <v>75</v>
      </c>
      <c r="D663">
        <v>326.28899999999999</v>
      </c>
      <c r="E663">
        <v>3126</v>
      </c>
      <c r="F663">
        <v>1604</v>
      </c>
      <c r="G663" s="1">
        <f>1</f>
        <v>1</v>
      </c>
      <c r="H663">
        <v>0.2</v>
      </c>
      <c r="I663">
        <v>0</v>
      </c>
      <c r="J663">
        <v>-162.25200000000001</v>
      </c>
      <c r="K663">
        <v>536.57500000000005</v>
      </c>
      <c r="L663">
        <v>0</v>
      </c>
    </row>
    <row r="664" spans="1:12" x14ac:dyDescent="0.25">
      <c r="A664">
        <f>80194728*0.00001</f>
        <v>801.94728000000009</v>
      </c>
      <c r="B664">
        <v>3487</v>
      </c>
      <c r="C664">
        <v>76</v>
      </c>
      <c r="D664">
        <v>326.28899999999999</v>
      </c>
      <c r="E664">
        <v>3126</v>
      </c>
      <c r="F664">
        <v>1604</v>
      </c>
      <c r="G664">
        <v>1</v>
      </c>
      <c r="H664" s="1">
        <f>0.2</f>
        <v>0.2</v>
      </c>
      <c r="I664" s="1">
        <f>0</f>
        <v>0</v>
      </c>
      <c r="J664" s="1">
        <f>-161.458</f>
        <v>-161.458</v>
      </c>
      <c r="K664">
        <v>536.57500000000005</v>
      </c>
      <c r="L664">
        <v>0</v>
      </c>
    </row>
    <row r="665" spans="1:12" x14ac:dyDescent="0.25">
      <c r="A665">
        <f>80194933*0.00001</f>
        <v>801.94933000000003</v>
      </c>
      <c r="B665">
        <v>3487</v>
      </c>
      <c r="C665">
        <v>78</v>
      </c>
      <c r="D665" s="1">
        <f>325.673</f>
        <v>325.673</v>
      </c>
      <c r="E665">
        <v>3126</v>
      </c>
      <c r="F665">
        <v>1604</v>
      </c>
      <c r="G665">
        <v>1</v>
      </c>
      <c r="H665">
        <v>0.2</v>
      </c>
      <c r="I665">
        <v>0</v>
      </c>
      <c r="J665">
        <v>-161.458</v>
      </c>
      <c r="K665" s="1">
        <f>536.456</f>
        <v>536.45600000000002</v>
      </c>
      <c r="L665" s="1">
        <f>0</f>
        <v>0</v>
      </c>
    </row>
    <row r="666" spans="1:12" x14ac:dyDescent="0.25">
      <c r="A666">
        <f>80195139*0.00001</f>
        <v>801.95139000000006</v>
      </c>
      <c r="B666">
        <v>3487</v>
      </c>
      <c r="C666">
        <v>80</v>
      </c>
      <c r="D666">
        <v>325.673</v>
      </c>
      <c r="E666" s="1">
        <f>3135</f>
        <v>3135</v>
      </c>
      <c r="F666" s="1">
        <f>1604</f>
        <v>1604</v>
      </c>
      <c r="G666" s="1">
        <f>1</f>
        <v>1</v>
      </c>
      <c r="H666">
        <v>0.2</v>
      </c>
      <c r="I666">
        <v>0</v>
      </c>
      <c r="J666">
        <v>-161.458</v>
      </c>
      <c r="K666">
        <v>536.45600000000002</v>
      </c>
      <c r="L666">
        <v>0</v>
      </c>
    </row>
    <row r="667" spans="1:12" x14ac:dyDescent="0.25">
      <c r="A667">
        <f>80195345*0.00001</f>
        <v>801.95345000000009</v>
      </c>
      <c r="B667">
        <v>3487</v>
      </c>
      <c r="C667">
        <v>82</v>
      </c>
      <c r="D667">
        <v>325.673</v>
      </c>
      <c r="E667">
        <v>3135</v>
      </c>
      <c r="F667">
        <v>1604</v>
      </c>
      <c r="G667">
        <v>1</v>
      </c>
      <c r="H667">
        <v>0.2</v>
      </c>
      <c r="I667" s="1">
        <f>0</f>
        <v>0</v>
      </c>
      <c r="J667" s="1">
        <f>-160.7</f>
        <v>-160.69999999999999</v>
      </c>
      <c r="K667">
        <v>536.45600000000002</v>
      </c>
      <c r="L667">
        <v>0</v>
      </c>
    </row>
    <row r="668" spans="1:12" x14ac:dyDescent="0.25">
      <c r="A668">
        <f>80195549*0.00001</f>
        <v>801.95549000000005</v>
      </c>
      <c r="B668">
        <v>3487</v>
      </c>
      <c r="C668">
        <v>84</v>
      </c>
      <c r="D668" s="1">
        <f>325.037</f>
        <v>325.03699999999998</v>
      </c>
      <c r="E668">
        <v>3135</v>
      </c>
      <c r="F668">
        <v>1604</v>
      </c>
      <c r="G668">
        <v>1</v>
      </c>
      <c r="H668">
        <v>0.2</v>
      </c>
      <c r="I668">
        <v>0</v>
      </c>
      <c r="J668">
        <v>-160.69999999999999</v>
      </c>
      <c r="K668">
        <v>536.45600000000002</v>
      </c>
      <c r="L668" s="1">
        <f>0</f>
        <v>0</v>
      </c>
    </row>
    <row r="669" spans="1:12" x14ac:dyDescent="0.25">
      <c r="A669">
        <f>80195755*0.00001</f>
        <v>801.95755000000008</v>
      </c>
      <c r="B669">
        <v>3487</v>
      </c>
      <c r="C669">
        <v>86</v>
      </c>
      <c r="D669">
        <v>325.03699999999998</v>
      </c>
      <c r="E669">
        <v>3135</v>
      </c>
      <c r="F669" s="1">
        <f>1604</f>
        <v>1604</v>
      </c>
      <c r="G669">
        <v>1</v>
      </c>
      <c r="H669">
        <v>0.2</v>
      </c>
      <c r="I669">
        <v>0</v>
      </c>
      <c r="J669">
        <v>-160.69999999999999</v>
      </c>
      <c r="K669">
        <v>536.45600000000002</v>
      </c>
      <c r="L669">
        <v>0</v>
      </c>
    </row>
    <row r="670" spans="1:12" x14ac:dyDescent="0.25">
      <c r="A670">
        <f>80195857*0.00001</f>
        <v>801.95857000000001</v>
      </c>
      <c r="B670">
        <v>3487</v>
      </c>
      <c r="C670">
        <v>87</v>
      </c>
      <c r="D670">
        <v>325.03699999999998</v>
      </c>
      <c r="E670">
        <v>3135</v>
      </c>
      <c r="F670">
        <v>1604</v>
      </c>
      <c r="G670" s="1">
        <f>1</f>
        <v>1</v>
      </c>
      <c r="H670">
        <v>0.2</v>
      </c>
      <c r="I670">
        <v>0</v>
      </c>
      <c r="J670">
        <v>-160.69999999999999</v>
      </c>
      <c r="K670">
        <v>536.45600000000002</v>
      </c>
      <c r="L670">
        <v>0</v>
      </c>
    </row>
    <row r="671" spans="1:12" x14ac:dyDescent="0.25">
      <c r="A671">
        <f>80195960*0.00001</f>
        <v>801.95960000000002</v>
      </c>
      <c r="B671">
        <v>3487</v>
      </c>
      <c r="C671">
        <v>88</v>
      </c>
      <c r="D671">
        <v>325.03699999999998</v>
      </c>
      <c r="E671">
        <v>3135</v>
      </c>
      <c r="F671">
        <v>1604</v>
      </c>
      <c r="G671">
        <v>1</v>
      </c>
      <c r="H671">
        <v>0.2</v>
      </c>
      <c r="I671" s="1">
        <f>0</f>
        <v>0</v>
      </c>
      <c r="J671">
        <v>-160.69999999999999</v>
      </c>
      <c r="K671">
        <v>536.45600000000002</v>
      </c>
      <c r="L671">
        <v>0</v>
      </c>
    </row>
    <row r="672" spans="1:12" x14ac:dyDescent="0.25">
      <c r="A672">
        <f>80196063*0.00001</f>
        <v>801.96063000000004</v>
      </c>
      <c r="B672">
        <v>3487</v>
      </c>
      <c r="C672">
        <v>89</v>
      </c>
      <c r="D672">
        <v>325.03699999999998</v>
      </c>
      <c r="E672">
        <v>3135</v>
      </c>
      <c r="F672">
        <v>1604</v>
      </c>
      <c r="G672">
        <v>1</v>
      </c>
      <c r="H672">
        <v>0.2</v>
      </c>
      <c r="I672">
        <v>0</v>
      </c>
      <c r="J672" s="1">
        <f>-159.907</f>
        <v>-159.90700000000001</v>
      </c>
      <c r="K672">
        <v>536.45600000000002</v>
      </c>
      <c r="L672">
        <v>0</v>
      </c>
    </row>
    <row r="673" spans="1:12" x14ac:dyDescent="0.25">
      <c r="A673">
        <f>80196165*0.00001</f>
        <v>801.96165000000008</v>
      </c>
      <c r="B673">
        <v>3487</v>
      </c>
      <c r="C673">
        <v>90</v>
      </c>
      <c r="D673">
        <v>325.03699999999998</v>
      </c>
      <c r="E673">
        <v>3135</v>
      </c>
      <c r="F673">
        <v>1604</v>
      </c>
      <c r="G673">
        <v>1</v>
      </c>
      <c r="H673">
        <v>0.2</v>
      </c>
      <c r="I673">
        <v>0</v>
      </c>
      <c r="J673">
        <v>-159.90700000000001</v>
      </c>
      <c r="K673">
        <v>536.45600000000002</v>
      </c>
      <c r="L673" s="1">
        <f>0</f>
        <v>0</v>
      </c>
    </row>
    <row r="674" spans="1:12" x14ac:dyDescent="0.25">
      <c r="A674">
        <f>80196268*0.00001</f>
        <v>801.96268000000009</v>
      </c>
      <c r="B674">
        <v>3487</v>
      </c>
      <c r="C674">
        <v>91</v>
      </c>
      <c r="D674" s="1">
        <f>324.42</f>
        <v>324.42</v>
      </c>
      <c r="E674" s="1">
        <f>3153</f>
        <v>3153</v>
      </c>
      <c r="F674" s="1">
        <f>1604</f>
        <v>1604</v>
      </c>
      <c r="G674">
        <v>1</v>
      </c>
      <c r="H674">
        <v>0.2</v>
      </c>
      <c r="I674">
        <v>0</v>
      </c>
      <c r="J674">
        <v>-159.90700000000001</v>
      </c>
      <c r="K674">
        <v>536.45600000000002</v>
      </c>
      <c r="L674">
        <v>0</v>
      </c>
    </row>
    <row r="675" spans="1:12" x14ac:dyDescent="0.25">
      <c r="A675">
        <f>80196474*0.00001</f>
        <v>801.96474000000012</v>
      </c>
      <c r="B675">
        <v>3487</v>
      </c>
      <c r="C675">
        <v>93</v>
      </c>
      <c r="D675">
        <v>324.42</v>
      </c>
      <c r="E675">
        <v>3153</v>
      </c>
      <c r="F675">
        <v>1604</v>
      </c>
      <c r="G675" s="1">
        <f>1</f>
        <v>1</v>
      </c>
      <c r="H675" s="1">
        <f>0.2</f>
        <v>0.2</v>
      </c>
      <c r="I675" s="1">
        <f>0</f>
        <v>0</v>
      </c>
      <c r="J675">
        <v>-159.90700000000001</v>
      </c>
      <c r="K675">
        <v>536.45600000000002</v>
      </c>
      <c r="L675">
        <v>0</v>
      </c>
    </row>
    <row r="676" spans="1:12" x14ac:dyDescent="0.25">
      <c r="A676">
        <f>80196681*0.00001</f>
        <v>801.96681000000001</v>
      </c>
      <c r="B676">
        <v>3487</v>
      </c>
      <c r="C676">
        <v>95</v>
      </c>
      <c r="D676">
        <v>324.42</v>
      </c>
      <c r="E676">
        <v>3153</v>
      </c>
      <c r="F676">
        <v>1604</v>
      </c>
      <c r="G676">
        <v>1</v>
      </c>
      <c r="H676">
        <v>0.2</v>
      </c>
      <c r="I676">
        <v>0</v>
      </c>
      <c r="J676">
        <v>-159.90700000000001</v>
      </c>
      <c r="K676" s="1">
        <f>536.118</f>
        <v>536.11800000000005</v>
      </c>
      <c r="L676" s="1">
        <f>0</f>
        <v>0</v>
      </c>
    </row>
    <row r="677" spans="1:12" x14ac:dyDescent="0.25">
      <c r="A677">
        <f>80196887*0.00001</f>
        <v>801.96887000000004</v>
      </c>
      <c r="B677">
        <v>3487</v>
      </c>
      <c r="C677">
        <v>97</v>
      </c>
      <c r="D677">
        <v>324.42</v>
      </c>
      <c r="E677" s="1">
        <f>3162</f>
        <v>3162</v>
      </c>
      <c r="F677" s="1">
        <f>1604</f>
        <v>1604</v>
      </c>
      <c r="G677">
        <v>1</v>
      </c>
      <c r="H677">
        <v>0.2</v>
      </c>
      <c r="I677">
        <v>0</v>
      </c>
      <c r="J677">
        <v>-159.90700000000001</v>
      </c>
      <c r="K677">
        <v>536.11800000000005</v>
      </c>
      <c r="L677">
        <v>0</v>
      </c>
    </row>
    <row r="678" spans="1:12" x14ac:dyDescent="0.25">
      <c r="A678">
        <f>80197093*0.00001</f>
        <v>801.97093000000007</v>
      </c>
      <c r="B678">
        <v>3487</v>
      </c>
      <c r="C678">
        <v>99</v>
      </c>
      <c r="D678">
        <v>324.42</v>
      </c>
      <c r="E678">
        <v>3162</v>
      </c>
      <c r="F678">
        <v>1604</v>
      </c>
      <c r="G678">
        <v>1</v>
      </c>
      <c r="H678" s="1">
        <f>0.2</f>
        <v>0.2</v>
      </c>
      <c r="I678">
        <v>0</v>
      </c>
      <c r="J678">
        <v>-159.90700000000001</v>
      </c>
      <c r="K678">
        <v>536.11800000000005</v>
      </c>
      <c r="L678">
        <v>0</v>
      </c>
    </row>
    <row r="679" spans="1:12" x14ac:dyDescent="0.25">
      <c r="A679">
        <f>80197197*0.00001</f>
        <v>801.97197000000006</v>
      </c>
      <c r="B679">
        <v>3487</v>
      </c>
      <c r="C679">
        <v>100</v>
      </c>
      <c r="D679">
        <v>324.42</v>
      </c>
      <c r="E679">
        <v>3162</v>
      </c>
      <c r="F679">
        <v>1604</v>
      </c>
      <c r="G679">
        <v>1</v>
      </c>
      <c r="H679">
        <v>0.2</v>
      </c>
      <c r="I679" s="1">
        <f>0</f>
        <v>0</v>
      </c>
      <c r="J679">
        <v>-159.90700000000001</v>
      </c>
      <c r="K679">
        <v>536.11800000000005</v>
      </c>
      <c r="L679">
        <v>0</v>
      </c>
    </row>
    <row r="680" spans="1:12" x14ac:dyDescent="0.25">
      <c r="A680">
        <f>80197300*0.00001</f>
        <v>801.97300000000007</v>
      </c>
      <c r="B680">
        <v>3487</v>
      </c>
      <c r="C680">
        <v>101</v>
      </c>
      <c r="D680">
        <v>324.42</v>
      </c>
      <c r="E680">
        <v>3162</v>
      </c>
      <c r="F680">
        <v>1604</v>
      </c>
      <c r="G680">
        <v>1</v>
      </c>
      <c r="H680">
        <v>0.2</v>
      </c>
      <c r="I680">
        <v>0</v>
      </c>
      <c r="J680">
        <v>-159.90700000000001</v>
      </c>
      <c r="K680" s="1">
        <f>536</f>
        <v>536</v>
      </c>
      <c r="L680">
        <v>0</v>
      </c>
    </row>
    <row r="681" spans="1:12" x14ac:dyDescent="0.25">
      <c r="A681">
        <f>80197403*0.00001</f>
        <v>801.97403000000008</v>
      </c>
      <c r="B681">
        <v>3487</v>
      </c>
      <c r="C681">
        <v>102</v>
      </c>
      <c r="D681" s="1">
        <f>323.273</f>
        <v>323.27300000000002</v>
      </c>
      <c r="E681" s="1">
        <f>3171</f>
        <v>3171</v>
      </c>
      <c r="F681">
        <v>1604</v>
      </c>
      <c r="G681">
        <v>1</v>
      </c>
      <c r="H681">
        <v>0.2</v>
      </c>
      <c r="I681">
        <v>0</v>
      </c>
      <c r="J681">
        <v>-159.90700000000001</v>
      </c>
      <c r="K681">
        <v>536</v>
      </c>
      <c r="L681" s="1">
        <f>0</f>
        <v>0</v>
      </c>
    </row>
    <row r="682" spans="1:12" x14ac:dyDescent="0.25">
      <c r="A682">
        <f>80197610*0.00001</f>
        <v>801.97610000000009</v>
      </c>
      <c r="B682">
        <v>3487</v>
      </c>
      <c r="C682">
        <v>104</v>
      </c>
      <c r="D682">
        <v>323.27300000000002</v>
      </c>
      <c r="E682">
        <v>3171</v>
      </c>
      <c r="F682" s="1">
        <f>1604</f>
        <v>1604</v>
      </c>
      <c r="G682" s="1">
        <f>1</f>
        <v>1</v>
      </c>
      <c r="H682" s="1">
        <f>0.2</f>
        <v>0.2</v>
      </c>
      <c r="I682">
        <v>0</v>
      </c>
      <c r="J682">
        <v>-159.90700000000001</v>
      </c>
      <c r="K682">
        <v>536</v>
      </c>
      <c r="L682">
        <v>0</v>
      </c>
    </row>
    <row r="683" spans="1:12" x14ac:dyDescent="0.25">
      <c r="A683">
        <f>80197817*0.00001</f>
        <v>801.97817000000009</v>
      </c>
      <c r="B683">
        <v>3487</v>
      </c>
      <c r="C683">
        <v>106</v>
      </c>
      <c r="D683">
        <v>323.27300000000002</v>
      </c>
      <c r="E683">
        <v>3171</v>
      </c>
      <c r="F683">
        <v>1604</v>
      </c>
      <c r="G683">
        <v>1</v>
      </c>
      <c r="H683">
        <v>0.2</v>
      </c>
      <c r="I683">
        <v>0</v>
      </c>
      <c r="J683" s="1">
        <f>-157.697</f>
        <v>-157.697</v>
      </c>
      <c r="K683" s="1">
        <f>535.882</f>
        <v>535.88199999999995</v>
      </c>
      <c r="L683">
        <v>0</v>
      </c>
    </row>
    <row r="684" spans="1:12" x14ac:dyDescent="0.25">
      <c r="A684">
        <f>80198025*0.00001</f>
        <v>801.98025000000007</v>
      </c>
      <c r="B684">
        <v>3487</v>
      </c>
      <c r="C684">
        <v>108</v>
      </c>
      <c r="D684" s="1">
        <f>322.657</f>
        <v>322.65699999999998</v>
      </c>
      <c r="E684">
        <v>3171</v>
      </c>
      <c r="F684">
        <v>1604</v>
      </c>
      <c r="G684">
        <v>1</v>
      </c>
      <c r="H684">
        <v>0.2</v>
      </c>
      <c r="I684">
        <v>0</v>
      </c>
      <c r="J684">
        <v>-157.697</v>
      </c>
      <c r="K684">
        <v>535.88199999999995</v>
      </c>
      <c r="L684">
        <v>0</v>
      </c>
    </row>
    <row r="685" spans="1:12" x14ac:dyDescent="0.25">
      <c r="A685">
        <f>80198129*0.00001</f>
        <v>801.98129000000006</v>
      </c>
      <c r="B685">
        <v>3487</v>
      </c>
      <c r="C685">
        <v>109</v>
      </c>
      <c r="D685">
        <v>322.65699999999998</v>
      </c>
      <c r="E685" s="1">
        <f>3178</f>
        <v>3178</v>
      </c>
      <c r="F685">
        <v>1604</v>
      </c>
      <c r="G685">
        <v>1</v>
      </c>
      <c r="H685">
        <v>0.2</v>
      </c>
      <c r="I685">
        <v>0</v>
      </c>
      <c r="J685">
        <v>-157.697</v>
      </c>
      <c r="K685">
        <v>535.88199999999995</v>
      </c>
      <c r="L685">
        <v>0</v>
      </c>
    </row>
    <row r="686" spans="1:12" x14ac:dyDescent="0.25">
      <c r="A686">
        <f>80198233*0.00001</f>
        <v>801.98233000000005</v>
      </c>
      <c r="B686">
        <v>3487</v>
      </c>
      <c r="C686">
        <v>110</v>
      </c>
      <c r="D686">
        <v>322.65699999999998</v>
      </c>
      <c r="E686">
        <v>3178</v>
      </c>
      <c r="F686">
        <v>1604</v>
      </c>
      <c r="G686" s="1">
        <f>1</f>
        <v>1</v>
      </c>
      <c r="H686">
        <v>0.2</v>
      </c>
      <c r="I686">
        <v>0</v>
      </c>
      <c r="J686">
        <v>-157.697</v>
      </c>
      <c r="K686">
        <v>535.88199999999995</v>
      </c>
      <c r="L686">
        <v>0</v>
      </c>
    </row>
    <row r="687" spans="1:12" x14ac:dyDescent="0.25">
      <c r="A687">
        <f>80198336*0.00001</f>
        <v>801.98336000000006</v>
      </c>
      <c r="B687">
        <v>3487</v>
      </c>
      <c r="C687">
        <v>111</v>
      </c>
      <c r="D687">
        <v>322.65699999999998</v>
      </c>
      <c r="E687">
        <v>3178</v>
      </c>
      <c r="F687">
        <v>1604</v>
      </c>
      <c r="G687">
        <v>1</v>
      </c>
      <c r="H687" s="1">
        <f>0.2</f>
        <v>0.2</v>
      </c>
      <c r="I687">
        <v>0</v>
      </c>
      <c r="J687">
        <v>-157.697</v>
      </c>
      <c r="K687">
        <v>535.88199999999995</v>
      </c>
      <c r="L687">
        <v>0</v>
      </c>
    </row>
    <row r="688" spans="1:12" x14ac:dyDescent="0.25">
      <c r="A688">
        <f>80198439*0.00001</f>
        <v>801.98439000000008</v>
      </c>
      <c r="B688">
        <v>3487</v>
      </c>
      <c r="C688">
        <v>112</v>
      </c>
      <c r="D688">
        <v>322.65699999999998</v>
      </c>
      <c r="E688">
        <v>3178</v>
      </c>
      <c r="F688">
        <v>1604</v>
      </c>
      <c r="G688">
        <v>1</v>
      </c>
      <c r="H688">
        <v>0.2</v>
      </c>
      <c r="I688" s="1">
        <f>0</f>
        <v>0</v>
      </c>
      <c r="J688">
        <v>-157.697</v>
      </c>
      <c r="K688">
        <v>535.88199999999995</v>
      </c>
      <c r="L688">
        <v>0</v>
      </c>
    </row>
    <row r="689" spans="1:12" x14ac:dyDescent="0.25">
      <c r="A689">
        <f>80198542*0.00001</f>
        <v>801.98542000000009</v>
      </c>
      <c r="B689">
        <v>3487</v>
      </c>
      <c r="C689">
        <v>113</v>
      </c>
      <c r="D689">
        <v>322.65699999999998</v>
      </c>
      <c r="E689">
        <v>3178</v>
      </c>
      <c r="F689">
        <v>1604</v>
      </c>
      <c r="G689">
        <v>1</v>
      </c>
      <c r="H689">
        <v>0.2</v>
      </c>
      <c r="I689">
        <v>0</v>
      </c>
      <c r="J689" s="1">
        <f>-156.808</f>
        <v>-156.80799999999999</v>
      </c>
      <c r="K689" s="1">
        <f>535.764</f>
        <v>535.76400000000001</v>
      </c>
      <c r="L689" s="1">
        <f>0</f>
        <v>0</v>
      </c>
    </row>
    <row r="690" spans="1:12" x14ac:dyDescent="0.25">
      <c r="A690">
        <f>80198749*0.00001</f>
        <v>801.98749000000009</v>
      </c>
      <c r="B690">
        <v>3487</v>
      </c>
      <c r="C690">
        <v>115</v>
      </c>
      <c r="D690" s="1">
        <f>321.937</f>
        <v>321.93700000000001</v>
      </c>
      <c r="E690" s="1">
        <f>3188</f>
        <v>3188</v>
      </c>
      <c r="F690" s="1">
        <f>1604</f>
        <v>1604</v>
      </c>
      <c r="G690">
        <v>1</v>
      </c>
      <c r="H690">
        <v>0.2</v>
      </c>
      <c r="I690">
        <v>0</v>
      </c>
      <c r="J690">
        <v>-156.80799999999999</v>
      </c>
      <c r="K690">
        <v>535.76400000000001</v>
      </c>
      <c r="L690">
        <v>0</v>
      </c>
    </row>
    <row r="691" spans="1:12" x14ac:dyDescent="0.25">
      <c r="A691">
        <f>80198956*0.00001</f>
        <v>801.9895600000001</v>
      </c>
      <c r="B691">
        <v>3487</v>
      </c>
      <c r="C691">
        <v>117</v>
      </c>
      <c r="D691">
        <v>321.93700000000001</v>
      </c>
      <c r="E691">
        <v>3188</v>
      </c>
      <c r="F691">
        <v>1604</v>
      </c>
      <c r="G691">
        <v>1</v>
      </c>
      <c r="H691" s="1">
        <f>0.2</f>
        <v>0.2</v>
      </c>
      <c r="I691" s="1">
        <f>0</f>
        <v>0</v>
      </c>
      <c r="J691">
        <v>-156.80799999999999</v>
      </c>
      <c r="K691">
        <v>535.76400000000001</v>
      </c>
      <c r="L691">
        <v>0</v>
      </c>
    </row>
    <row r="692" spans="1:12" x14ac:dyDescent="0.25">
      <c r="A692">
        <f>80199164*0.00001</f>
        <v>801.99164000000007</v>
      </c>
      <c r="B692">
        <v>3487</v>
      </c>
      <c r="C692">
        <v>119</v>
      </c>
      <c r="D692">
        <v>321.93700000000001</v>
      </c>
      <c r="E692">
        <v>3188</v>
      </c>
      <c r="F692">
        <v>1604</v>
      </c>
      <c r="G692">
        <v>1</v>
      </c>
      <c r="H692">
        <v>0.2</v>
      </c>
      <c r="I692">
        <v>0</v>
      </c>
      <c r="J692">
        <v>-156.80799999999999</v>
      </c>
      <c r="K692" s="1">
        <f>535.647</f>
        <v>535.64700000000005</v>
      </c>
      <c r="L692">
        <v>0</v>
      </c>
    </row>
    <row r="693" spans="1:12" x14ac:dyDescent="0.25">
      <c r="A693">
        <f>80199267*0.00001</f>
        <v>801.99267000000009</v>
      </c>
      <c r="B693">
        <v>3487</v>
      </c>
      <c r="C693">
        <v>120</v>
      </c>
      <c r="D693">
        <v>321.93700000000001</v>
      </c>
      <c r="E693">
        <v>3188</v>
      </c>
      <c r="F693">
        <v>1604</v>
      </c>
      <c r="G693">
        <v>1</v>
      </c>
      <c r="H693">
        <v>0.2</v>
      </c>
      <c r="I693">
        <v>0</v>
      </c>
      <c r="J693">
        <v>-156.80799999999999</v>
      </c>
      <c r="K693">
        <v>535.64700000000005</v>
      </c>
      <c r="L693" s="1">
        <f>0</f>
        <v>0</v>
      </c>
    </row>
    <row r="694" spans="1:12" x14ac:dyDescent="0.25">
      <c r="A694">
        <f>80199371*0.00001</f>
        <v>801.99371000000008</v>
      </c>
      <c r="B694">
        <v>3487</v>
      </c>
      <c r="C694">
        <v>121</v>
      </c>
      <c r="D694">
        <v>321.93700000000001</v>
      </c>
      <c r="E694" s="1">
        <f>3197</f>
        <v>3197</v>
      </c>
      <c r="F694">
        <v>1604</v>
      </c>
      <c r="G694">
        <v>1</v>
      </c>
      <c r="H694">
        <v>0.2</v>
      </c>
      <c r="I694">
        <v>0</v>
      </c>
      <c r="J694">
        <v>-156.80799999999999</v>
      </c>
      <c r="K694">
        <v>535.64700000000005</v>
      </c>
      <c r="L694">
        <v>0</v>
      </c>
    </row>
    <row r="695" spans="1:12" x14ac:dyDescent="0.25">
      <c r="A695">
        <f>80199475*0.00001</f>
        <v>801.99475000000007</v>
      </c>
      <c r="B695">
        <v>3487</v>
      </c>
      <c r="C695">
        <v>122</v>
      </c>
      <c r="D695">
        <v>321.93700000000001</v>
      </c>
      <c r="E695">
        <v>3197</v>
      </c>
      <c r="F695" s="1">
        <f>1604</f>
        <v>1604</v>
      </c>
      <c r="G695" s="1">
        <f>1</f>
        <v>1</v>
      </c>
      <c r="H695" s="1">
        <f>0.2</f>
        <v>0.2</v>
      </c>
      <c r="I695">
        <v>0</v>
      </c>
      <c r="J695">
        <v>-156.80799999999999</v>
      </c>
      <c r="K695">
        <v>535.64700000000005</v>
      </c>
      <c r="L695">
        <v>0</v>
      </c>
    </row>
    <row r="696" spans="1:12" x14ac:dyDescent="0.25">
      <c r="A696">
        <f>80199683*0.00001</f>
        <v>801.99683000000005</v>
      </c>
      <c r="B696">
        <v>3487</v>
      </c>
      <c r="C696">
        <v>124</v>
      </c>
      <c r="D696">
        <v>321.93700000000001</v>
      </c>
      <c r="E696">
        <v>3197</v>
      </c>
      <c r="F696">
        <v>1604</v>
      </c>
      <c r="G696">
        <v>1</v>
      </c>
      <c r="H696">
        <v>0.2</v>
      </c>
      <c r="I696" s="1">
        <f>0</f>
        <v>0</v>
      </c>
      <c r="J696" s="1">
        <f>-155.395</f>
        <v>-155.39500000000001</v>
      </c>
      <c r="K696" s="1">
        <f>535.53</f>
        <v>535.53</v>
      </c>
      <c r="L696">
        <v>0</v>
      </c>
    </row>
    <row r="697" spans="1:12" x14ac:dyDescent="0.25">
      <c r="A697">
        <f>80199891*0.00001</f>
        <v>801.99891000000002</v>
      </c>
      <c r="B697">
        <v>3487</v>
      </c>
      <c r="C697">
        <v>126</v>
      </c>
      <c r="D697" s="1">
        <f>320.81</f>
        <v>320.81</v>
      </c>
      <c r="E697" s="1">
        <f>3205</f>
        <v>3205</v>
      </c>
      <c r="F697">
        <v>1604</v>
      </c>
      <c r="G697">
        <v>1</v>
      </c>
      <c r="H697">
        <v>0.2</v>
      </c>
      <c r="I697">
        <v>0</v>
      </c>
      <c r="J697">
        <v>-155.39500000000001</v>
      </c>
      <c r="K697">
        <v>535.53</v>
      </c>
      <c r="L697">
        <v>0</v>
      </c>
    </row>
    <row r="698" spans="1:12" x14ac:dyDescent="0.25">
      <c r="A698">
        <f>80200099*0.00001</f>
        <v>802.00099000000012</v>
      </c>
      <c r="B698">
        <v>3487</v>
      </c>
      <c r="C698">
        <v>128</v>
      </c>
      <c r="D698">
        <v>320.81</v>
      </c>
      <c r="E698">
        <v>3205</v>
      </c>
      <c r="F698">
        <v>1604</v>
      </c>
      <c r="G698" s="1">
        <f>1</f>
        <v>1</v>
      </c>
      <c r="H698">
        <v>0.2</v>
      </c>
      <c r="I698">
        <v>0</v>
      </c>
      <c r="J698">
        <v>-155.39500000000001</v>
      </c>
      <c r="K698">
        <v>535.53</v>
      </c>
      <c r="L698">
        <v>0</v>
      </c>
    </row>
    <row r="699" spans="1:12" x14ac:dyDescent="0.25">
      <c r="A699">
        <f>80200203*0.00001</f>
        <v>802.0020300000001</v>
      </c>
      <c r="B699">
        <v>3487</v>
      </c>
      <c r="C699">
        <v>129</v>
      </c>
      <c r="D699">
        <v>320.81</v>
      </c>
      <c r="E699">
        <v>3205</v>
      </c>
      <c r="F699">
        <v>1604</v>
      </c>
      <c r="G699">
        <v>1</v>
      </c>
      <c r="H699" s="1">
        <f>0.2</f>
        <v>0.2</v>
      </c>
      <c r="I699">
        <v>0</v>
      </c>
      <c r="J699">
        <v>-155.39500000000001</v>
      </c>
      <c r="K699">
        <v>535.53</v>
      </c>
      <c r="L699">
        <v>0</v>
      </c>
    </row>
    <row r="700" spans="1:12" x14ac:dyDescent="0.25">
      <c r="A700">
        <f>80200307*0.00001</f>
        <v>802.00307000000009</v>
      </c>
      <c r="B700">
        <v>3487</v>
      </c>
      <c r="C700">
        <v>130</v>
      </c>
      <c r="D700">
        <v>320.81</v>
      </c>
      <c r="E700">
        <v>3205</v>
      </c>
      <c r="F700">
        <v>1604</v>
      </c>
      <c r="G700">
        <v>1</v>
      </c>
      <c r="H700">
        <v>0.2</v>
      </c>
      <c r="I700">
        <v>0</v>
      </c>
      <c r="J700" s="1">
        <f>-154.623</f>
        <v>-154.62299999999999</v>
      </c>
      <c r="K700">
        <v>535.53</v>
      </c>
      <c r="L700">
        <v>0</v>
      </c>
    </row>
    <row r="701" spans="1:12" x14ac:dyDescent="0.25">
      <c r="A701">
        <f>80200411*0.00001</f>
        <v>802.00411000000008</v>
      </c>
      <c r="B701">
        <v>3487</v>
      </c>
      <c r="C701">
        <v>131</v>
      </c>
      <c r="D701" s="1">
        <f>320.208</f>
        <v>320.20800000000003</v>
      </c>
      <c r="E701">
        <v>3205</v>
      </c>
      <c r="F701">
        <v>1604</v>
      </c>
      <c r="G701">
        <v>1</v>
      </c>
      <c r="H701">
        <v>0.2</v>
      </c>
      <c r="I701">
        <v>0</v>
      </c>
      <c r="J701">
        <v>-154.62299999999999</v>
      </c>
      <c r="K701" s="1">
        <f>535.413</f>
        <v>535.41300000000001</v>
      </c>
      <c r="L701" s="1">
        <f>0</f>
        <v>0</v>
      </c>
    </row>
    <row r="702" spans="1:12" x14ac:dyDescent="0.25">
      <c r="A702">
        <f>80200620*0.00001</f>
        <v>802.00620000000004</v>
      </c>
      <c r="B702">
        <v>3487</v>
      </c>
      <c r="C702">
        <v>133</v>
      </c>
      <c r="D702">
        <v>320.20800000000003</v>
      </c>
      <c r="E702">
        <v>3205</v>
      </c>
      <c r="F702" s="1">
        <f>1604</f>
        <v>1604</v>
      </c>
      <c r="G702" s="1">
        <f>1</f>
        <v>1</v>
      </c>
      <c r="H702">
        <v>0.2</v>
      </c>
      <c r="I702">
        <v>0</v>
      </c>
      <c r="J702">
        <v>-154.62299999999999</v>
      </c>
      <c r="K702">
        <v>535.41300000000001</v>
      </c>
      <c r="L702">
        <v>0</v>
      </c>
    </row>
    <row r="703" spans="1:12" x14ac:dyDescent="0.25">
      <c r="A703">
        <f>80200830*0.00001</f>
        <v>802.00830000000008</v>
      </c>
      <c r="B703">
        <v>3487</v>
      </c>
      <c r="C703">
        <v>135</v>
      </c>
      <c r="D703">
        <v>320.20800000000003</v>
      </c>
      <c r="E703">
        <v>3205</v>
      </c>
      <c r="F703">
        <v>1604</v>
      </c>
      <c r="G703">
        <v>1</v>
      </c>
      <c r="H703">
        <v>0.2</v>
      </c>
      <c r="I703" s="1">
        <f>0</f>
        <v>0</v>
      </c>
      <c r="J703">
        <v>-154.62299999999999</v>
      </c>
      <c r="K703">
        <v>535.41300000000001</v>
      </c>
      <c r="L703">
        <v>0</v>
      </c>
    </row>
    <row r="704" spans="1:12" x14ac:dyDescent="0.25">
      <c r="A704">
        <f>80200935*0.00001</f>
        <v>802.00935000000004</v>
      </c>
      <c r="B704">
        <v>3487</v>
      </c>
      <c r="C704">
        <v>136</v>
      </c>
      <c r="D704">
        <v>320.20800000000003</v>
      </c>
      <c r="E704">
        <v>3205</v>
      </c>
      <c r="F704">
        <v>1604</v>
      </c>
      <c r="G704">
        <v>1</v>
      </c>
      <c r="H704">
        <v>0.2</v>
      </c>
      <c r="I704">
        <v>0</v>
      </c>
      <c r="J704" s="1">
        <f>-153.858</f>
        <v>-153.858</v>
      </c>
      <c r="K704">
        <v>535.41300000000001</v>
      </c>
      <c r="L704">
        <v>0</v>
      </c>
    </row>
    <row r="705" spans="1:12" x14ac:dyDescent="0.25">
      <c r="A705">
        <f>80201040*0.00001</f>
        <v>802.01040000000012</v>
      </c>
      <c r="B705">
        <v>3487</v>
      </c>
      <c r="C705">
        <v>137</v>
      </c>
      <c r="D705">
        <v>320.20800000000003</v>
      </c>
      <c r="E705">
        <v>3205</v>
      </c>
      <c r="F705">
        <v>1604</v>
      </c>
      <c r="G705">
        <v>1</v>
      </c>
      <c r="H705">
        <v>0.2</v>
      </c>
      <c r="I705">
        <v>0</v>
      </c>
      <c r="J705">
        <v>-153.858</v>
      </c>
      <c r="K705">
        <v>535.41300000000001</v>
      </c>
      <c r="L705" s="1">
        <f>0</f>
        <v>0</v>
      </c>
    </row>
    <row r="706" spans="1:12" x14ac:dyDescent="0.25">
      <c r="A706">
        <f>80201144*0.00001</f>
        <v>802.01144000000011</v>
      </c>
      <c r="B706">
        <v>3487</v>
      </c>
      <c r="C706">
        <v>138</v>
      </c>
      <c r="D706" s="1">
        <f>319.592</f>
        <v>319.59199999999998</v>
      </c>
      <c r="E706" s="1">
        <f>3223</f>
        <v>3223</v>
      </c>
      <c r="F706" s="1">
        <f>1604</f>
        <v>1604</v>
      </c>
      <c r="G706">
        <v>1</v>
      </c>
      <c r="H706">
        <v>0.2</v>
      </c>
      <c r="I706">
        <v>0</v>
      </c>
      <c r="J706">
        <v>-153.858</v>
      </c>
      <c r="K706">
        <v>535.41300000000001</v>
      </c>
      <c r="L706">
        <v>0</v>
      </c>
    </row>
    <row r="707" spans="1:12" x14ac:dyDescent="0.25">
      <c r="A707">
        <f>80201353*0.00001</f>
        <v>802.01353000000006</v>
      </c>
      <c r="B707">
        <v>3487</v>
      </c>
      <c r="C707">
        <v>140</v>
      </c>
      <c r="D707">
        <v>319.59199999999998</v>
      </c>
      <c r="E707">
        <v>3223</v>
      </c>
      <c r="F707">
        <v>1604</v>
      </c>
      <c r="G707" s="1">
        <f>1</f>
        <v>1</v>
      </c>
      <c r="H707" s="1">
        <f>0.2</f>
        <v>0.2</v>
      </c>
      <c r="I707" s="1">
        <f>0</f>
        <v>0</v>
      </c>
      <c r="J707">
        <v>-153.858</v>
      </c>
      <c r="K707">
        <v>535.41300000000001</v>
      </c>
      <c r="L707">
        <v>0</v>
      </c>
    </row>
    <row r="708" spans="1:12" x14ac:dyDescent="0.25">
      <c r="A708">
        <f>80201563*0.00001</f>
        <v>802.0156300000001</v>
      </c>
      <c r="B708">
        <v>3487</v>
      </c>
      <c r="C708">
        <v>142</v>
      </c>
      <c r="D708">
        <v>319.59199999999998</v>
      </c>
      <c r="E708">
        <v>3223</v>
      </c>
      <c r="F708">
        <v>1604</v>
      </c>
      <c r="G708">
        <v>1</v>
      </c>
      <c r="H708">
        <v>0.2</v>
      </c>
      <c r="I708">
        <v>0</v>
      </c>
      <c r="J708">
        <v>-153.858</v>
      </c>
      <c r="K708" s="1">
        <f>535.2</f>
        <v>535.20000000000005</v>
      </c>
      <c r="L708">
        <v>0</v>
      </c>
    </row>
    <row r="709" spans="1:12" x14ac:dyDescent="0.25">
      <c r="A709">
        <f>80201668*0.00001</f>
        <v>802.01668000000006</v>
      </c>
      <c r="B709">
        <v>3487</v>
      </c>
      <c r="C709">
        <v>143</v>
      </c>
      <c r="D709">
        <v>319.59199999999998</v>
      </c>
      <c r="E709">
        <v>3223</v>
      </c>
      <c r="F709">
        <v>1604</v>
      </c>
      <c r="G709">
        <v>1</v>
      </c>
      <c r="H709">
        <v>0.2</v>
      </c>
      <c r="I709">
        <v>0</v>
      </c>
      <c r="J709">
        <v>-153.858</v>
      </c>
      <c r="K709">
        <v>535.20000000000005</v>
      </c>
      <c r="L709" s="1">
        <f>0</f>
        <v>0</v>
      </c>
    </row>
    <row r="710" spans="1:12" x14ac:dyDescent="0.25">
      <c r="A710">
        <f>80201772*0.00001</f>
        <v>802.01772000000005</v>
      </c>
      <c r="B710">
        <v>3487</v>
      </c>
      <c r="C710">
        <v>144</v>
      </c>
      <c r="D710">
        <v>319.59199999999998</v>
      </c>
      <c r="E710" s="1">
        <f>3231</f>
        <v>3231</v>
      </c>
      <c r="F710">
        <v>1604</v>
      </c>
      <c r="G710">
        <v>1</v>
      </c>
      <c r="H710">
        <v>0.2</v>
      </c>
      <c r="I710">
        <v>0</v>
      </c>
      <c r="J710">
        <v>-153.858</v>
      </c>
      <c r="K710">
        <v>535.20000000000005</v>
      </c>
      <c r="L710">
        <v>0</v>
      </c>
    </row>
    <row r="711" spans="1:12" x14ac:dyDescent="0.25">
      <c r="A711">
        <f>80201876*0.00001</f>
        <v>802.01876000000004</v>
      </c>
      <c r="B711">
        <v>3487</v>
      </c>
      <c r="C711">
        <v>145</v>
      </c>
      <c r="D711">
        <v>319.59199999999998</v>
      </c>
      <c r="E711">
        <v>3231</v>
      </c>
      <c r="F711" s="1">
        <f>1604</f>
        <v>1604</v>
      </c>
      <c r="G711" s="1">
        <f>1</f>
        <v>1</v>
      </c>
      <c r="H711" s="1">
        <f>0.2</f>
        <v>0.2</v>
      </c>
      <c r="I711">
        <v>0</v>
      </c>
      <c r="J711">
        <v>-153.858</v>
      </c>
      <c r="K711">
        <v>535.20000000000005</v>
      </c>
      <c r="L711">
        <v>0</v>
      </c>
    </row>
    <row r="712" spans="1:12" x14ac:dyDescent="0.25">
      <c r="A712">
        <f>80202086*0.00001</f>
        <v>802.02086000000008</v>
      </c>
      <c r="B712">
        <v>3487</v>
      </c>
      <c r="C712">
        <v>147</v>
      </c>
      <c r="D712">
        <v>319.59199999999998</v>
      </c>
      <c r="E712">
        <v>3231</v>
      </c>
      <c r="F712">
        <v>1604</v>
      </c>
      <c r="G712">
        <v>1</v>
      </c>
      <c r="H712">
        <v>0.2</v>
      </c>
      <c r="I712" s="1">
        <f>0</f>
        <v>0</v>
      </c>
      <c r="J712" s="1">
        <f>-152.484</f>
        <v>-152.48400000000001</v>
      </c>
      <c r="K712" s="1">
        <f>535.085</f>
        <v>535.08500000000004</v>
      </c>
      <c r="L712">
        <v>0</v>
      </c>
    </row>
    <row r="713" spans="1:12" x14ac:dyDescent="0.25">
      <c r="A713">
        <f>80202295*0.00001</f>
        <v>802.02295000000004</v>
      </c>
      <c r="B713">
        <v>3487</v>
      </c>
      <c r="C713">
        <v>149</v>
      </c>
      <c r="D713" s="1">
        <f>318.483</f>
        <v>318.483</v>
      </c>
      <c r="E713" s="1">
        <f>3239</f>
        <v>3239</v>
      </c>
      <c r="F713">
        <v>1604</v>
      </c>
      <c r="G713">
        <v>1</v>
      </c>
      <c r="H713">
        <v>0.2</v>
      </c>
      <c r="I713">
        <v>0</v>
      </c>
      <c r="J713">
        <v>-152.48400000000001</v>
      </c>
      <c r="K713">
        <v>535.08500000000004</v>
      </c>
      <c r="L713">
        <v>0</v>
      </c>
    </row>
    <row r="714" spans="1:12" x14ac:dyDescent="0.25">
      <c r="A714">
        <f>80202504*0.00001</f>
        <v>802.0250400000001</v>
      </c>
      <c r="B714">
        <v>3487</v>
      </c>
      <c r="C714">
        <v>151</v>
      </c>
      <c r="D714">
        <v>318.483</v>
      </c>
      <c r="E714">
        <v>3239</v>
      </c>
      <c r="F714">
        <v>1604</v>
      </c>
      <c r="G714" s="1">
        <f>1</f>
        <v>1</v>
      </c>
      <c r="H714">
        <v>0.2</v>
      </c>
      <c r="I714">
        <v>0</v>
      </c>
      <c r="J714">
        <v>-152.48400000000001</v>
      </c>
      <c r="K714">
        <v>535.08500000000004</v>
      </c>
      <c r="L714">
        <v>0</v>
      </c>
    </row>
    <row r="715" spans="1:12" x14ac:dyDescent="0.25">
      <c r="A715">
        <f>80202609*0.00001</f>
        <v>802.02609000000007</v>
      </c>
      <c r="B715">
        <v>3487</v>
      </c>
      <c r="C715">
        <v>152</v>
      </c>
      <c r="D715">
        <v>318.483</v>
      </c>
      <c r="E715">
        <v>3239</v>
      </c>
      <c r="F715">
        <v>1604</v>
      </c>
      <c r="G715">
        <v>1</v>
      </c>
      <c r="H715" s="1">
        <f>0.2</f>
        <v>0.2</v>
      </c>
      <c r="I715" s="1">
        <f>0</f>
        <v>0</v>
      </c>
      <c r="J715" s="1">
        <f>-151.707</f>
        <v>-151.70699999999999</v>
      </c>
      <c r="K715">
        <v>535.08500000000004</v>
      </c>
      <c r="L715">
        <v>0</v>
      </c>
    </row>
    <row r="716" spans="1:12" x14ac:dyDescent="0.25">
      <c r="A716">
        <f>80202819*0.00001</f>
        <v>802.02819000000011</v>
      </c>
      <c r="B716">
        <v>3487</v>
      </c>
      <c r="C716">
        <v>154</v>
      </c>
      <c r="D716" s="1">
        <f>317.881</f>
        <v>317.88099999999997</v>
      </c>
      <c r="E716">
        <v>3239</v>
      </c>
      <c r="F716">
        <v>1604</v>
      </c>
      <c r="G716">
        <v>1</v>
      </c>
      <c r="H716">
        <v>0.2</v>
      </c>
      <c r="I716">
        <v>0</v>
      </c>
      <c r="J716">
        <v>-151.70699999999999</v>
      </c>
      <c r="K716" s="1">
        <f>534.969</f>
        <v>534.96900000000005</v>
      </c>
      <c r="L716" s="1">
        <f>0</f>
        <v>0</v>
      </c>
    </row>
    <row r="717" spans="1:12" x14ac:dyDescent="0.25">
      <c r="A717">
        <f>80203029*0.00001</f>
        <v>802.03029000000004</v>
      </c>
      <c r="B717">
        <v>3487</v>
      </c>
      <c r="C717">
        <v>156</v>
      </c>
      <c r="D717">
        <v>317.88099999999997</v>
      </c>
      <c r="E717">
        <v>3239</v>
      </c>
      <c r="F717" s="1">
        <f>1604</f>
        <v>1604</v>
      </c>
      <c r="G717" s="1">
        <f>1</f>
        <v>1</v>
      </c>
      <c r="H717">
        <v>0.2</v>
      </c>
      <c r="I717">
        <v>0</v>
      </c>
      <c r="J717">
        <v>-151.70699999999999</v>
      </c>
      <c r="K717">
        <v>534.96900000000005</v>
      </c>
      <c r="L717">
        <v>0</v>
      </c>
    </row>
    <row r="718" spans="1:12" x14ac:dyDescent="0.25">
      <c r="A718">
        <f>80203239*0.00001</f>
        <v>802.03239000000008</v>
      </c>
      <c r="B718">
        <v>3487</v>
      </c>
      <c r="C718">
        <v>158</v>
      </c>
      <c r="D718">
        <v>317.88099999999997</v>
      </c>
      <c r="E718">
        <v>3239</v>
      </c>
      <c r="F718">
        <v>1604</v>
      </c>
      <c r="G718">
        <v>1</v>
      </c>
      <c r="H718">
        <v>0.2</v>
      </c>
      <c r="I718">
        <v>0</v>
      </c>
      <c r="J718">
        <v>-151.70699999999999</v>
      </c>
      <c r="K718">
        <v>534.96900000000005</v>
      </c>
      <c r="L718">
        <v>0</v>
      </c>
    </row>
    <row r="719" spans="1:12" x14ac:dyDescent="0.25">
      <c r="A719">
        <f>80203283*0.00001</f>
        <v>802.0328300000001</v>
      </c>
      <c r="B719">
        <v>3487</v>
      </c>
      <c r="C719">
        <v>158</v>
      </c>
      <c r="D719">
        <v>317.88099999999997</v>
      </c>
      <c r="E719">
        <v>3239</v>
      </c>
      <c r="F719">
        <v>1604</v>
      </c>
      <c r="G719">
        <v>1</v>
      </c>
      <c r="H719">
        <v>0.2</v>
      </c>
      <c r="I719" s="1">
        <f>0</f>
        <v>0</v>
      </c>
      <c r="J719">
        <v>-151.70699999999999</v>
      </c>
      <c r="K719">
        <v>534.96900000000005</v>
      </c>
      <c r="L719">
        <v>0</v>
      </c>
    </row>
    <row r="720" spans="1:12" x14ac:dyDescent="0.25">
      <c r="A720">
        <f>80203344*0.00001</f>
        <v>802.03344000000004</v>
      </c>
      <c r="B720">
        <v>3487</v>
      </c>
      <c r="C720">
        <v>159</v>
      </c>
      <c r="D720">
        <v>317.88099999999997</v>
      </c>
      <c r="E720">
        <v>3239</v>
      </c>
      <c r="F720">
        <v>1604</v>
      </c>
      <c r="G720">
        <v>1</v>
      </c>
      <c r="H720">
        <v>0.2</v>
      </c>
      <c r="I720">
        <v>0</v>
      </c>
      <c r="J720" s="1">
        <f>-150.956</f>
        <v>-150.95599999999999</v>
      </c>
      <c r="K720" s="1">
        <f>534.874</f>
        <v>534.87400000000002</v>
      </c>
      <c r="L720" s="1">
        <f>0</f>
        <v>0</v>
      </c>
    </row>
    <row r="721" spans="1:12" x14ac:dyDescent="0.25">
      <c r="A721">
        <f>80203555*0.00001</f>
        <v>802.03555000000006</v>
      </c>
      <c r="B721">
        <v>3487</v>
      </c>
      <c r="C721">
        <v>161</v>
      </c>
      <c r="D721" s="1">
        <f>317.24</f>
        <v>317.24</v>
      </c>
      <c r="E721" s="1">
        <f>3258</f>
        <v>3258</v>
      </c>
      <c r="F721" s="1">
        <f>1605</f>
        <v>1605</v>
      </c>
      <c r="G721">
        <v>1</v>
      </c>
      <c r="H721">
        <v>0.2</v>
      </c>
      <c r="I721">
        <v>0</v>
      </c>
      <c r="J721">
        <v>-150.95599999999999</v>
      </c>
      <c r="K721">
        <v>534.87400000000002</v>
      </c>
      <c r="L721">
        <v>0</v>
      </c>
    </row>
    <row r="722" spans="1:12" x14ac:dyDescent="0.25">
      <c r="A722">
        <f>80203765*0.00001</f>
        <v>802.0376500000001</v>
      </c>
      <c r="B722">
        <v>3487</v>
      </c>
      <c r="C722">
        <v>163</v>
      </c>
      <c r="D722">
        <v>317.24</v>
      </c>
      <c r="E722">
        <v>3258</v>
      </c>
      <c r="F722">
        <v>1605</v>
      </c>
      <c r="G722">
        <v>1</v>
      </c>
      <c r="H722" s="1">
        <f>0.2</f>
        <v>0.2</v>
      </c>
      <c r="I722">
        <v>0</v>
      </c>
      <c r="J722">
        <v>-150.95599999999999</v>
      </c>
      <c r="K722">
        <v>534.87400000000002</v>
      </c>
      <c r="L722">
        <v>0</v>
      </c>
    </row>
    <row r="723" spans="1:12" x14ac:dyDescent="0.25">
      <c r="A723">
        <f>80203870*0.00001</f>
        <v>802.03870000000006</v>
      </c>
      <c r="B723">
        <v>3487</v>
      </c>
      <c r="C723">
        <v>164</v>
      </c>
      <c r="D723">
        <v>317.24</v>
      </c>
      <c r="E723">
        <v>3258</v>
      </c>
      <c r="F723">
        <v>1605</v>
      </c>
      <c r="G723">
        <v>1</v>
      </c>
      <c r="H723">
        <v>0.2</v>
      </c>
      <c r="I723" s="1">
        <f>0</f>
        <v>0</v>
      </c>
      <c r="J723">
        <v>-150.95599999999999</v>
      </c>
      <c r="K723">
        <v>534.87400000000002</v>
      </c>
      <c r="L723">
        <v>0</v>
      </c>
    </row>
    <row r="724" spans="1:12" x14ac:dyDescent="0.25">
      <c r="A724">
        <f>80203975*0.00001</f>
        <v>802.03975000000003</v>
      </c>
      <c r="B724">
        <v>3487</v>
      </c>
      <c r="C724">
        <v>165</v>
      </c>
      <c r="D724">
        <v>317.24</v>
      </c>
      <c r="E724">
        <v>3258</v>
      </c>
      <c r="F724">
        <v>1605</v>
      </c>
      <c r="G724">
        <v>1</v>
      </c>
      <c r="H724">
        <v>0.2</v>
      </c>
      <c r="I724">
        <v>0</v>
      </c>
      <c r="J724">
        <v>-150.95599999999999</v>
      </c>
      <c r="K724" s="1">
        <f>534.759</f>
        <v>534.75900000000001</v>
      </c>
      <c r="L724">
        <v>0</v>
      </c>
    </row>
    <row r="725" spans="1:12" x14ac:dyDescent="0.25">
      <c r="A725">
        <f>80204080*0.00001</f>
        <v>802.0408000000001</v>
      </c>
      <c r="B725">
        <v>3487</v>
      </c>
      <c r="C725">
        <v>166</v>
      </c>
      <c r="D725" s="1">
        <f>316.78</f>
        <v>316.77999999999997</v>
      </c>
      <c r="E725" s="1">
        <f>3266</f>
        <v>3266</v>
      </c>
      <c r="F725">
        <v>1605</v>
      </c>
      <c r="G725">
        <v>1</v>
      </c>
      <c r="H725">
        <v>0.2</v>
      </c>
      <c r="I725">
        <v>0</v>
      </c>
      <c r="J725">
        <v>-150.95599999999999</v>
      </c>
      <c r="K725">
        <v>534.75900000000001</v>
      </c>
      <c r="L725" s="1">
        <f>0</f>
        <v>0</v>
      </c>
    </row>
    <row r="726" spans="1:12" x14ac:dyDescent="0.25">
      <c r="A726">
        <f>80204290*0.00001</f>
        <v>802.04290000000003</v>
      </c>
      <c r="B726">
        <v>3487</v>
      </c>
      <c r="C726">
        <v>168</v>
      </c>
      <c r="D726">
        <v>316.77999999999997</v>
      </c>
      <c r="E726">
        <v>3266</v>
      </c>
      <c r="F726">
        <v>1605</v>
      </c>
      <c r="G726" s="1">
        <f>1</f>
        <v>1</v>
      </c>
      <c r="H726" s="1">
        <f>0.2</f>
        <v>0.2</v>
      </c>
      <c r="I726">
        <v>0</v>
      </c>
      <c r="J726">
        <v>-150.95599999999999</v>
      </c>
      <c r="K726">
        <v>534.75900000000001</v>
      </c>
      <c r="L726">
        <v>0</v>
      </c>
    </row>
    <row r="727" spans="1:12" x14ac:dyDescent="0.25">
      <c r="A727">
        <f>80204502*0.00001</f>
        <v>802.04502000000002</v>
      </c>
      <c r="B727">
        <v>3487</v>
      </c>
      <c r="C727">
        <v>170</v>
      </c>
      <c r="D727">
        <v>316.77999999999997</v>
      </c>
      <c r="E727">
        <v>3266</v>
      </c>
      <c r="F727">
        <v>1605</v>
      </c>
      <c r="G727">
        <v>1</v>
      </c>
      <c r="H727">
        <v>0.2</v>
      </c>
      <c r="I727">
        <v>0</v>
      </c>
      <c r="J727" s="1">
        <f>-149.567</f>
        <v>-149.56700000000001</v>
      </c>
      <c r="K727">
        <v>534.75900000000001</v>
      </c>
      <c r="L727">
        <v>0</v>
      </c>
    </row>
    <row r="728" spans="1:12" x14ac:dyDescent="0.25">
      <c r="A728">
        <f>80204607*0.00001</f>
        <v>802.0460700000001</v>
      </c>
      <c r="B728">
        <v>3487</v>
      </c>
      <c r="C728">
        <v>171</v>
      </c>
      <c r="D728" s="1">
        <f>316.181</f>
        <v>316.18099999999998</v>
      </c>
      <c r="E728">
        <v>3266</v>
      </c>
      <c r="F728">
        <v>1605</v>
      </c>
      <c r="G728">
        <v>1</v>
      </c>
      <c r="H728">
        <v>0.2</v>
      </c>
      <c r="I728">
        <v>0</v>
      </c>
      <c r="J728">
        <v>-149.56700000000001</v>
      </c>
      <c r="K728" s="1">
        <f>534.645</f>
        <v>534.64499999999998</v>
      </c>
      <c r="L728" s="1">
        <f>0</f>
        <v>0</v>
      </c>
    </row>
    <row r="729" spans="1:12" x14ac:dyDescent="0.25">
      <c r="A729">
        <f>80204818*0.00001</f>
        <v>802.04818000000012</v>
      </c>
      <c r="B729">
        <v>3487</v>
      </c>
      <c r="C729">
        <v>173</v>
      </c>
      <c r="D729">
        <v>316.18099999999998</v>
      </c>
      <c r="E729" s="1">
        <f>3273</f>
        <v>3273</v>
      </c>
      <c r="F729" s="1">
        <f>1605</f>
        <v>1605</v>
      </c>
      <c r="G729" s="1">
        <f>1</f>
        <v>1</v>
      </c>
      <c r="H729">
        <v>0.2</v>
      </c>
      <c r="I729">
        <v>0</v>
      </c>
      <c r="J729">
        <v>-149.56700000000001</v>
      </c>
      <c r="K729">
        <v>534.64499999999998</v>
      </c>
      <c r="L729">
        <v>0</v>
      </c>
    </row>
    <row r="730" spans="1:12" x14ac:dyDescent="0.25">
      <c r="A730">
        <f>80205030*0.00001</f>
        <v>802.05030000000011</v>
      </c>
      <c r="B730">
        <v>3487</v>
      </c>
      <c r="C730">
        <v>175</v>
      </c>
      <c r="D730">
        <v>316.18099999999998</v>
      </c>
      <c r="E730">
        <v>3273</v>
      </c>
      <c r="F730">
        <v>1605</v>
      </c>
      <c r="G730">
        <v>1</v>
      </c>
      <c r="H730">
        <v>0.2</v>
      </c>
      <c r="I730" s="1">
        <f>0</f>
        <v>0</v>
      </c>
      <c r="J730">
        <v>-149.56700000000001</v>
      </c>
      <c r="K730">
        <v>534.64499999999998</v>
      </c>
      <c r="L730">
        <v>0</v>
      </c>
    </row>
    <row r="731" spans="1:12" x14ac:dyDescent="0.25">
      <c r="A731">
        <f>80205136*0.00001</f>
        <v>802.05136000000005</v>
      </c>
      <c r="B731">
        <v>3487</v>
      </c>
      <c r="C731">
        <v>176</v>
      </c>
      <c r="D731">
        <v>316.18099999999998</v>
      </c>
      <c r="E731">
        <v>3273</v>
      </c>
      <c r="F731">
        <v>1605</v>
      </c>
      <c r="G731">
        <v>1</v>
      </c>
      <c r="H731">
        <v>0.2</v>
      </c>
      <c r="I731">
        <v>0</v>
      </c>
      <c r="J731" s="1">
        <f>-148.813</f>
        <v>-148.81299999999999</v>
      </c>
      <c r="K731">
        <v>534.64499999999998</v>
      </c>
      <c r="L731">
        <v>0</v>
      </c>
    </row>
    <row r="732" spans="1:12" x14ac:dyDescent="0.25">
      <c r="A732">
        <f>80205241*0.00001</f>
        <v>802.05241000000001</v>
      </c>
      <c r="B732">
        <v>3487</v>
      </c>
      <c r="C732">
        <v>177</v>
      </c>
      <c r="D732">
        <v>316.18099999999998</v>
      </c>
      <c r="E732">
        <v>3273</v>
      </c>
      <c r="F732">
        <v>1605</v>
      </c>
      <c r="G732">
        <v>1</v>
      </c>
      <c r="H732">
        <v>0.2</v>
      </c>
      <c r="I732">
        <v>0</v>
      </c>
      <c r="J732">
        <v>-148.81299999999999</v>
      </c>
      <c r="K732">
        <v>534.64499999999998</v>
      </c>
      <c r="L732" s="1">
        <f>0</f>
        <v>0</v>
      </c>
    </row>
    <row r="733" spans="1:12" x14ac:dyDescent="0.25">
      <c r="A733">
        <f>80205347*0.00001</f>
        <v>802.05347000000006</v>
      </c>
      <c r="B733">
        <v>3487</v>
      </c>
      <c r="C733">
        <v>178</v>
      </c>
      <c r="D733" s="1">
        <f>315.584</f>
        <v>315.584</v>
      </c>
      <c r="E733" s="1">
        <f>3282</f>
        <v>3282</v>
      </c>
      <c r="F733" s="1">
        <f>1605</f>
        <v>1605</v>
      </c>
      <c r="G733">
        <v>1</v>
      </c>
      <c r="H733">
        <v>0.2</v>
      </c>
      <c r="I733">
        <v>0</v>
      </c>
      <c r="J733">
        <v>-148.81299999999999</v>
      </c>
      <c r="K733">
        <v>534.64499999999998</v>
      </c>
      <c r="L733">
        <v>0</v>
      </c>
    </row>
    <row r="734" spans="1:12" s="2" customFormat="1" x14ac:dyDescent="0.25">
      <c r="A734" s="2">
        <f>80205559*0.00001</f>
        <v>802.05559000000005</v>
      </c>
      <c r="B734" s="2">
        <v>3488</v>
      </c>
      <c r="C734" s="2">
        <v>0</v>
      </c>
      <c r="D734" s="2">
        <v>315.584</v>
      </c>
      <c r="E734" s="2">
        <v>3282</v>
      </c>
      <c r="F734" s="2">
        <v>1605</v>
      </c>
      <c r="G734" s="2">
        <v>1</v>
      </c>
      <c r="H734" s="1">
        <f>0.2</f>
        <v>0.2</v>
      </c>
      <c r="I734" s="1">
        <f>0</f>
        <v>0</v>
      </c>
      <c r="J734" s="2">
        <v>-148.81299999999999</v>
      </c>
      <c r="K734" s="2">
        <v>534.64499999999998</v>
      </c>
      <c r="L734" s="2">
        <v>0</v>
      </c>
    </row>
    <row r="735" spans="1:12" x14ac:dyDescent="0.25">
      <c r="A735">
        <f>80205771*0.00001</f>
        <v>802.05771000000004</v>
      </c>
      <c r="B735">
        <v>3488</v>
      </c>
      <c r="C735">
        <v>2</v>
      </c>
      <c r="D735">
        <v>315.584</v>
      </c>
      <c r="E735">
        <v>3282</v>
      </c>
      <c r="F735">
        <v>1605</v>
      </c>
      <c r="G735">
        <v>1</v>
      </c>
      <c r="H735">
        <v>0.2</v>
      </c>
      <c r="I735">
        <v>0</v>
      </c>
      <c r="J735">
        <v>-148.81299999999999</v>
      </c>
      <c r="K735" s="1">
        <f>534.474</f>
        <v>534.47400000000005</v>
      </c>
      <c r="L735">
        <v>0</v>
      </c>
    </row>
    <row r="736" spans="1:12" x14ac:dyDescent="0.25">
      <c r="A736">
        <f>80205877*0.00001</f>
        <v>802.0587700000001</v>
      </c>
      <c r="B736">
        <v>3488</v>
      </c>
      <c r="C736">
        <v>3</v>
      </c>
      <c r="D736" s="1">
        <f>315.266</f>
        <v>315.26600000000002</v>
      </c>
      <c r="E736" s="1">
        <f>3289</f>
        <v>3289</v>
      </c>
      <c r="F736">
        <v>1605</v>
      </c>
      <c r="G736">
        <v>1</v>
      </c>
      <c r="H736">
        <v>0.2</v>
      </c>
      <c r="I736">
        <v>0</v>
      </c>
      <c r="J736">
        <v>-148.81299999999999</v>
      </c>
      <c r="K736">
        <v>534.47400000000005</v>
      </c>
      <c r="L736" s="1">
        <f>0</f>
        <v>0</v>
      </c>
    </row>
    <row r="737" spans="1:12" x14ac:dyDescent="0.25">
      <c r="A737">
        <f>80206089*0.00001</f>
        <v>802.06089000000009</v>
      </c>
      <c r="B737">
        <v>3488</v>
      </c>
      <c r="C737">
        <v>5</v>
      </c>
      <c r="D737">
        <v>315.26600000000002</v>
      </c>
      <c r="E737">
        <v>3289</v>
      </c>
      <c r="F737" s="1">
        <f>1605</f>
        <v>1605</v>
      </c>
      <c r="G737" s="1">
        <f>1</f>
        <v>1</v>
      </c>
      <c r="H737" s="1">
        <f>0.2</f>
        <v>0.2</v>
      </c>
      <c r="I737">
        <v>0</v>
      </c>
      <c r="J737">
        <v>-148.81299999999999</v>
      </c>
      <c r="K737">
        <v>534.47400000000005</v>
      </c>
      <c r="L737">
        <v>0</v>
      </c>
    </row>
    <row r="738" spans="1:12" x14ac:dyDescent="0.25">
      <c r="A738">
        <f>80206301*0.00001</f>
        <v>802.06301000000008</v>
      </c>
      <c r="B738">
        <v>3488</v>
      </c>
      <c r="C738">
        <v>7</v>
      </c>
      <c r="D738">
        <v>315.26600000000002</v>
      </c>
      <c r="E738">
        <v>3289</v>
      </c>
      <c r="F738">
        <v>1605</v>
      </c>
      <c r="G738">
        <v>1</v>
      </c>
      <c r="H738">
        <v>0.2</v>
      </c>
      <c r="I738">
        <v>0</v>
      </c>
      <c r="J738" s="1">
        <f>-147.583</f>
        <v>-147.583</v>
      </c>
      <c r="K738">
        <v>534.47400000000005</v>
      </c>
      <c r="L738">
        <v>0</v>
      </c>
    </row>
    <row r="739" spans="1:12" x14ac:dyDescent="0.25">
      <c r="A739">
        <f>80206408*0.00001</f>
        <v>802.0640800000001</v>
      </c>
      <c r="B739">
        <v>3488</v>
      </c>
      <c r="C739">
        <v>8</v>
      </c>
      <c r="D739" s="1">
        <f>314.639</f>
        <v>314.63900000000001</v>
      </c>
      <c r="E739">
        <v>3289</v>
      </c>
      <c r="F739">
        <v>1605</v>
      </c>
      <c r="G739">
        <v>1</v>
      </c>
      <c r="H739">
        <v>0.2</v>
      </c>
      <c r="I739">
        <v>0</v>
      </c>
      <c r="J739">
        <v>-147.583</v>
      </c>
      <c r="K739" s="1">
        <f>534.361</f>
        <v>534.36099999999999</v>
      </c>
      <c r="L739" s="1">
        <f>0</f>
        <v>0</v>
      </c>
    </row>
    <row r="740" spans="1:12" x14ac:dyDescent="0.25">
      <c r="A740">
        <f>80206620*0.00001</f>
        <v>802.06620000000009</v>
      </c>
      <c r="B740">
        <v>3488</v>
      </c>
      <c r="C740">
        <v>10</v>
      </c>
      <c r="D740">
        <v>314.63900000000001</v>
      </c>
      <c r="E740" s="1">
        <f>3297</f>
        <v>3297</v>
      </c>
      <c r="F740" s="1">
        <f>1605</f>
        <v>1605</v>
      </c>
      <c r="G740" s="1">
        <f>1</f>
        <v>1</v>
      </c>
      <c r="H740">
        <v>0.2</v>
      </c>
      <c r="I740">
        <v>0</v>
      </c>
      <c r="J740">
        <v>-147.583</v>
      </c>
      <c r="K740">
        <v>534.36099999999999</v>
      </c>
      <c r="L740">
        <v>0</v>
      </c>
    </row>
    <row r="741" spans="1:12" x14ac:dyDescent="0.25">
      <c r="A741">
        <f>80206833*0.00001</f>
        <v>802.06833000000006</v>
      </c>
      <c r="B741">
        <v>3488</v>
      </c>
      <c r="C741">
        <v>12</v>
      </c>
      <c r="D741">
        <v>314.63900000000001</v>
      </c>
      <c r="E741">
        <v>3297</v>
      </c>
      <c r="F741">
        <v>1605</v>
      </c>
      <c r="G741">
        <v>1</v>
      </c>
      <c r="H741">
        <v>0.2</v>
      </c>
      <c r="I741" s="1">
        <f>0</f>
        <v>0</v>
      </c>
      <c r="J741">
        <v>-147.583</v>
      </c>
      <c r="K741">
        <v>534.36099999999999</v>
      </c>
      <c r="L741">
        <v>0</v>
      </c>
    </row>
    <row r="742" spans="1:12" x14ac:dyDescent="0.25">
      <c r="A742">
        <f>80206939*0.00001</f>
        <v>802.06939000000011</v>
      </c>
      <c r="B742">
        <v>3488</v>
      </c>
      <c r="C742">
        <v>13</v>
      </c>
      <c r="D742">
        <v>314.63900000000001</v>
      </c>
      <c r="E742">
        <v>3297</v>
      </c>
      <c r="F742">
        <v>1605</v>
      </c>
      <c r="G742">
        <v>1</v>
      </c>
      <c r="H742">
        <v>0.2</v>
      </c>
      <c r="I742">
        <v>0</v>
      </c>
      <c r="J742" s="1">
        <f>-146.815</f>
        <v>-146.815</v>
      </c>
      <c r="K742">
        <v>534.36099999999999</v>
      </c>
      <c r="L742">
        <v>0</v>
      </c>
    </row>
    <row r="743" spans="1:12" x14ac:dyDescent="0.25">
      <c r="A743">
        <f>80207045*0.00001</f>
        <v>802.07045000000005</v>
      </c>
      <c r="B743">
        <v>3488</v>
      </c>
      <c r="C743">
        <v>14</v>
      </c>
      <c r="D743">
        <v>314.63900000000001</v>
      </c>
      <c r="E743">
        <v>3297</v>
      </c>
      <c r="F743">
        <v>1605</v>
      </c>
      <c r="G743">
        <v>1</v>
      </c>
      <c r="H743">
        <v>0.2</v>
      </c>
      <c r="I743">
        <v>0</v>
      </c>
      <c r="J743">
        <v>-146.815</v>
      </c>
      <c r="K743">
        <v>534.36099999999999</v>
      </c>
      <c r="L743" s="1">
        <f>0</f>
        <v>0</v>
      </c>
    </row>
    <row r="744" spans="1:12" x14ac:dyDescent="0.25">
      <c r="A744">
        <f>80207151*0.00001</f>
        <v>802.0715100000001</v>
      </c>
      <c r="B744">
        <v>3488</v>
      </c>
      <c r="C744">
        <v>15</v>
      </c>
      <c r="D744" s="1">
        <f>314.023</f>
        <v>314.02300000000002</v>
      </c>
      <c r="E744" s="1">
        <f>3306</f>
        <v>3306</v>
      </c>
      <c r="F744" s="1">
        <f>1605</f>
        <v>1605</v>
      </c>
      <c r="G744">
        <v>1</v>
      </c>
      <c r="H744">
        <v>0.2</v>
      </c>
      <c r="I744">
        <v>0</v>
      </c>
      <c r="J744">
        <v>-146.815</v>
      </c>
      <c r="K744">
        <v>534.36099999999999</v>
      </c>
      <c r="L744">
        <v>0</v>
      </c>
    </row>
    <row r="745" spans="1:12" x14ac:dyDescent="0.25">
      <c r="A745">
        <f>80207363*0.00001</f>
        <v>802.07363000000009</v>
      </c>
      <c r="B745">
        <v>3488</v>
      </c>
      <c r="C745">
        <v>17</v>
      </c>
      <c r="D745">
        <v>314.02300000000002</v>
      </c>
      <c r="E745">
        <v>3306</v>
      </c>
      <c r="F745">
        <v>1605</v>
      </c>
      <c r="G745">
        <v>1</v>
      </c>
      <c r="H745" s="1">
        <f>0.2</f>
        <v>0.2</v>
      </c>
      <c r="I745">
        <v>0</v>
      </c>
      <c r="J745">
        <v>-146.815</v>
      </c>
      <c r="K745">
        <v>534.36099999999999</v>
      </c>
      <c r="L745">
        <v>0</v>
      </c>
    </row>
    <row r="746" spans="1:12" x14ac:dyDescent="0.25">
      <c r="A746">
        <f>80207469*0.00001</f>
        <v>802.07469000000003</v>
      </c>
      <c r="B746">
        <v>3488</v>
      </c>
      <c r="C746">
        <v>18</v>
      </c>
      <c r="D746">
        <v>314.02300000000002</v>
      </c>
      <c r="E746">
        <v>3306</v>
      </c>
      <c r="F746">
        <v>1605</v>
      </c>
      <c r="G746">
        <v>1</v>
      </c>
      <c r="H746">
        <v>0.2</v>
      </c>
      <c r="I746" s="1">
        <f>0</f>
        <v>0</v>
      </c>
      <c r="J746">
        <v>-146.815</v>
      </c>
      <c r="K746">
        <v>534.36099999999999</v>
      </c>
      <c r="L746">
        <v>0</v>
      </c>
    </row>
    <row r="747" spans="1:12" x14ac:dyDescent="0.25">
      <c r="A747">
        <f>80207575*0.00001</f>
        <v>802.07575000000008</v>
      </c>
      <c r="B747">
        <v>3488</v>
      </c>
      <c r="C747">
        <v>19</v>
      </c>
      <c r="D747">
        <v>314.02300000000002</v>
      </c>
      <c r="E747">
        <v>3306</v>
      </c>
      <c r="F747">
        <v>1605</v>
      </c>
      <c r="G747">
        <v>1</v>
      </c>
      <c r="H747">
        <v>0.2</v>
      </c>
      <c r="I747">
        <v>0</v>
      </c>
      <c r="J747">
        <v>-146.815</v>
      </c>
      <c r="K747" s="1">
        <f>534.154</f>
        <v>534.154</v>
      </c>
      <c r="L747">
        <v>0</v>
      </c>
    </row>
    <row r="748" spans="1:12" x14ac:dyDescent="0.25">
      <c r="A748">
        <f>80207682*0.00001</f>
        <v>802.07682000000011</v>
      </c>
      <c r="B748">
        <v>3488</v>
      </c>
      <c r="C748">
        <v>20</v>
      </c>
      <c r="D748" s="1">
        <f>313.527</f>
        <v>313.52699999999999</v>
      </c>
      <c r="E748" s="1">
        <f>3316</f>
        <v>3316</v>
      </c>
      <c r="F748">
        <v>1605</v>
      </c>
      <c r="G748">
        <v>1</v>
      </c>
      <c r="H748">
        <v>0.2</v>
      </c>
      <c r="I748">
        <v>0</v>
      </c>
      <c r="J748">
        <v>-146.815</v>
      </c>
      <c r="K748">
        <v>534.154</v>
      </c>
      <c r="L748" s="1">
        <f>0</f>
        <v>0</v>
      </c>
    </row>
    <row r="749" spans="1:12" x14ac:dyDescent="0.25">
      <c r="A749">
        <f>80207895*0.00001</f>
        <v>802.07895000000008</v>
      </c>
      <c r="B749">
        <v>3488</v>
      </c>
      <c r="C749">
        <v>22</v>
      </c>
      <c r="D749">
        <v>313.52699999999999</v>
      </c>
      <c r="E749">
        <v>3316</v>
      </c>
      <c r="F749">
        <v>1605</v>
      </c>
      <c r="G749" s="1">
        <f>1</f>
        <v>1</v>
      </c>
      <c r="H749" s="1">
        <f>0.2</f>
        <v>0.2</v>
      </c>
      <c r="I749">
        <v>0</v>
      </c>
      <c r="J749">
        <v>-146.815</v>
      </c>
      <c r="K749">
        <v>534.154</v>
      </c>
      <c r="L749">
        <v>0</v>
      </c>
    </row>
    <row r="750" spans="1:12" x14ac:dyDescent="0.25">
      <c r="A750">
        <f>80208108*0.00001</f>
        <v>802.08108000000004</v>
      </c>
      <c r="B750">
        <v>3488</v>
      </c>
      <c r="C750">
        <v>24</v>
      </c>
      <c r="D750">
        <v>313.52699999999999</v>
      </c>
      <c r="E750">
        <v>3316</v>
      </c>
      <c r="F750">
        <v>1605</v>
      </c>
      <c r="G750">
        <v>1</v>
      </c>
      <c r="H750">
        <v>0.2</v>
      </c>
      <c r="I750">
        <v>0</v>
      </c>
      <c r="J750" s="1">
        <f>-145.389</f>
        <v>-145.38900000000001</v>
      </c>
      <c r="K750">
        <v>534.154</v>
      </c>
      <c r="L750">
        <v>0</v>
      </c>
    </row>
    <row r="751" spans="1:12" x14ac:dyDescent="0.25">
      <c r="A751">
        <f>80208215*0.00001</f>
        <v>802.08215000000007</v>
      </c>
      <c r="B751">
        <v>3488</v>
      </c>
      <c r="C751">
        <v>25</v>
      </c>
      <c r="D751" s="1">
        <f>312.925</f>
        <v>312.92500000000001</v>
      </c>
      <c r="E751">
        <v>3316</v>
      </c>
      <c r="F751">
        <v>1605</v>
      </c>
      <c r="G751">
        <v>1</v>
      </c>
      <c r="H751">
        <v>0.2</v>
      </c>
      <c r="I751">
        <v>0</v>
      </c>
      <c r="J751">
        <v>-145.38900000000001</v>
      </c>
      <c r="K751" s="1">
        <f>534.042</f>
        <v>534.04200000000003</v>
      </c>
      <c r="L751" s="1">
        <f>0</f>
        <v>0</v>
      </c>
    </row>
    <row r="752" spans="1:12" x14ac:dyDescent="0.25">
      <c r="A752">
        <f>80208428*0.00001</f>
        <v>802.08428000000004</v>
      </c>
      <c r="B752">
        <v>3488</v>
      </c>
      <c r="C752">
        <v>27</v>
      </c>
      <c r="D752">
        <v>312.92500000000001</v>
      </c>
      <c r="E752">
        <v>3316</v>
      </c>
      <c r="F752" s="1">
        <f>1605</f>
        <v>1605</v>
      </c>
      <c r="G752" s="1">
        <f>1</f>
        <v>1</v>
      </c>
      <c r="H752">
        <v>0.2</v>
      </c>
      <c r="I752">
        <v>0</v>
      </c>
      <c r="J752">
        <v>-145.38900000000001</v>
      </c>
      <c r="K752">
        <v>534.04200000000003</v>
      </c>
      <c r="L752">
        <v>0</v>
      </c>
    </row>
    <row r="753" spans="1:12" x14ac:dyDescent="0.25">
      <c r="A753">
        <f>80208642*0.00001</f>
        <v>802.08642000000009</v>
      </c>
      <c r="B753">
        <v>3488</v>
      </c>
      <c r="C753">
        <v>29</v>
      </c>
      <c r="D753">
        <v>312.92500000000001</v>
      </c>
      <c r="E753">
        <v>3316</v>
      </c>
      <c r="F753">
        <v>1605</v>
      </c>
      <c r="G753">
        <v>1</v>
      </c>
      <c r="H753">
        <v>0.2</v>
      </c>
      <c r="I753" s="1">
        <f>0</f>
        <v>0</v>
      </c>
      <c r="J753">
        <v>-145.38900000000001</v>
      </c>
      <c r="K753">
        <v>534.04200000000003</v>
      </c>
      <c r="L753">
        <v>0</v>
      </c>
    </row>
    <row r="754" spans="1:12" x14ac:dyDescent="0.25">
      <c r="A754">
        <f>80208749*0.00001</f>
        <v>802.08749000000012</v>
      </c>
      <c r="B754">
        <v>3488</v>
      </c>
      <c r="C754">
        <v>30</v>
      </c>
      <c r="D754">
        <v>312.92500000000001</v>
      </c>
      <c r="E754">
        <v>3316</v>
      </c>
      <c r="F754">
        <v>1605</v>
      </c>
      <c r="G754">
        <v>1</v>
      </c>
      <c r="H754">
        <v>0.2</v>
      </c>
      <c r="I754">
        <v>0</v>
      </c>
      <c r="J754" s="1">
        <f>-144.645</f>
        <v>-144.64500000000001</v>
      </c>
      <c r="K754" s="1">
        <f>533.948</f>
        <v>533.94799999999998</v>
      </c>
      <c r="L754" s="1">
        <f>0</f>
        <v>0</v>
      </c>
    </row>
    <row r="755" spans="1:12" x14ac:dyDescent="0.25">
      <c r="A755">
        <f>80208963*0.00001</f>
        <v>802.08963000000006</v>
      </c>
      <c r="B755">
        <v>3488</v>
      </c>
      <c r="C755">
        <v>32</v>
      </c>
      <c r="D755">
        <v>312.92500000000001</v>
      </c>
      <c r="E755" s="1">
        <f>3332</f>
        <v>3332</v>
      </c>
      <c r="F755" s="1">
        <f>1605</f>
        <v>1605</v>
      </c>
      <c r="G755">
        <v>1</v>
      </c>
      <c r="H755">
        <v>0.2</v>
      </c>
      <c r="I755">
        <v>0</v>
      </c>
      <c r="J755">
        <v>-144.64500000000001</v>
      </c>
      <c r="K755">
        <v>533.94799999999998</v>
      </c>
      <c r="L755">
        <v>0</v>
      </c>
    </row>
    <row r="756" spans="1:12" x14ac:dyDescent="0.25">
      <c r="A756">
        <f>80209177*0.00001</f>
        <v>802.09177000000011</v>
      </c>
      <c r="B756">
        <v>3488</v>
      </c>
      <c r="C756">
        <v>34</v>
      </c>
      <c r="D756">
        <v>312.92500000000001</v>
      </c>
      <c r="E756">
        <v>3332</v>
      </c>
      <c r="F756">
        <v>1605</v>
      </c>
      <c r="G756">
        <v>1</v>
      </c>
      <c r="H756" s="1">
        <f>0.2</f>
        <v>0.2</v>
      </c>
      <c r="I756">
        <v>0</v>
      </c>
      <c r="J756">
        <v>-144.64500000000001</v>
      </c>
      <c r="K756">
        <v>533.94799999999998</v>
      </c>
      <c r="L756">
        <v>0</v>
      </c>
    </row>
    <row r="757" spans="1:12" x14ac:dyDescent="0.25">
      <c r="A757">
        <f>80209284*0.00001</f>
        <v>802.09284000000002</v>
      </c>
      <c r="B757">
        <v>3488</v>
      </c>
      <c r="C757">
        <v>35</v>
      </c>
      <c r="D757">
        <v>312.92500000000001</v>
      </c>
      <c r="E757">
        <v>3332</v>
      </c>
      <c r="F757">
        <v>1605</v>
      </c>
      <c r="G757">
        <v>1</v>
      </c>
      <c r="H757">
        <v>0.2</v>
      </c>
      <c r="I757" s="1">
        <f>0</f>
        <v>0</v>
      </c>
      <c r="J757" s="1">
        <f>-144.02</f>
        <v>-144.02000000000001</v>
      </c>
      <c r="K757" s="1">
        <f>533.837</f>
        <v>533.83699999999999</v>
      </c>
      <c r="L757">
        <v>0</v>
      </c>
    </row>
    <row r="758" spans="1:12" x14ac:dyDescent="0.25">
      <c r="A758">
        <f>80209498*0.00001</f>
        <v>802.09498000000008</v>
      </c>
      <c r="B758">
        <v>3488</v>
      </c>
      <c r="C758">
        <v>37</v>
      </c>
      <c r="D758" s="1">
        <f>311.836</f>
        <v>311.83600000000001</v>
      </c>
      <c r="E758" s="1">
        <f>3340</f>
        <v>3340</v>
      </c>
      <c r="F758">
        <v>1605</v>
      </c>
      <c r="G758">
        <v>1</v>
      </c>
      <c r="H758">
        <v>0.2</v>
      </c>
      <c r="I758">
        <v>0</v>
      </c>
      <c r="J758">
        <v>-144.02000000000001</v>
      </c>
      <c r="K758">
        <v>533.83699999999999</v>
      </c>
      <c r="L758">
        <v>0</v>
      </c>
    </row>
    <row r="759" spans="1:12" x14ac:dyDescent="0.25">
      <c r="A759">
        <f>80209712*0.00001</f>
        <v>802.09712000000002</v>
      </c>
      <c r="B759">
        <v>3488</v>
      </c>
      <c r="C759">
        <v>39</v>
      </c>
      <c r="D759">
        <v>311.83600000000001</v>
      </c>
      <c r="E759">
        <v>3340</v>
      </c>
      <c r="F759">
        <v>1605</v>
      </c>
      <c r="G759" s="1">
        <f>1</f>
        <v>1</v>
      </c>
      <c r="H759">
        <v>0.2</v>
      </c>
      <c r="I759">
        <v>0</v>
      </c>
      <c r="J759">
        <v>-144.02000000000001</v>
      </c>
      <c r="K759">
        <v>533.83699999999999</v>
      </c>
      <c r="L759">
        <v>0</v>
      </c>
    </row>
    <row r="760" spans="1:12" x14ac:dyDescent="0.25">
      <c r="A760">
        <f>80209819*0.00001</f>
        <v>802.09819000000005</v>
      </c>
      <c r="B760">
        <v>3488</v>
      </c>
      <c r="C760">
        <v>40</v>
      </c>
      <c r="D760">
        <v>311.83600000000001</v>
      </c>
      <c r="E760">
        <v>3340</v>
      </c>
      <c r="F760">
        <v>1605</v>
      </c>
      <c r="G760">
        <v>1</v>
      </c>
      <c r="H760" s="1">
        <f>0.2</f>
        <v>0.2</v>
      </c>
      <c r="I760" s="1">
        <f>0</f>
        <v>0</v>
      </c>
      <c r="J760" s="1">
        <f>-143.256</f>
        <v>-143.256</v>
      </c>
      <c r="K760">
        <v>533.83699999999999</v>
      </c>
      <c r="L760">
        <v>0</v>
      </c>
    </row>
    <row r="761" spans="1:12" x14ac:dyDescent="0.25">
      <c r="A761">
        <f>80210034*0.00001</f>
        <v>802.10034000000007</v>
      </c>
      <c r="B761">
        <v>3488</v>
      </c>
      <c r="C761">
        <v>42</v>
      </c>
      <c r="D761" s="1">
        <f>311.249</f>
        <v>311.24900000000002</v>
      </c>
      <c r="E761">
        <v>3340</v>
      </c>
      <c r="F761">
        <v>1605</v>
      </c>
      <c r="G761">
        <v>1</v>
      </c>
      <c r="H761">
        <v>0.2</v>
      </c>
      <c r="I761">
        <v>0</v>
      </c>
      <c r="J761">
        <v>-143.256</v>
      </c>
      <c r="K761">
        <v>533.83699999999999</v>
      </c>
      <c r="L761" s="1">
        <f>0</f>
        <v>0</v>
      </c>
    </row>
    <row r="762" spans="1:12" x14ac:dyDescent="0.25">
      <c r="A762">
        <f>80210248*0.00001</f>
        <v>802.10248000000001</v>
      </c>
      <c r="B762">
        <v>3488</v>
      </c>
      <c r="C762">
        <v>44</v>
      </c>
      <c r="D762">
        <v>311.24900000000002</v>
      </c>
      <c r="E762">
        <v>3340</v>
      </c>
      <c r="F762" s="1">
        <f>1605</f>
        <v>1605</v>
      </c>
      <c r="G762">
        <v>1</v>
      </c>
      <c r="H762">
        <v>0.2</v>
      </c>
      <c r="I762">
        <v>0</v>
      </c>
      <c r="J762">
        <v>-143.256</v>
      </c>
      <c r="K762">
        <v>533.83699999999999</v>
      </c>
      <c r="L762">
        <v>0</v>
      </c>
    </row>
    <row r="763" spans="1:12" x14ac:dyDescent="0.25">
      <c r="A763">
        <f>80210356*0.00001</f>
        <v>802.10356000000002</v>
      </c>
      <c r="B763">
        <v>3488</v>
      </c>
      <c r="C763">
        <v>45</v>
      </c>
      <c r="D763">
        <v>311.24900000000002</v>
      </c>
      <c r="E763">
        <v>3340</v>
      </c>
      <c r="F763">
        <v>1605</v>
      </c>
      <c r="G763" s="1">
        <f>1</f>
        <v>1</v>
      </c>
      <c r="H763" s="1">
        <f>0.2</f>
        <v>0.2</v>
      </c>
      <c r="I763" s="1">
        <f>0</f>
        <v>0</v>
      </c>
      <c r="J763">
        <v>-143.256</v>
      </c>
      <c r="K763">
        <v>533.83699999999999</v>
      </c>
      <c r="L763">
        <v>0</v>
      </c>
    </row>
    <row r="764" spans="1:12" x14ac:dyDescent="0.25">
      <c r="A764">
        <f>80210572*0.00001</f>
        <v>802.10572000000002</v>
      </c>
      <c r="B764">
        <v>3488</v>
      </c>
      <c r="C764">
        <v>47</v>
      </c>
      <c r="D764">
        <v>311.24900000000002</v>
      </c>
      <c r="E764">
        <v>3340</v>
      </c>
      <c r="F764">
        <v>1605</v>
      </c>
      <c r="G764">
        <v>1</v>
      </c>
      <c r="H764">
        <v>0.2</v>
      </c>
      <c r="I764">
        <v>0</v>
      </c>
      <c r="J764">
        <v>-143.256</v>
      </c>
      <c r="K764" s="1">
        <f>533.633</f>
        <v>533.63300000000004</v>
      </c>
      <c r="L764">
        <v>0</v>
      </c>
    </row>
    <row r="765" spans="1:12" x14ac:dyDescent="0.25">
      <c r="A765">
        <f>80210680*0.00001</f>
        <v>802.10680000000002</v>
      </c>
      <c r="B765">
        <v>3488</v>
      </c>
      <c r="C765">
        <v>48</v>
      </c>
      <c r="D765">
        <v>311.24900000000002</v>
      </c>
      <c r="E765">
        <v>3340</v>
      </c>
      <c r="F765">
        <v>1605</v>
      </c>
      <c r="G765">
        <v>1</v>
      </c>
      <c r="H765">
        <v>0.2</v>
      </c>
      <c r="I765">
        <v>0</v>
      </c>
      <c r="J765">
        <v>-143.256</v>
      </c>
      <c r="K765">
        <v>533.63300000000004</v>
      </c>
      <c r="L765" s="1">
        <f>0</f>
        <v>0</v>
      </c>
    </row>
    <row r="766" spans="1:12" x14ac:dyDescent="0.25">
      <c r="A766">
        <f>80210788*0.00001</f>
        <v>802.10788000000002</v>
      </c>
      <c r="B766">
        <v>3488</v>
      </c>
      <c r="C766">
        <v>49</v>
      </c>
      <c r="D766">
        <v>311.24900000000002</v>
      </c>
      <c r="E766" s="1">
        <f>3358</f>
        <v>3358</v>
      </c>
      <c r="F766">
        <v>1605</v>
      </c>
      <c r="G766">
        <v>1</v>
      </c>
      <c r="H766">
        <v>0.2</v>
      </c>
      <c r="I766">
        <v>0</v>
      </c>
      <c r="J766">
        <v>-143.256</v>
      </c>
      <c r="K766">
        <v>533.63300000000004</v>
      </c>
      <c r="L766">
        <v>0</v>
      </c>
    </row>
    <row r="767" spans="1:12" x14ac:dyDescent="0.25">
      <c r="A767">
        <f>80210896*0.00001</f>
        <v>802.10896000000002</v>
      </c>
      <c r="B767">
        <v>3488</v>
      </c>
      <c r="C767">
        <v>50</v>
      </c>
      <c r="D767">
        <v>311.24900000000002</v>
      </c>
      <c r="E767">
        <v>3358</v>
      </c>
      <c r="F767" s="1">
        <f>1605</f>
        <v>1605</v>
      </c>
      <c r="G767" s="1">
        <f>1</f>
        <v>1</v>
      </c>
      <c r="H767" s="1">
        <f>0.2</f>
        <v>0.2</v>
      </c>
      <c r="I767">
        <v>0</v>
      </c>
      <c r="J767">
        <v>-143.256</v>
      </c>
      <c r="K767">
        <v>533.63300000000004</v>
      </c>
      <c r="L767">
        <v>0</v>
      </c>
    </row>
    <row r="768" spans="1:12" x14ac:dyDescent="0.25">
      <c r="A768">
        <f>80211112*0.00001</f>
        <v>802.11112000000003</v>
      </c>
      <c r="B768">
        <v>3488</v>
      </c>
      <c r="C768">
        <v>52</v>
      </c>
      <c r="D768">
        <v>311.24900000000002</v>
      </c>
      <c r="E768">
        <v>3358</v>
      </c>
      <c r="F768">
        <v>1605</v>
      </c>
      <c r="G768">
        <v>1</v>
      </c>
      <c r="H768">
        <v>0.2</v>
      </c>
      <c r="I768">
        <v>0</v>
      </c>
      <c r="J768" s="1">
        <f>-141.895</f>
        <v>-141.89500000000001</v>
      </c>
      <c r="K768">
        <v>533.63300000000004</v>
      </c>
      <c r="L768">
        <v>0</v>
      </c>
    </row>
    <row r="769" spans="1:12" x14ac:dyDescent="0.25">
      <c r="A769">
        <f>80211219*0.00001</f>
        <v>802.11219000000006</v>
      </c>
      <c r="B769">
        <v>3488</v>
      </c>
      <c r="C769">
        <v>53</v>
      </c>
      <c r="D769" s="1">
        <f>310.179</f>
        <v>310.17899999999997</v>
      </c>
      <c r="E769">
        <v>3358</v>
      </c>
      <c r="F769">
        <v>1605</v>
      </c>
      <c r="G769">
        <v>1</v>
      </c>
      <c r="H769">
        <v>0.2</v>
      </c>
      <c r="I769">
        <v>0</v>
      </c>
      <c r="J769">
        <v>-141.89500000000001</v>
      </c>
      <c r="K769" s="1">
        <f>533.523</f>
        <v>533.52300000000002</v>
      </c>
      <c r="L769" s="1">
        <f>0</f>
        <v>0</v>
      </c>
    </row>
    <row r="770" spans="1:12" x14ac:dyDescent="0.25">
      <c r="A770">
        <f>80211434*0.00001</f>
        <v>802.11434000000008</v>
      </c>
      <c r="B770">
        <v>3488</v>
      </c>
      <c r="C770">
        <v>55</v>
      </c>
      <c r="D770">
        <v>310.17899999999997</v>
      </c>
      <c r="E770" s="1">
        <f>3366</f>
        <v>3366</v>
      </c>
      <c r="F770" s="1">
        <f>1605</f>
        <v>1605</v>
      </c>
      <c r="G770" s="1">
        <f>1</f>
        <v>1</v>
      </c>
      <c r="H770">
        <v>0.2</v>
      </c>
      <c r="I770">
        <v>0</v>
      </c>
      <c r="J770">
        <v>-141.89500000000001</v>
      </c>
      <c r="K770">
        <v>533.52300000000002</v>
      </c>
      <c r="L770">
        <v>0</v>
      </c>
    </row>
    <row r="771" spans="1:12" x14ac:dyDescent="0.25">
      <c r="A771">
        <f>80211650*0.00001</f>
        <v>802.11650000000009</v>
      </c>
      <c r="B771">
        <v>3488</v>
      </c>
      <c r="C771">
        <v>57</v>
      </c>
      <c r="D771">
        <v>310.17899999999997</v>
      </c>
      <c r="E771">
        <v>3366</v>
      </c>
      <c r="F771">
        <v>1605</v>
      </c>
      <c r="G771">
        <v>1</v>
      </c>
      <c r="H771">
        <v>0.2</v>
      </c>
      <c r="I771" s="1">
        <f>0</f>
        <v>0</v>
      </c>
      <c r="J771">
        <v>-141.89500000000001</v>
      </c>
      <c r="K771">
        <v>533.52300000000002</v>
      </c>
      <c r="L771">
        <v>0</v>
      </c>
    </row>
    <row r="772" spans="1:12" x14ac:dyDescent="0.25">
      <c r="A772">
        <f>80211758*0.00001</f>
        <v>802.11758000000009</v>
      </c>
      <c r="B772">
        <v>3488</v>
      </c>
      <c r="C772">
        <v>58</v>
      </c>
      <c r="D772">
        <v>310.17899999999997</v>
      </c>
      <c r="E772">
        <v>3366</v>
      </c>
      <c r="F772">
        <v>1605</v>
      </c>
      <c r="G772">
        <v>1</v>
      </c>
      <c r="H772">
        <v>0.2</v>
      </c>
      <c r="I772">
        <v>0</v>
      </c>
      <c r="J772" s="1">
        <f>-141.176</f>
        <v>-141.17599999999999</v>
      </c>
      <c r="K772" s="1">
        <f>533.431</f>
        <v>533.43100000000004</v>
      </c>
      <c r="L772" s="1">
        <f>0</f>
        <v>0</v>
      </c>
    </row>
    <row r="773" spans="1:12" x14ac:dyDescent="0.25">
      <c r="A773">
        <f>80211974*0.00001</f>
        <v>802.11974000000009</v>
      </c>
      <c r="B773">
        <v>3488</v>
      </c>
      <c r="C773">
        <v>60</v>
      </c>
      <c r="D773">
        <v>310.17899999999997</v>
      </c>
      <c r="E773" s="1">
        <f>3375</f>
        <v>3375</v>
      </c>
      <c r="F773" s="1">
        <f>1605</f>
        <v>1605</v>
      </c>
      <c r="G773">
        <v>1</v>
      </c>
      <c r="H773">
        <v>0.2</v>
      </c>
      <c r="I773">
        <v>0</v>
      </c>
      <c r="J773">
        <v>-141.17599999999999</v>
      </c>
      <c r="K773">
        <v>533.43100000000004</v>
      </c>
      <c r="L773">
        <v>0</v>
      </c>
    </row>
    <row r="774" spans="1:12" x14ac:dyDescent="0.25">
      <c r="A774">
        <f>80212189*0.00001</f>
        <v>802.12189000000012</v>
      </c>
      <c r="B774">
        <v>3488</v>
      </c>
      <c r="C774">
        <v>62</v>
      </c>
      <c r="D774">
        <v>310.17899999999997</v>
      </c>
      <c r="E774">
        <v>3375</v>
      </c>
      <c r="F774">
        <v>1605</v>
      </c>
      <c r="G774">
        <v>1</v>
      </c>
      <c r="H774" s="1">
        <f>0.2</f>
        <v>0.2</v>
      </c>
      <c r="I774">
        <v>0</v>
      </c>
      <c r="J774">
        <v>-141.17599999999999</v>
      </c>
      <c r="K774">
        <v>533.43100000000004</v>
      </c>
      <c r="L774">
        <v>0</v>
      </c>
    </row>
    <row r="775" spans="1:12" x14ac:dyDescent="0.25">
      <c r="A775">
        <f>80212297*0.00001</f>
        <v>802.12297000000001</v>
      </c>
      <c r="B775">
        <v>3488</v>
      </c>
      <c r="C775">
        <v>63</v>
      </c>
      <c r="D775">
        <v>310.17899999999997</v>
      </c>
      <c r="E775">
        <v>3375</v>
      </c>
      <c r="F775">
        <v>1605</v>
      </c>
      <c r="G775">
        <v>1</v>
      </c>
      <c r="H775">
        <v>0.2</v>
      </c>
      <c r="I775" s="1">
        <f>0</f>
        <v>0</v>
      </c>
      <c r="J775" s="1">
        <f>-140.584</f>
        <v>-140.584</v>
      </c>
      <c r="K775" s="1">
        <f>533.321</f>
        <v>533.32100000000003</v>
      </c>
      <c r="L775">
        <v>0</v>
      </c>
    </row>
    <row r="776" spans="1:12" x14ac:dyDescent="0.25">
      <c r="A776">
        <f>80212513*0.00001</f>
        <v>802.12513000000001</v>
      </c>
      <c r="B776">
        <v>3488</v>
      </c>
      <c r="C776">
        <v>65</v>
      </c>
      <c r="D776" s="1">
        <f>309.133</f>
        <v>309.13299999999998</v>
      </c>
      <c r="E776">
        <v>3375</v>
      </c>
      <c r="F776">
        <v>1605</v>
      </c>
      <c r="G776">
        <v>1</v>
      </c>
      <c r="H776">
        <v>0.2</v>
      </c>
      <c r="I776">
        <v>0</v>
      </c>
      <c r="J776">
        <v>-140.584</v>
      </c>
      <c r="K776">
        <v>533.32100000000003</v>
      </c>
      <c r="L776">
        <v>0</v>
      </c>
    </row>
    <row r="777" spans="1:12" x14ac:dyDescent="0.25">
      <c r="A777">
        <f>80212621*0.00001</f>
        <v>802.12621000000001</v>
      </c>
      <c r="B777">
        <v>3488</v>
      </c>
      <c r="C777">
        <v>66</v>
      </c>
      <c r="D777">
        <v>309.13299999999998</v>
      </c>
      <c r="E777" s="1">
        <f>3383</f>
        <v>3383</v>
      </c>
      <c r="F777" s="1">
        <f>1605</f>
        <v>1605</v>
      </c>
      <c r="G777" s="1">
        <f>1</f>
        <v>1</v>
      </c>
      <c r="H777">
        <v>0.2</v>
      </c>
      <c r="I777">
        <v>0</v>
      </c>
      <c r="J777">
        <v>-140.584</v>
      </c>
      <c r="K777">
        <v>533.32100000000003</v>
      </c>
      <c r="L777">
        <v>0</v>
      </c>
    </row>
    <row r="778" spans="1:12" x14ac:dyDescent="0.25">
      <c r="A778">
        <f>80212838*0.00001</f>
        <v>802.12838000000011</v>
      </c>
      <c r="B778">
        <v>3488</v>
      </c>
      <c r="C778">
        <v>68</v>
      </c>
      <c r="D778">
        <v>309.13299999999998</v>
      </c>
      <c r="E778">
        <v>3383</v>
      </c>
      <c r="F778">
        <v>1605</v>
      </c>
      <c r="G778">
        <v>1</v>
      </c>
      <c r="H778" s="1">
        <f>0.2</f>
        <v>0.2</v>
      </c>
      <c r="I778" s="1">
        <f>0</f>
        <v>0</v>
      </c>
      <c r="J778" s="1">
        <f>-139.855</f>
        <v>-139.85499999999999</v>
      </c>
      <c r="K778">
        <v>533.32100000000003</v>
      </c>
      <c r="L778">
        <v>0</v>
      </c>
    </row>
    <row r="779" spans="1:12" x14ac:dyDescent="0.25">
      <c r="A779">
        <f>80213055*0.00001</f>
        <v>802.13055000000008</v>
      </c>
      <c r="B779">
        <v>3488</v>
      </c>
      <c r="C779">
        <v>70</v>
      </c>
      <c r="D779">
        <v>309.13299999999998</v>
      </c>
      <c r="E779">
        <v>3383</v>
      </c>
      <c r="F779">
        <v>1605</v>
      </c>
      <c r="G779">
        <v>1</v>
      </c>
      <c r="H779">
        <v>0.2</v>
      </c>
      <c r="I779">
        <v>0</v>
      </c>
      <c r="J779">
        <v>-139.85499999999999</v>
      </c>
      <c r="K779">
        <v>533.32100000000003</v>
      </c>
      <c r="L779" s="1">
        <f>0</f>
        <v>0</v>
      </c>
    </row>
    <row r="780" spans="1:12" x14ac:dyDescent="0.25">
      <c r="A780">
        <f>80213163*0.00001</f>
        <v>802.13163000000009</v>
      </c>
      <c r="B780">
        <v>3488</v>
      </c>
      <c r="C780">
        <v>71</v>
      </c>
      <c r="D780" s="1">
        <f>308.578</f>
        <v>308.57799999999997</v>
      </c>
      <c r="E780" s="1">
        <f>3391</f>
        <v>3391</v>
      </c>
      <c r="F780" s="1">
        <f>1605</f>
        <v>1605</v>
      </c>
      <c r="G780">
        <v>1</v>
      </c>
      <c r="H780">
        <v>0.2</v>
      </c>
      <c r="I780">
        <v>0</v>
      </c>
      <c r="J780">
        <v>-139.85499999999999</v>
      </c>
      <c r="K780">
        <v>533.32100000000003</v>
      </c>
      <c r="L780">
        <v>0</v>
      </c>
    </row>
    <row r="781" spans="1:12" x14ac:dyDescent="0.25">
      <c r="A781">
        <f>80213379*0.00001</f>
        <v>802.13379000000009</v>
      </c>
      <c r="B781">
        <v>3488</v>
      </c>
      <c r="C781">
        <v>73</v>
      </c>
      <c r="D781">
        <v>308.57799999999997</v>
      </c>
      <c r="E781">
        <v>3391</v>
      </c>
      <c r="F781">
        <v>1605</v>
      </c>
      <c r="G781">
        <v>1</v>
      </c>
      <c r="H781" s="1">
        <f>0.2</f>
        <v>0.2</v>
      </c>
      <c r="I781">
        <v>0</v>
      </c>
      <c r="J781">
        <v>-139.85499999999999</v>
      </c>
      <c r="K781">
        <v>533.32100000000003</v>
      </c>
      <c r="L781">
        <v>0</v>
      </c>
    </row>
    <row r="782" spans="1:12" x14ac:dyDescent="0.25">
      <c r="A782">
        <f>80213487*0.00001</f>
        <v>802.13487000000009</v>
      </c>
      <c r="B782">
        <v>3488</v>
      </c>
      <c r="C782">
        <v>74</v>
      </c>
      <c r="D782">
        <v>308.57799999999997</v>
      </c>
      <c r="E782">
        <v>3391</v>
      </c>
      <c r="F782">
        <v>1605</v>
      </c>
      <c r="G782">
        <v>1</v>
      </c>
      <c r="H782">
        <v>0.2</v>
      </c>
      <c r="I782" s="1">
        <f>0</f>
        <v>0</v>
      </c>
      <c r="J782">
        <v>-139.85499999999999</v>
      </c>
      <c r="K782">
        <v>533.32100000000003</v>
      </c>
      <c r="L782">
        <v>0</v>
      </c>
    </row>
    <row r="783" spans="1:12" x14ac:dyDescent="0.25">
      <c r="A783">
        <f>80213595*0.00001</f>
        <v>802.13595000000009</v>
      </c>
      <c r="B783">
        <v>3488</v>
      </c>
      <c r="C783">
        <v>75</v>
      </c>
      <c r="D783">
        <v>308.57799999999997</v>
      </c>
      <c r="E783">
        <v>3391</v>
      </c>
      <c r="F783">
        <v>1605</v>
      </c>
      <c r="G783">
        <v>1</v>
      </c>
      <c r="H783">
        <v>0.2</v>
      </c>
      <c r="I783">
        <v>0</v>
      </c>
      <c r="J783" s="1">
        <f>-139.133</f>
        <v>-139.13300000000001</v>
      </c>
      <c r="K783">
        <v>533.32100000000003</v>
      </c>
      <c r="L783">
        <v>0</v>
      </c>
    </row>
    <row r="784" spans="1:12" x14ac:dyDescent="0.25">
      <c r="A784">
        <f>80213703*0.00001</f>
        <v>802.1370300000001</v>
      </c>
      <c r="B784">
        <v>3488</v>
      </c>
      <c r="C784">
        <v>76</v>
      </c>
      <c r="D784" s="1">
        <f>308.007</f>
        <v>308.00700000000001</v>
      </c>
      <c r="E784">
        <v>3391</v>
      </c>
      <c r="F784">
        <v>1605</v>
      </c>
      <c r="G784">
        <v>1</v>
      </c>
      <c r="H784">
        <v>0.2</v>
      </c>
      <c r="I784">
        <v>0</v>
      </c>
      <c r="J784">
        <v>-139.13300000000001</v>
      </c>
      <c r="K784" s="1">
        <f>533.103</f>
        <v>533.10299999999995</v>
      </c>
      <c r="L784" s="1">
        <f>0</f>
        <v>0</v>
      </c>
    </row>
    <row r="785" spans="1:12" x14ac:dyDescent="0.25">
      <c r="A785">
        <f>80213919*0.00001</f>
        <v>802.1391900000001</v>
      </c>
      <c r="B785">
        <v>3488</v>
      </c>
      <c r="C785">
        <v>78</v>
      </c>
      <c r="D785">
        <v>308.00700000000001</v>
      </c>
      <c r="E785">
        <v>3391</v>
      </c>
      <c r="F785" s="1">
        <f>1605</f>
        <v>1605</v>
      </c>
      <c r="G785">
        <v>1</v>
      </c>
      <c r="H785">
        <v>0.2</v>
      </c>
      <c r="I785">
        <v>0</v>
      </c>
      <c r="J785">
        <v>-139.13300000000001</v>
      </c>
      <c r="K785">
        <v>533.10299999999995</v>
      </c>
      <c r="L785">
        <v>0</v>
      </c>
    </row>
    <row r="786" spans="1:12" x14ac:dyDescent="0.25">
      <c r="A786">
        <f>80214027*0.00001</f>
        <v>802.1402700000001</v>
      </c>
      <c r="B786">
        <v>3488</v>
      </c>
      <c r="C786">
        <v>79</v>
      </c>
      <c r="D786">
        <v>308.00700000000001</v>
      </c>
      <c r="E786">
        <v>3391</v>
      </c>
      <c r="F786">
        <v>1605</v>
      </c>
      <c r="G786" s="1">
        <f>1</f>
        <v>1</v>
      </c>
      <c r="H786" s="1">
        <f>0.2</f>
        <v>0.2</v>
      </c>
      <c r="I786" s="1">
        <f>0</f>
        <v>0</v>
      </c>
      <c r="J786">
        <v>-139.13300000000001</v>
      </c>
      <c r="K786">
        <v>533.10299999999995</v>
      </c>
      <c r="L786">
        <v>0</v>
      </c>
    </row>
    <row r="787" spans="1:12" x14ac:dyDescent="0.25">
      <c r="A787">
        <f>80214243*0.00001</f>
        <v>802.1424300000001</v>
      </c>
      <c r="B787">
        <v>3488</v>
      </c>
      <c r="C787">
        <v>81</v>
      </c>
      <c r="D787">
        <v>308.00700000000001</v>
      </c>
      <c r="E787">
        <v>3391</v>
      </c>
      <c r="F787">
        <v>1605</v>
      </c>
      <c r="G787">
        <v>1</v>
      </c>
      <c r="H787">
        <v>0.2</v>
      </c>
      <c r="I787">
        <v>0</v>
      </c>
      <c r="J787">
        <v>-139.13300000000001</v>
      </c>
      <c r="K787" s="1">
        <f>533.012</f>
        <v>533.01199999999994</v>
      </c>
      <c r="L787">
        <v>0</v>
      </c>
    </row>
    <row r="788" spans="1:12" x14ac:dyDescent="0.25">
      <c r="A788">
        <f>80214351*0.00001</f>
        <v>802.14351000000011</v>
      </c>
      <c r="B788">
        <v>3488</v>
      </c>
      <c r="C788">
        <v>82</v>
      </c>
      <c r="D788" s="1">
        <f>307.535</f>
        <v>307.53500000000003</v>
      </c>
      <c r="E788" s="1">
        <f>3410</f>
        <v>3410</v>
      </c>
      <c r="F788">
        <v>1605</v>
      </c>
      <c r="G788">
        <v>1</v>
      </c>
      <c r="H788">
        <v>0.2</v>
      </c>
      <c r="I788">
        <v>0</v>
      </c>
      <c r="J788">
        <v>-139.13300000000001</v>
      </c>
      <c r="K788">
        <v>533.01199999999994</v>
      </c>
      <c r="L788" s="1">
        <f>0</f>
        <v>0</v>
      </c>
    </row>
    <row r="789" spans="1:12" x14ac:dyDescent="0.25">
      <c r="A789">
        <f>80214569*0.00001</f>
        <v>802.14569000000006</v>
      </c>
      <c r="B789">
        <v>3488</v>
      </c>
      <c r="C789">
        <v>84</v>
      </c>
      <c r="D789">
        <v>307.53500000000003</v>
      </c>
      <c r="E789">
        <v>3410</v>
      </c>
      <c r="F789" s="1">
        <f>1605</f>
        <v>1605</v>
      </c>
      <c r="G789" s="1">
        <f>1</f>
        <v>1</v>
      </c>
      <c r="H789" s="1">
        <f>0.2</f>
        <v>0.2</v>
      </c>
      <c r="I789">
        <v>0</v>
      </c>
      <c r="J789">
        <v>-139.13300000000001</v>
      </c>
      <c r="K789">
        <v>533.01199999999994</v>
      </c>
      <c r="L789">
        <v>0</v>
      </c>
    </row>
    <row r="790" spans="1:12" x14ac:dyDescent="0.25">
      <c r="A790">
        <f>80214787*0.00001</f>
        <v>802.14787000000001</v>
      </c>
      <c r="B790">
        <v>3488</v>
      </c>
      <c r="C790">
        <v>86</v>
      </c>
      <c r="D790">
        <v>307.53500000000003</v>
      </c>
      <c r="E790">
        <v>3410</v>
      </c>
      <c r="F790">
        <v>1605</v>
      </c>
      <c r="G790">
        <v>1</v>
      </c>
      <c r="H790">
        <v>0.2</v>
      </c>
      <c r="I790">
        <v>0</v>
      </c>
      <c r="J790" s="1">
        <f>-137.804</f>
        <v>-137.804</v>
      </c>
      <c r="K790">
        <v>533.01199999999994</v>
      </c>
      <c r="L790">
        <v>0</v>
      </c>
    </row>
    <row r="791" spans="1:12" x14ac:dyDescent="0.25">
      <c r="A791">
        <f>80214896*0.00001</f>
        <v>802.1489600000001</v>
      </c>
      <c r="B791">
        <v>3488</v>
      </c>
      <c r="C791">
        <v>87</v>
      </c>
      <c r="D791" s="1">
        <f>306.965</f>
        <v>306.96499999999997</v>
      </c>
      <c r="E791">
        <v>3410</v>
      </c>
      <c r="F791">
        <v>1605</v>
      </c>
      <c r="G791">
        <v>1</v>
      </c>
      <c r="H791">
        <v>0.2</v>
      </c>
      <c r="I791">
        <v>0</v>
      </c>
      <c r="J791">
        <v>-137.804</v>
      </c>
      <c r="K791" s="1">
        <f>532.904</f>
        <v>532.904</v>
      </c>
      <c r="L791" s="1">
        <f>0</f>
        <v>0</v>
      </c>
    </row>
    <row r="792" spans="1:12" x14ac:dyDescent="0.25">
      <c r="A792">
        <f>80215114*0.00001</f>
        <v>802.15114000000005</v>
      </c>
      <c r="B792">
        <v>3488</v>
      </c>
      <c r="C792">
        <v>89</v>
      </c>
      <c r="D792">
        <v>306.96499999999997</v>
      </c>
      <c r="E792">
        <v>3410</v>
      </c>
      <c r="F792" s="1">
        <f>1605</f>
        <v>1605</v>
      </c>
      <c r="G792">
        <v>1</v>
      </c>
      <c r="H792">
        <v>0.2</v>
      </c>
      <c r="I792">
        <v>0</v>
      </c>
      <c r="J792">
        <v>-137.804</v>
      </c>
      <c r="K792">
        <v>532.904</v>
      </c>
      <c r="L792">
        <v>0</v>
      </c>
    </row>
    <row r="793" spans="1:12" x14ac:dyDescent="0.25">
      <c r="A793">
        <f>80215223*0.00001</f>
        <v>802.15223000000003</v>
      </c>
      <c r="B793">
        <v>3488</v>
      </c>
      <c r="C793">
        <v>90</v>
      </c>
      <c r="D793">
        <v>306.96499999999997</v>
      </c>
      <c r="E793">
        <v>3410</v>
      </c>
      <c r="F793">
        <v>1605</v>
      </c>
      <c r="G793" s="1">
        <f>1</f>
        <v>1</v>
      </c>
      <c r="H793" s="1">
        <f>0.2</f>
        <v>0.2</v>
      </c>
      <c r="I793" s="1">
        <f>0</f>
        <v>0</v>
      </c>
      <c r="J793">
        <v>-137.804</v>
      </c>
      <c r="K793">
        <v>532.904</v>
      </c>
      <c r="L793">
        <v>0</v>
      </c>
    </row>
    <row r="794" spans="1:12" x14ac:dyDescent="0.25">
      <c r="A794">
        <f>80215441*0.00001</f>
        <v>802.1544100000001</v>
      </c>
      <c r="B794">
        <v>3488</v>
      </c>
      <c r="C794">
        <v>92</v>
      </c>
      <c r="D794">
        <v>306.96499999999997</v>
      </c>
      <c r="E794">
        <v>3410</v>
      </c>
      <c r="F794">
        <v>1605</v>
      </c>
      <c r="G794">
        <v>1</v>
      </c>
      <c r="H794">
        <v>0.2</v>
      </c>
      <c r="I794">
        <v>0</v>
      </c>
      <c r="J794">
        <v>-137.804</v>
      </c>
      <c r="K794" s="1">
        <f>532.814</f>
        <v>532.81399999999996</v>
      </c>
      <c r="L794" s="1">
        <f>0</f>
        <v>0</v>
      </c>
    </row>
    <row r="795" spans="1:12" x14ac:dyDescent="0.25">
      <c r="A795">
        <f>80215659*0.00001</f>
        <v>802.15659000000005</v>
      </c>
      <c r="B795">
        <v>3488</v>
      </c>
      <c r="C795">
        <v>94</v>
      </c>
      <c r="D795">
        <v>306.96499999999997</v>
      </c>
      <c r="E795" s="1">
        <f>3426</f>
        <v>3426</v>
      </c>
      <c r="F795">
        <v>1605</v>
      </c>
      <c r="G795">
        <v>1</v>
      </c>
      <c r="H795">
        <v>0.2</v>
      </c>
      <c r="I795">
        <v>0</v>
      </c>
      <c r="J795">
        <v>-137.804</v>
      </c>
      <c r="K795">
        <v>532.81399999999996</v>
      </c>
      <c r="L795">
        <v>0</v>
      </c>
    </row>
    <row r="796" spans="1:12" x14ac:dyDescent="0.25">
      <c r="A796">
        <f>80215768*0.00001</f>
        <v>802.15768000000003</v>
      </c>
      <c r="B796">
        <v>3488</v>
      </c>
      <c r="C796">
        <v>95</v>
      </c>
      <c r="D796">
        <v>306.96499999999997</v>
      </c>
      <c r="E796">
        <v>3426</v>
      </c>
      <c r="F796" s="1">
        <f>1605</f>
        <v>1605</v>
      </c>
      <c r="G796" s="1">
        <f>1</f>
        <v>1</v>
      </c>
      <c r="H796" s="1">
        <f>0.2</f>
        <v>0.2</v>
      </c>
      <c r="I796">
        <v>0</v>
      </c>
      <c r="J796">
        <v>-137.804</v>
      </c>
      <c r="K796">
        <v>532.81399999999996</v>
      </c>
      <c r="L796">
        <v>0</v>
      </c>
    </row>
    <row r="797" spans="1:12" x14ac:dyDescent="0.25">
      <c r="A797">
        <f>80215986*0.00001</f>
        <v>802.15986000000009</v>
      </c>
      <c r="B797">
        <v>3488</v>
      </c>
      <c r="C797">
        <v>97</v>
      </c>
      <c r="D797">
        <v>306.96499999999997</v>
      </c>
      <c r="E797">
        <v>3426</v>
      </c>
      <c r="F797">
        <v>1605</v>
      </c>
      <c r="G797">
        <v>1</v>
      </c>
      <c r="H797">
        <v>0.2</v>
      </c>
      <c r="I797">
        <v>0</v>
      </c>
      <c r="J797" s="1">
        <f>-136.465</f>
        <v>-136.465</v>
      </c>
      <c r="K797">
        <v>532.81399999999996</v>
      </c>
      <c r="L797">
        <v>0</v>
      </c>
    </row>
    <row r="798" spans="1:12" x14ac:dyDescent="0.25">
      <c r="A798">
        <f>80216095*0.00001</f>
        <v>802.16095000000007</v>
      </c>
      <c r="B798">
        <v>3488</v>
      </c>
      <c r="C798">
        <v>98</v>
      </c>
      <c r="D798" s="1">
        <f>305.967</f>
        <v>305.96699999999998</v>
      </c>
      <c r="E798">
        <v>3426</v>
      </c>
      <c r="F798">
        <v>1605</v>
      </c>
      <c r="G798">
        <v>1</v>
      </c>
      <c r="H798">
        <v>0.2</v>
      </c>
      <c r="I798">
        <v>0</v>
      </c>
      <c r="J798">
        <v>-136.465</v>
      </c>
      <c r="K798" s="1">
        <f>532.706</f>
        <v>532.70600000000002</v>
      </c>
      <c r="L798" s="1">
        <f>0</f>
        <v>0</v>
      </c>
    </row>
    <row r="799" spans="1:12" x14ac:dyDescent="0.25">
      <c r="A799">
        <f>80216313*0.00001</f>
        <v>802.16313000000002</v>
      </c>
      <c r="B799">
        <v>3488</v>
      </c>
      <c r="C799">
        <v>100</v>
      </c>
      <c r="D799">
        <v>305.96699999999998</v>
      </c>
      <c r="E799">
        <v>3426</v>
      </c>
      <c r="F799" s="1">
        <f>1605</f>
        <v>1605</v>
      </c>
      <c r="G799">
        <v>1</v>
      </c>
      <c r="H799">
        <v>0.2</v>
      </c>
      <c r="I799">
        <v>0</v>
      </c>
      <c r="J799">
        <v>-136.465</v>
      </c>
      <c r="K799">
        <v>532.70600000000002</v>
      </c>
      <c r="L799">
        <v>0</v>
      </c>
    </row>
    <row r="800" spans="1:12" x14ac:dyDescent="0.25">
      <c r="A800">
        <f>80216422*0.00001</f>
        <v>802.16422000000011</v>
      </c>
      <c r="B800">
        <v>3488</v>
      </c>
      <c r="C800">
        <v>101</v>
      </c>
      <c r="D800">
        <v>305.96699999999998</v>
      </c>
      <c r="E800">
        <v>3426</v>
      </c>
      <c r="F800">
        <v>1605</v>
      </c>
      <c r="G800" s="1">
        <f>1</f>
        <v>1</v>
      </c>
      <c r="H800" s="1">
        <f>0.2</f>
        <v>0.2</v>
      </c>
      <c r="I800" s="1">
        <f>0</f>
        <v>0</v>
      </c>
      <c r="J800">
        <v>-136.465</v>
      </c>
      <c r="K800">
        <v>532.70600000000002</v>
      </c>
      <c r="L800">
        <v>0</v>
      </c>
    </row>
    <row r="801" spans="1:12" x14ac:dyDescent="0.25">
      <c r="A801">
        <f>80216641*0.00001</f>
        <v>802.16641000000004</v>
      </c>
      <c r="B801">
        <v>3488</v>
      </c>
      <c r="C801">
        <v>103</v>
      </c>
      <c r="D801">
        <v>305.96699999999998</v>
      </c>
      <c r="E801">
        <v>3426</v>
      </c>
      <c r="F801">
        <v>1605</v>
      </c>
      <c r="G801">
        <v>1</v>
      </c>
      <c r="H801">
        <v>0.2</v>
      </c>
      <c r="I801">
        <v>0</v>
      </c>
      <c r="J801">
        <v>-136.465</v>
      </c>
      <c r="K801" s="1">
        <f>532.617</f>
        <v>532.61699999999996</v>
      </c>
      <c r="L801" s="1">
        <f>0</f>
        <v>0</v>
      </c>
    </row>
    <row r="802" spans="1:12" x14ac:dyDescent="0.25">
      <c r="A802">
        <f>80216859*0.00001</f>
        <v>802.16859000000011</v>
      </c>
      <c r="B802">
        <v>3488</v>
      </c>
      <c r="C802">
        <v>105</v>
      </c>
      <c r="D802">
        <v>305.96699999999998</v>
      </c>
      <c r="E802" s="1">
        <f>3442</f>
        <v>3442</v>
      </c>
      <c r="F802">
        <v>1605</v>
      </c>
      <c r="G802">
        <v>1</v>
      </c>
      <c r="H802">
        <v>0.2</v>
      </c>
      <c r="I802">
        <v>0</v>
      </c>
      <c r="J802">
        <v>-136.465</v>
      </c>
      <c r="K802">
        <v>532.61699999999996</v>
      </c>
      <c r="L802">
        <v>0</v>
      </c>
    </row>
    <row r="803" spans="1:12" x14ac:dyDescent="0.25">
      <c r="A803">
        <f>80216968*0.00001</f>
        <v>802.16968000000008</v>
      </c>
      <c r="B803">
        <v>3488</v>
      </c>
      <c r="C803">
        <v>106</v>
      </c>
      <c r="D803">
        <v>305.96699999999998</v>
      </c>
      <c r="E803">
        <v>3442</v>
      </c>
      <c r="F803" s="1">
        <f>1605</f>
        <v>1605</v>
      </c>
      <c r="G803" s="1">
        <f>1</f>
        <v>1</v>
      </c>
      <c r="H803" s="1">
        <f>0.2</f>
        <v>0.2</v>
      </c>
      <c r="I803">
        <v>0</v>
      </c>
      <c r="J803">
        <v>-136.465</v>
      </c>
      <c r="K803">
        <v>532.61699999999996</v>
      </c>
      <c r="L803">
        <v>0</v>
      </c>
    </row>
    <row r="804" spans="1:12" x14ac:dyDescent="0.25">
      <c r="A804">
        <f>80217186*0.00001</f>
        <v>802.17186000000004</v>
      </c>
      <c r="B804">
        <v>3488</v>
      </c>
      <c r="C804">
        <v>108</v>
      </c>
      <c r="D804">
        <v>305.96699999999998</v>
      </c>
      <c r="E804">
        <v>3442</v>
      </c>
      <c r="F804">
        <v>1605</v>
      </c>
      <c r="G804">
        <v>1</v>
      </c>
      <c r="H804">
        <v>0.2</v>
      </c>
      <c r="I804">
        <v>0</v>
      </c>
      <c r="J804" s="1">
        <f>-135.15</f>
        <v>-135.15</v>
      </c>
      <c r="K804">
        <v>532.61699999999996</v>
      </c>
      <c r="L804">
        <v>0</v>
      </c>
    </row>
    <row r="805" spans="1:12" x14ac:dyDescent="0.25">
      <c r="A805">
        <f>80217295*0.00001</f>
        <v>802.17295000000001</v>
      </c>
      <c r="B805">
        <v>3488</v>
      </c>
      <c r="C805">
        <v>109</v>
      </c>
      <c r="D805" s="1">
        <f>304.953</f>
        <v>304.95299999999997</v>
      </c>
      <c r="E805">
        <v>3442</v>
      </c>
      <c r="F805">
        <v>1605</v>
      </c>
      <c r="G805">
        <v>1</v>
      </c>
      <c r="H805">
        <v>0.2</v>
      </c>
      <c r="I805">
        <v>0</v>
      </c>
      <c r="J805">
        <v>-135.15</v>
      </c>
      <c r="K805" s="1">
        <f>532.51</f>
        <v>532.51</v>
      </c>
      <c r="L805" s="1">
        <f>0</f>
        <v>0</v>
      </c>
    </row>
    <row r="806" spans="1:12" x14ac:dyDescent="0.25">
      <c r="A806">
        <f>80217513*0.00001</f>
        <v>802.17513000000008</v>
      </c>
      <c r="B806">
        <v>3488</v>
      </c>
      <c r="C806">
        <v>111</v>
      </c>
      <c r="D806">
        <v>304.95299999999997</v>
      </c>
      <c r="E806">
        <v>3442</v>
      </c>
      <c r="F806" s="1">
        <f>1605</f>
        <v>1605</v>
      </c>
      <c r="G806">
        <v>1</v>
      </c>
      <c r="H806">
        <v>0.2</v>
      </c>
      <c r="I806">
        <v>0</v>
      </c>
      <c r="J806">
        <v>-135.15</v>
      </c>
      <c r="K806">
        <v>532.51</v>
      </c>
      <c r="L806">
        <v>0</v>
      </c>
    </row>
    <row r="807" spans="1:12" x14ac:dyDescent="0.25">
      <c r="A807">
        <f>80217622*0.00001</f>
        <v>802.17622000000006</v>
      </c>
      <c r="B807">
        <v>3488</v>
      </c>
      <c r="C807">
        <v>112</v>
      </c>
      <c r="D807">
        <v>304.95299999999997</v>
      </c>
      <c r="E807">
        <v>3442</v>
      </c>
      <c r="F807">
        <v>1605</v>
      </c>
      <c r="G807" s="1">
        <f>1</f>
        <v>1</v>
      </c>
      <c r="H807" s="1">
        <f>0.2</f>
        <v>0.2</v>
      </c>
      <c r="I807" s="1">
        <f>0</f>
        <v>0</v>
      </c>
      <c r="J807">
        <v>-135.15</v>
      </c>
      <c r="K807">
        <v>532.51</v>
      </c>
      <c r="L807">
        <v>0</v>
      </c>
    </row>
    <row r="808" spans="1:12" x14ac:dyDescent="0.25">
      <c r="A808">
        <f>80217840*0.00001</f>
        <v>802.17840000000001</v>
      </c>
      <c r="B808">
        <v>3488</v>
      </c>
      <c r="C808">
        <v>114</v>
      </c>
      <c r="D808">
        <v>304.95299999999997</v>
      </c>
      <c r="E808">
        <v>3442</v>
      </c>
      <c r="F808">
        <v>1605</v>
      </c>
      <c r="G808">
        <v>1</v>
      </c>
      <c r="H808">
        <v>0.2</v>
      </c>
      <c r="I808">
        <v>0</v>
      </c>
      <c r="J808">
        <v>-135.15</v>
      </c>
      <c r="K808" s="1">
        <f>532.421</f>
        <v>532.42100000000005</v>
      </c>
      <c r="L808" s="1">
        <f>0</f>
        <v>0</v>
      </c>
    </row>
    <row r="809" spans="1:12" x14ac:dyDescent="0.25">
      <c r="A809">
        <f>80218060*0.00001</f>
        <v>802.18060000000003</v>
      </c>
      <c r="B809">
        <v>3488</v>
      </c>
      <c r="C809">
        <v>116</v>
      </c>
      <c r="D809">
        <v>304.95299999999997</v>
      </c>
      <c r="E809" s="1">
        <f>3459</f>
        <v>3459</v>
      </c>
      <c r="F809">
        <v>1605</v>
      </c>
      <c r="G809">
        <v>1</v>
      </c>
      <c r="H809">
        <v>0.2</v>
      </c>
      <c r="I809">
        <v>0</v>
      </c>
      <c r="J809">
        <v>-135.15</v>
      </c>
      <c r="K809">
        <v>532.42100000000005</v>
      </c>
      <c r="L809">
        <v>0</v>
      </c>
    </row>
    <row r="810" spans="1:12" x14ac:dyDescent="0.25">
      <c r="A810">
        <f>80218170*0.00001</f>
        <v>802.18170000000009</v>
      </c>
      <c r="B810">
        <v>3488</v>
      </c>
      <c r="C810">
        <v>117</v>
      </c>
      <c r="D810">
        <v>304.95299999999997</v>
      </c>
      <c r="E810">
        <v>3459</v>
      </c>
      <c r="F810" s="1">
        <f>1605</f>
        <v>1605</v>
      </c>
      <c r="G810" s="1">
        <f>1</f>
        <v>1</v>
      </c>
      <c r="H810" s="1">
        <f>0.2</f>
        <v>0.2</v>
      </c>
      <c r="I810">
        <v>0</v>
      </c>
      <c r="J810">
        <v>-135.15</v>
      </c>
      <c r="K810">
        <v>532.42100000000005</v>
      </c>
      <c r="L810">
        <v>0</v>
      </c>
    </row>
    <row r="811" spans="1:12" x14ac:dyDescent="0.25">
      <c r="A811">
        <f>80218389*0.00001</f>
        <v>802.18389000000002</v>
      </c>
      <c r="B811">
        <v>3488</v>
      </c>
      <c r="C811">
        <v>119</v>
      </c>
      <c r="D811">
        <v>304.95299999999997</v>
      </c>
      <c r="E811">
        <v>3459</v>
      </c>
      <c r="F811">
        <v>1605</v>
      </c>
      <c r="G811">
        <v>1</v>
      </c>
      <c r="H811">
        <v>0.2</v>
      </c>
      <c r="I811">
        <v>0</v>
      </c>
      <c r="J811" s="1">
        <f>-133.837</f>
        <v>-133.83699999999999</v>
      </c>
      <c r="K811">
        <v>532.42100000000005</v>
      </c>
      <c r="L811">
        <v>0</v>
      </c>
    </row>
    <row r="812" spans="1:12" x14ac:dyDescent="0.25">
      <c r="A812">
        <f>80218499*0.00001</f>
        <v>802.18499000000008</v>
      </c>
      <c r="B812">
        <v>3488</v>
      </c>
      <c r="C812">
        <v>120</v>
      </c>
      <c r="D812" s="1">
        <f>303.931</f>
        <v>303.93099999999998</v>
      </c>
      <c r="E812">
        <v>3459</v>
      </c>
      <c r="F812">
        <v>1605</v>
      </c>
      <c r="G812">
        <v>1</v>
      </c>
      <c r="H812">
        <v>0.2</v>
      </c>
      <c r="I812">
        <v>0</v>
      </c>
      <c r="J812">
        <v>-133.83699999999999</v>
      </c>
      <c r="K812" s="1">
        <f>532.315</f>
        <v>532.31500000000005</v>
      </c>
      <c r="L812" s="1">
        <f>0</f>
        <v>0</v>
      </c>
    </row>
    <row r="813" spans="1:12" x14ac:dyDescent="0.25">
      <c r="A813">
        <f>80218718*0.00001</f>
        <v>802.18718000000001</v>
      </c>
      <c r="B813">
        <v>3488</v>
      </c>
      <c r="C813">
        <v>122</v>
      </c>
      <c r="D813">
        <v>303.93099999999998</v>
      </c>
      <c r="E813">
        <v>3459</v>
      </c>
      <c r="F813" s="1">
        <f>1605</f>
        <v>1605</v>
      </c>
      <c r="G813">
        <v>1</v>
      </c>
      <c r="H813">
        <v>0.2</v>
      </c>
      <c r="I813">
        <v>0</v>
      </c>
      <c r="J813">
        <v>-133.83699999999999</v>
      </c>
      <c r="K813">
        <v>532.31500000000005</v>
      </c>
      <c r="L813">
        <v>0</v>
      </c>
    </row>
    <row r="814" spans="1:12" x14ac:dyDescent="0.25">
      <c r="A814">
        <f>80218828*0.00001</f>
        <v>802.18828000000008</v>
      </c>
      <c r="B814">
        <v>3488</v>
      </c>
      <c r="C814">
        <v>123</v>
      </c>
      <c r="D814">
        <v>303.93099999999998</v>
      </c>
      <c r="E814">
        <v>3459</v>
      </c>
      <c r="F814">
        <v>1605</v>
      </c>
      <c r="G814" s="1">
        <f>1</f>
        <v>1</v>
      </c>
      <c r="H814" s="1">
        <f>0.2</f>
        <v>0.2</v>
      </c>
      <c r="I814" s="1">
        <f>0</f>
        <v>0</v>
      </c>
      <c r="J814">
        <v>-133.83699999999999</v>
      </c>
      <c r="K814">
        <v>532.31500000000005</v>
      </c>
      <c r="L814">
        <v>0</v>
      </c>
    </row>
    <row r="815" spans="1:12" x14ac:dyDescent="0.25">
      <c r="A815">
        <f>80219048*0.00001</f>
        <v>802.19048000000009</v>
      </c>
      <c r="B815">
        <v>3488</v>
      </c>
      <c r="C815">
        <v>125</v>
      </c>
      <c r="D815">
        <v>303.93099999999998</v>
      </c>
      <c r="E815">
        <v>3459</v>
      </c>
      <c r="F815">
        <v>1605</v>
      </c>
      <c r="G815">
        <v>1</v>
      </c>
      <c r="H815">
        <v>0.2</v>
      </c>
      <c r="I815">
        <v>0</v>
      </c>
      <c r="J815">
        <v>-133.83699999999999</v>
      </c>
      <c r="K815" s="1">
        <f>532.226</f>
        <v>532.226</v>
      </c>
      <c r="L815">
        <v>0</v>
      </c>
    </row>
    <row r="816" spans="1:12" x14ac:dyDescent="0.25">
      <c r="A816">
        <f>80219158*0.00001</f>
        <v>802.19158000000004</v>
      </c>
      <c r="B816">
        <v>3488</v>
      </c>
      <c r="C816">
        <v>126</v>
      </c>
      <c r="D816" s="1">
        <f>303.467</f>
        <v>303.46699999999998</v>
      </c>
      <c r="E816" s="1">
        <f>3476</f>
        <v>3476</v>
      </c>
      <c r="F816">
        <v>1605</v>
      </c>
      <c r="G816">
        <v>1</v>
      </c>
      <c r="H816">
        <v>0.2</v>
      </c>
      <c r="I816">
        <v>0</v>
      </c>
      <c r="J816">
        <v>-133.83699999999999</v>
      </c>
      <c r="K816">
        <v>532.226</v>
      </c>
      <c r="L816" s="1">
        <f>0</f>
        <v>0</v>
      </c>
    </row>
    <row r="817" spans="1:12" x14ac:dyDescent="0.25">
      <c r="A817">
        <f>80219378*0.00001</f>
        <v>802.19378000000006</v>
      </c>
      <c r="B817">
        <v>3488</v>
      </c>
      <c r="C817">
        <v>128</v>
      </c>
      <c r="D817">
        <v>303.46699999999998</v>
      </c>
      <c r="E817">
        <v>3476</v>
      </c>
      <c r="F817">
        <v>1605</v>
      </c>
      <c r="G817" s="1">
        <f>1</f>
        <v>1</v>
      </c>
      <c r="H817">
        <v>0.2</v>
      </c>
      <c r="I817">
        <v>0</v>
      </c>
      <c r="J817">
        <v>-133.83699999999999</v>
      </c>
      <c r="K817">
        <v>532.226</v>
      </c>
      <c r="L817">
        <v>0</v>
      </c>
    </row>
    <row r="818" spans="1:12" x14ac:dyDescent="0.25">
      <c r="A818">
        <f>80219488*0.00001</f>
        <v>802.19488000000001</v>
      </c>
      <c r="B818">
        <v>3488</v>
      </c>
      <c r="C818">
        <v>129</v>
      </c>
      <c r="D818">
        <v>303.46699999999998</v>
      </c>
      <c r="E818">
        <v>3476</v>
      </c>
      <c r="F818">
        <v>1605</v>
      </c>
      <c r="G818">
        <v>1</v>
      </c>
      <c r="H818" s="1">
        <f>0.2</f>
        <v>0.2</v>
      </c>
      <c r="I818" s="1">
        <f>0</f>
        <v>0</v>
      </c>
      <c r="J818" s="1">
        <f>-132.545</f>
        <v>-132.54499999999999</v>
      </c>
      <c r="K818">
        <v>532.226</v>
      </c>
      <c r="L818">
        <v>0</v>
      </c>
    </row>
    <row r="819" spans="1:12" x14ac:dyDescent="0.25">
      <c r="A819">
        <f>80219708*0.00001</f>
        <v>802.19708000000003</v>
      </c>
      <c r="B819">
        <v>3488</v>
      </c>
      <c r="C819">
        <v>131</v>
      </c>
      <c r="D819" s="1">
        <f>302.929</f>
        <v>302.92899999999997</v>
      </c>
      <c r="E819">
        <v>3476</v>
      </c>
      <c r="F819">
        <v>1605</v>
      </c>
      <c r="G819">
        <v>1</v>
      </c>
      <c r="H819">
        <v>0.2</v>
      </c>
      <c r="I819">
        <v>0</v>
      </c>
      <c r="J819">
        <v>-132.54499999999999</v>
      </c>
      <c r="K819">
        <v>532.226</v>
      </c>
      <c r="L819" s="1">
        <f>0</f>
        <v>0</v>
      </c>
    </row>
    <row r="820" spans="1:12" x14ac:dyDescent="0.25">
      <c r="A820">
        <f>80219929*0.00001</f>
        <v>802.19929000000002</v>
      </c>
      <c r="B820">
        <v>3488</v>
      </c>
      <c r="C820">
        <v>133</v>
      </c>
      <c r="D820">
        <v>302.92899999999997</v>
      </c>
      <c r="E820">
        <v>3476</v>
      </c>
      <c r="F820" s="1">
        <f>1605</f>
        <v>1605</v>
      </c>
      <c r="G820">
        <v>1</v>
      </c>
      <c r="H820">
        <v>0.2</v>
      </c>
      <c r="I820">
        <v>0</v>
      </c>
      <c r="J820">
        <v>-132.54499999999999</v>
      </c>
      <c r="K820">
        <v>532.226</v>
      </c>
      <c r="L820">
        <v>0</v>
      </c>
    </row>
    <row r="821" spans="1:12" x14ac:dyDescent="0.25">
      <c r="A821">
        <f>80220039*0.00001</f>
        <v>802.20039000000008</v>
      </c>
      <c r="B821">
        <v>3488</v>
      </c>
      <c r="C821">
        <v>134</v>
      </c>
      <c r="D821">
        <v>302.92899999999997</v>
      </c>
      <c r="E821">
        <v>3476</v>
      </c>
      <c r="F821">
        <v>1605</v>
      </c>
      <c r="G821" s="1">
        <f>1</f>
        <v>1</v>
      </c>
      <c r="H821" s="1">
        <f>0.2</f>
        <v>0.2</v>
      </c>
      <c r="I821" s="1">
        <f>0</f>
        <v>0</v>
      </c>
      <c r="J821">
        <v>-132.54499999999999</v>
      </c>
      <c r="K821">
        <v>532.226</v>
      </c>
      <c r="L821">
        <v>0</v>
      </c>
    </row>
    <row r="822" spans="1:12" x14ac:dyDescent="0.25">
      <c r="A822">
        <f>80220259*0.00001</f>
        <v>802.2025900000001</v>
      </c>
      <c r="B822">
        <v>3488</v>
      </c>
      <c r="C822">
        <v>136</v>
      </c>
      <c r="D822">
        <v>302.92899999999997</v>
      </c>
      <c r="E822">
        <v>3476</v>
      </c>
      <c r="F822">
        <v>1605</v>
      </c>
      <c r="G822">
        <v>1</v>
      </c>
      <c r="H822">
        <v>0.2</v>
      </c>
      <c r="I822">
        <v>0</v>
      </c>
      <c r="J822">
        <v>-132.54499999999999</v>
      </c>
      <c r="K822" s="1">
        <f>532.033</f>
        <v>532.03300000000002</v>
      </c>
      <c r="L822">
        <v>0</v>
      </c>
    </row>
    <row r="823" spans="1:12" x14ac:dyDescent="0.25">
      <c r="A823">
        <f>80220370*0.00001</f>
        <v>802.20370000000003</v>
      </c>
      <c r="B823">
        <v>3488</v>
      </c>
      <c r="C823">
        <v>137</v>
      </c>
      <c r="D823" s="1">
        <f>302.47</f>
        <v>302.47000000000003</v>
      </c>
      <c r="E823" s="1">
        <f>3491</f>
        <v>3491</v>
      </c>
      <c r="F823">
        <v>1605</v>
      </c>
      <c r="G823">
        <v>1</v>
      </c>
      <c r="H823">
        <v>0.2</v>
      </c>
      <c r="I823">
        <v>0</v>
      </c>
      <c r="J823">
        <v>-132.54499999999999</v>
      </c>
      <c r="K823">
        <v>532.03300000000002</v>
      </c>
      <c r="L823" s="1">
        <f>0</f>
        <v>0</v>
      </c>
    </row>
    <row r="824" spans="1:12" x14ac:dyDescent="0.25">
      <c r="A824">
        <f>80220592*0.00001</f>
        <v>802.20592000000011</v>
      </c>
      <c r="B824">
        <v>3488</v>
      </c>
      <c r="C824">
        <v>139</v>
      </c>
      <c r="D824">
        <v>302.47000000000003</v>
      </c>
      <c r="E824">
        <v>3491</v>
      </c>
      <c r="F824">
        <v>1605</v>
      </c>
      <c r="G824" s="1">
        <f>1</f>
        <v>1</v>
      </c>
      <c r="H824">
        <v>0.2</v>
      </c>
      <c r="I824">
        <v>0</v>
      </c>
      <c r="J824">
        <v>-132.54499999999999</v>
      </c>
      <c r="K824">
        <v>532.03300000000002</v>
      </c>
      <c r="L824">
        <v>0</v>
      </c>
    </row>
    <row r="825" spans="1:12" x14ac:dyDescent="0.25">
      <c r="A825">
        <f>80220703*0.00001</f>
        <v>802.20703000000003</v>
      </c>
      <c r="B825">
        <v>3488</v>
      </c>
      <c r="C825">
        <v>140</v>
      </c>
      <c r="D825">
        <v>302.47000000000003</v>
      </c>
      <c r="E825">
        <v>3491</v>
      </c>
      <c r="F825">
        <v>1605</v>
      </c>
      <c r="G825">
        <v>1</v>
      </c>
      <c r="H825" s="1">
        <f>0.2</f>
        <v>0.2</v>
      </c>
      <c r="I825" s="1">
        <f>0</f>
        <v>0</v>
      </c>
      <c r="J825" s="1">
        <f>-131.219</f>
        <v>-131.21899999999999</v>
      </c>
      <c r="K825">
        <v>532.03300000000002</v>
      </c>
      <c r="L825">
        <v>0</v>
      </c>
    </row>
    <row r="826" spans="1:12" x14ac:dyDescent="0.25">
      <c r="A826">
        <f>80220925*0.00001</f>
        <v>802.20925000000011</v>
      </c>
      <c r="B826">
        <v>3488</v>
      </c>
      <c r="C826">
        <v>142</v>
      </c>
      <c r="D826">
        <v>302.47000000000003</v>
      </c>
      <c r="E826">
        <v>3491</v>
      </c>
      <c r="F826">
        <v>1605</v>
      </c>
      <c r="G826">
        <v>1</v>
      </c>
      <c r="H826">
        <v>0.2</v>
      </c>
      <c r="I826">
        <v>0</v>
      </c>
      <c r="J826">
        <v>-131.21899999999999</v>
      </c>
      <c r="K826">
        <v>532.03300000000002</v>
      </c>
      <c r="L826" s="1">
        <f>0</f>
        <v>0</v>
      </c>
    </row>
    <row r="827" spans="1:12" x14ac:dyDescent="0.25">
      <c r="A827">
        <f>80221036*0.00001</f>
        <v>802.21036000000004</v>
      </c>
      <c r="B827">
        <v>3488</v>
      </c>
      <c r="C827">
        <v>143</v>
      </c>
      <c r="D827" s="1">
        <f>301.92</f>
        <v>301.92</v>
      </c>
      <c r="E827" s="1">
        <f>3500</f>
        <v>3500</v>
      </c>
      <c r="F827" s="1">
        <f>1605</f>
        <v>1605</v>
      </c>
      <c r="G827">
        <v>1</v>
      </c>
      <c r="H827">
        <v>0.2</v>
      </c>
      <c r="I827">
        <v>0</v>
      </c>
      <c r="J827">
        <v>-131.21899999999999</v>
      </c>
      <c r="K827">
        <v>532.03300000000002</v>
      </c>
      <c r="L827">
        <v>0</v>
      </c>
    </row>
    <row r="828" spans="1:12" x14ac:dyDescent="0.25">
      <c r="A828">
        <f>80221256*0.00001</f>
        <v>802.21256000000005</v>
      </c>
      <c r="B828">
        <v>3488</v>
      </c>
      <c r="C828">
        <v>145</v>
      </c>
      <c r="D828">
        <v>301.92</v>
      </c>
      <c r="E828">
        <v>3500</v>
      </c>
      <c r="F828">
        <v>1605</v>
      </c>
      <c r="G828">
        <v>1</v>
      </c>
      <c r="H828" s="1">
        <f>0.2</f>
        <v>0.2</v>
      </c>
      <c r="I828">
        <v>0</v>
      </c>
      <c r="J828">
        <v>-131.21899999999999</v>
      </c>
      <c r="K828">
        <v>532.03300000000002</v>
      </c>
      <c r="L828">
        <v>0</v>
      </c>
    </row>
    <row r="829" spans="1:12" x14ac:dyDescent="0.25">
      <c r="A829">
        <f>80221366*0.00001</f>
        <v>802.21366000000012</v>
      </c>
      <c r="B829">
        <v>3488</v>
      </c>
      <c r="C829">
        <v>146</v>
      </c>
      <c r="D829">
        <v>301.92</v>
      </c>
      <c r="E829">
        <v>3500</v>
      </c>
      <c r="F829">
        <v>1605</v>
      </c>
      <c r="G829">
        <v>1</v>
      </c>
      <c r="H829">
        <v>0.2</v>
      </c>
      <c r="I829" s="1">
        <f>0</f>
        <v>0</v>
      </c>
      <c r="J829" s="1">
        <f>-130.638</f>
        <v>-130.63800000000001</v>
      </c>
      <c r="K829" s="1">
        <f>531.841</f>
        <v>531.84100000000001</v>
      </c>
      <c r="L829">
        <v>0</v>
      </c>
    </row>
    <row r="830" spans="1:12" x14ac:dyDescent="0.25">
      <c r="A830">
        <f>80221588*0.00001</f>
        <v>802.21588000000008</v>
      </c>
      <c r="B830">
        <v>3488</v>
      </c>
      <c r="C830">
        <v>148</v>
      </c>
      <c r="D830" s="1">
        <f>301.482</f>
        <v>301.48200000000003</v>
      </c>
      <c r="E830">
        <v>3500</v>
      </c>
      <c r="F830">
        <v>1605</v>
      </c>
      <c r="G830">
        <v>1</v>
      </c>
      <c r="H830">
        <v>0.2</v>
      </c>
      <c r="I830">
        <v>0</v>
      </c>
      <c r="J830">
        <v>-130.63800000000001</v>
      </c>
      <c r="K830">
        <v>531.84100000000001</v>
      </c>
      <c r="L830">
        <v>0</v>
      </c>
    </row>
    <row r="831" spans="1:12" x14ac:dyDescent="0.25">
      <c r="A831">
        <f>80221698*0.00001</f>
        <v>802.21698000000004</v>
      </c>
      <c r="B831">
        <v>3488</v>
      </c>
      <c r="C831">
        <v>149</v>
      </c>
      <c r="D831">
        <v>301.48200000000003</v>
      </c>
      <c r="E831" s="1">
        <f>3507</f>
        <v>3507</v>
      </c>
      <c r="F831" s="1">
        <f>1605</f>
        <v>1605</v>
      </c>
      <c r="G831" s="1">
        <f>1</f>
        <v>1</v>
      </c>
      <c r="H831">
        <v>0.2</v>
      </c>
      <c r="I831">
        <v>0</v>
      </c>
      <c r="J831">
        <v>-130.63800000000001</v>
      </c>
      <c r="K831">
        <v>531.84100000000001</v>
      </c>
      <c r="L831">
        <v>0</v>
      </c>
    </row>
    <row r="832" spans="1:12" x14ac:dyDescent="0.25">
      <c r="A832">
        <f>80221920*0.00001</f>
        <v>802.21920000000011</v>
      </c>
      <c r="B832">
        <v>3488</v>
      </c>
      <c r="C832">
        <v>151</v>
      </c>
      <c r="D832">
        <v>301.48200000000003</v>
      </c>
      <c r="E832">
        <v>3507</v>
      </c>
      <c r="F832">
        <v>1605</v>
      </c>
      <c r="G832">
        <v>1</v>
      </c>
      <c r="H832">
        <v>0.2</v>
      </c>
      <c r="I832" s="1">
        <f>0</f>
        <v>0</v>
      </c>
      <c r="J832">
        <v>-130.63800000000001</v>
      </c>
      <c r="K832">
        <v>531.84100000000001</v>
      </c>
      <c r="L832">
        <v>0</v>
      </c>
    </row>
    <row r="833" spans="1:12" x14ac:dyDescent="0.25">
      <c r="A833">
        <f>80222030*0.00001</f>
        <v>802.22030000000007</v>
      </c>
      <c r="B833">
        <v>3488</v>
      </c>
      <c r="C833">
        <v>152</v>
      </c>
      <c r="D833">
        <v>301.48200000000003</v>
      </c>
      <c r="E833">
        <v>3507</v>
      </c>
      <c r="F833">
        <v>1605</v>
      </c>
      <c r="G833">
        <v>1</v>
      </c>
      <c r="H833">
        <v>0.2</v>
      </c>
      <c r="I833">
        <v>0</v>
      </c>
      <c r="J833" s="1">
        <f>-129.927</f>
        <v>-129.92699999999999</v>
      </c>
      <c r="K833" s="1">
        <f>531.754</f>
        <v>531.75400000000002</v>
      </c>
      <c r="L833" s="1">
        <f>0</f>
        <v>0</v>
      </c>
    </row>
    <row r="834" spans="1:12" x14ac:dyDescent="0.25">
      <c r="A834">
        <f>80222252*0.00001</f>
        <v>802.22252000000003</v>
      </c>
      <c r="B834">
        <v>3488</v>
      </c>
      <c r="C834">
        <v>154</v>
      </c>
      <c r="D834">
        <v>301.48200000000003</v>
      </c>
      <c r="E834" s="1">
        <f>3516</f>
        <v>3516</v>
      </c>
      <c r="F834">
        <v>1605</v>
      </c>
      <c r="G834">
        <v>1</v>
      </c>
      <c r="H834">
        <v>0.2</v>
      </c>
      <c r="I834">
        <v>0</v>
      </c>
      <c r="J834">
        <v>-129.92699999999999</v>
      </c>
      <c r="K834">
        <v>531.75400000000002</v>
      </c>
      <c r="L834">
        <v>0</v>
      </c>
    </row>
    <row r="835" spans="1:12" x14ac:dyDescent="0.25">
      <c r="A835">
        <f>80222363*0.00001</f>
        <v>802.22363000000007</v>
      </c>
      <c r="B835">
        <v>3488</v>
      </c>
      <c r="C835">
        <v>155</v>
      </c>
      <c r="D835">
        <v>301.48200000000003</v>
      </c>
      <c r="E835">
        <v>3516</v>
      </c>
      <c r="F835" s="1">
        <f>1605</f>
        <v>1605</v>
      </c>
      <c r="G835" s="1">
        <f>1</f>
        <v>1</v>
      </c>
      <c r="H835" s="1">
        <f>0.2</f>
        <v>0.2</v>
      </c>
      <c r="I835">
        <v>0</v>
      </c>
      <c r="J835">
        <v>-129.92699999999999</v>
      </c>
      <c r="K835">
        <v>531.75400000000002</v>
      </c>
      <c r="L835">
        <v>0</v>
      </c>
    </row>
    <row r="836" spans="1:12" x14ac:dyDescent="0.25">
      <c r="A836">
        <f>80222585*0.00001</f>
        <v>802.22585000000004</v>
      </c>
      <c r="B836">
        <v>3488</v>
      </c>
      <c r="C836">
        <v>157</v>
      </c>
      <c r="D836">
        <v>301.48200000000003</v>
      </c>
      <c r="E836">
        <v>3516</v>
      </c>
      <c r="F836">
        <v>1605</v>
      </c>
      <c r="G836">
        <v>1</v>
      </c>
      <c r="H836">
        <v>0.2</v>
      </c>
      <c r="I836">
        <v>0</v>
      </c>
      <c r="J836" s="1">
        <f>-129.338</f>
        <v>-129.33799999999999</v>
      </c>
      <c r="K836">
        <v>531.75400000000002</v>
      </c>
      <c r="L836">
        <v>0</v>
      </c>
    </row>
    <row r="837" spans="1:12" x14ac:dyDescent="0.25">
      <c r="A837">
        <f>80222696*0.00001</f>
        <v>802.22696000000008</v>
      </c>
      <c r="B837">
        <v>3488</v>
      </c>
      <c r="C837">
        <v>158</v>
      </c>
      <c r="D837" s="1">
        <f>300.501</f>
        <v>300.50099999999998</v>
      </c>
      <c r="E837">
        <v>3516</v>
      </c>
      <c r="F837">
        <v>1605</v>
      </c>
      <c r="G837">
        <v>1</v>
      </c>
      <c r="H837">
        <v>0.2</v>
      </c>
      <c r="I837">
        <v>0</v>
      </c>
      <c r="J837">
        <v>-129.33799999999999</v>
      </c>
      <c r="K837" s="1">
        <f>531.65</f>
        <v>531.65</v>
      </c>
      <c r="L837" s="1">
        <f>0</f>
        <v>0</v>
      </c>
    </row>
    <row r="838" spans="1:12" x14ac:dyDescent="0.25">
      <c r="A838">
        <f>80222918*0.00001</f>
        <v>802.22918000000004</v>
      </c>
      <c r="B838">
        <v>3488</v>
      </c>
      <c r="C838">
        <v>160</v>
      </c>
      <c r="D838">
        <v>300.50099999999998</v>
      </c>
      <c r="E838">
        <v>3516</v>
      </c>
      <c r="F838" s="1">
        <f>1605</f>
        <v>1605</v>
      </c>
      <c r="G838">
        <v>1</v>
      </c>
      <c r="H838">
        <v>0.2</v>
      </c>
      <c r="I838">
        <v>0</v>
      </c>
      <c r="J838">
        <v>-129.33799999999999</v>
      </c>
      <c r="K838">
        <v>531.65</v>
      </c>
      <c r="L838">
        <v>0</v>
      </c>
    </row>
    <row r="839" spans="1:12" x14ac:dyDescent="0.25">
      <c r="A839">
        <f>80223030*0.00001</f>
        <v>802.23030000000006</v>
      </c>
      <c r="B839">
        <v>3488</v>
      </c>
      <c r="C839">
        <v>161</v>
      </c>
      <c r="D839">
        <v>300.50099999999998</v>
      </c>
      <c r="E839">
        <v>3516</v>
      </c>
      <c r="F839">
        <v>1605</v>
      </c>
      <c r="G839" s="1">
        <f>1</f>
        <v>1</v>
      </c>
      <c r="H839" s="1">
        <f>0.2</f>
        <v>0.2</v>
      </c>
      <c r="I839" s="1">
        <f>0</f>
        <v>0</v>
      </c>
      <c r="J839">
        <v>-129.33799999999999</v>
      </c>
      <c r="K839">
        <v>531.65</v>
      </c>
      <c r="L839">
        <v>0</v>
      </c>
    </row>
    <row r="840" spans="1:12" x14ac:dyDescent="0.25">
      <c r="A840">
        <f>80223252*0.00001</f>
        <v>802.23252000000002</v>
      </c>
      <c r="B840">
        <v>3488</v>
      </c>
      <c r="C840">
        <v>163</v>
      </c>
      <c r="D840">
        <v>300.50099999999998</v>
      </c>
      <c r="E840">
        <v>3516</v>
      </c>
      <c r="F840">
        <v>1605</v>
      </c>
      <c r="G840">
        <v>1</v>
      </c>
      <c r="H840">
        <v>0.2</v>
      </c>
      <c r="I840">
        <v>0</v>
      </c>
      <c r="J840">
        <v>-129.33799999999999</v>
      </c>
      <c r="K840" s="1">
        <f>531.564</f>
        <v>531.56399999999996</v>
      </c>
      <c r="L840">
        <v>0</v>
      </c>
    </row>
    <row r="841" spans="1:12" x14ac:dyDescent="0.25">
      <c r="A841">
        <f>80223363*0.00001</f>
        <v>802.23363000000006</v>
      </c>
      <c r="B841">
        <v>3488</v>
      </c>
      <c r="C841">
        <v>164</v>
      </c>
      <c r="D841" s="1">
        <f>300.046</f>
        <v>300.04599999999999</v>
      </c>
      <c r="E841" s="1">
        <f>3533</f>
        <v>3533</v>
      </c>
      <c r="F841">
        <v>1605</v>
      </c>
      <c r="G841">
        <v>1</v>
      </c>
      <c r="H841">
        <v>0.2</v>
      </c>
      <c r="I841">
        <v>0</v>
      </c>
      <c r="J841">
        <v>-129.33799999999999</v>
      </c>
      <c r="K841">
        <v>531.56399999999996</v>
      </c>
      <c r="L841" s="1">
        <f>0</f>
        <v>0</v>
      </c>
    </row>
    <row r="842" spans="1:12" x14ac:dyDescent="0.25">
      <c r="A842">
        <f>80223586*0.00001</f>
        <v>802.23586000000012</v>
      </c>
      <c r="B842">
        <v>3488</v>
      </c>
      <c r="C842">
        <v>166</v>
      </c>
      <c r="D842">
        <v>300.04599999999999</v>
      </c>
      <c r="E842">
        <v>3533</v>
      </c>
      <c r="F842">
        <v>1605</v>
      </c>
      <c r="G842" s="1">
        <f>1</f>
        <v>1</v>
      </c>
      <c r="H842">
        <v>0.2</v>
      </c>
      <c r="I842">
        <v>0</v>
      </c>
      <c r="J842">
        <v>-129.33799999999999</v>
      </c>
      <c r="K842">
        <v>531.56399999999996</v>
      </c>
      <c r="L842">
        <v>0</v>
      </c>
    </row>
    <row r="843" spans="1:12" x14ac:dyDescent="0.25">
      <c r="A843">
        <f>80223697*0.00001</f>
        <v>802.23697000000004</v>
      </c>
      <c r="B843">
        <v>3488</v>
      </c>
      <c r="C843">
        <v>167</v>
      </c>
      <c r="D843">
        <v>300.04599999999999</v>
      </c>
      <c r="E843">
        <v>3533</v>
      </c>
      <c r="F843">
        <v>1605</v>
      </c>
      <c r="G843">
        <v>1</v>
      </c>
      <c r="H843" s="1">
        <f>0.2</f>
        <v>0.2</v>
      </c>
      <c r="I843" s="1">
        <f>0</f>
        <v>0</v>
      </c>
      <c r="J843" s="1">
        <f>-128.033</f>
        <v>-128.03299999999999</v>
      </c>
      <c r="K843">
        <v>531.56399999999996</v>
      </c>
      <c r="L843">
        <v>0</v>
      </c>
    </row>
    <row r="844" spans="1:12" x14ac:dyDescent="0.25">
      <c r="A844">
        <f>80223919*0.00001</f>
        <v>802.23919000000012</v>
      </c>
      <c r="B844">
        <v>3488</v>
      </c>
      <c r="C844">
        <v>169</v>
      </c>
      <c r="D844">
        <v>300.04599999999999</v>
      </c>
      <c r="E844">
        <v>3533</v>
      </c>
      <c r="F844">
        <v>1605</v>
      </c>
      <c r="G844">
        <v>1</v>
      </c>
      <c r="H844">
        <v>0.2</v>
      </c>
      <c r="I844">
        <v>0</v>
      </c>
      <c r="J844">
        <v>-128.03299999999999</v>
      </c>
      <c r="K844">
        <v>531.56399999999996</v>
      </c>
      <c r="L844" s="1">
        <f>0</f>
        <v>0</v>
      </c>
    </row>
    <row r="845" spans="1:12" x14ac:dyDescent="0.25">
      <c r="A845">
        <f>80224030*0.00001</f>
        <v>802.24030000000005</v>
      </c>
      <c r="B845">
        <v>3488</v>
      </c>
      <c r="C845">
        <v>170</v>
      </c>
      <c r="D845" s="1">
        <f>299.512</f>
        <v>299.512</v>
      </c>
      <c r="E845" s="1">
        <f>3541</f>
        <v>3541</v>
      </c>
      <c r="F845" s="1">
        <f>1605</f>
        <v>1605</v>
      </c>
      <c r="G845">
        <v>1</v>
      </c>
      <c r="H845">
        <v>0.2</v>
      </c>
      <c r="I845">
        <v>0</v>
      </c>
      <c r="J845">
        <v>-128.03299999999999</v>
      </c>
      <c r="K845">
        <v>531.56399999999996</v>
      </c>
      <c r="L845">
        <v>0</v>
      </c>
    </row>
    <row r="846" spans="1:12" x14ac:dyDescent="0.25">
      <c r="A846">
        <f>80224252*0.00001</f>
        <v>802.24252000000001</v>
      </c>
      <c r="B846">
        <v>3488</v>
      </c>
      <c r="C846">
        <v>172</v>
      </c>
      <c r="D846">
        <v>299.512</v>
      </c>
      <c r="E846">
        <v>3541</v>
      </c>
      <c r="F846">
        <v>1605</v>
      </c>
      <c r="G846">
        <v>1</v>
      </c>
      <c r="H846" s="1">
        <f>0.2</f>
        <v>0.2</v>
      </c>
      <c r="I846">
        <v>0</v>
      </c>
      <c r="J846">
        <v>-128.03299999999999</v>
      </c>
      <c r="K846">
        <v>531.56399999999996</v>
      </c>
      <c r="L846">
        <v>0</v>
      </c>
    </row>
    <row r="847" spans="1:12" x14ac:dyDescent="0.25">
      <c r="A847">
        <f>80224363*0.00001</f>
        <v>802.24363000000005</v>
      </c>
      <c r="B847">
        <v>3488</v>
      </c>
      <c r="C847">
        <v>173</v>
      </c>
      <c r="D847">
        <v>299.512</v>
      </c>
      <c r="E847">
        <v>3541</v>
      </c>
      <c r="F847">
        <v>1605</v>
      </c>
      <c r="G847">
        <v>1</v>
      </c>
      <c r="H847">
        <v>0.2</v>
      </c>
      <c r="I847" s="1">
        <f>0</f>
        <v>0</v>
      </c>
      <c r="J847" s="1">
        <f>-127.465</f>
        <v>-127.465</v>
      </c>
      <c r="K847" s="1">
        <f>531.375</f>
        <v>531.375</v>
      </c>
      <c r="L847">
        <v>0</v>
      </c>
    </row>
    <row r="848" spans="1:12" x14ac:dyDescent="0.25">
      <c r="A848">
        <f>80224587*0.00001</f>
        <v>802.24587000000008</v>
      </c>
      <c r="B848">
        <v>3488</v>
      </c>
      <c r="C848">
        <v>175</v>
      </c>
      <c r="D848" s="1">
        <f>299.061</f>
        <v>299.06099999999998</v>
      </c>
      <c r="E848">
        <v>3541</v>
      </c>
      <c r="F848">
        <v>1605</v>
      </c>
      <c r="G848">
        <v>1</v>
      </c>
      <c r="H848">
        <v>0.2</v>
      </c>
      <c r="I848">
        <v>0</v>
      </c>
      <c r="J848">
        <v>-127.465</v>
      </c>
      <c r="K848">
        <v>531.375</v>
      </c>
      <c r="L848">
        <v>0</v>
      </c>
    </row>
    <row r="849" spans="1:12" x14ac:dyDescent="0.25">
      <c r="A849">
        <f>80224699*0.00001</f>
        <v>802.2469900000001</v>
      </c>
      <c r="B849">
        <v>3488</v>
      </c>
      <c r="C849">
        <v>176</v>
      </c>
      <c r="D849">
        <v>299.06099999999998</v>
      </c>
      <c r="E849" s="1">
        <f>3548</f>
        <v>3548</v>
      </c>
      <c r="F849" s="1">
        <f>1605</f>
        <v>1605</v>
      </c>
      <c r="G849" s="1">
        <f>1</f>
        <v>1</v>
      </c>
      <c r="H849">
        <v>0.2</v>
      </c>
      <c r="I849">
        <v>0</v>
      </c>
      <c r="J849">
        <v>-127.465</v>
      </c>
      <c r="K849">
        <v>531.375</v>
      </c>
      <c r="L849">
        <v>0</v>
      </c>
    </row>
    <row r="850" spans="1:12" x14ac:dyDescent="0.25">
      <c r="A850">
        <f>80224922*0.00001</f>
        <v>802.24922000000004</v>
      </c>
      <c r="B850">
        <v>3488</v>
      </c>
      <c r="C850">
        <v>178</v>
      </c>
      <c r="D850">
        <v>299.06099999999998</v>
      </c>
      <c r="E850">
        <v>3548</v>
      </c>
      <c r="F850">
        <v>1605</v>
      </c>
      <c r="G850">
        <v>1</v>
      </c>
      <c r="H850">
        <v>0.2</v>
      </c>
      <c r="I850" s="1">
        <f>0</f>
        <v>0</v>
      </c>
      <c r="J850" s="1">
        <f>-126.892</f>
        <v>-126.892</v>
      </c>
      <c r="K850" s="1">
        <f>531.306</f>
        <v>531.30600000000004</v>
      </c>
      <c r="L850" s="1">
        <f>0</f>
        <v>0</v>
      </c>
    </row>
    <row r="851" spans="1:12" s="2" customFormat="1" x14ac:dyDescent="0.25">
      <c r="A851" s="2">
        <f>80225258*0.00001</f>
        <v>802.25258000000008</v>
      </c>
      <c r="B851" s="2">
        <v>3489</v>
      </c>
      <c r="C851" s="2">
        <v>1</v>
      </c>
      <c r="D851" s="2">
        <v>299.06099999999998</v>
      </c>
      <c r="E851" s="1">
        <f>3554</f>
        <v>3554</v>
      </c>
      <c r="F851" s="2">
        <v>1605</v>
      </c>
      <c r="G851" s="2">
        <v>1</v>
      </c>
      <c r="H851" s="2">
        <v>0.2</v>
      </c>
      <c r="I851" s="2">
        <v>0</v>
      </c>
      <c r="J851" s="2">
        <v>-126.892</v>
      </c>
      <c r="K851" s="2">
        <v>531.30600000000004</v>
      </c>
      <c r="L851" s="2">
        <v>0</v>
      </c>
    </row>
    <row r="852" spans="1:12" x14ac:dyDescent="0.25">
      <c r="A852">
        <f>80225370*0.00001</f>
        <v>802.25370000000009</v>
      </c>
      <c r="B852">
        <v>3489</v>
      </c>
      <c r="C852">
        <v>2</v>
      </c>
      <c r="D852">
        <v>299.06099999999998</v>
      </c>
      <c r="E852">
        <v>3554</v>
      </c>
      <c r="F852" s="1">
        <f>1605</f>
        <v>1605</v>
      </c>
      <c r="G852" s="1">
        <f>1</f>
        <v>1</v>
      </c>
      <c r="H852" s="1">
        <f>0.2</f>
        <v>0.2</v>
      </c>
      <c r="I852">
        <v>0</v>
      </c>
      <c r="J852">
        <v>-126.892</v>
      </c>
      <c r="K852">
        <v>531.30600000000004</v>
      </c>
      <c r="L852">
        <v>0</v>
      </c>
    </row>
    <row r="853" spans="1:12" x14ac:dyDescent="0.25">
      <c r="A853">
        <f>80225594*0.00001</f>
        <v>802.25594000000001</v>
      </c>
      <c r="B853">
        <v>3489</v>
      </c>
      <c r="C853">
        <v>4</v>
      </c>
      <c r="D853">
        <v>299.06099999999998</v>
      </c>
      <c r="E853">
        <v>3554</v>
      </c>
      <c r="F853">
        <v>1605</v>
      </c>
      <c r="G853">
        <v>1</v>
      </c>
      <c r="H853">
        <v>0.2</v>
      </c>
      <c r="I853">
        <v>0</v>
      </c>
      <c r="J853" s="1">
        <f>-126.356</f>
        <v>-126.35599999999999</v>
      </c>
      <c r="K853">
        <v>531.30600000000004</v>
      </c>
      <c r="L853">
        <v>0</v>
      </c>
    </row>
    <row r="854" spans="1:12" x14ac:dyDescent="0.25">
      <c r="A854">
        <f>80225706*0.00001</f>
        <v>802.25706000000002</v>
      </c>
      <c r="B854">
        <v>3489</v>
      </c>
      <c r="C854">
        <v>5</v>
      </c>
      <c r="D854" s="1">
        <f>298.225</f>
        <v>298.22500000000002</v>
      </c>
      <c r="E854">
        <v>3554</v>
      </c>
      <c r="F854">
        <v>1605</v>
      </c>
      <c r="G854">
        <v>1</v>
      </c>
      <c r="H854">
        <v>0.2</v>
      </c>
      <c r="I854">
        <v>0</v>
      </c>
      <c r="J854">
        <v>-126.35599999999999</v>
      </c>
      <c r="K854" s="1">
        <f>531.221</f>
        <v>531.221</v>
      </c>
      <c r="L854" s="1">
        <f>0</f>
        <v>0</v>
      </c>
    </row>
    <row r="855" spans="1:12" x14ac:dyDescent="0.25">
      <c r="A855">
        <f>80225929*0.00001</f>
        <v>802.25929000000008</v>
      </c>
      <c r="B855">
        <v>3489</v>
      </c>
      <c r="C855">
        <v>7</v>
      </c>
      <c r="D855">
        <v>298.22500000000002</v>
      </c>
      <c r="E855">
        <v>3554</v>
      </c>
      <c r="F855" s="1">
        <f>1605</f>
        <v>1605</v>
      </c>
      <c r="G855">
        <v>1</v>
      </c>
      <c r="H855">
        <v>0.2</v>
      </c>
      <c r="I855">
        <v>0</v>
      </c>
      <c r="J855">
        <v>-126.35599999999999</v>
      </c>
      <c r="K855">
        <v>531.221</v>
      </c>
      <c r="L855">
        <v>0</v>
      </c>
    </row>
    <row r="856" spans="1:12" x14ac:dyDescent="0.25">
      <c r="A856">
        <f>80226041*0.00001</f>
        <v>802.26041000000009</v>
      </c>
      <c r="B856">
        <v>3489</v>
      </c>
      <c r="C856">
        <v>8</v>
      </c>
      <c r="D856">
        <v>298.22500000000002</v>
      </c>
      <c r="E856">
        <v>3554</v>
      </c>
      <c r="F856">
        <v>1605</v>
      </c>
      <c r="G856" s="1">
        <f>1</f>
        <v>1</v>
      </c>
      <c r="H856" s="1">
        <f>0.2</f>
        <v>0.2</v>
      </c>
      <c r="I856" s="1">
        <f>0</f>
        <v>0</v>
      </c>
      <c r="J856" s="1">
        <f>-125.742</f>
        <v>-125.742</v>
      </c>
      <c r="K856" s="1">
        <f>531.136</f>
        <v>531.13599999999997</v>
      </c>
      <c r="L856">
        <v>0</v>
      </c>
    </row>
    <row r="857" spans="1:12" x14ac:dyDescent="0.25">
      <c r="A857">
        <f>80226378*0.00001</f>
        <v>802.26378000000011</v>
      </c>
      <c r="B857">
        <v>3489</v>
      </c>
      <c r="C857">
        <v>11</v>
      </c>
      <c r="D857" s="1">
        <f>297.757</f>
        <v>297.75700000000001</v>
      </c>
      <c r="E857">
        <v>3554</v>
      </c>
      <c r="F857">
        <v>1605</v>
      </c>
      <c r="G857">
        <v>1</v>
      </c>
      <c r="H857">
        <v>0.2</v>
      </c>
      <c r="I857">
        <v>0</v>
      </c>
      <c r="J857">
        <v>-125.742</v>
      </c>
      <c r="K857">
        <v>531.13599999999997</v>
      </c>
      <c r="L857">
        <v>0</v>
      </c>
    </row>
    <row r="858" spans="1:12" x14ac:dyDescent="0.25">
      <c r="A858">
        <f>80226490*0.00001</f>
        <v>802.26490000000001</v>
      </c>
      <c r="B858">
        <v>3489</v>
      </c>
      <c r="C858">
        <v>12</v>
      </c>
      <c r="D858">
        <v>297.75700000000001</v>
      </c>
      <c r="E858" s="1">
        <f>3571</f>
        <v>3571</v>
      </c>
      <c r="F858" s="1">
        <f>1605</f>
        <v>1605</v>
      </c>
      <c r="G858" s="1">
        <f>1</f>
        <v>1</v>
      </c>
      <c r="H858">
        <v>0.2</v>
      </c>
      <c r="I858">
        <v>0</v>
      </c>
      <c r="J858">
        <v>-125.742</v>
      </c>
      <c r="K858">
        <v>531.13599999999997</v>
      </c>
      <c r="L858">
        <v>0</v>
      </c>
    </row>
    <row r="859" spans="1:12" x14ac:dyDescent="0.25">
      <c r="A859">
        <f>80226714*0.00001</f>
        <v>802.26714000000004</v>
      </c>
      <c r="B859">
        <v>3489</v>
      </c>
      <c r="C859">
        <v>14</v>
      </c>
      <c r="D859">
        <v>297.75700000000001</v>
      </c>
      <c r="E859">
        <v>3571</v>
      </c>
      <c r="F859">
        <v>1605</v>
      </c>
      <c r="G859">
        <v>1</v>
      </c>
      <c r="H859">
        <v>0.2</v>
      </c>
      <c r="I859" s="1">
        <f>0</f>
        <v>0</v>
      </c>
      <c r="J859">
        <v>-125.742</v>
      </c>
      <c r="K859">
        <v>531.13599999999997</v>
      </c>
      <c r="L859">
        <v>0</v>
      </c>
    </row>
    <row r="860" spans="1:12" x14ac:dyDescent="0.25">
      <c r="A860">
        <f>80226827*0.00001</f>
        <v>802.26827000000003</v>
      </c>
      <c r="B860">
        <v>3489</v>
      </c>
      <c r="C860">
        <v>15</v>
      </c>
      <c r="D860">
        <v>297.75700000000001</v>
      </c>
      <c r="E860">
        <v>3571</v>
      </c>
      <c r="F860">
        <v>1605</v>
      </c>
      <c r="G860">
        <v>1</v>
      </c>
      <c r="H860">
        <v>0.2</v>
      </c>
      <c r="I860">
        <v>0</v>
      </c>
      <c r="J860" s="1">
        <f>-125.003</f>
        <v>-125.003</v>
      </c>
      <c r="K860" s="1">
        <f>531.051</f>
        <v>531.05100000000004</v>
      </c>
      <c r="L860" s="1">
        <f>0</f>
        <v>0</v>
      </c>
    </row>
    <row r="861" spans="1:12" x14ac:dyDescent="0.25">
      <c r="A861">
        <f>80227053*0.00001</f>
        <v>802.27053000000012</v>
      </c>
      <c r="B861">
        <v>3489</v>
      </c>
      <c r="C861">
        <v>17</v>
      </c>
      <c r="D861">
        <v>297.75700000000001</v>
      </c>
      <c r="E861" s="1">
        <f>3580</f>
        <v>3580</v>
      </c>
      <c r="F861">
        <v>1605</v>
      </c>
      <c r="G861">
        <v>1</v>
      </c>
      <c r="H861">
        <v>0.2</v>
      </c>
      <c r="I861">
        <v>0</v>
      </c>
      <c r="J861">
        <v>-125.003</v>
      </c>
      <c r="K861">
        <v>531.05100000000004</v>
      </c>
      <c r="L861">
        <v>0</v>
      </c>
    </row>
    <row r="862" spans="1:12" x14ac:dyDescent="0.25">
      <c r="A862">
        <f>80227166*0.00001</f>
        <v>802.27166000000011</v>
      </c>
      <c r="B862">
        <v>3489</v>
      </c>
      <c r="C862">
        <v>18</v>
      </c>
      <c r="D862">
        <v>297.75700000000001</v>
      </c>
      <c r="E862">
        <v>3580</v>
      </c>
      <c r="F862" s="1">
        <f>1605</f>
        <v>1605</v>
      </c>
      <c r="G862" s="1">
        <f>1</f>
        <v>1</v>
      </c>
      <c r="H862" s="1">
        <f>0.2</f>
        <v>0.2</v>
      </c>
      <c r="I862">
        <v>0</v>
      </c>
      <c r="J862">
        <v>-125.003</v>
      </c>
      <c r="K862">
        <v>531.05100000000004</v>
      </c>
      <c r="L862">
        <v>0</v>
      </c>
    </row>
    <row r="863" spans="1:12" x14ac:dyDescent="0.25">
      <c r="A863">
        <f>80227390*0.00001</f>
        <v>802.27390000000003</v>
      </c>
      <c r="B863">
        <v>3489</v>
      </c>
      <c r="C863">
        <v>20</v>
      </c>
      <c r="D863">
        <v>297.75700000000001</v>
      </c>
      <c r="E863">
        <v>3580</v>
      </c>
      <c r="F863">
        <v>1605</v>
      </c>
      <c r="G863">
        <v>1</v>
      </c>
      <c r="H863">
        <v>0.2</v>
      </c>
      <c r="I863">
        <v>0</v>
      </c>
      <c r="J863" s="1">
        <f>-124.407</f>
        <v>-124.407</v>
      </c>
      <c r="K863">
        <v>531.05100000000004</v>
      </c>
      <c r="L863">
        <v>0</v>
      </c>
    </row>
    <row r="864" spans="1:12" x14ac:dyDescent="0.25">
      <c r="A864">
        <f>80227502*0.00001</f>
        <v>802.27502000000004</v>
      </c>
      <c r="B864">
        <v>3489</v>
      </c>
      <c r="C864">
        <v>21</v>
      </c>
      <c r="D864" s="1">
        <f>296.739</f>
        <v>296.73899999999998</v>
      </c>
      <c r="E864">
        <v>3580</v>
      </c>
      <c r="F864">
        <v>1605</v>
      </c>
      <c r="G864">
        <v>1</v>
      </c>
      <c r="H864">
        <v>0.2</v>
      </c>
      <c r="I864">
        <v>0</v>
      </c>
      <c r="J864">
        <v>-124.407</v>
      </c>
      <c r="K864" s="1">
        <f>530.95</f>
        <v>530.95000000000005</v>
      </c>
      <c r="L864" s="1">
        <f>0</f>
        <v>0</v>
      </c>
    </row>
    <row r="865" spans="1:12" x14ac:dyDescent="0.25">
      <c r="A865">
        <f>80227728*0.00001</f>
        <v>802.27728000000002</v>
      </c>
      <c r="B865">
        <v>3489</v>
      </c>
      <c r="C865">
        <v>23</v>
      </c>
      <c r="D865">
        <v>296.73899999999998</v>
      </c>
      <c r="E865">
        <v>3580</v>
      </c>
      <c r="F865" s="1">
        <f>1605</f>
        <v>1605</v>
      </c>
      <c r="G865">
        <v>1</v>
      </c>
      <c r="H865">
        <v>0.2</v>
      </c>
      <c r="I865">
        <v>0</v>
      </c>
      <c r="J865">
        <v>-124.407</v>
      </c>
      <c r="K865">
        <v>530.95000000000005</v>
      </c>
      <c r="L865">
        <v>0</v>
      </c>
    </row>
    <row r="866" spans="1:12" x14ac:dyDescent="0.25">
      <c r="A866">
        <f>80227841*0.00001</f>
        <v>802.27841000000012</v>
      </c>
      <c r="B866">
        <v>3489</v>
      </c>
      <c r="C866">
        <v>24</v>
      </c>
      <c r="D866">
        <v>296.73899999999998</v>
      </c>
      <c r="E866">
        <v>3580</v>
      </c>
      <c r="F866">
        <v>1605</v>
      </c>
      <c r="G866" s="1">
        <f>1</f>
        <v>1</v>
      </c>
      <c r="H866" s="1">
        <f>0.2</f>
        <v>0.2</v>
      </c>
      <c r="I866" s="1">
        <f>0</f>
        <v>0</v>
      </c>
      <c r="J866">
        <v>-124.407</v>
      </c>
      <c r="K866">
        <v>530.95000000000005</v>
      </c>
      <c r="L866">
        <v>0</v>
      </c>
    </row>
    <row r="867" spans="1:12" x14ac:dyDescent="0.25">
      <c r="A867">
        <f>80228067*0.00001</f>
        <v>802.2806700000001</v>
      </c>
      <c r="B867">
        <v>3489</v>
      </c>
      <c r="C867">
        <v>26</v>
      </c>
      <c r="D867">
        <v>296.73899999999998</v>
      </c>
      <c r="E867">
        <v>3580</v>
      </c>
      <c r="F867">
        <v>1605</v>
      </c>
      <c r="G867">
        <v>1</v>
      </c>
      <c r="H867">
        <v>0.2</v>
      </c>
      <c r="I867">
        <v>0</v>
      </c>
      <c r="J867">
        <v>-124.407</v>
      </c>
      <c r="K867" s="1">
        <f>530.866</f>
        <v>530.86599999999999</v>
      </c>
      <c r="L867">
        <v>0</v>
      </c>
    </row>
    <row r="868" spans="1:12" x14ac:dyDescent="0.25">
      <c r="A868">
        <f>80228179*0.00001</f>
        <v>802.28179000000011</v>
      </c>
      <c r="B868">
        <v>3489</v>
      </c>
      <c r="C868">
        <v>27</v>
      </c>
      <c r="D868" s="1">
        <f>296.304</f>
        <v>296.30399999999997</v>
      </c>
      <c r="E868">
        <v>3580</v>
      </c>
      <c r="F868">
        <v>1605</v>
      </c>
      <c r="G868">
        <v>1</v>
      </c>
      <c r="H868">
        <v>0.2</v>
      </c>
      <c r="I868">
        <v>0</v>
      </c>
      <c r="J868">
        <v>-124.407</v>
      </c>
      <c r="K868">
        <v>530.86599999999999</v>
      </c>
      <c r="L868" s="1">
        <f>0</f>
        <v>0</v>
      </c>
    </row>
    <row r="869" spans="1:12" x14ac:dyDescent="0.25">
      <c r="A869">
        <f>80228291*0.00001</f>
        <v>802.28291000000002</v>
      </c>
      <c r="B869">
        <v>3489</v>
      </c>
      <c r="C869">
        <v>28</v>
      </c>
      <c r="D869">
        <v>296.30399999999997</v>
      </c>
      <c r="E869" s="1">
        <f>3596</f>
        <v>3596</v>
      </c>
      <c r="F869" s="1">
        <f>1605</f>
        <v>1605</v>
      </c>
      <c r="G869" s="1">
        <f>1</f>
        <v>1</v>
      </c>
      <c r="H869">
        <v>0.2</v>
      </c>
      <c r="I869">
        <v>0</v>
      </c>
      <c r="J869">
        <v>-124.407</v>
      </c>
      <c r="K869">
        <v>530.86599999999999</v>
      </c>
      <c r="L869">
        <v>0</v>
      </c>
    </row>
    <row r="870" spans="1:12" x14ac:dyDescent="0.25">
      <c r="A870">
        <f>80228516*0.00001</f>
        <v>802.28516000000002</v>
      </c>
      <c r="B870">
        <v>3489</v>
      </c>
      <c r="C870">
        <v>30</v>
      </c>
      <c r="D870">
        <v>296.30399999999997</v>
      </c>
      <c r="E870">
        <v>3596</v>
      </c>
      <c r="F870">
        <v>1605</v>
      </c>
      <c r="G870">
        <v>1</v>
      </c>
      <c r="H870">
        <v>0.2</v>
      </c>
      <c r="I870" s="1">
        <f>0</f>
        <v>0</v>
      </c>
      <c r="J870">
        <v>-124.407</v>
      </c>
      <c r="K870">
        <v>530.86599999999999</v>
      </c>
      <c r="L870">
        <v>0</v>
      </c>
    </row>
    <row r="871" spans="1:12" x14ac:dyDescent="0.25">
      <c r="A871">
        <f>80228628*0.00001</f>
        <v>802.28628000000003</v>
      </c>
      <c r="B871">
        <v>3489</v>
      </c>
      <c r="C871">
        <v>31</v>
      </c>
      <c r="D871">
        <v>296.30399999999997</v>
      </c>
      <c r="E871">
        <v>3596</v>
      </c>
      <c r="F871">
        <v>1605</v>
      </c>
      <c r="G871">
        <v>1</v>
      </c>
      <c r="H871">
        <v>0.2</v>
      </c>
      <c r="I871">
        <v>0</v>
      </c>
      <c r="J871" s="1">
        <f>-123.09</f>
        <v>-123.09</v>
      </c>
      <c r="K871" s="1">
        <f>530.782</f>
        <v>530.78200000000004</v>
      </c>
      <c r="L871" s="1">
        <f>0</f>
        <v>0</v>
      </c>
    </row>
    <row r="872" spans="1:12" x14ac:dyDescent="0.25">
      <c r="A872">
        <f>80228853*0.00001</f>
        <v>802.28853000000004</v>
      </c>
      <c r="B872">
        <v>3489</v>
      </c>
      <c r="C872">
        <v>33</v>
      </c>
      <c r="D872">
        <v>296.30399999999997</v>
      </c>
      <c r="E872" s="1">
        <f>3605</f>
        <v>3605</v>
      </c>
      <c r="F872">
        <v>1605</v>
      </c>
      <c r="G872">
        <v>1</v>
      </c>
      <c r="H872">
        <v>0.2</v>
      </c>
      <c r="I872">
        <v>0</v>
      </c>
      <c r="J872">
        <v>-123.09</v>
      </c>
      <c r="K872">
        <v>530.78200000000004</v>
      </c>
      <c r="L872">
        <v>0</v>
      </c>
    </row>
    <row r="873" spans="1:12" x14ac:dyDescent="0.25">
      <c r="A873">
        <f>80228966*0.00001</f>
        <v>802.28966000000003</v>
      </c>
      <c r="B873">
        <v>3489</v>
      </c>
      <c r="C873">
        <v>34</v>
      </c>
      <c r="D873">
        <v>296.30399999999997</v>
      </c>
      <c r="E873">
        <v>3605</v>
      </c>
      <c r="F873" s="1">
        <f>1605</f>
        <v>1605</v>
      </c>
      <c r="G873" s="1">
        <f>1</f>
        <v>1</v>
      </c>
      <c r="H873" s="1">
        <f>0.2</f>
        <v>0.2</v>
      </c>
      <c r="I873">
        <v>0</v>
      </c>
      <c r="J873">
        <v>-123.09</v>
      </c>
      <c r="K873">
        <v>530.78200000000004</v>
      </c>
      <c r="L873">
        <v>0</v>
      </c>
    </row>
    <row r="874" spans="1:12" x14ac:dyDescent="0.25">
      <c r="A874">
        <f>80229192*0.00001</f>
        <v>802.29192000000012</v>
      </c>
      <c r="B874">
        <v>3489</v>
      </c>
      <c r="C874">
        <v>36</v>
      </c>
      <c r="D874">
        <v>296.30399999999997</v>
      </c>
      <c r="E874">
        <v>3605</v>
      </c>
      <c r="F874">
        <v>1605</v>
      </c>
      <c r="G874">
        <v>1</v>
      </c>
      <c r="H874">
        <v>0.2</v>
      </c>
      <c r="I874">
        <v>0</v>
      </c>
      <c r="J874" s="1">
        <f>-122.515</f>
        <v>-122.515</v>
      </c>
      <c r="K874">
        <v>530.78200000000004</v>
      </c>
      <c r="L874">
        <v>0</v>
      </c>
    </row>
    <row r="875" spans="1:12" x14ac:dyDescent="0.25">
      <c r="A875">
        <f>80229305*0.00001</f>
        <v>802.29305000000011</v>
      </c>
      <c r="B875">
        <v>3489</v>
      </c>
      <c r="C875">
        <v>37</v>
      </c>
      <c r="D875" s="1">
        <f>295.3</f>
        <v>295.3</v>
      </c>
      <c r="E875">
        <v>3605</v>
      </c>
      <c r="F875">
        <v>1605</v>
      </c>
      <c r="G875">
        <v>1</v>
      </c>
      <c r="H875">
        <v>0.2</v>
      </c>
      <c r="I875">
        <v>0</v>
      </c>
      <c r="J875">
        <v>-122.515</v>
      </c>
      <c r="K875" s="1">
        <f>530.682</f>
        <v>530.68200000000002</v>
      </c>
      <c r="L875" s="1">
        <f>0</f>
        <v>0</v>
      </c>
    </row>
    <row r="876" spans="1:12" x14ac:dyDescent="0.25">
      <c r="A876">
        <f>80229530*0.00001</f>
        <v>802.29530000000011</v>
      </c>
      <c r="B876">
        <v>3489</v>
      </c>
      <c r="C876">
        <v>39</v>
      </c>
      <c r="D876">
        <v>295.3</v>
      </c>
      <c r="E876">
        <v>3605</v>
      </c>
      <c r="F876" s="1">
        <f>1605</f>
        <v>1605</v>
      </c>
      <c r="G876">
        <v>1</v>
      </c>
      <c r="H876">
        <v>0.2</v>
      </c>
      <c r="I876">
        <v>0</v>
      </c>
      <c r="J876">
        <v>-122.515</v>
      </c>
      <c r="K876">
        <v>530.68200000000002</v>
      </c>
      <c r="L876">
        <v>0</v>
      </c>
    </row>
    <row r="877" spans="1:12" x14ac:dyDescent="0.25">
      <c r="A877">
        <f>80229643*0.00001</f>
        <v>802.2964300000001</v>
      </c>
      <c r="B877">
        <v>3489</v>
      </c>
      <c r="C877">
        <v>40</v>
      </c>
      <c r="D877">
        <v>295.3</v>
      </c>
      <c r="E877">
        <v>3605</v>
      </c>
      <c r="F877">
        <v>1605</v>
      </c>
      <c r="G877" s="1">
        <f>1</f>
        <v>1</v>
      </c>
      <c r="H877" s="1">
        <f>0.2</f>
        <v>0.2</v>
      </c>
      <c r="I877" s="1">
        <f>0</f>
        <v>0</v>
      </c>
      <c r="J877" s="1">
        <f>-121.935</f>
        <v>-121.935</v>
      </c>
      <c r="K877" s="1">
        <f>530.599</f>
        <v>530.59900000000005</v>
      </c>
      <c r="L877">
        <v>0</v>
      </c>
    </row>
    <row r="878" spans="1:12" x14ac:dyDescent="0.25">
      <c r="A878">
        <f>80229983*0.00001</f>
        <v>802.29983000000004</v>
      </c>
      <c r="B878">
        <v>3489</v>
      </c>
      <c r="C878">
        <v>43</v>
      </c>
      <c r="D878" s="1">
        <f>294.88</f>
        <v>294.88</v>
      </c>
      <c r="E878">
        <v>3605</v>
      </c>
      <c r="F878">
        <v>1605</v>
      </c>
      <c r="G878">
        <v>1</v>
      </c>
      <c r="H878">
        <v>0.2</v>
      </c>
      <c r="I878">
        <v>0</v>
      </c>
      <c r="J878">
        <v>-121.935</v>
      </c>
      <c r="K878">
        <v>530.59900000000005</v>
      </c>
      <c r="L878">
        <v>0</v>
      </c>
    </row>
    <row r="879" spans="1:12" x14ac:dyDescent="0.25">
      <c r="A879">
        <f>80230096*0.00001</f>
        <v>802.30096000000003</v>
      </c>
      <c r="B879">
        <v>3489</v>
      </c>
      <c r="C879">
        <v>44</v>
      </c>
      <c r="D879">
        <v>294.88</v>
      </c>
      <c r="E879" s="1">
        <f>3621</f>
        <v>3621</v>
      </c>
      <c r="F879" s="1">
        <f>1605</f>
        <v>1605</v>
      </c>
      <c r="G879" s="1">
        <f>1</f>
        <v>1</v>
      </c>
      <c r="H879">
        <v>0.2</v>
      </c>
      <c r="I879">
        <v>0</v>
      </c>
      <c r="J879">
        <v>-121.935</v>
      </c>
      <c r="K879">
        <v>530.59900000000005</v>
      </c>
      <c r="L879">
        <v>0</v>
      </c>
    </row>
    <row r="880" spans="1:12" x14ac:dyDescent="0.25">
      <c r="A880">
        <f>80230323*0.00001</f>
        <v>802.3032300000001</v>
      </c>
      <c r="B880">
        <v>3489</v>
      </c>
      <c r="C880">
        <v>46</v>
      </c>
      <c r="D880">
        <v>294.88</v>
      </c>
      <c r="E880">
        <v>3621</v>
      </c>
      <c r="F880">
        <v>1605</v>
      </c>
      <c r="G880">
        <v>1</v>
      </c>
      <c r="H880">
        <v>0.2</v>
      </c>
      <c r="I880" s="1">
        <f>0</f>
        <v>0</v>
      </c>
      <c r="J880">
        <v>-121.935</v>
      </c>
      <c r="K880">
        <v>530.59900000000005</v>
      </c>
      <c r="L880">
        <v>0</v>
      </c>
    </row>
    <row r="881" spans="1:12" x14ac:dyDescent="0.25">
      <c r="A881">
        <f>80230437*0.00001</f>
        <v>802.30437000000006</v>
      </c>
      <c r="B881">
        <v>3489</v>
      </c>
      <c r="C881">
        <v>47</v>
      </c>
      <c r="D881">
        <v>294.88</v>
      </c>
      <c r="E881">
        <v>3621</v>
      </c>
      <c r="F881">
        <v>1605</v>
      </c>
      <c r="G881">
        <v>1</v>
      </c>
      <c r="H881">
        <v>0.2</v>
      </c>
      <c r="I881">
        <v>0</v>
      </c>
      <c r="J881" s="1">
        <f>-121.24</f>
        <v>-121.24</v>
      </c>
      <c r="K881" s="1">
        <f>530.516</f>
        <v>530.51599999999996</v>
      </c>
      <c r="L881" s="1">
        <f>0</f>
        <v>0</v>
      </c>
    </row>
    <row r="882" spans="1:12" x14ac:dyDescent="0.25">
      <c r="A882">
        <f>80230664*0.00001</f>
        <v>802.30664000000002</v>
      </c>
      <c r="B882">
        <v>3489</v>
      </c>
      <c r="C882">
        <v>49</v>
      </c>
      <c r="D882">
        <v>294.88</v>
      </c>
      <c r="E882" s="1">
        <f>3630</f>
        <v>3630</v>
      </c>
      <c r="F882">
        <v>1605</v>
      </c>
      <c r="G882">
        <v>1</v>
      </c>
      <c r="H882">
        <v>0.2</v>
      </c>
      <c r="I882">
        <v>0</v>
      </c>
      <c r="J882">
        <v>-121.24</v>
      </c>
      <c r="K882">
        <v>530.51599999999996</v>
      </c>
      <c r="L882">
        <v>0</v>
      </c>
    </row>
    <row r="883" spans="1:12" x14ac:dyDescent="0.25">
      <c r="A883">
        <f>80230777*0.00001</f>
        <v>802.30777000000012</v>
      </c>
      <c r="B883">
        <v>3489</v>
      </c>
      <c r="C883">
        <v>50</v>
      </c>
      <c r="D883">
        <v>294.88</v>
      </c>
      <c r="E883">
        <v>3630</v>
      </c>
      <c r="F883" s="1">
        <f>1605</f>
        <v>1605</v>
      </c>
      <c r="G883" s="1">
        <f>1</f>
        <v>1</v>
      </c>
      <c r="H883" s="1">
        <f>0.2</f>
        <v>0.2</v>
      </c>
      <c r="I883">
        <v>0</v>
      </c>
      <c r="J883">
        <v>-121.24</v>
      </c>
      <c r="K883">
        <v>530.51599999999996</v>
      </c>
      <c r="L883">
        <v>0</v>
      </c>
    </row>
    <row r="884" spans="1:12" x14ac:dyDescent="0.25">
      <c r="A884">
        <f>80231003*0.00001</f>
        <v>802.3100300000001</v>
      </c>
      <c r="B884">
        <v>3489</v>
      </c>
      <c r="C884">
        <v>52</v>
      </c>
      <c r="D884">
        <v>294.88</v>
      </c>
      <c r="E884">
        <v>3630</v>
      </c>
      <c r="F884">
        <v>1605</v>
      </c>
      <c r="G884">
        <v>1</v>
      </c>
      <c r="H884">
        <v>0.2</v>
      </c>
      <c r="I884">
        <v>0</v>
      </c>
      <c r="J884" s="1">
        <f>-120.666</f>
        <v>-120.666</v>
      </c>
      <c r="K884">
        <v>530.51599999999996</v>
      </c>
      <c r="L884">
        <v>0</v>
      </c>
    </row>
    <row r="885" spans="1:12" x14ac:dyDescent="0.25">
      <c r="A885">
        <f>80231117*0.00001</f>
        <v>802.31117000000006</v>
      </c>
      <c r="B885">
        <v>3489</v>
      </c>
      <c r="C885">
        <v>53</v>
      </c>
      <c r="D885">
        <v>294.88</v>
      </c>
      <c r="E885">
        <v>3630</v>
      </c>
      <c r="F885">
        <v>1605</v>
      </c>
      <c r="G885">
        <v>1</v>
      </c>
      <c r="H885">
        <v>0.2</v>
      </c>
      <c r="I885">
        <v>0</v>
      </c>
      <c r="J885">
        <v>-120.666</v>
      </c>
      <c r="K885">
        <v>530.51599999999996</v>
      </c>
      <c r="L885" s="1">
        <f>0</f>
        <v>0</v>
      </c>
    </row>
    <row r="886" spans="1:12" x14ac:dyDescent="0.25">
      <c r="A886">
        <f>80231231*0.00001</f>
        <v>802.31231000000002</v>
      </c>
      <c r="B886">
        <v>3489</v>
      </c>
      <c r="C886">
        <v>54</v>
      </c>
      <c r="D886" s="1">
        <f>293.928</f>
        <v>293.928</v>
      </c>
      <c r="E886" s="1">
        <f>3638</f>
        <v>3638</v>
      </c>
      <c r="F886" s="1">
        <f>1605</f>
        <v>1605</v>
      </c>
      <c r="G886">
        <v>1</v>
      </c>
      <c r="H886">
        <v>0.2</v>
      </c>
      <c r="I886">
        <v>0</v>
      </c>
      <c r="J886">
        <v>-120.666</v>
      </c>
      <c r="K886">
        <v>530.51599999999996</v>
      </c>
      <c r="L886">
        <v>0</v>
      </c>
    </row>
    <row r="887" spans="1:12" x14ac:dyDescent="0.25">
      <c r="A887">
        <f>80231459*0.00001</f>
        <v>802.31459000000007</v>
      </c>
      <c r="B887">
        <v>3489</v>
      </c>
      <c r="C887">
        <v>56</v>
      </c>
      <c r="D887">
        <v>293.928</v>
      </c>
      <c r="E887">
        <v>3638</v>
      </c>
      <c r="F887">
        <v>1605</v>
      </c>
      <c r="G887">
        <v>1</v>
      </c>
      <c r="H887" s="1">
        <f>0.2</f>
        <v>0.2</v>
      </c>
      <c r="I887">
        <v>0</v>
      </c>
      <c r="J887">
        <v>-120.666</v>
      </c>
      <c r="K887">
        <v>530.51599999999996</v>
      </c>
      <c r="L887">
        <v>0</v>
      </c>
    </row>
    <row r="888" spans="1:12" x14ac:dyDescent="0.25">
      <c r="A888">
        <f>80231573*0.00001</f>
        <v>802.31573000000003</v>
      </c>
      <c r="B888">
        <v>3489</v>
      </c>
      <c r="C888">
        <v>57</v>
      </c>
      <c r="D888">
        <v>293.928</v>
      </c>
      <c r="E888">
        <v>3638</v>
      </c>
      <c r="F888">
        <v>1605</v>
      </c>
      <c r="G888">
        <v>1</v>
      </c>
      <c r="H888">
        <v>0.2</v>
      </c>
      <c r="I888" s="1">
        <f>0</f>
        <v>0</v>
      </c>
      <c r="J888" s="1">
        <f>-120.111</f>
        <v>-120.111</v>
      </c>
      <c r="K888" s="1">
        <f>530.335</f>
        <v>530.33500000000004</v>
      </c>
      <c r="L888">
        <v>0</v>
      </c>
    </row>
    <row r="889" spans="1:12" x14ac:dyDescent="0.25">
      <c r="A889">
        <f>80231800*0.00001</f>
        <v>802.3180000000001</v>
      </c>
      <c r="B889">
        <v>3489</v>
      </c>
      <c r="C889">
        <v>59</v>
      </c>
      <c r="D889" s="1">
        <f>293.501</f>
        <v>293.50099999999998</v>
      </c>
      <c r="E889">
        <v>3638</v>
      </c>
      <c r="F889">
        <v>1605</v>
      </c>
      <c r="G889">
        <v>1</v>
      </c>
      <c r="H889">
        <v>0.2</v>
      </c>
      <c r="I889">
        <v>0</v>
      </c>
      <c r="J889">
        <v>-120.111</v>
      </c>
      <c r="K889">
        <v>530.33500000000004</v>
      </c>
      <c r="L889">
        <v>0</v>
      </c>
    </row>
    <row r="890" spans="1:12" x14ac:dyDescent="0.25">
      <c r="A890">
        <f>80231914*0.00001</f>
        <v>802.31914000000006</v>
      </c>
      <c r="B890">
        <v>3489</v>
      </c>
      <c r="C890">
        <v>60</v>
      </c>
      <c r="D890">
        <v>293.50099999999998</v>
      </c>
      <c r="E890" s="1">
        <f>3645</f>
        <v>3645</v>
      </c>
      <c r="F890" s="1">
        <f>1605</f>
        <v>1605</v>
      </c>
      <c r="G890" s="1">
        <f>1</f>
        <v>1</v>
      </c>
      <c r="H890" s="1">
        <f>0.2</f>
        <v>0.2</v>
      </c>
      <c r="I890" s="1">
        <f>0</f>
        <v>0</v>
      </c>
      <c r="J890">
        <v>-120.111</v>
      </c>
      <c r="K890">
        <v>530.33500000000004</v>
      </c>
      <c r="L890">
        <v>0</v>
      </c>
    </row>
    <row r="891" spans="1:12" x14ac:dyDescent="0.25">
      <c r="A891">
        <f>80232255*0.00001</f>
        <v>802.32255000000009</v>
      </c>
      <c r="B891">
        <v>3489</v>
      </c>
      <c r="C891">
        <v>63</v>
      </c>
      <c r="D891">
        <v>293.50099999999998</v>
      </c>
      <c r="E891">
        <v>3645</v>
      </c>
      <c r="F891">
        <v>1605</v>
      </c>
      <c r="G891">
        <v>1</v>
      </c>
      <c r="H891">
        <v>0.2</v>
      </c>
      <c r="I891">
        <v>0</v>
      </c>
      <c r="J891">
        <v>-120.111</v>
      </c>
      <c r="K891" s="1">
        <f>530.253</f>
        <v>530.25300000000004</v>
      </c>
      <c r="L891">
        <v>0</v>
      </c>
    </row>
    <row r="892" spans="1:12" x14ac:dyDescent="0.25">
      <c r="A892">
        <f>80232368*0.00001</f>
        <v>802.32368000000008</v>
      </c>
      <c r="B892">
        <v>3489</v>
      </c>
      <c r="C892">
        <v>64</v>
      </c>
      <c r="D892" s="1">
        <f>293.08</f>
        <v>293.08</v>
      </c>
      <c r="E892" s="1">
        <f>3653</f>
        <v>3653</v>
      </c>
      <c r="F892">
        <v>1605</v>
      </c>
      <c r="G892">
        <v>1</v>
      </c>
      <c r="H892">
        <v>0.2</v>
      </c>
      <c r="I892">
        <v>0</v>
      </c>
      <c r="J892">
        <v>-120.111</v>
      </c>
      <c r="K892">
        <v>530.25300000000004</v>
      </c>
      <c r="L892" s="1">
        <f>0</f>
        <v>0</v>
      </c>
    </row>
    <row r="893" spans="1:12" x14ac:dyDescent="0.25">
      <c r="A893">
        <f>80232596*0.00001</f>
        <v>802.32596000000001</v>
      </c>
      <c r="B893">
        <v>3489</v>
      </c>
      <c r="C893">
        <v>66</v>
      </c>
      <c r="D893">
        <v>293.08</v>
      </c>
      <c r="E893">
        <v>3653</v>
      </c>
      <c r="F893">
        <v>1605</v>
      </c>
      <c r="G893" s="1">
        <f>1</f>
        <v>1</v>
      </c>
      <c r="H893">
        <v>0.2</v>
      </c>
      <c r="I893">
        <v>0</v>
      </c>
      <c r="J893">
        <v>-120.111</v>
      </c>
      <c r="K893">
        <v>530.25300000000004</v>
      </c>
      <c r="L893">
        <v>0</v>
      </c>
    </row>
    <row r="894" spans="1:12" x14ac:dyDescent="0.25">
      <c r="A894">
        <f>80232710*0.00001</f>
        <v>802.32710000000009</v>
      </c>
      <c r="B894">
        <v>3489</v>
      </c>
      <c r="C894">
        <v>67</v>
      </c>
      <c r="D894">
        <v>293.08</v>
      </c>
      <c r="E894">
        <v>3653</v>
      </c>
      <c r="F894">
        <v>1605</v>
      </c>
      <c r="G894">
        <v>1</v>
      </c>
      <c r="H894" s="1">
        <f>0.2</f>
        <v>0.2</v>
      </c>
      <c r="I894" s="1">
        <f>0</f>
        <v>0</v>
      </c>
      <c r="J894" s="1">
        <f>-118.832</f>
        <v>-118.83199999999999</v>
      </c>
      <c r="K894" s="1">
        <f>530.171</f>
        <v>530.17100000000005</v>
      </c>
      <c r="L894" s="1">
        <f>0</f>
        <v>0</v>
      </c>
    </row>
    <row r="895" spans="1:12" x14ac:dyDescent="0.25">
      <c r="A895">
        <f>80233052*0.00001</f>
        <v>802.33052000000009</v>
      </c>
      <c r="B895">
        <v>3489</v>
      </c>
      <c r="C895">
        <v>70</v>
      </c>
      <c r="D895">
        <v>293.08</v>
      </c>
      <c r="E895" s="1">
        <f>3662</f>
        <v>3662</v>
      </c>
      <c r="F895">
        <v>1605</v>
      </c>
      <c r="G895">
        <v>1</v>
      </c>
      <c r="H895">
        <v>0.2</v>
      </c>
      <c r="I895">
        <v>0</v>
      </c>
      <c r="J895">
        <v>-118.83199999999999</v>
      </c>
      <c r="K895">
        <v>530.17100000000005</v>
      </c>
      <c r="L895">
        <v>0</v>
      </c>
    </row>
    <row r="896" spans="1:12" x14ac:dyDescent="0.25">
      <c r="A896">
        <f>80233167*0.00001</f>
        <v>802.33167000000003</v>
      </c>
      <c r="B896">
        <v>3489</v>
      </c>
      <c r="C896">
        <v>71</v>
      </c>
      <c r="D896">
        <v>293.08</v>
      </c>
      <c r="E896">
        <v>3662</v>
      </c>
      <c r="F896" s="1">
        <f>1605</f>
        <v>1605</v>
      </c>
      <c r="G896" s="1">
        <f>1</f>
        <v>1</v>
      </c>
      <c r="H896" s="1">
        <f>0.2</f>
        <v>0.2</v>
      </c>
      <c r="I896">
        <v>0</v>
      </c>
      <c r="J896">
        <v>-118.83199999999999</v>
      </c>
      <c r="K896">
        <v>530.17100000000005</v>
      </c>
      <c r="L896">
        <v>0</v>
      </c>
    </row>
    <row r="897" spans="1:12" x14ac:dyDescent="0.25">
      <c r="A897">
        <f>80233395*0.00001</f>
        <v>802.33395000000007</v>
      </c>
      <c r="B897">
        <v>3489</v>
      </c>
      <c r="C897">
        <v>73</v>
      </c>
      <c r="D897">
        <v>293.08</v>
      </c>
      <c r="E897">
        <v>3662</v>
      </c>
      <c r="F897">
        <v>1605</v>
      </c>
      <c r="G897">
        <v>1</v>
      </c>
      <c r="H897">
        <v>0.2</v>
      </c>
      <c r="I897">
        <v>0</v>
      </c>
      <c r="J897" s="1">
        <f>-118.275</f>
        <v>-118.27500000000001</v>
      </c>
      <c r="K897">
        <v>530.17100000000005</v>
      </c>
      <c r="L897">
        <v>0</v>
      </c>
    </row>
    <row r="898" spans="1:12" x14ac:dyDescent="0.25">
      <c r="A898">
        <f>80233509*0.00001</f>
        <v>802.33509000000004</v>
      </c>
      <c r="B898">
        <v>3489</v>
      </c>
      <c r="C898">
        <v>74</v>
      </c>
      <c r="D898" s="1">
        <f>292.137</f>
        <v>292.137</v>
      </c>
      <c r="E898" s="1">
        <f>3670</f>
        <v>3670</v>
      </c>
      <c r="F898" s="1">
        <f>1605</f>
        <v>1605</v>
      </c>
      <c r="G898">
        <v>1</v>
      </c>
      <c r="H898">
        <v>0.2</v>
      </c>
      <c r="I898">
        <v>0</v>
      </c>
      <c r="J898">
        <v>-118.27500000000001</v>
      </c>
      <c r="K898" s="1">
        <f>530.073</f>
        <v>530.07299999999998</v>
      </c>
      <c r="L898" s="1">
        <f>0</f>
        <v>0</v>
      </c>
    </row>
    <row r="899" spans="1:12" x14ac:dyDescent="0.25">
      <c r="A899">
        <f>80233852*0.00001</f>
        <v>802.33852000000002</v>
      </c>
      <c r="B899">
        <v>3489</v>
      </c>
      <c r="C899">
        <v>77</v>
      </c>
      <c r="D899">
        <v>292.137</v>
      </c>
      <c r="E899">
        <v>3670</v>
      </c>
      <c r="F899">
        <v>1605</v>
      </c>
      <c r="G899">
        <v>1</v>
      </c>
      <c r="H899" s="1">
        <f>0.2</f>
        <v>0.2</v>
      </c>
      <c r="I899">
        <v>0</v>
      </c>
      <c r="J899">
        <v>-118.27500000000001</v>
      </c>
      <c r="K899">
        <v>530.07299999999998</v>
      </c>
      <c r="L899">
        <v>0</v>
      </c>
    </row>
    <row r="900" spans="1:12" x14ac:dyDescent="0.25">
      <c r="A900">
        <f>80233966*0.00001</f>
        <v>802.33966000000009</v>
      </c>
      <c r="B900">
        <v>3489</v>
      </c>
      <c r="C900">
        <v>78</v>
      </c>
      <c r="D900">
        <v>292.137</v>
      </c>
      <c r="E900">
        <v>3670</v>
      </c>
      <c r="F900">
        <v>1605</v>
      </c>
      <c r="G900">
        <v>1</v>
      </c>
      <c r="H900">
        <v>0.2</v>
      </c>
      <c r="I900" s="1">
        <f>0</f>
        <v>0</v>
      </c>
      <c r="J900" s="1">
        <f>-117.698</f>
        <v>-117.69799999999999</v>
      </c>
      <c r="K900" s="1">
        <f>529.992</f>
        <v>529.99199999999996</v>
      </c>
      <c r="L900">
        <v>0</v>
      </c>
    </row>
    <row r="901" spans="1:12" x14ac:dyDescent="0.25">
      <c r="A901">
        <f>80234194*0.00001</f>
        <v>802.34194000000002</v>
      </c>
      <c r="B901">
        <v>3489</v>
      </c>
      <c r="C901">
        <v>80</v>
      </c>
      <c r="D901" s="1">
        <f>291.705</f>
        <v>291.70499999999998</v>
      </c>
      <c r="E901">
        <v>3670</v>
      </c>
      <c r="F901">
        <v>1605</v>
      </c>
      <c r="G901">
        <v>1</v>
      </c>
      <c r="H901">
        <v>0.2</v>
      </c>
      <c r="I901">
        <v>0</v>
      </c>
      <c r="J901">
        <v>-117.69799999999999</v>
      </c>
      <c r="K901">
        <v>529.99199999999996</v>
      </c>
      <c r="L901">
        <v>0</v>
      </c>
    </row>
    <row r="902" spans="1:12" x14ac:dyDescent="0.25">
      <c r="A902">
        <f>80234308*0.00001</f>
        <v>802.3430800000001</v>
      </c>
      <c r="B902">
        <v>3489</v>
      </c>
      <c r="C902">
        <v>81</v>
      </c>
      <c r="D902">
        <v>291.70499999999998</v>
      </c>
      <c r="E902" s="1">
        <f>3678</f>
        <v>3678</v>
      </c>
      <c r="F902" s="1">
        <f>1605</f>
        <v>1605</v>
      </c>
      <c r="G902" s="1">
        <f>1</f>
        <v>1</v>
      </c>
      <c r="H902" s="1">
        <f>0.2</f>
        <v>0.2</v>
      </c>
      <c r="I902" s="1">
        <f>0</f>
        <v>0</v>
      </c>
      <c r="J902">
        <v>-117.69799999999999</v>
      </c>
      <c r="K902">
        <v>529.99199999999996</v>
      </c>
      <c r="L902">
        <v>0</v>
      </c>
    </row>
    <row r="903" spans="1:12" x14ac:dyDescent="0.25">
      <c r="A903">
        <f>80234650*0.00001</f>
        <v>802.34650000000011</v>
      </c>
      <c r="B903">
        <v>3489</v>
      </c>
      <c r="C903">
        <v>84</v>
      </c>
      <c r="D903">
        <v>291.70499999999998</v>
      </c>
      <c r="E903">
        <v>3678</v>
      </c>
      <c r="F903">
        <v>1605</v>
      </c>
      <c r="G903">
        <v>1</v>
      </c>
      <c r="H903">
        <v>0.2</v>
      </c>
      <c r="I903">
        <v>0</v>
      </c>
      <c r="J903">
        <v>-117.69799999999999</v>
      </c>
      <c r="K903" s="1">
        <f>529.911</f>
        <v>529.91099999999994</v>
      </c>
      <c r="L903">
        <v>0</v>
      </c>
    </row>
    <row r="904" spans="1:12" x14ac:dyDescent="0.25">
      <c r="A904">
        <f>80234765*0.00001</f>
        <v>802.34765000000004</v>
      </c>
      <c r="B904">
        <v>3489</v>
      </c>
      <c r="C904">
        <v>85</v>
      </c>
      <c r="D904" s="1">
        <f>291.276</f>
        <v>291.27600000000001</v>
      </c>
      <c r="E904" s="1">
        <f>3685</f>
        <v>3685</v>
      </c>
      <c r="F904">
        <v>1605</v>
      </c>
      <c r="G904">
        <v>1</v>
      </c>
      <c r="H904">
        <v>0.2</v>
      </c>
      <c r="I904">
        <v>0</v>
      </c>
      <c r="J904">
        <v>-117.69799999999999</v>
      </c>
      <c r="K904">
        <v>529.91099999999994</v>
      </c>
      <c r="L904" s="1">
        <f>0</f>
        <v>0</v>
      </c>
    </row>
    <row r="905" spans="1:12" x14ac:dyDescent="0.25">
      <c r="A905">
        <f>80234995*0.00001</f>
        <v>802.34995000000004</v>
      </c>
      <c r="B905">
        <v>3489</v>
      </c>
      <c r="C905">
        <v>87</v>
      </c>
      <c r="D905">
        <v>291.27600000000001</v>
      </c>
      <c r="E905">
        <v>3685</v>
      </c>
      <c r="F905">
        <v>1605</v>
      </c>
      <c r="G905" s="1">
        <f>1</f>
        <v>1</v>
      </c>
      <c r="H905">
        <v>0.2</v>
      </c>
      <c r="I905">
        <v>0</v>
      </c>
      <c r="J905">
        <v>-117.69799999999999</v>
      </c>
      <c r="K905">
        <v>529.91099999999994</v>
      </c>
      <c r="L905">
        <v>0</v>
      </c>
    </row>
    <row r="906" spans="1:12" x14ac:dyDescent="0.25">
      <c r="A906">
        <f>80235109*0.00001</f>
        <v>802.35109000000011</v>
      </c>
      <c r="B906">
        <v>3489</v>
      </c>
      <c r="C906">
        <v>88</v>
      </c>
      <c r="D906">
        <v>291.27600000000001</v>
      </c>
      <c r="E906">
        <v>3685</v>
      </c>
      <c r="F906">
        <v>1605</v>
      </c>
      <c r="G906">
        <v>1</v>
      </c>
      <c r="H906" s="1">
        <f>0.2</f>
        <v>0.2</v>
      </c>
      <c r="I906" s="1">
        <f>0</f>
        <v>0</v>
      </c>
      <c r="J906" s="1">
        <f>-116.443</f>
        <v>-116.443</v>
      </c>
      <c r="K906" s="1">
        <f>529.831</f>
        <v>529.83100000000002</v>
      </c>
      <c r="L906" s="1">
        <f>0</f>
        <v>0</v>
      </c>
    </row>
    <row r="907" spans="1:12" x14ac:dyDescent="0.25">
      <c r="A907">
        <f>80235453*0.00001</f>
        <v>802.35453000000007</v>
      </c>
      <c r="B907">
        <v>3489</v>
      </c>
      <c r="C907">
        <v>91</v>
      </c>
      <c r="D907">
        <v>291.27600000000001</v>
      </c>
      <c r="E907" s="1">
        <f>3695</f>
        <v>3695</v>
      </c>
      <c r="F907">
        <v>1605</v>
      </c>
      <c r="G907">
        <v>1</v>
      </c>
      <c r="H907">
        <v>0.2</v>
      </c>
      <c r="I907">
        <v>0</v>
      </c>
      <c r="J907">
        <v>-116.443</v>
      </c>
      <c r="K907">
        <v>529.83100000000002</v>
      </c>
      <c r="L907">
        <v>0</v>
      </c>
    </row>
    <row r="908" spans="1:12" x14ac:dyDescent="0.25">
      <c r="A908">
        <f>80235567*0.00001</f>
        <v>802.35567000000003</v>
      </c>
      <c r="B908">
        <v>3489</v>
      </c>
      <c r="C908">
        <v>92</v>
      </c>
      <c r="D908">
        <v>291.27600000000001</v>
      </c>
      <c r="E908">
        <v>3695</v>
      </c>
      <c r="F908" s="1">
        <f>1605</f>
        <v>1605</v>
      </c>
      <c r="G908" s="1">
        <f>1</f>
        <v>1</v>
      </c>
      <c r="H908" s="1">
        <f>0.2</f>
        <v>0.2</v>
      </c>
      <c r="I908">
        <v>0</v>
      </c>
      <c r="J908">
        <v>-116.443</v>
      </c>
      <c r="K908">
        <v>529.83100000000002</v>
      </c>
      <c r="L908">
        <v>0</v>
      </c>
    </row>
    <row r="909" spans="1:12" x14ac:dyDescent="0.25">
      <c r="A909">
        <f>80235797*0.00001</f>
        <v>802.35797000000002</v>
      </c>
      <c r="B909">
        <v>3489</v>
      </c>
      <c r="C909">
        <v>94</v>
      </c>
      <c r="D909">
        <v>291.27600000000001</v>
      </c>
      <c r="E909">
        <v>3695</v>
      </c>
      <c r="F909">
        <v>1605</v>
      </c>
      <c r="G909">
        <v>1</v>
      </c>
      <c r="H909">
        <v>0.2</v>
      </c>
      <c r="I909">
        <v>0</v>
      </c>
      <c r="J909" s="1">
        <f>-115.904</f>
        <v>-115.904</v>
      </c>
      <c r="K909">
        <v>529.83100000000002</v>
      </c>
      <c r="L909">
        <v>0</v>
      </c>
    </row>
    <row r="910" spans="1:12" x14ac:dyDescent="0.25">
      <c r="A910">
        <f>80235912*0.00001</f>
        <v>802.35912000000008</v>
      </c>
      <c r="B910">
        <v>3489</v>
      </c>
      <c r="C910">
        <v>95</v>
      </c>
      <c r="D910">
        <v>291.27600000000001</v>
      </c>
      <c r="E910">
        <v>3695</v>
      </c>
      <c r="F910">
        <v>1605</v>
      </c>
      <c r="G910">
        <v>1</v>
      </c>
      <c r="H910">
        <v>0.2</v>
      </c>
      <c r="I910">
        <v>0</v>
      </c>
      <c r="J910">
        <v>-115.904</v>
      </c>
      <c r="K910">
        <v>529.83100000000002</v>
      </c>
      <c r="L910" s="1">
        <f>0</f>
        <v>0</v>
      </c>
    </row>
    <row r="911" spans="1:12" x14ac:dyDescent="0.25">
      <c r="A911">
        <f>80236027*0.00001</f>
        <v>802.36027000000001</v>
      </c>
      <c r="B911">
        <v>3489</v>
      </c>
      <c r="C911">
        <v>96</v>
      </c>
      <c r="D911" s="1">
        <f>290.345</f>
        <v>290.34500000000003</v>
      </c>
      <c r="E911" s="1">
        <f>3702</f>
        <v>3702</v>
      </c>
      <c r="F911" s="1">
        <f>1605</f>
        <v>1605</v>
      </c>
      <c r="G911">
        <v>1</v>
      </c>
      <c r="H911">
        <v>0.2</v>
      </c>
      <c r="I911">
        <v>0</v>
      </c>
      <c r="J911">
        <v>-115.904</v>
      </c>
      <c r="K911">
        <v>529.83100000000002</v>
      </c>
      <c r="L911">
        <v>0</v>
      </c>
    </row>
    <row r="912" spans="1:12" x14ac:dyDescent="0.25">
      <c r="A912">
        <f>80236257*0.00001</f>
        <v>802.36257000000012</v>
      </c>
      <c r="B912">
        <v>3489</v>
      </c>
      <c r="C912">
        <v>98</v>
      </c>
      <c r="D912">
        <v>290.34500000000003</v>
      </c>
      <c r="E912">
        <v>3702</v>
      </c>
      <c r="F912">
        <v>1605</v>
      </c>
      <c r="G912">
        <v>1</v>
      </c>
      <c r="H912" s="1">
        <f>0.2</f>
        <v>0.2</v>
      </c>
      <c r="I912">
        <v>0</v>
      </c>
      <c r="J912">
        <v>-115.904</v>
      </c>
      <c r="K912">
        <v>529.83100000000002</v>
      </c>
      <c r="L912">
        <v>0</v>
      </c>
    </row>
    <row r="913" spans="1:12" x14ac:dyDescent="0.25">
      <c r="A913">
        <f>80236372*0.00001</f>
        <v>802.36372000000006</v>
      </c>
      <c r="B913">
        <v>3489</v>
      </c>
      <c r="C913">
        <v>99</v>
      </c>
      <c r="D913" s="1">
        <f>289.928</f>
        <v>289.928</v>
      </c>
      <c r="E913">
        <v>3702</v>
      </c>
      <c r="F913">
        <v>1605</v>
      </c>
      <c r="G913">
        <v>1</v>
      </c>
      <c r="H913">
        <v>0.2</v>
      </c>
      <c r="I913" s="1">
        <f>0</f>
        <v>0</v>
      </c>
      <c r="J913" s="1">
        <f>-115.333</f>
        <v>-115.333</v>
      </c>
      <c r="K913" s="1">
        <f>529.654</f>
        <v>529.654</v>
      </c>
      <c r="L913" s="1">
        <f>0</f>
        <v>0</v>
      </c>
    </row>
    <row r="914" spans="1:12" x14ac:dyDescent="0.25">
      <c r="A914">
        <f>80236719*0.00001</f>
        <v>802.36719000000005</v>
      </c>
      <c r="B914">
        <v>3489</v>
      </c>
      <c r="C914">
        <v>102</v>
      </c>
      <c r="D914">
        <v>289.928</v>
      </c>
      <c r="E914">
        <v>3702</v>
      </c>
      <c r="F914" s="1">
        <f>1605</f>
        <v>1605</v>
      </c>
      <c r="G914">
        <v>1</v>
      </c>
      <c r="H914">
        <v>0.2</v>
      </c>
      <c r="I914">
        <v>0</v>
      </c>
      <c r="J914">
        <v>-115.333</v>
      </c>
      <c r="K914">
        <v>529.654</v>
      </c>
      <c r="L914">
        <v>0</v>
      </c>
    </row>
    <row r="915" spans="1:12" x14ac:dyDescent="0.25">
      <c r="A915">
        <f>80236834*0.00001</f>
        <v>802.3683400000001</v>
      </c>
      <c r="B915">
        <v>3489</v>
      </c>
      <c r="C915">
        <v>103</v>
      </c>
      <c r="D915">
        <v>289.928</v>
      </c>
      <c r="E915">
        <v>3702</v>
      </c>
      <c r="F915">
        <v>1605</v>
      </c>
      <c r="G915" s="1">
        <f>1</f>
        <v>1</v>
      </c>
      <c r="H915" s="1">
        <f>0.2</f>
        <v>0.2</v>
      </c>
      <c r="I915" s="1">
        <f>0</f>
        <v>0</v>
      </c>
      <c r="J915">
        <v>-115.333</v>
      </c>
      <c r="K915">
        <v>529.654</v>
      </c>
      <c r="L915">
        <v>0</v>
      </c>
    </row>
    <row r="916" spans="1:12" x14ac:dyDescent="0.25">
      <c r="A916">
        <f>80237065*0.00001</f>
        <v>802.37065000000007</v>
      </c>
      <c r="B916">
        <v>3489</v>
      </c>
      <c r="C916">
        <v>105</v>
      </c>
      <c r="D916">
        <v>289.928</v>
      </c>
      <c r="E916">
        <v>3702</v>
      </c>
      <c r="F916">
        <v>1605</v>
      </c>
      <c r="G916">
        <v>1</v>
      </c>
      <c r="H916">
        <v>0.2</v>
      </c>
      <c r="I916">
        <v>0</v>
      </c>
      <c r="J916">
        <v>-115.333</v>
      </c>
      <c r="K916" s="1">
        <f>529.574</f>
        <v>529.57399999999996</v>
      </c>
      <c r="L916">
        <v>0</v>
      </c>
    </row>
    <row r="917" spans="1:12" x14ac:dyDescent="0.25">
      <c r="A917">
        <f>80237180*0.00001</f>
        <v>802.37180000000012</v>
      </c>
      <c r="B917">
        <v>3489</v>
      </c>
      <c r="C917">
        <v>106</v>
      </c>
      <c r="D917" s="1">
        <f>289.517</f>
        <v>289.517</v>
      </c>
      <c r="E917">
        <v>3702</v>
      </c>
      <c r="F917">
        <v>1605</v>
      </c>
      <c r="G917">
        <v>1</v>
      </c>
      <c r="H917">
        <v>0.2</v>
      </c>
      <c r="I917">
        <v>0</v>
      </c>
      <c r="J917">
        <v>-115.333</v>
      </c>
      <c r="K917">
        <v>529.57399999999996</v>
      </c>
      <c r="L917" s="1">
        <f>0</f>
        <v>0</v>
      </c>
    </row>
    <row r="918" spans="1:12" x14ac:dyDescent="0.25">
      <c r="A918">
        <f>80237295*0.00001</f>
        <v>802.37295000000006</v>
      </c>
      <c r="B918">
        <v>3489</v>
      </c>
      <c r="C918">
        <v>107</v>
      </c>
      <c r="D918">
        <v>289.517</v>
      </c>
      <c r="E918" s="1">
        <f>3717</f>
        <v>3717</v>
      </c>
      <c r="F918" s="1">
        <f>1605</f>
        <v>1605</v>
      </c>
      <c r="G918" s="1">
        <f>1</f>
        <v>1</v>
      </c>
      <c r="H918">
        <v>0.2</v>
      </c>
      <c r="I918">
        <v>0</v>
      </c>
      <c r="J918">
        <v>-115.333</v>
      </c>
      <c r="K918">
        <v>529.57399999999996</v>
      </c>
      <c r="L918">
        <v>0</v>
      </c>
    </row>
    <row r="919" spans="1:12" x14ac:dyDescent="0.25">
      <c r="A919">
        <f>80237525*0.00001</f>
        <v>802.37525000000005</v>
      </c>
      <c r="B919">
        <v>3489</v>
      </c>
      <c r="C919">
        <v>109</v>
      </c>
      <c r="D919">
        <v>289.517</v>
      </c>
      <c r="E919">
        <v>3717</v>
      </c>
      <c r="F919">
        <v>1605</v>
      </c>
      <c r="G919">
        <v>1</v>
      </c>
      <c r="H919">
        <v>0.2</v>
      </c>
      <c r="I919" s="1">
        <f>0</f>
        <v>0</v>
      </c>
      <c r="J919">
        <v>-115.333</v>
      </c>
      <c r="K919">
        <v>529.57399999999996</v>
      </c>
      <c r="L919">
        <v>0</v>
      </c>
    </row>
    <row r="920" spans="1:12" x14ac:dyDescent="0.25">
      <c r="A920">
        <f>80237641*0.00001</f>
        <v>802.37641000000008</v>
      </c>
      <c r="B920">
        <v>3489</v>
      </c>
      <c r="C920">
        <v>110</v>
      </c>
      <c r="D920" s="1">
        <f>289.099</f>
        <v>289.09899999999999</v>
      </c>
      <c r="E920" s="1">
        <f>3727</f>
        <v>3727</v>
      </c>
      <c r="F920">
        <v>1605</v>
      </c>
      <c r="G920">
        <v>1</v>
      </c>
      <c r="H920">
        <v>0.2</v>
      </c>
      <c r="I920">
        <v>0</v>
      </c>
      <c r="J920" s="1">
        <f>-114.077</f>
        <v>-114.077</v>
      </c>
      <c r="K920" s="1">
        <f>529.495</f>
        <v>529.495</v>
      </c>
      <c r="L920" s="1">
        <f>0</f>
        <v>0</v>
      </c>
    </row>
    <row r="921" spans="1:12" x14ac:dyDescent="0.25">
      <c r="A921">
        <f>80237988*0.00001</f>
        <v>802.37988000000007</v>
      </c>
      <c r="B921">
        <v>3489</v>
      </c>
      <c r="C921">
        <v>113</v>
      </c>
      <c r="D921">
        <v>289.09899999999999</v>
      </c>
      <c r="E921">
        <v>3727</v>
      </c>
      <c r="F921">
        <v>1605</v>
      </c>
      <c r="G921" s="1">
        <f>1</f>
        <v>1</v>
      </c>
      <c r="H921">
        <v>0.2</v>
      </c>
      <c r="I921">
        <v>0</v>
      </c>
      <c r="J921">
        <v>-114.077</v>
      </c>
      <c r="K921">
        <v>529.495</v>
      </c>
      <c r="L921">
        <v>0</v>
      </c>
    </row>
    <row r="922" spans="1:12" x14ac:dyDescent="0.25">
      <c r="A922">
        <f>80238103*0.00001</f>
        <v>802.38103000000001</v>
      </c>
      <c r="B922">
        <v>3489</v>
      </c>
      <c r="C922">
        <v>114</v>
      </c>
      <c r="D922">
        <v>289.09899999999999</v>
      </c>
      <c r="E922">
        <v>3727</v>
      </c>
      <c r="F922">
        <v>1605</v>
      </c>
      <c r="G922">
        <v>1</v>
      </c>
      <c r="H922" s="1">
        <f>0.2</f>
        <v>0.2</v>
      </c>
      <c r="I922" s="1">
        <f>0</f>
        <v>0</v>
      </c>
      <c r="J922" s="1">
        <f>-113.505</f>
        <v>-113.505</v>
      </c>
      <c r="K922">
        <v>529.495</v>
      </c>
      <c r="L922">
        <v>0</v>
      </c>
    </row>
    <row r="923" spans="1:12" x14ac:dyDescent="0.25">
      <c r="A923">
        <f>80238333*0.00001</f>
        <v>802.38333000000011</v>
      </c>
      <c r="B923">
        <v>3489</v>
      </c>
      <c r="C923">
        <v>116</v>
      </c>
      <c r="D923">
        <v>289.09899999999999</v>
      </c>
      <c r="E923">
        <v>3727</v>
      </c>
      <c r="F923">
        <v>1605</v>
      </c>
      <c r="G923">
        <v>1</v>
      </c>
      <c r="H923">
        <v>0.2</v>
      </c>
      <c r="I923">
        <v>0</v>
      </c>
      <c r="J923">
        <v>-113.505</v>
      </c>
      <c r="K923">
        <v>529.495</v>
      </c>
      <c r="L923" s="1">
        <f>0</f>
        <v>0</v>
      </c>
    </row>
    <row r="924" spans="1:12" x14ac:dyDescent="0.25">
      <c r="A924">
        <f>80238449*0.00001</f>
        <v>802.38449000000003</v>
      </c>
      <c r="B924">
        <v>3489</v>
      </c>
      <c r="C924">
        <v>117</v>
      </c>
      <c r="D924">
        <v>289.09899999999999</v>
      </c>
      <c r="E924" s="1">
        <f>3734</f>
        <v>3734</v>
      </c>
      <c r="F924">
        <v>1605</v>
      </c>
      <c r="G924">
        <v>1</v>
      </c>
      <c r="H924">
        <v>0.2</v>
      </c>
      <c r="I924">
        <v>0</v>
      </c>
      <c r="J924">
        <v>-113.505</v>
      </c>
      <c r="K924">
        <v>529.495</v>
      </c>
      <c r="L924">
        <v>0</v>
      </c>
    </row>
    <row r="925" spans="1:12" x14ac:dyDescent="0.25">
      <c r="A925">
        <f>80238565*0.00001</f>
        <v>802.38565000000006</v>
      </c>
      <c r="B925">
        <v>3489</v>
      </c>
      <c r="C925">
        <v>118</v>
      </c>
      <c r="D925">
        <v>289.09899999999999</v>
      </c>
      <c r="E925">
        <v>3734</v>
      </c>
      <c r="F925" s="1">
        <f>1605</f>
        <v>1605</v>
      </c>
      <c r="G925" s="1">
        <f>1</f>
        <v>1</v>
      </c>
      <c r="H925" s="1">
        <f>0.2</f>
        <v>0.2</v>
      </c>
      <c r="I925">
        <v>0</v>
      </c>
      <c r="J925">
        <v>-113.505</v>
      </c>
      <c r="K925">
        <v>529.495</v>
      </c>
      <c r="L925">
        <v>0</v>
      </c>
    </row>
    <row r="926" spans="1:12" x14ac:dyDescent="0.25">
      <c r="A926">
        <f>80238797*0.00001</f>
        <v>802.38797000000011</v>
      </c>
      <c r="B926">
        <v>3489</v>
      </c>
      <c r="C926">
        <v>120</v>
      </c>
      <c r="D926">
        <v>289.09899999999999</v>
      </c>
      <c r="E926">
        <v>3734</v>
      </c>
      <c r="F926">
        <v>1605</v>
      </c>
      <c r="G926">
        <v>1</v>
      </c>
      <c r="H926">
        <v>0.2</v>
      </c>
      <c r="I926">
        <v>0</v>
      </c>
      <c r="J926" s="1">
        <f>-112.958</f>
        <v>-112.958</v>
      </c>
      <c r="K926">
        <v>529.495</v>
      </c>
      <c r="L926">
        <v>0</v>
      </c>
    </row>
    <row r="927" spans="1:12" x14ac:dyDescent="0.25">
      <c r="A927">
        <f>80238913*0.00001</f>
        <v>802.38913000000002</v>
      </c>
      <c r="B927">
        <v>3489</v>
      </c>
      <c r="C927">
        <v>121</v>
      </c>
      <c r="D927" s="1">
        <f>288.174</f>
        <v>288.17399999999998</v>
      </c>
      <c r="E927" s="1">
        <f>3742</f>
        <v>3742</v>
      </c>
      <c r="F927" s="1">
        <f>1605</f>
        <v>1605</v>
      </c>
      <c r="G927">
        <v>1</v>
      </c>
      <c r="H927">
        <v>0.2</v>
      </c>
      <c r="I927">
        <v>0</v>
      </c>
      <c r="J927">
        <v>-112.958</v>
      </c>
      <c r="K927" s="1">
        <f>529.321</f>
        <v>529.32100000000003</v>
      </c>
      <c r="L927" s="1">
        <f>0</f>
        <v>0</v>
      </c>
    </row>
    <row r="928" spans="1:12" x14ac:dyDescent="0.25">
      <c r="A928">
        <f>80239260*0.00001</f>
        <v>802.39260000000002</v>
      </c>
      <c r="B928">
        <v>3489</v>
      </c>
      <c r="C928">
        <v>124</v>
      </c>
      <c r="D928">
        <v>288.17399999999998</v>
      </c>
      <c r="E928">
        <v>3742</v>
      </c>
      <c r="F928">
        <v>1605</v>
      </c>
      <c r="G928">
        <v>1</v>
      </c>
      <c r="H928" s="1">
        <f>0.2</f>
        <v>0.2</v>
      </c>
      <c r="I928">
        <v>0</v>
      </c>
      <c r="J928">
        <v>-112.958</v>
      </c>
      <c r="K928">
        <v>529.32100000000003</v>
      </c>
      <c r="L928">
        <v>0</v>
      </c>
    </row>
    <row r="929" spans="1:12" x14ac:dyDescent="0.25">
      <c r="A929">
        <f>80239376*0.00001</f>
        <v>802.39376000000004</v>
      </c>
      <c r="B929">
        <v>3489</v>
      </c>
      <c r="C929">
        <v>125</v>
      </c>
      <c r="D929" s="1">
        <f>287.756</f>
        <v>287.75599999999997</v>
      </c>
      <c r="E929">
        <v>3742</v>
      </c>
      <c r="F929">
        <v>1605</v>
      </c>
      <c r="G929">
        <v>1</v>
      </c>
      <c r="H929">
        <v>0.2</v>
      </c>
      <c r="I929" s="1">
        <f>0</f>
        <v>0</v>
      </c>
      <c r="J929" s="1">
        <f>-112.398</f>
        <v>-112.398</v>
      </c>
      <c r="K929" s="1">
        <f>529.243</f>
        <v>529.24300000000005</v>
      </c>
      <c r="L929" s="1">
        <f>0</f>
        <v>0</v>
      </c>
    </row>
    <row r="930" spans="1:12" x14ac:dyDescent="0.25">
      <c r="A930">
        <f>80239724*0.00001</f>
        <v>802.39724000000001</v>
      </c>
      <c r="B930">
        <v>3489</v>
      </c>
      <c r="C930">
        <v>128</v>
      </c>
      <c r="D930">
        <v>287.75599999999997</v>
      </c>
      <c r="E930">
        <v>3742</v>
      </c>
      <c r="F930" s="1">
        <f>1605</f>
        <v>1605</v>
      </c>
      <c r="G930">
        <v>1</v>
      </c>
      <c r="H930">
        <v>0.2</v>
      </c>
      <c r="I930">
        <v>0</v>
      </c>
      <c r="J930">
        <v>-112.398</v>
      </c>
      <c r="K930">
        <v>529.24300000000005</v>
      </c>
      <c r="L930">
        <v>0</v>
      </c>
    </row>
    <row r="931" spans="1:12" x14ac:dyDescent="0.25">
      <c r="A931">
        <f>80239840*0.00001</f>
        <v>802.39840000000004</v>
      </c>
      <c r="B931">
        <v>3489</v>
      </c>
      <c r="C931">
        <v>129</v>
      </c>
      <c r="D931">
        <v>287.75599999999997</v>
      </c>
      <c r="E931">
        <v>3742</v>
      </c>
      <c r="F931">
        <v>1605</v>
      </c>
      <c r="G931" s="1">
        <f>1</f>
        <v>1</v>
      </c>
      <c r="H931" s="1">
        <f>0.2</f>
        <v>0.2</v>
      </c>
      <c r="I931" s="1">
        <f>0</f>
        <v>0</v>
      </c>
      <c r="J931">
        <v>-112.398</v>
      </c>
      <c r="K931">
        <v>529.24300000000005</v>
      </c>
      <c r="L931">
        <v>0</v>
      </c>
    </row>
    <row r="932" spans="1:12" x14ac:dyDescent="0.25">
      <c r="A932">
        <f>80240072*0.00001</f>
        <v>802.40072000000009</v>
      </c>
      <c r="B932">
        <v>3489</v>
      </c>
      <c r="C932">
        <v>131</v>
      </c>
      <c r="D932">
        <v>287.75599999999997</v>
      </c>
      <c r="E932">
        <v>3742</v>
      </c>
      <c r="F932">
        <v>1605</v>
      </c>
      <c r="G932">
        <v>1</v>
      </c>
      <c r="H932">
        <v>0.2</v>
      </c>
      <c r="I932">
        <v>0</v>
      </c>
      <c r="J932">
        <v>-112.398</v>
      </c>
      <c r="K932" s="1">
        <f>529.164</f>
        <v>529.16399999999999</v>
      </c>
      <c r="L932">
        <v>0</v>
      </c>
    </row>
    <row r="933" spans="1:12" x14ac:dyDescent="0.25">
      <c r="A933">
        <f>80240188*0.00001</f>
        <v>802.40188000000012</v>
      </c>
      <c r="B933">
        <v>3489</v>
      </c>
      <c r="C933">
        <v>132</v>
      </c>
      <c r="D933" s="1">
        <f>287.342</f>
        <v>287.34199999999998</v>
      </c>
      <c r="E933">
        <v>3742</v>
      </c>
      <c r="F933">
        <v>1605</v>
      </c>
      <c r="G933">
        <v>1</v>
      </c>
      <c r="H933">
        <v>0.2</v>
      </c>
      <c r="I933">
        <v>0</v>
      </c>
      <c r="J933">
        <v>-112.398</v>
      </c>
      <c r="K933">
        <v>529.16399999999999</v>
      </c>
      <c r="L933">
        <v>0</v>
      </c>
    </row>
    <row r="934" spans="1:12" x14ac:dyDescent="0.25">
      <c r="A934">
        <f>80240304*0.00001</f>
        <v>802.40304000000003</v>
      </c>
      <c r="B934">
        <v>3489</v>
      </c>
      <c r="C934">
        <v>133</v>
      </c>
      <c r="D934">
        <v>287.34199999999998</v>
      </c>
      <c r="E934" s="1">
        <f>3758</f>
        <v>3758</v>
      </c>
      <c r="F934" s="1">
        <f>1605</f>
        <v>1605</v>
      </c>
      <c r="G934" s="1">
        <f>1</f>
        <v>1</v>
      </c>
      <c r="H934">
        <v>0.2</v>
      </c>
      <c r="I934">
        <v>0</v>
      </c>
      <c r="J934">
        <v>-112.398</v>
      </c>
      <c r="K934">
        <v>529.16399999999999</v>
      </c>
      <c r="L934">
        <v>0</v>
      </c>
    </row>
    <row r="935" spans="1:12" x14ac:dyDescent="0.25">
      <c r="A935">
        <f>80240536*0.00001</f>
        <v>802.40536000000009</v>
      </c>
      <c r="B935">
        <v>3489</v>
      </c>
      <c r="C935">
        <v>135</v>
      </c>
      <c r="D935">
        <v>287.34199999999998</v>
      </c>
      <c r="E935">
        <v>3758</v>
      </c>
      <c r="F935">
        <v>1605</v>
      </c>
      <c r="G935">
        <v>1</v>
      </c>
      <c r="H935" s="1">
        <f>0.2</f>
        <v>0.2</v>
      </c>
      <c r="I935">
        <v>0</v>
      </c>
      <c r="J935">
        <v>-112.398</v>
      </c>
      <c r="K935">
        <v>529.16399999999999</v>
      </c>
      <c r="L935">
        <v>0</v>
      </c>
    </row>
    <row r="936" spans="1:12" x14ac:dyDescent="0.25">
      <c r="A936">
        <f>80240652*0.00001</f>
        <v>802.40652000000011</v>
      </c>
      <c r="B936">
        <v>3489</v>
      </c>
      <c r="C936">
        <v>136</v>
      </c>
      <c r="D936">
        <v>287.34199999999998</v>
      </c>
      <c r="E936">
        <v>3758</v>
      </c>
      <c r="F936">
        <v>1605</v>
      </c>
      <c r="G936">
        <v>1</v>
      </c>
      <c r="H936">
        <v>0.2</v>
      </c>
      <c r="I936">
        <v>0</v>
      </c>
      <c r="J936" s="1">
        <f>-111.178</f>
        <v>-111.178</v>
      </c>
      <c r="K936">
        <v>529.16399999999999</v>
      </c>
      <c r="L936">
        <v>0</v>
      </c>
    </row>
    <row r="937" spans="1:12" x14ac:dyDescent="0.25">
      <c r="A937">
        <f>80240769*0.00001</f>
        <v>802.40769000000012</v>
      </c>
      <c r="B937">
        <v>3489</v>
      </c>
      <c r="C937">
        <v>137</v>
      </c>
      <c r="D937" s="1">
        <f>286.847</f>
        <v>286.84699999999998</v>
      </c>
      <c r="E937">
        <v>3758</v>
      </c>
      <c r="F937">
        <v>1605</v>
      </c>
      <c r="G937">
        <v>1</v>
      </c>
      <c r="H937">
        <v>0.2</v>
      </c>
      <c r="I937">
        <v>0</v>
      </c>
      <c r="J937">
        <v>-111.178</v>
      </c>
      <c r="K937" s="1">
        <f>529.071</f>
        <v>529.07100000000003</v>
      </c>
      <c r="L937" s="1">
        <f>0</f>
        <v>0</v>
      </c>
    </row>
    <row r="938" spans="1:12" x14ac:dyDescent="0.25">
      <c r="A938">
        <f>80241003*0.00001</f>
        <v>802.41003000000012</v>
      </c>
      <c r="B938">
        <v>3489</v>
      </c>
      <c r="C938">
        <v>139</v>
      </c>
      <c r="D938">
        <v>286.84699999999998</v>
      </c>
      <c r="E938">
        <v>3758</v>
      </c>
      <c r="F938" s="1">
        <f>1605</f>
        <v>1605</v>
      </c>
      <c r="G938">
        <v>1</v>
      </c>
      <c r="H938">
        <v>0.2</v>
      </c>
      <c r="I938">
        <v>0</v>
      </c>
      <c r="J938">
        <v>-111.178</v>
      </c>
      <c r="K938">
        <v>529.07100000000003</v>
      </c>
      <c r="L938">
        <v>0</v>
      </c>
    </row>
    <row r="939" spans="1:12" x14ac:dyDescent="0.25">
      <c r="A939">
        <f>80241120*0.00001</f>
        <v>802.41120000000012</v>
      </c>
      <c r="B939">
        <v>3489</v>
      </c>
      <c r="C939">
        <v>140</v>
      </c>
      <c r="D939">
        <v>286.84699999999998</v>
      </c>
      <c r="E939">
        <v>3758</v>
      </c>
      <c r="F939">
        <v>1605</v>
      </c>
      <c r="G939">
        <v>1</v>
      </c>
      <c r="H939" s="1">
        <f>0.2</f>
        <v>0.2</v>
      </c>
      <c r="I939">
        <v>0</v>
      </c>
      <c r="J939">
        <v>-111.178</v>
      </c>
      <c r="K939">
        <v>529.07100000000003</v>
      </c>
      <c r="L939">
        <v>0</v>
      </c>
    </row>
    <row r="940" spans="1:12" x14ac:dyDescent="0.25">
      <c r="A940">
        <f>80241237*0.00001</f>
        <v>802.41237000000001</v>
      </c>
      <c r="B940">
        <v>3489</v>
      </c>
      <c r="C940">
        <v>141</v>
      </c>
      <c r="D940" s="1">
        <f>286.452</f>
        <v>286.452</v>
      </c>
      <c r="E940">
        <v>3758</v>
      </c>
      <c r="F940">
        <v>1605</v>
      </c>
      <c r="G940">
        <v>1</v>
      </c>
      <c r="H940">
        <v>0.2</v>
      </c>
      <c r="I940" s="1">
        <f>0</f>
        <v>0</v>
      </c>
      <c r="J940" s="1">
        <f>-110.617</f>
        <v>-110.617</v>
      </c>
      <c r="K940" s="1">
        <f>528.993</f>
        <v>528.99300000000005</v>
      </c>
      <c r="L940" s="1">
        <f>0</f>
        <v>0</v>
      </c>
    </row>
    <row r="941" spans="1:12" x14ac:dyDescent="0.25">
      <c r="A941">
        <f>80241588*0.00001</f>
        <v>802.41588000000002</v>
      </c>
      <c r="B941">
        <v>3489</v>
      </c>
      <c r="C941">
        <v>144</v>
      </c>
      <c r="D941">
        <v>286.452</v>
      </c>
      <c r="E941">
        <v>3758</v>
      </c>
      <c r="F941" s="1">
        <f>1605</f>
        <v>1605</v>
      </c>
      <c r="G941">
        <v>1</v>
      </c>
      <c r="H941">
        <v>0.2</v>
      </c>
      <c r="I941">
        <v>0</v>
      </c>
      <c r="J941">
        <v>-110.617</v>
      </c>
      <c r="K941">
        <v>528.99300000000005</v>
      </c>
      <c r="L941">
        <v>0</v>
      </c>
    </row>
    <row r="942" spans="1:12" x14ac:dyDescent="0.25">
      <c r="A942">
        <f>80241705*0.00001</f>
        <v>802.41705000000002</v>
      </c>
      <c r="B942">
        <v>3489</v>
      </c>
      <c r="C942">
        <v>145</v>
      </c>
      <c r="D942">
        <v>286.452</v>
      </c>
      <c r="E942">
        <v>3758</v>
      </c>
      <c r="F942">
        <v>1605</v>
      </c>
      <c r="G942" s="1">
        <f>1</f>
        <v>1</v>
      </c>
      <c r="H942" s="1">
        <f>0.2</f>
        <v>0.2</v>
      </c>
      <c r="I942" s="1">
        <f>0</f>
        <v>0</v>
      </c>
      <c r="J942" s="1">
        <f>-110.059</f>
        <v>-110.059</v>
      </c>
      <c r="K942" s="1">
        <f>528.916</f>
        <v>528.91600000000005</v>
      </c>
      <c r="L942">
        <v>0</v>
      </c>
    </row>
    <row r="943" spans="1:12" x14ac:dyDescent="0.25">
      <c r="A943">
        <f>80242055*0.00001</f>
        <v>802.42055000000005</v>
      </c>
      <c r="B943">
        <v>3489</v>
      </c>
      <c r="C943">
        <v>148</v>
      </c>
      <c r="D943" s="1">
        <f>286.06</f>
        <v>286.06</v>
      </c>
      <c r="E943">
        <v>3758</v>
      </c>
      <c r="F943">
        <v>1605</v>
      </c>
      <c r="G943">
        <v>1</v>
      </c>
      <c r="H943">
        <v>0.2</v>
      </c>
      <c r="I943">
        <v>0</v>
      </c>
      <c r="J943">
        <v>-110.059</v>
      </c>
      <c r="K943">
        <v>528.91600000000005</v>
      </c>
      <c r="L943">
        <v>0</v>
      </c>
    </row>
    <row r="944" spans="1:12" x14ac:dyDescent="0.25">
      <c r="A944">
        <f>80242172*0.00001</f>
        <v>802.42172000000005</v>
      </c>
      <c r="B944">
        <v>3489</v>
      </c>
      <c r="C944">
        <v>149</v>
      </c>
      <c r="D944">
        <v>286.06</v>
      </c>
      <c r="E944" s="1">
        <f>3782</f>
        <v>3782</v>
      </c>
      <c r="F944" s="1">
        <f>1605</f>
        <v>1605</v>
      </c>
      <c r="G944" s="1">
        <f>1</f>
        <v>1</v>
      </c>
      <c r="H944" s="1">
        <f>0.2</f>
        <v>0.2</v>
      </c>
      <c r="I944" s="1">
        <f>0</f>
        <v>0</v>
      </c>
      <c r="J944">
        <v>-110.059</v>
      </c>
      <c r="K944">
        <v>528.91600000000005</v>
      </c>
      <c r="L944">
        <v>0</v>
      </c>
    </row>
    <row r="945" spans="1:12" x14ac:dyDescent="0.25">
      <c r="A945">
        <f>80242522*0.00001</f>
        <v>802.42522000000008</v>
      </c>
      <c r="B945">
        <v>3489</v>
      </c>
      <c r="C945">
        <v>152</v>
      </c>
      <c r="D945">
        <v>286.06</v>
      </c>
      <c r="E945">
        <v>3782</v>
      </c>
      <c r="F945">
        <v>1605</v>
      </c>
      <c r="G945">
        <v>1</v>
      </c>
      <c r="H945">
        <v>0.2</v>
      </c>
      <c r="I945">
        <v>0</v>
      </c>
      <c r="J945">
        <v>-110.059</v>
      </c>
      <c r="K945" s="1">
        <f>528.839</f>
        <v>528.83900000000006</v>
      </c>
      <c r="L945">
        <v>0</v>
      </c>
    </row>
    <row r="946" spans="1:12" x14ac:dyDescent="0.25">
      <c r="A946">
        <f>80242639*0.00001</f>
        <v>802.42639000000008</v>
      </c>
      <c r="B946">
        <v>3489</v>
      </c>
      <c r="C946">
        <v>153</v>
      </c>
      <c r="D946" s="1">
        <f>285.647</f>
        <v>285.64699999999999</v>
      </c>
      <c r="E946" s="1">
        <f>3790</f>
        <v>3790</v>
      </c>
      <c r="F946" s="1">
        <f>1605</f>
        <v>1605</v>
      </c>
      <c r="G946" s="1">
        <f>1</f>
        <v>1</v>
      </c>
      <c r="H946">
        <v>0.2</v>
      </c>
      <c r="I946">
        <v>0</v>
      </c>
      <c r="J946">
        <v>-110.059</v>
      </c>
      <c r="K946">
        <v>528.83900000000006</v>
      </c>
      <c r="L946" s="1">
        <f>0</f>
        <v>0</v>
      </c>
    </row>
    <row r="947" spans="1:12" x14ac:dyDescent="0.25">
      <c r="A947">
        <f>80242989*0.00001</f>
        <v>802.42989000000011</v>
      </c>
      <c r="B947">
        <v>3489</v>
      </c>
      <c r="C947">
        <v>156</v>
      </c>
      <c r="D947">
        <v>285.64699999999999</v>
      </c>
      <c r="E947">
        <v>3790</v>
      </c>
      <c r="F947">
        <v>1605</v>
      </c>
      <c r="G947">
        <v>1</v>
      </c>
      <c r="H947">
        <v>0.2</v>
      </c>
      <c r="I947" s="1">
        <f>0</f>
        <v>0</v>
      </c>
      <c r="J947">
        <v>-110.059</v>
      </c>
      <c r="K947">
        <v>528.83900000000006</v>
      </c>
      <c r="L947">
        <v>0</v>
      </c>
    </row>
    <row r="948" spans="1:12" x14ac:dyDescent="0.25">
      <c r="A948">
        <f>80243106*0.00001</f>
        <v>802.43106000000012</v>
      </c>
      <c r="B948">
        <v>3489</v>
      </c>
      <c r="C948">
        <v>157</v>
      </c>
      <c r="D948">
        <v>285.64699999999999</v>
      </c>
      <c r="E948">
        <v>3790</v>
      </c>
      <c r="F948">
        <v>1605</v>
      </c>
      <c r="G948">
        <v>1</v>
      </c>
      <c r="H948">
        <v>0.2</v>
      </c>
      <c r="I948">
        <v>0</v>
      </c>
      <c r="J948" s="1">
        <f>-108.845</f>
        <v>-108.845</v>
      </c>
      <c r="K948" s="1">
        <f>528.762</f>
        <v>528.76199999999994</v>
      </c>
      <c r="L948" s="1">
        <f>0</f>
        <v>0</v>
      </c>
    </row>
    <row r="949" spans="1:12" x14ac:dyDescent="0.25">
      <c r="A949">
        <f>80243306*0.00001</f>
        <v>802.43306000000007</v>
      </c>
      <c r="B949">
        <v>3489</v>
      </c>
      <c r="C949">
        <v>158</v>
      </c>
      <c r="D949" s="1">
        <f>285.238</f>
        <v>285.238</v>
      </c>
      <c r="E949" s="1">
        <f>3799</f>
        <v>3799</v>
      </c>
      <c r="F949">
        <v>1605</v>
      </c>
      <c r="G949">
        <v>1</v>
      </c>
      <c r="H949">
        <v>0.2</v>
      </c>
      <c r="I949">
        <v>0</v>
      </c>
      <c r="J949">
        <v>-108.845</v>
      </c>
      <c r="K949">
        <v>528.76199999999994</v>
      </c>
      <c r="L949">
        <v>0</v>
      </c>
    </row>
    <row r="950" spans="1:12" x14ac:dyDescent="0.25">
      <c r="A950">
        <f>80243457*0.00001</f>
        <v>802.43457000000012</v>
      </c>
      <c r="B950">
        <v>3489</v>
      </c>
      <c r="C950">
        <v>160</v>
      </c>
      <c r="D950">
        <v>285.238</v>
      </c>
      <c r="E950">
        <v>3799</v>
      </c>
      <c r="F950">
        <v>1605</v>
      </c>
      <c r="G950" s="1">
        <f>1</f>
        <v>1</v>
      </c>
      <c r="H950">
        <v>0.2</v>
      </c>
      <c r="I950">
        <v>0</v>
      </c>
      <c r="J950">
        <v>-108.845</v>
      </c>
      <c r="K950">
        <v>528.76199999999994</v>
      </c>
      <c r="L950">
        <v>0</v>
      </c>
    </row>
    <row r="951" spans="1:12" x14ac:dyDescent="0.25">
      <c r="A951">
        <f>80243574*0.00001</f>
        <v>802.43574000000001</v>
      </c>
      <c r="B951">
        <v>3489</v>
      </c>
      <c r="C951">
        <v>161</v>
      </c>
      <c r="D951">
        <v>285.238</v>
      </c>
      <c r="E951">
        <v>3799</v>
      </c>
      <c r="F951">
        <v>1605</v>
      </c>
      <c r="G951">
        <v>1</v>
      </c>
      <c r="H951" s="1">
        <f>0.2</f>
        <v>0.2</v>
      </c>
      <c r="I951" s="1">
        <f>0</f>
        <v>0</v>
      </c>
      <c r="J951" s="1">
        <f>-108.32</f>
        <v>-108.32</v>
      </c>
      <c r="K951" s="1">
        <f>528.685</f>
        <v>528.68499999999995</v>
      </c>
      <c r="L951" s="1">
        <f>0</f>
        <v>0</v>
      </c>
    </row>
    <row r="952" spans="1:12" x14ac:dyDescent="0.25">
      <c r="A952">
        <f>80243926*0.00001</f>
        <v>802.4392600000001</v>
      </c>
      <c r="B952">
        <v>3489</v>
      </c>
      <c r="C952">
        <v>164</v>
      </c>
      <c r="D952">
        <v>285.238</v>
      </c>
      <c r="E952" s="1">
        <f>3807</f>
        <v>3807</v>
      </c>
      <c r="F952">
        <v>1605</v>
      </c>
      <c r="G952">
        <v>1</v>
      </c>
      <c r="H952">
        <v>0.2</v>
      </c>
      <c r="I952">
        <v>0</v>
      </c>
      <c r="J952">
        <v>-108.32</v>
      </c>
      <c r="K952">
        <v>528.68499999999995</v>
      </c>
      <c r="L952">
        <v>0</v>
      </c>
    </row>
    <row r="953" spans="1:12" x14ac:dyDescent="0.25">
      <c r="A953">
        <f>80244043*0.00001</f>
        <v>802.44043000000011</v>
      </c>
      <c r="B953">
        <v>3489</v>
      </c>
      <c r="C953">
        <v>165</v>
      </c>
      <c r="D953">
        <v>285.238</v>
      </c>
      <c r="E953">
        <v>3807</v>
      </c>
      <c r="F953" s="1">
        <f>1606</f>
        <v>1606</v>
      </c>
      <c r="G953" s="1">
        <f>1</f>
        <v>1</v>
      </c>
      <c r="H953">
        <v>0.2</v>
      </c>
      <c r="I953">
        <v>0</v>
      </c>
      <c r="J953">
        <v>-108.32</v>
      </c>
      <c r="K953">
        <v>528.68499999999995</v>
      </c>
      <c r="L953">
        <v>0</v>
      </c>
    </row>
    <row r="954" spans="1:12" x14ac:dyDescent="0.25">
      <c r="A954">
        <f>80244160*0.00001</f>
        <v>802.44160000000011</v>
      </c>
      <c r="B954">
        <v>3489</v>
      </c>
      <c r="C954">
        <v>166</v>
      </c>
      <c r="D954">
        <v>285.238</v>
      </c>
      <c r="E954">
        <v>3807</v>
      </c>
      <c r="F954">
        <v>1606</v>
      </c>
      <c r="G954">
        <v>1</v>
      </c>
      <c r="H954" s="1">
        <f>0.2</f>
        <v>0.2</v>
      </c>
      <c r="I954" s="1">
        <f>0</f>
        <v>0</v>
      </c>
      <c r="J954" s="1">
        <f>-107.773</f>
        <v>-107.773</v>
      </c>
      <c r="K954">
        <v>528.68499999999995</v>
      </c>
      <c r="L954">
        <v>0</v>
      </c>
    </row>
    <row r="955" spans="1:12" x14ac:dyDescent="0.25">
      <c r="A955">
        <f>80244394*0.00001</f>
        <v>802.44394000000011</v>
      </c>
      <c r="B955">
        <v>3489</v>
      </c>
      <c r="C955">
        <v>168</v>
      </c>
      <c r="D955">
        <v>285.238</v>
      </c>
      <c r="E955">
        <v>3807</v>
      </c>
      <c r="F955">
        <v>1606</v>
      </c>
      <c r="G955">
        <v>1</v>
      </c>
      <c r="H955">
        <v>0.2</v>
      </c>
      <c r="I955">
        <v>0</v>
      </c>
      <c r="J955">
        <v>-107.773</v>
      </c>
      <c r="K955">
        <v>528.68499999999995</v>
      </c>
      <c r="L955" s="1">
        <f>0</f>
        <v>0</v>
      </c>
    </row>
    <row r="956" spans="1:12" x14ac:dyDescent="0.25">
      <c r="A956">
        <f>80244512*0.00001</f>
        <v>802.44512000000009</v>
      </c>
      <c r="B956">
        <v>3489</v>
      </c>
      <c r="C956">
        <v>169</v>
      </c>
      <c r="D956" s="1">
        <f>284.351</f>
        <v>284.351</v>
      </c>
      <c r="E956" s="1">
        <f>3814</f>
        <v>3814</v>
      </c>
      <c r="F956">
        <v>1606</v>
      </c>
      <c r="G956">
        <v>1</v>
      </c>
      <c r="H956">
        <v>0.2</v>
      </c>
      <c r="I956">
        <v>0</v>
      </c>
      <c r="J956">
        <v>-107.773</v>
      </c>
      <c r="K956">
        <v>528.68499999999995</v>
      </c>
      <c r="L956">
        <v>0</v>
      </c>
    </row>
    <row r="957" spans="1:12" x14ac:dyDescent="0.25">
      <c r="A957">
        <f>80244630*0.00001</f>
        <v>802.44630000000006</v>
      </c>
      <c r="B957">
        <v>3489</v>
      </c>
      <c r="C957">
        <v>170</v>
      </c>
      <c r="D957">
        <v>284.351</v>
      </c>
      <c r="E957">
        <v>3814</v>
      </c>
      <c r="F957" s="1">
        <f>1606</f>
        <v>1606</v>
      </c>
      <c r="G957" s="1">
        <f>1</f>
        <v>1</v>
      </c>
      <c r="H957" s="1">
        <f>0.2</f>
        <v>0.2</v>
      </c>
      <c r="I957">
        <v>0</v>
      </c>
      <c r="J957">
        <v>-107.773</v>
      </c>
      <c r="K957">
        <v>528.68499999999995</v>
      </c>
      <c r="L957">
        <v>0</v>
      </c>
    </row>
    <row r="958" spans="1:12" x14ac:dyDescent="0.25">
      <c r="A958">
        <f>80244866*0.00001</f>
        <v>802.44866000000002</v>
      </c>
      <c r="B958">
        <v>3489</v>
      </c>
      <c r="C958">
        <v>172</v>
      </c>
      <c r="D958">
        <v>284.351</v>
      </c>
      <c r="E958">
        <v>3814</v>
      </c>
      <c r="F958">
        <v>1606</v>
      </c>
      <c r="G958">
        <v>1</v>
      </c>
      <c r="H958">
        <v>0.2</v>
      </c>
      <c r="I958">
        <v>0</v>
      </c>
      <c r="J958" s="1">
        <f>-107.231</f>
        <v>-107.23099999999999</v>
      </c>
      <c r="K958">
        <v>528.68499999999995</v>
      </c>
      <c r="L958">
        <v>0</v>
      </c>
    </row>
    <row r="959" spans="1:12" x14ac:dyDescent="0.25">
      <c r="A959">
        <f>80244984*0.00001</f>
        <v>802.44984000000011</v>
      </c>
      <c r="B959">
        <v>3489</v>
      </c>
      <c r="C959">
        <v>173</v>
      </c>
      <c r="D959">
        <v>284.351</v>
      </c>
      <c r="E959">
        <v>3814</v>
      </c>
      <c r="F959">
        <v>1606</v>
      </c>
      <c r="G959">
        <v>1</v>
      </c>
      <c r="H959">
        <v>0.2</v>
      </c>
      <c r="I959">
        <v>0</v>
      </c>
      <c r="J959">
        <v>-107.23099999999999</v>
      </c>
      <c r="K959">
        <v>528.68499999999995</v>
      </c>
      <c r="L959" s="1">
        <f>0</f>
        <v>0</v>
      </c>
    </row>
    <row r="960" spans="1:12" x14ac:dyDescent="0.25">
      <c r="A960">
        <f>80245102*0.00001</f>
        <v>802.45102000000009</v>
      </c>
      <c r="B960">
        <v>3489</v>
      </c>
      <c r="C960">
        <v>174</v>
      </c>
      <c r="D960" s="1">
        <f>283.95</f>
        <v>283.95</v>
      </c>
      <c r="E960" s="1">
        <f>3822</f>
        <v>3822</v>
      </c>
      <c r="F960" s="1">
        <f>1606</f>
        <v>1606</v>
      </c>
      <c r="G960">
        <v>1</v>
      </c>
      <c r="H960">
        <v>0.2</v>
      </c>
      <c r="I960">
        <v>0</v>
      </c>
      <c r="J960">
        <v>-107.23099999999999</v>
      </c>
      <c r="K960">
        <v>528.68499999999995</v>
      </c>
      <c r="L960">
        <v>0</v>
      </c>
    </row>
    <row r="961" spans="1:12" x14ac:dyDescent="0.25">
      <c r="A961">
        <f>80245336*0.00001</f>
        <v>802.45336000000009</v>
      </c>
      <c r="B961">
        <v>3489</v>
      </c>
      <c r="C961">
        <v>176</v>
      </c>
      <c r="D961">
        <v>283.95</v>
      </c>
      <c r="E961">
        <v>3822</v>
      </c>
      <c r="F961">
        <v>1606</v>
      </c>
      <c r="G961">
        <v>1</v>
      </c>
      <c r="H961" s="1">
        <f>0.2</f>
        <v>0.2</v>
      </c>
      <c r="I961">
        <v>0</v>
      </c>
      <c r="J961">
        <v>-107.23099999999999</v>
      </c>
      <c r="K961">
        <v>528.68499999999995</v>
      </c>
      <c r="L961">
        <v>0</v>
      </c>
    </row>
    <row r="962" spans="1:12" x14ac:dyDescent="0.25">
      <c r="A962">
        <f>80245453*0.00001</f>
        <v>802.45453000000009</v>
      </c>
      <c r="B962">
        <v>3489</v>
      </c>
      <c r="C962">
        <v>177</v>
      </c>
      <c r="D962">
        <v>283.95</v>
      </c>
      <c r="E962">
        <v>3822</v>
      </c>
      <c r="F962">
        <v>1606</v>
      </c>
      <c r="G962">
        <v>1</v>
      </c>
      <c r="H962">
        <v>0.2</v>
      </c>
      <c r="I962">
        <v>0</v>
      </c>
      <c r="J962" s="1">
        <f>-106.67</f>
        <v>-106.67</v>
      </c>
      <c r="K962">
        <v>528.68499999999995</v>
      </c>
      <c r="L962">
        <v>0</v>
      </c>
    </row>
    <row r="963" spans="1:12" x14ac:dyDescent="0.25">
      <c r="A963">
        <f>80245571*0.00001</f>
        <v>802.45571000000007</v>
      </c>
      <c r="B963">
        <v>3489</v>
      </c>
      <c r="C963">
        <v>178</v>
      </c>
      <c r="D963" s="1">
        <f>283.646</f>
        <v>283.64600000000002</v>
      </c>
      <c r="E963" s="1">
        <f>3828</f>
        <v>3828</v>
      </c>
      <c r="F963" s="1">
        <f>1606</f>
        <v>1606</v>
      </c>
      <c r="G963">
        <v>1</v>
      </c>
      <c r="H963">
        <v>0.2</v>
      </c>
      <c r="I963">
        <v>0</v>
      </c>
      <c r="J963">
        <v>-106.67</v>
      </c>
      <c r="K963" s="1">
        <f>528.442</f>
        <v>528.44200000000001</v>
      </c>
      <c r="L963" s="1">
        <f>0</f>
        <v>0</v>
      </c>
    </row>
    <row r="964" spans="1:12" s="2" customFormat="1" x14ac:dyDescent="0.25">
      <c r="A964" s="2">
        <f>80245925*0.00001</f>
        <v>802.45925000000011</v>
      </c>
      <c r="B964" s="2">
        <v>3490</v>
      </c>
      <c r="C964" s="2">
        <v>1</v>
      </c>
      <c r="D964" s="2">
        <v>283.64600000000002</v>
      </c>
      <c r="E964" s="2">
        <v>3828</v>
      </c>
      <c r="F964" s="2">
        <v>1606</v>
      </c>
      <c r="G964" s="2">
        <v>1</v>
      </c>
      <c r="H964" s="1">
        <f>0.2</f>
        <v>0.2</v>
      </c>
      <c r="I964" s="2">
        <v>0</v>
      </c>
      <c r="J964" s="2">
        <v>-106.67</v>
      </c>
      <c r="K964" s="2">
        <v>528.44200000000001</v>
      </c>
      <c r="L964" s="2">
        <v>0</v>
      </c>
    </row>
    <row r="965" spans="1:12" x14ac:dyDescent="0.25">
      <c r="A965">
        <f>80246043*0.00001</f>
        <v>802.46043000000009</v>
      </c>
      <c r="B965">
        <v>3490</v>
      </c>
      <c r="C965">
        <v>2</v>
      </c>
      <c r="D965">
        <v>283.64600000000002</v>
      </c>
      <c r="E965">
        <v>3828</v>
      </c>
      <c r="F965">
        <v>1606</v>
      </c>
      <c r="G965">
        <v>1</v>
      </c>
      <c r="H965">
        <v>0.2</v>
      </c>
      <c r="I965" s="1">
        <f>0</f>
        <v>0</v>
      </c>
      <c r="J965" s="1">
        <f>-106.273</f>
        <v>-106.273</v>
      </c>
      <c r="K965">
        <v>528.44200000000001</v>
      </c>
      <c r="L965">
        <v>0</v>
      </c>
    </row>
    <row r="966" spans="1:12" x14ac:dyDescent="0.25">
      <c r="A966">
        <f>80246161*0.00001</f>
        <v>802.46161000000006</v>
      </c>
      <c r="B966">
        <v>3490</v>
      </c>
      <c r="C966">
        <v>3</v>
      </c>
      <c r="D966" s="1">
        <f>283.309</f>
        <v>283.30900000000003</v>
      </c>
      <c r="E966">
        <v>3828</v>
      </c>
      <c r="F966">
        <v>1606</v>
      </c>
      <c r="G966">
        <v>1</v>
      </c>
      <c r="H966">
        <v>0.2</v>
      </c>
      <c r="I966">
        <v>0</v>
      </c>
      <c r="J966">
        <v>-106.273</v>
      </c>
      <c r="K966" s="1">
        <f>528.397</f>
        <v>528.39700000000005</v>
      </c>
      <c r="L966" s="1">
        <f>0</f>
        <v>0</v>
      </c>
    </row>
    <row r="967" spans="1:12" x14ac:dyDescent="0.25">
      <c r="A967">
        <f>80246397*0.00001</f>
        <v>802.46397000000002</v>
      </c>
      <c r="B967">
        <v>3490</v>
      </c>
      <c r="C967">
        <v>5</v>
      </c>
      <c r="D967">
        <v>283.30900000000003</v>
      </c>
      <c r="E967">
        <v>3828</v>
      </c>
      <c r="F967" s="1">
        <f>1606</f>
        <v>1606</v>
      </c>
      <c r="G967">
        <v>1</v>
      </c>
      <c r="H967">
        <v>0.2</v>
      </c>
      <c r="I967">
        <v>0</v>
      </c>
      <c r="J967">
        <v>-106.273</v>
      </c>
      <c r="K967">
        <v>528.39700000000005</v>
      </c>
      <c r="L967">
        <v>0</v>
      </c>
    </row>
    <row r="968" spans="1:12" x14ac:dyDescent="0.25">
      <c r="A968">
        <f>80246515*0.00001</f>
        <v>802.46515000000011</v>
      </c>
      <c r="B968">
        <v>3490</v>
      </c>
      <c r="C968">
        <v>6</v>
      </c>
      <c r="D968">
        <v>283.30900000000003</v>
      </c>
      <c r="E968">
        <v>3828</v>
      </c>
      <c r="F968">
        <v>1606</v>
      </c>
      <c r="G968">
        <v>1</v>
      </c>
      <c r="H968" s="1">
        <f>0.2</f>
        <v>0.2</v>
      </c>
      <c r="I968">
        <v>0</v>
      </c>
      <c r="J968">
        <v>-106.273</v>
      </c>
      <c r="K968">
        <v>528.39700000000005</v>
      </c>
      <c r="L968">
        <v>0</v>
      </c>
    </row>
    <row r="969" spans="1:12" x14ac:dyDescent="0.25">
      <c r="A969">
        <f>80246632*0.00001</f>
        <v>802.46632000000011</v>
      </c>
      <c r="B969">
        <v>3490</v>
      </c>
      <c r="C969">
        <v>7</v>
      </c>
      <c r="D969">
        <v>283.30900000000003</v>
      </c>
      <c r="E969">
        <v>3828</v>
      </c>
      <c r="F969">
        <v>1606</v>
      </c>
      <c r="G969">
        <v>1</v>
      </c>
      <c r="H969">
        <v>0.2</v>
      </c>
      <c r="I969" s="1">
        <f>0</f>
        <v>0</v>
      </c>
      <c r="J969" s="1">
        <f>-105.752</f>
        <v>-105.752</v>
      </c>
      <c r="K969" s="1">
        <f>528.322</f>
        <v>528.322</v>
      </c>
      <c r="L969">
        <v>0</v>
      </c>
    </row>
    <row r="970" spans="1:12" x14ac:dyDescent="0.25">
      <c r="A970">
        <f>80246868*0.00001</f>
        <v>802.46868000000006</v>
      </c>
      <c r="B970">
        <v>3490</v>
      </c>
      <c r="C970">
        <v>9</v>
      </c>
      <c r="D970" s="1">
        <f>282.94</f>
        <v>282.94</v>
      </c>
      <c r="E970">
        <v>3828</v>
      </c>
      <c r="F970">
        <v>1606</v>
      </c>
      <c r="G970">
        <v>1</v>
      </c>
      <c r="H970">
        <v>0.2</v>
      </c>
      <c r="I970">
        <v>0</v>
      </c>
      <c r="J970">
        <v>-105.752</v>
      </c>
      <c r="K970">
        <v>528.322</v>
      </c>
      <c r="L970">
        <v>0</v>
      </c>
    </row>
    <row r="971" spans="1:12" x14ac:dyDescent="0.25">
      <c r="A971">
        <f>80246986*0.00001</f>
        <v>802.46986000000004</v>
      </c>
      <c r="B971">
        <v>3490</v>
      </c>
      <c r="C971">
        <v>10</v>
      </c>
      <c r="D971">
        <v>282.94</v>
      </c>
      <c r="E971">
        <v>3828</v>
      </c>
      <c r="F971" s="1">
        <f>1606</f>
        <v>1606</v>
      </c>
      <c r="G971">
        <v>1</v>
      </c>
      <c r="H971">
        <v>0.2</v>
      </c>
      <c r="I971">
        <v>0</v>
      </c>
      <c r="J971">
        <v>-105.752</v>
      </c>
      <c r="K971">
        <v>528.322</v>
      </c>
      <c r="L971">
        <v>0</v>
      </c>
    </row>
    <row r="972" spans="1:12" x14ac:dyDescent="0.25">
      <c r="A972">
        <f>80247104*0.00001</f>
        <v>802.47104000000002</v>
      </c>
      <c r="B972">
        <v>3490</v>
      </c>
      <c r="C972">
        <v>11</v>
      </c>
      <c r="D972">
        <v>282.94</v>
      </c>
      <c r="E972">
        <v>3828</v>
      </c>
      <c r="F972">
        <v>1606</v>
      </c>
      <c r="G972" s="1">
        <f>1</f>
        <v>1</v>
      </c>
      <c r="H972" s="1">
        <f>0.2</f>
        <v>0.2</v>
      </c>
      <c r="I972" s="1">
        <f>0</f>
        <v>0</v>
      </c>
      <c r="J972" s="1">
        <f>-105.218</f>
        <v>-105.218</v>
      </c>
      <c r="K972" s="1">
        <f>528.247</f>
        <v>528.24699999999996</v>
      </c>
      <c r="L972">
        <v>0</v>
      </c>
    </row>
    <row r="973" spans="1:12" x14ac:dyDescent="0.25">
      <c r="A973">
        <f>80247459*0.00001</f>
        <v>802.47459000000003</v>
      </c>
      <c r="B973">
        <v>3490</v>
      </c>
      <c r="C973">
        <v>14</v>
      </c>
      <c r="D973" s="1">
        <f>282.581</f>
        <v>282.58100000000002</v>
      </c>
      <c r="E973">
        <v>3828</v>
      </c>
      <c r="F973">
        <v>1606</v>
      </c>
      <c r="G973">
        <v>1</v>
      </c>
      <c r="H973">
        <v>0.2</v>
      </c>
      <c r="I973">
        <v>0</v>
      </c>
      <c r="J973">
        <v>-105.218</v>
      </c>
      <c r="K973">
        <v>528.24699999999996</v>
      </c>
      <c r="L973">
        <v>0</v>
      </c>
    </row>
    <row r="974" spans="1:12" x14ac:dyDescent="0.25">
      <c r="A974">
        <f>80247577*0.00001</f>
        <v>802.47577000000001</v>
      </c>
      <c r="B974">
        <v>3490</v>
      </c>
      <c r="C974">
        <v>15</v>
      </c>
      <c r="D974">
        <v>282.58100000000002</v>
      </c>
      <c r="E974" s="1">
        <f>3849</f>
        <v>3849</v>
      </c>
      <c r="F974" s="1">
        <f>1606</f>
        <v>1606</v>
      </c>
      <c r="G974" s="1">
        <f>1</f>
        <v>1</v>
      </c>
      <c r="H974" s="1">
        <f>0.2</f>
        <v>0.2</v>
      </c>
      <c r="I974" s="1">
        <f>0</f>
        <v>0</v>
      </c>
      <c r="J974">
        <v>-105.218</v>
      </c>
      <c r="K974">
        <v>528.24699999999996</v>
      </c>
      <c r="L974">
        <v>0</v>
      </c>
    </row>
    <row r="975" spans="1:12" x14ac:dyDescent="0.25">
      <c r="A975">
        <f>80247932*0.00001</f>
        <v>802.47932000000003</v>
      </c>
      <c r="B975">
        <v>3490</v>
      </c>
      <c r="C975">
        <v>18</v>
      </c>
      <c r="D975">
        <v>282.58100000000002</v>
      </c>
      <c r="E975">
        <v>3849</v>
      </c>
      <c r="F975">
        <v>1606</v>
      </c>
      <c r="G975">
        <v>1</v>
      </c>
      <c r="H975">
        <v>0.2</v>
      </c>
      <c r="I975">
        <v>0</v>
      </c>
      <c r="J975">
        <v>-105.218</v>
      </c>
      <c r="K975" s="1">
        <f>528.172</f>
        <v>528.17200000000003</v>
      </c>
      <c r="L975">
        <v>0</v>
      </c>
    </row>
    <row r="976" spans="1:12" x14ac:dyDescent="0.25">
      <c r="A976">
        <f>80248050*0.00001</f>
        <v>802.48050000000012</v>
      </c>
      <c r="B976">
        <v>3490</v>
      </c>
      <c r="C976">
        <v>19</v>
      </c>
      <c r="D976" s="1">
        <f>282.226</f>
        <v>282.226</v>
      </c>
      <c r="E976">
        <v>3849</v>
      </c>
      <c r="F976">
        <v>1606</v>
      </c>
      <c r="G976">
        <v>1</v>
      </c>
      <c r="H976">
        <v>0.2</v>
      </c>
      <c r="I976">
        <v>0</v>
      </c>
      <c r="J976">
        <v>-105.218</v>
      </c>
      <c r="K976">
        <v>528.17200000000003</v>
      </c>
      <c r="L976" s="1">
        <f>0</f>
        <v>0</v>
      </c>
    </row>
    <row r="977" spans="1:12" x14ac:dyDescent="0.25">
      <c r="A977">
        <f>80248168*0.00001</f>
        <v>802.4816800000001</v>
      </c>
      <c r="B977">
        <v>3490</v>
      </c>
      <c r="C977">
        <v>20</v>
      </c>
      <c r="D977">
        <v>282.226</v>
      </c>
      <c r="E977" s="1">
        <f>3856</f>
        <v>3856</v>
      </c>
      <c r="F977" s="1">
        <f>1606</f>
        <v>1606</v>
      </c>
      <c r="G977" s="1">
        <f>1</f>
        <v>1</v>
      </c>
      <c r="H977">
        <v>0.2</v>
      </c>
      <c r="I977">
        <v>0</v>
      </c>
      <c r="J977">
        <v>-105.218</v>
      </c>
      <c r="K977">
        <v>528.17200000000003</v>
      </c>
      <c r="L977">
        <v>0</v>
      </c>
    </row>
    <row r="978" spans="1:12" x14ac:dyDescent="0.25">
      <c r="A978">
        <f>80248405*0.00001</f>
        <v>802.48405000000002</v>
      </c>
      <c r="B978">
        <v>3490</v>
      </c>
      <c r="C978">
        <v>22</v>
      </c>
      <c r="D978">
        <v>282.226</v>
      </c>
      <c r="E978">
        <v>3856</v>
      </c>
      <c r="F978">
        <v>1606</v>
      </c>
      <c r="G978">
        <v>1</v>
      </c>
      <c r="H978">
        <v>0.2</v>
      </c>
      <c r="I978" s="1">
        <f>0</f>
        <v>0</v>
      </c>
      <c r="J978">
        <v>-105.218</v>
      </c>
      <c r="K978">
        <v>528.17200000000003</v>
      </c>
      <c r="L978">
        <v>0</v>
      </c>
    </row>
    <row r="979" spans="1:12" x14ac:dyDescent="0.25">
      <c r="A979">
        <f>80248523*0.00001</f>
        <v>802.48523000000012</v>
      </c>
      <c r="B979">
        <v>3490</v>
      </c>
      <c r="C979">
        <v>23</v>
      </c>
      <c r="D979">
        <v>282.226</v>
      </c>
      <c r="E979">
        <v>3856</v>
      </c>
      <c r="F979">
        <v>1606</v>
      </c>
      <c r="G979">
        <v>1</v>
      </c>
      <c r="H979">
        <v>0.2</v>
      </c>
      <c r="I979">
        <v>0</v>
      </c>
      <c r="J979">
        <v>-105.218</v>
      </c>
      <c r="K979" s="1">
        <f>528.098</f>
        <v>528.09799999999996</v>
      </c>
      <c r="L979">
        <v>0</v>
      </c>
    </row>
    <row r="980" spans="1:12" x14ac:dyDescent="0.25">
      <c r="A980">
        <f>80248641*0.00001</f>
        <v>802.48641000000009</v>
      </c>
      <c r="B980">
        <v>3490</v>
      </c>
      <c r="C980">
        <v>24</v>
      </c>
      <c r="D980" s="1">
        <f>281.91</f>
        <v>281.91000000000003</v>
      </c>
      <c r="E980" s="1">
        <f>3862</f>
        <v>3862</v>
      </c>
      <c r="F980" s="1">
        <f>1606</f>
        <v>1606</v>
      </c>
      <c r="G980" s="1">
        <f>1</f>
        <v>1</v>
      </c>
      <c r="H980">
        <v>0.2</v>
      </c>
      <c r="I980">
        <v>0</v>
      </c>
      <c r="J980">
        <v>-105.218</v>
      </c>
      <c r="K980">
        <v>528.09799999999996</v>
      </c>
      <c r="L980" s="1">
        <f>0</f>
        <v>0</v>
      </c>
    </row>
    <row r="981" spans="1:12" x14ac:dyDescent="0.25">
      <c r="A981">
        <f>80248995*0.00001</f>
        <v>802.48995000000002</v>
      </c>
      <c r="B981">
        <v>3490</v>
      </c>
      <c r="C981">
        <v>27</v>
      </c>
      <c r="D981">
        <v>281.91000000000003</v>
      </c>
      <c r="E981">
        <v>3862</v>
      </c>
      <c r="F981">
        <v>1606</v>
      </c>
      <c r="G981">
        <v>1</v>
      </c>
      <c r="H981">
        <v>0.2</v>
      </c>
      <c r="I981" s="1">
        <f>0</f>
        <v>0</v>
      </c>
      <c r="J981">
        <v>-105.218</v>
      </c>
      <c r="K981">
        <v>528.09799999999996</v>
      </c>
      <c r="L981">
        <v>0</v>
      </c>
    </row>
    <row r="982" spans="1:12" x14ac:dyDescent="0.25">
      <c r="A982">
        <f>80249113*0.00001</f>
        <v>802.49113000000011</v>
      </c>
      <c r="B982">
        <v>3490</v>
      </c>
      <c r="C982">
        <v>28</v>
      </c>
      <c r="D982">
        <v>281.91000000000003</v>
      </c>
      <c r="E982">
        <v>3862</v>
      </c>
      <c r="F982">
        <v>1606</v>
      </c>
      <c r="G982">
        <v>1</v>
      </c>
      <c r="H982">
        <v>0.2</v>
      </c>
      <c r="I982">
        <v>0</v>
      </c>
      <c r="J982" s="1">
        <f>-103.661</f>
        <v>-103.661</v>
      </c>
      <c r="K982" s="1">
        <f>528.024</f>
        <v>528.024</v>
      </c>
      <c r="L982">
        <v>0</v>
      </c>
    </row>
    <row r="983" spans="1:12" x14ac:dyDescent="0.25">
      <c r="A983">
        <f>80249232*0.00001</f>
        <v>802.49232000000006</v>
      </c>
      <c r="B983">
        <v>3490</v>
      </c>
      <c r="C983">
        <v>29</v>
      </c>
      <c r="D983" s="1">
        <f>281.571</f>
        <v>281.57100000000003</v>
      </c>
      <c r="E983" s="1">
        <f>3870</f>
        <v>3870</v>
      </c>
      <c r="F983">
        <v>1606</v>
      </c>
      <c r="G983">
        <v>1</v>
      </c>
      <c r="H983">
        <v>0.2</v>
      </c>
      <c r="I983">
        <v>0</v>
      </c>
      <c r="J983">
        <v>-103.661</v>
      </c>
      <c r="K983">
        <v>528.024</v>
      </c>
      <c r="L983" s="1">
        <f>0</f>
        <v>0</v>
      </c>
    </row>
    <row r="984" spans="1:12" x14ac:dyDescent="0.25">
      <c r="A984">
        <f>80249470*0.00001</f>
        <v>802.49470000000008</v>
      </c>
      <c r="B984">
        <v>3490</v>
      </c>
      <c r="C984">
        <v>31</v>
      </c>
      <c r="D984">
        <v>281.57100000000003</v>
      </c>
      <c r="E984">
        <v>3870</v>
      </c>
      <c r="F984">
        <v>1606</v>
      </c>
      <c r="G984" s="1">
        <f>1</f>
        <v>1</v>
      </c>
      <c r="H984">
        <v>0.2</v>
      </c>
      <c r="I984">
        <v>0</v>
      </c>
      <c r="J984">
        <v>-103.661</v>
      </c>
      <c r="K984">
        <v>528.024</v>
      </c>
      <c r="L984">
        <v>0</v>
      </c>
    </row>
    <row r="985" spans="1:12" x14ac:dyDescent="0.25">
      <c r="A985">
        <f>80249589*0.00001</f>
        <v>802.49589000000003</v>
      </c>
      <c r="B985">
        <v>3490</v>
      </c>
      <c r="C985">
        <v>32</v>
      </c>
      <c r="D985">
        <v>281.57100000000003</v>
      </c>
      <c r="E985">
        <v>3870</v>
      </c>
      <c r="F985">
        <v>1606</v>
      </c>
      <c r="G985">
        <v>1</v>
      </c>
      <c r="H985">
        <v>0.2</v>
      </c>
      <c r="I985" s="1">
        <f>0</f>
        <v>0</v>
      </c>
      <c r="J985">
        <v>-103.661</v>
      </c>
      <c r="K985">
        <v>528.024</v>
      </c>
      <c r="L985">
        <v>0</v>
      </c>
    </row>
    <row r="986" spans="1:12" x14ac:dyDescent="0.25">
      <c r="A986">
        <f>80249708*0.00001</f>
        <v>802.4970800000001</v>
      </c>
      <c r="B986">
        <v>3490</v>
      </c>
      <c r="C986">
        <v>33</v>
      </c>
      <c r="D986" s="1">
        <f>281.262</f>
        <v>281.262</v>
      </c>
      <c r="E986" s="1">
        <f>3876</f>
        <v>3876</v>
      </c>
      <c r="F986">
        <v>1606</v>
      </c>
      <c r="G986">
        <v>1</v>
      </c>
      <c r="H986">
        <v>0.2</v>
      </c>
      <c r="I986">
        <v>0</v>
      </c>
      <c r="J986" s="1">
        <f>-103.21</f>
        <v>-103.21</v>
      </c>
      <c r="K986" s="1">
        <f>527.95</f>
        <v>527.95000000000005</v>
      </c>
      <c r="L986" s="1">
        <f>0</f>
        <v>0</v>
      </c>
    </row>
    <row r="987" spans="1:12" x14ac:dyDescent="0.25">
      <c r="A987">
        <f>80250063*0.00001</f>
        <v>802.50063000000011</v>
      </c>
      <c r="B987">
        <v>3490</v>
      </c>
      <c r="C987">
        <v>36</v>
      </c>
      <c r="D987">
        <v>281.262</v>
      </c>
      <c r="E987">
        <v>3876</v>
      </c>
      <c r="F987">
        <v>1606</v>
      </c>
      <c r="G987" s="1">
        <f>1</f>
        <v>1</v>
      </c>
      <c r="H987">
        <v>0.2</v>
      </c>
      <c r="I987">
        <v>0</v>
      </c>
      <c r="J987">
        <v>-103.21</v>
      </c>
      <c r="K987">
        <v>527.95000000000005</v>
      </c>
      <c r="L987">
        <v>0</v>
      </c>
    </row>
    <row r="988" spans="1:12" x14ac:dyDescent="0.25">
      <c r="A988">
        <f>80250181*0.00001</f>
        <v>802.50181000000009</v>
      </c>
      <c r="B988">
        <v>3490</v>
      </c>
      <c r="C988">
        <v>37</v>
      </c>
      <c r="D988">
        <v>281.262</v>
      </c>
      <c r="E988">
        <v>3876</v>
      </c>
      <c r="F988">
        <v>1606</v>
      </c>
      <c r="G988">
        <v>1</v>
      </c>
      <c r="H988" s="1">
        <f>0.2</f>
        <v>0.2</v>
      </c>
      <c r="I988" s="1">
        <f>0</f>
        <v>0</v>
      </c>
      <c r="J988">
        <v>-103.21</v>
      </c>
      <c r="K988">
        <v>527.95000000000005</v>
      </c>
      <c r="L988">
        <v>0</v>
      </c>
    </row>
    <row r="989" spans="1:12" x14ac:dyDescent="0.25">
      <c r="A989">
        <f>80250300*0.00001</f>
        <v>802.50300000000004</v>
      </c>
      <c r="B989">
        <v>3490</v>
      </c>
      <c r="C989">
        <v>38</v>
      </c>
      <c r="D989">
        <v>281.262</v>
      </c>
      <c r="E989">
        <v>3876</v>
      </c>
      <c r="F989">
        <v>1606</v>
      </c>
      <c r="G989">
        <v>1</v>
      </c>
      <c r="H989">
        <v>0.2</v>
      </c>
      <c r="I989">
        <v>0</v>
      </c>
      <c r="J989" s="1">
        <f>-102.741</f>
        <v>-102.741</v>
      </c>
      <c r="K989" s="1">
        <f>527.877</f>
        <v>527.87699999999995</v>
      </c>
      <c r="L989" s="1">
        <f>0</f>
        <v>0</v>
      </c>
    </row>
    <row r="990" spans="1:12" x14ac:dyDescent="0.25">
      <c r="A990">
        <f>80250538*0.00001</f>
        <v>802.50538000000006</v>
      </c>
      <c r="B990">
        <v>3490</v>
      </c>
      <c r="C990">
        <v>40</v>
      </c>
      <c r="D990">
        <v>281.262</v>
      </c>
      <c r="E990" s="1">
        <f>3882</f>
        <v>3882</v>
      </c>
      <c r="F990">
        <v>1606</v>
      </c>
      <c r="G990">
        <v>1</v>
      </c>
      <c r="H990">
        <v>0.2</v>
      </c>
      <c r="I990">
        <v>0</v>
      </c>
      <c r="J990">
        <v>-102.741</v>
      </c>
      <c r="K990">
        <v>527.87699999999995</v>
      </c>
      <c r="L990">
        <v>0</v>
      </c>
    </row>
    <row r="991" spans="1:12" x14ac:dyDescent="0.25">
      <c r="A991">
        <f>80250657*0.00001</f>
        <v>802.50657000000001</v>
      </c>
      <c r="B991">
        <v>3490</v>
      </c>
      <c r="C991">
        <v>41</v>
      </c>
      <c r="D991">
        <v>281.262</v>
      </c>
      <c r="E991">
        <v>3882</v>
      </c>
      <c r="F991">
        <v>1606</v>
      </c>
      <c r="G991" s="1">
        <f>1</f>
        <v>1</v>
      </c>
      <c r="H991">
        <v>0.2</v>
      </c>
      <c r="I991">
        <v>0</v>
      </c>
      <c r="J991">
        <v>-102.741</v>
      </c>
      <c r="K991">
        <v>527.87699999999995</v>
      </c>
      <c r="L991">
        <v>0</v>
      </c>
    </row>
    <row r="992" spans="1:12" x14ac:dyDescent="0.25">
      <c r="A992">
        <f>80250776*0.00001</f>
        <v>802.50776000000008</v>
      </c>
      <c r="B992">
        <v>3490</v>
      </c>
      <c r="C992">
        <v>42</v>
      </c>
      <c r="D992">
        <v>281.262</v>
      </c>
      <c r="E992">
        <v>3882</v>
      </c>
      <c r="F992">
        <v>1606</v>
      </c>
      <c r="G992">
        <v>1</v>
      </c>
      <c r="H992" s="1">
        <f>0.2</f>
        <v>0.2</v>
      </c>
      <c r="I992" s="1">
        <f>0</f>
        <v>0</v>
      </c>
      <c r="J992" s="1">
        <f>-102.31</f>
        <v>-102.31</v>
      </c>
      <c r="K992" s="1">
        <f>527.803</f>
        <v>527.803</v>
      </c>
      <c r="L992" s="1">
        <f>0</f>
        <v>0</v>
      </c>
    </row>
    <row r="993" spans="1:12" x14ac:dyDescent="0.25">
      <c r="A993">
        <f>80251133*0.00001</f>
        <v>802.51133000000004</v>
      </c>
      <c r="B993">
        <v>3490</v>
      </c>
      <c r="C993">
        <v>45</v>
      </c>
      <c r="D993">
        <v>281.262</v>
      </c>
      <c r="E993" s="1">
        <f>3889</f>
        <v>3889</v>
      </c>
      <c r="F993">
        <v>1606</v>
      </c>
      <c r="G993">
        <v>1</v>
      </c>
      <c r="H993">
        <v>0.2</v>
      </c>
      <c r="I993">
        <v>0</v>
      </c>
      <c r="J993">
        <v>-102.31</v>
      </c>
      <c r="K993">
        <v>527.803</v>
      </c>
      <c r="L993">
        <v>0</v>
      </c>
    </row>
    <row r="994" spans="1:12" x14ac:dyDescent="0.25">
      <c r="A994">
        <f>80251252*0.00001</f>
        <v>802.51252000000011</v>
      </c>
      <c r="B994">
        <v>3490</v>
      </c>
      <c r="C994">
        <v>46</v>
      </c>
      <c r="D994">
        <v>281.262</v>
      </c>
      <c r="E994">
        <v>3889</v>
      </c>
      <c r="F994" s="1">
        <f>1606</f>
        <v>1606</v>
      </c>
      <c r="G994" s="1">
        <f>1</f>
        <v>1</v>
      </c>
      <c r="H994">
        <v>0.2</v>
      </c>
      <c r="I994">
        <v>0</v>
      </c>
      <c r="J994">
        <v>-102.31</v>
      </c>
      <c r="K994">
        <v>527.803</v>
      </c>
      <c r="L994">
        <v>0</v>
      </c>
    </row>
    <row r="995" spans="1:12" x14ac:dyDescent="0.25">
      <c r="A995">
        <f>80251371*0.00001</f>
        <v>802.51371000000006</v>
      </c>
      <c r="B995">
        <v>3490</v>
      </c>
      <c r="C995">
        <v>47</v>
      </c>
      <c r="D995">
        <v>281.262</v>
      </c>
      <c r="E995">
        <v>3889</v>
      </c>
      <c r="F995">
        <v>1606</v>
      </c>
      <c r="G995">
        <v>1</v>
      </c>
      <c r="H995" s="1">
        <f>0.2</f>
        <v>0.2</v>
      </c>
      <c r="I995" s="1">
        <f>0</f>
        <v>0</v>
      </c>
      <c r="J995" s="1">
        <f>-101.868</f>
        <v>-101.86799999999999</v>
      </c>
      <c r="K995">
        <v>527.803</v>
      </c>
      <c r="L995">
        <v>0</v>
      </c>
    </row>
    <row r="996" spans="1:12" x14ac:dyDescent="0.25">
      <c r="A996">
        <f>80251609*0.00001</f>
        <v>802.51609000000008</v>
      </c>
      <c r="B996">
        <v>3490</v>
      </c>
      <c r="C996">
        <v>49</v>
      </c>
      <c r="D996">
        <v>281.262</v>
      </c>
      <c r="E996">
        <v>3889</v>
      </c>
      <c r="F996">
        <v>1606</v>
      </c>
      <c r="G996">
        <v>1</v>
      </c>
      <c r="H996">
        <v>0.2</v>
      </c>
      <c r="I996">
        <v>0</v>
      </c>
      <c r="J996">
        <v>-101.86799999999999</v>
      </c>
      <c r="K996">
        <v>527.803</v>
      </c>
      <c r="L996" s="1">
        <f>0</f>
        <v>0</v>
      </c>
    </row>
    <row r="997" spans="1:12" x14ac:dyDescent="0.25">
      <c r="A997">
        <f>80251728*0.00001</f>
        <v>802.51728000000003</v>
      </c>
      <c r="B997">
        <v>3490</v>
      </c>
      <c r="C997">
        <v>50</v>
      </c>
      <c r="D997">
        <v>281.262</v>
      </c>
      <c r="E997" s="1">
        <f>3895</f>
        <v>3895</v>
      </c>
      <c r="F997">
        <v>1606</v>
      </c>
      <c r="G997">
        <v>1</v>
      </c>
      <c r="H997">
        <v>0.2</v>
      </c>
      <c r="I997">
        <v>0</v>
      </c>
      <c r="J997">
        <v>-101.86799999999999</v>
      </c>
      <c r="K997">
        <v>527.803</v>
      </c>
      <c r="L997">
        <v>0</v>
      </c>
    </row>
    <row r="998" spans="1:12" x14ac:dyDescent="0.25">
      <c r="A998">
        <f>80251847*0.00001</f>
        <v>802.51847000000009</v>
      </c>
      <c r="B998">
        <v>3490</v>
      </c>
      <c r="C998">
        <v>51</v>
      </c>
      <c r="D998">
        <v>281.262</v>
      </c>
      <c r="E998">
        <v>3895</v>
      </c>
      <c r="F998" s="1">
        <f>1606</f>
        <v>1606</v>
      </c>
      <c r="G998" s="1">
        <f>1</f>
        <v>1</v>
      </c>
      <c r="H998" s="1">
        <f>0.2</f>
        <v>0.2</v>
      </c>
      <c r="I998" s="1">
        <f>0</f>
        <v>0</v>
      </c>
      <c r="J998" s="1">
        <f>-101.398</f>
        <v>-101.398</v>
      </c>
      <c r="K998">
        <v>527.803</v>
      </c>
      <c r="L998">
        <v>0</v>
      </c>
    </row>
    <row r="999" spans="1:12" x14ac:dyDescent="0.25">
      <c r="A999">
        <f>80252204*0.00001</f>
        <v>802.52204000000006</v>
      </c>
      <c r="B999">
        <v>3490</v>
      </c>
      <c r="C999">
        <v>54</v>
      </c>
      <c r="D999">
        <v>281.262</v>
      </c>
      <c r="E999">
        <v>3895</v>
      </c>
      <c r="F999">
        <v>1606</v>
      </c>
      <c r="G999">
        <v>1</v>
      </c>
      <c r="H999">
        <v>0.2</v>
      </c>
      <c r="I999">
        <v>0</v>
      </c>
      <c r="J999">
        <v>-101.398</v>
      </c>
      <c r="K999">
        <v>527.803</v>
      </c>
      <c r="L999" s="1">
        <f>0</f>
        <v>0</v>
      </c>
    </row>
    <row r="1000" spans="1:12" x14ac:dyDescent="0.25">
      <c r="A1000">
        <f>80252323*0.00001</f>
        <v>802.52323000000001</v>
      </c>
      <c r="B1000">
        <v>3490</v>
      </c>
      <c r="C1000">
        <v>55</v>
      </c>
      <c r="D1000">
        <v>281.262</v>
      </c>
      <c r="E1000" s="1">
        <f>3901</f>
        <v>3901</v>
      </c>
      <c r="F1000">
        <v>1606</v>
      </c>
      <c r="G1000">
        <v>1</v>
      </c>
      <c r="H1000">
        <v>0.2</v>
      </c>
      <c r="I1000">
        <v>0</v>
      </c>
      <c r="J1000">
        <v>-101.398</v>
      </c>
      <c r="K1000">
        <v>527.803</v>
      </c>
      <c r="L1000">
        <v>0</v>
      </c>
    </row>
    <row r="1001" spans="1:12" x14ac:dyDescent="0.25">
      <c r="A1001">
        <f>80252442*0.00001</f>
        <v>802.52442000000008</v>
      </c>
      <c r="B1001">
        <v>3490</v>
      </c>
      <c r="C1001">
        <v>56</v>
      </c>
      <c r="D1001">
        <v>281.262</v>
      </c>
      <c r="E1001">
        <v>3901</v>
      </c>
      <c r="F1001" s="1">
        <f>1606</f>
        <v>1606</v>
      </c>
      <c r="G1001" s="1">
        <f>1</f>
        <v>1</v>
      </c>
      <c r="H1001" s="1">
        <f>0.2</f>
        <v>0.2</v>
      </c>
      <c r="I1001" s="1">
        <f>0</f>
        <v>0</v>
      </c>
      <c r="J1001" s="1">
        <f>-100.955</f>
        <v>-100.955</v>
      </c>
      <c r="K1001">
        <v>527.803</v>
      </c>
      <c r="L1001">
        <v>0</v>
      </c>
    </row>
    <row r="1002" spans="1:12" x14ac:dyDescent="0.25">
      <c r="A1002">
        <f>80252800*0.00001</f>
        <v>802.52800000000002</v>
      </c>
      <c r="B1002">
        <v>3490</v>
      </c>
      <c r="C1002">
        <v>59</v>
      </c>
      <c r="D1002">
        <v>281.262</v>
      </c>
      <c r="E1002">
        <v>3901</v>
      </c>
      <c r="F1002">
        <v>1606</v>
      </c>
      <c r="G1002">
        <v>1</v>
      </c>
      <c r="H1002">
        <v>0.2</v>
      </c>
      <c r="I1002">
        <v>0</v>
      </c>
      <c r="J1002">
        <v>-100.955</v>
      </c>
      <c r="K1002">
        <v>527.803</v>
      </c>
      <c r="L1002" s="1">
        <f>0</f>
        <v>0</v>
      </c>
    </row>
    <row r="1003" spans="1:12" x14ac:dyDescent="0.25">
      <c r="A1003">
        <f>80252919*0.00001</f>
        <v>802.52919000000009</v>
      </c>
      <c r="B1003">
        <v>3490</v>
      </c>
      <c r="C1003">
        <v>60</v>
      </c>
      <c r="D1003" s="1">
        <f>279.678</f>
        <v>279.678</v>
      </c>
      <c r="E1003" s="1">
        <f>3907</f>
        <v>3907</v>
      </c>
      <c r="F1003">
        <v>1606</v>
      </c>
      <c r="G1003">
        <v>1</v>
      </c>
      <c r="H1003">
        <v>0.2</v>
      </c>
      <c r="I1003">
        <v>0</v>
      </c>
      <c r="J1003">
        <v>-100.955</v>
      </c>
      <c r="K1003">
        <v>527.803</v>
      </c>
      <c r="L1003">
        <v>0</v>
      </c>
    </row>
    <row r="1004" spans="1:12" x14ac:dyDescent="0.25">
      <c r="A1004">
        <f>80253039*0.00001</f>
        <v>802.53039000000001</v>
      </c>
      <c r="B1004">
        <v>3490</v>
      </c>
      <c r="C1004">
        <v>61</v>
      </c>
      <c r="D1004">
        <v>279.678</v>
      </c>
      <c r="E1004">
        <v>3907</v>
      </c>
      <c r="F1004" s="1">
        <f>1606</f>
        <v>1606</v>
      </c>
      <c r="G1004" s="1">
        <f>1</f>
        <v>1</v>
      </c>
      <c r="H1004" s="1">
        <f>0.2</f>
        <v>0.2</v>
      </c>
      <c r="I1004">
        <v>0</v>
      </c>
      <c r="J1004">
        <v>-100.955</v>
      </c>
      <c r="K1004">
        <v>527.803</v>
      </c>
      <c r="L1004">
        <v>0</v>
      </c>
    </row>
    <row r="1005" spans="1:12" x14ac:dyDescent="0.25">
      <c r="A1005">
        <f>80253277*0.00001</f>
        <v>802.53277000000003</v>
      </c>
      <c r="B1005">
        <v>3490</v>
      </c>
      <c r="C1005">
        <v>63</v>
      </c>
      <c r="D1005">
        <v>279.678</v>
      </c>
      <c r="E1005">
        <v>3907</v>
      </c>
      <c r="F1005">
        <v>1606</v>
      </c>
      <c r="G1005">
        <v>1</v>
      </c>
      <c r="H1005">
        <v>0.2</v>
      </c>
      <c r="I1005">
        <v>0</v>
      </c>
      <c r="J1005" s="1">
        <f>-100.519</f>
        <v>-100.51900000000001</v>
      </c>
      <c r="K1005">
        <v>527.803</v>
      </c>
      <c r="L1005">
        <v>0</v>
      </c>
    </row>
    <row r="1006" spans="1:12" x14ac:dyDescent="0.25">
      <c r="A1006">
        <f>80253396*0.00001</f>
        <v>802.53396000000009</v>
      </c>
      <c r="B1006">
        <v>3490</v>
      </c>
      <c r="C1006">
        <v>64</v>
      </c>
      <c r="D1006">
        <v>279.678</v>
      </c>
      <c r="E1006">
        <v>3907</v>
      </c>
      <c r="F1006">
        <v>1606</v>
      </c>
      <c r="G1006">
        <v>1</v>
      </c>
      <c r="H1006">
        <v>0.2</v>
      </c>
      <c r="I1006">
        <v>0</v>
      </c>
      <c r="J1006">
        <v>-100.51900000000001</v>
      </c>
      <c r="K1006">
        <v>527.803</v>
      </c>
      <c r="L1006" s="1">
        <f>0</f>
        <v>0</v>
      </c>
    </row>
    <row r="1007" spans="1:12" x14ac:dyDescent="0.25">
      <c r="A1007">
        <f>80253516*0.00001</f>
        <v>802.53516000000002</v>
      </c>
      <c r="B1007">
        <v>3490</v>
      </c>
      <c r="C1007">
        <v>65</v>
      </c>
      <c r="D1007" s="1">
        <f>279.396</f>
        <v>279.39600000000002</v>
      </c>
      <c r="E1007" s="1">
        <f>3913</f>
        <v>3913</v>
      </c>
      <c r="F1007">
        <v>1606</v>
      </c>
      <c r="G1007">
        <v>1</v>
      </c>
      <c r="H1007">
        <v>0.2</v>
      </c>
      <c r="I1007">
        <v>0</v>
      </c>
      <c r="J1007">
        <v>-100.51900000000001</v>
      </c>
      <c r="K1007">
        <v>527.803</v>
      </c>
      <c r="L1007">
        <v>0</v>
      </c>
    </row>
    <row r="1008" spans="1:12" x14ac:dyDescent="0.25">
      <c r="A1008">
        <f>80253636*0.00001</f>
        <v>802.53636000000006</v>
      </c>
      <c r="B1008">
        <v>3490</v>
      </c>
      <c r="C1008">
        <v>66</v>
      </c>
      <c r="D1008">
        <v>279.39600000000002</v>
      </c>
      <c r="E1008">
        <v>3913</v>
      </c>
      <c r="F1008" s="1">
        <f>1606</f>
        <v>1606</v>
      </c>
      <c r="G1008" s="1">
        <f>1</f>
        <v>1</v>
      </c>
      <c r="H1008" s="1">
        <f>0.2</f>
        <v>0.2</v>
      </c>
      <c r="I1008">
        <v>0</v>
      </c>
      <c r="J1008">
        <v>-100.51900000000001</v>
      </c>
      <c r="K1008">
        <v>527.803</v>
      </c>
      <c r="L1008">
        <v>0</v>
      </c>
    </row>
    <row r="1009" spans="1:12" x14ac:dyDescent="0.25">
      <c r="A1009">
        <f>80253876*0.00001</f>
        <v>802.53876000000002</v>
      </c>
      <c r="B1009">
        <v>3490</v>
      </c>
      <c r="C1009">
        <v>68</v>
      </c>
      <c r="D1009">
        <v>279.39600000000002</v>
      </c>
      <c r="E1009">
        <v>3913</v>
      </c>
      <c r="F1009">
        <v>1606</v>
      </c>
      <c r="G1009">
        <v>1</v>
      </c>
      <c r="H1009">
        <v>0.2</v>
      </c>
      <c r="I1009">
        <v>0</v>
      </c>
      <c r="J1009" s="1">
        <f>-100.061</f>
        <v>-100.06100000000001</v>
      </c>
      <c r="K1009">
        <v>527.803</v>
      </c>
      <c r="L1009">
        <v>0</v>
      </c>
    </row>
    <row r="1010" spans="1:12" x14ac:dyDescent="0.25">
      <c r="A1010">
        <f>80253996*0.00001</f>
        <v>802.53996000000006</v>
      </c>
      <c r="B1010">
        <v>3490</v>
      </c>
      <c r="C1010">
        <v>69</v>
      </c>
      <c r="D1010">
        <v>279.39600000000002</v>
      </c>
      <c r="E1010">
        <v>3913</v>
      </c>
      <c r="F1010">
        <v>1606</v>
      </c>
      <c r="G1010">
        <v>1</v>
      </c>
      <c r="H1010">
        <v>0.2</v>
      </c>
      <c r="I1010">
        <v>0</v>
      </c>
      <c r="J1010">
        <v>-100.06100000000001</v>
      </c>
      <c r="K1010">
        <v>527.803</v>
      </c>
      <c r="L1010" s="1">
        <f>0</f>
        <v>0</v>
      </c>
    </row>
    <row r="1011" spans="1:12" x14ac:dyDescent="0.25">
      <c r="A1011">
        <f>80254116*0.00001</f>
        <v>802.5411600000001</v>
      </c>
      <c r="B1011">
        <v>3490</v>
      </c>
      <c r="C1011">
        <v>70</v>
      </c>
      <c r="D1011" s="1">
        <f>279.091</f>
        <v>279.09100000000001</v>
      </c>
      <c r="E1011" s="1">
        <f>3919</f>
        <v>3919</v>
      </c>
      <c r="F1011" s="1">
        <f>1606</f>
        <v>1606</v>
      </c>
      <c r="G1011" s="1">
        <f>1</f>
        <v>1</v>
      </c>
      <c r="H1011" s="1">
        <f>0.2</f>
        <v>0.2</v>
      </c>
      <c r="I1011">
        <v>0</v>
      </c>
      <c r="J1011">
        <v>-100.06100000000001</v>
      </c>
      <c r="K1011">
        <v>527.803</v>
      </c>
      <c r="L1011">
        <v>0</v>
      </c>
    </row>
    <row r="1012" spans="1:12" x14ac:dyDescent="0.25">
      <c r="A1012">
        <f>80254473*0.00001</f>
        <v>802.54473000000007</v>
      </c>
      <c r="B1012">
        <v>3490</v>
      </c>
      <c r="C1012">
        <v>73</v>
      </c>
      <c r="D1012">
        <v>279.09100000000001</v>
      </c>
      <c r="E1012">
        <v>3919</v>
      </c>
      <c r="F1012">
        <v>1606</v>
      </c>
      <c r="G1012">
        <v>1</v>
      </c>
      <c r="H1012">
        <v>0.2</v>
      </c>
      <c r="I1012">
        <v>0</v>
      </c>
      <c r="J1012" s="1">
        <f>-99.6421</f>
        <v>-99.642099999999999</v>
      </c>
      <c r="K1012">
        <v>527.803</v>
      </c>
      <c r="L1012">
        <v>0</v>
      </c>
    </row>
    <row r="1013" spans="1:12" x14ac:dyDescent="0.25">
      <c r="A1013">
        <f>80254593*0.00001</f>
        <v>802.54593000000011</v>
      </c>
      <c r="B1013">
        <v>3490</v>
      </c>
      <c r="C1013">
        <v>74</v>
      </c>
      <c r="D1013">
        <v>279.09100000000001</v>
      </c>
      <c r="E1013">
        <v>3919</v>
      </c>
      <c r="F1013">
        <v>1606</v>
      </c>
      <c r="G1013">
        <v>1</v>
      </c>
      <c r="H1013">
        <v>0.2</v>
      </c>
      <c r="I1013">
        <v>0</v>
      </c>
      <c r="J1013">
        <v>-99.642099999999999</v>
      </c>
      <c r="K1013" s="1">
        <f>527.355</f>
        <v>527.35500000000002</v>
      </c>
      <c r="L1013" s="1">
        <f>0</f>
        <v>0</v>
      </c>
    </row>
    <row r="1014" spans="1:12" x14ac:dyDescent="0.25">
      <c r="A1014">
        <f>80254713*0.00001</f>
        <v>802.54713000000004</v>
      </c>
      <c r="B1014">
        <v>3490</v>
      </c>
      <c r="C1014">
        <v>75</v>
      </c>
      <c r="D1014" s="1">
        <f>278.808</f>
        <v>278.80799999999999</v>
      </c>
      <c r="E1014" s="1">
        <f>3924</f>
        <v>3924</v>
      </c>
      <c r="F1014" s="1">
        <f>1606</f>
        <v>1606</v>
      </c>
      <c r="G1014" s="1">
        <f>1</f>
        <v>1</v>
      </c>
      <c r="H1014" s="1">
        <f>0.2</f>
        <v>0.2</v>
      </c>
      <c r="I1014">
        <v>0</v>
      </c>
      <c r="J1014">
        <v>-99.642099999999999</v>
      </c>
      <c r="K1014">
        <v>527.35500000000002</v>
      </c>
      <c r="L1014">
        <v>0</v>
      </c>
    </row>
    <row r="1015" spans="1:12" x14ac:dyDescent="0.25">
      <c r="A1015">
        <f>80255073*0.00001</f>
        <v>802.55073000000004</v>
      </c>
      <c r="B1015">
        <v>3490</v>
      </c>
      <c r="C1015">
        <v>78</v>
      </c>
      <c r="D1015">
        <v>278.80799999999999</v>
      </c>
      <c r="E1015">
        <v>3924</v>
      </c>
      <c r="F1015">
        <v>1606</v>
      </c>
      <c r="G1015">
        <v>1</v>
      </c>
      <c r="H1015">
        <v>0.2</v>
      </c>
      <c r="I1015">
        <v>0</v>
      </c>
      <c r="J1015" s="1">
        <f>-99.1908</f>
        <v>-99.190799999999996</v>
      </c>
      <c r="K1015">
        <v>527.35500000000002</v>
      </c>
      <c r="L1015">
        <v>0</v>
      </c>
    </row>
    <row r="1016" spans="1:12" x14ac:dyDescent="0.25">
      <c r="A1016">
        <f>80255192*0.00001</f>
        <v>802.55192000000011</v>
      </c>
      <c r="B1016">
        <v>3490</v>
      </c>
      <c r="C1016">
        <v>79</v>
      </c>
      <c r="D1016">
        <v>278.80799999999999</v>
      </c>
      <c r="E1016">
        <v>3924</v>
      </c>
      <c r="F1016">
        <v>1606</v>
      </c>
      <c r="G1016">
        <v>1</v>
      </c>
      <c r="H1016">
        <v>0.2</v>
      </c>
      <c r="I1016">
        <v>0</v>
      </c>
      <c r="J1016">
        <v>-99.190799999999996</v>
      </c>
      <c r="K1016" s="1">
        <f>527.283</f>
        <v>527.28300000000002</v>
      </c>
      <c r="L1016" s="1">
        <f>0</f>
        <v>0</v>
      </c>
    </row>
    <row r="1017" spans="1:12" x14ac:dyDescent="0.25">
      <c r="A1017">
        <f>80255311*0.00001</f>
        <v>802.55311000000006</v>
      </c>
      <c r="B1017">
        <v>3490</v>
      </c>
      <c r="C1017">
        <v>80</v>
      </c>
      <c r="D1017" s="1">
        <f>278.536</f>
        <v>278.536</v>
      </c>
      <c r="E1017" s="1">
        <f>3930</f>
        <v>3930</v>
      </c>
      <c r="F1017" s="1">
        <f>1606</f>
        <v>1606</v>
      </c>
      <c r="G1017">
        <v>1</v>
      </c>
      <c r="H1017">
        <v>0.2</v>
      </c>
      <c r="I1017">
        <v>0</v>
      </c>
      <c r="J1017">
        <v>-99.190799999999996</v>
      </c>
      <c r="K1017">
        <v>527.28300000000002</v>
      </c>
      <c r="L1017">
        <v>0</v>
      </c>
    </row>
    <row r="1018" spans="1:12" x14ac:dyDescent="0.25">
      <c r="A1018">
        <f>80255551*0.00001</f>
        <v>802.55551000000003</v>
      </c>
      <c r="B1018">
        <v>3490</v>
      </c>
      <c r="C1018">
        <v>82</v>
      </c>
      <c r="D1018">
        <v>278.536</v>
      </c>
      <c r="E1018">
        <v>3930</v>
      </c>
      <c r="F1018">
        <v>1606</v>
      </c>
      <c r="G1018" s="1">
        <f>1</f>
        <v>1</v>
      </c>
      <c r="H1018">
        <v>0.2</v>
      </c>
      <c r="I1018">
        <v>0</v>
      </c>
      <c r="J1018">
        <v>-99.190799999999996</v>
      </c>
      <c r="K1018">
        <v>527.28300000000002</v>
      </c>
      <c r="L1018">
        <v>0</v>
      </c>
    </row>
    <row r="1019" spans="1:12" x14ac:dyDescent="0.25">
      <c r="A1019">
        <f>80255670*0.00001</f>
        <v>802.55670000000009</v>
      </c>
      <c r="B1019">
        <v>3490</v>
      </c>
      <c r="C1019">
        <v>83</v>
      </c>
      <c r="D1019">
        <v>278.536</v>
      </c>
      <c r="E1019">
        <v>3930</v>
      </c>
      <c r="F1019">
        <v>1606</v>
      </c>
      <c r="G1019">
        <v>1</v>
      </c>
      <c r="H1019">
        <v>0.2</v>
      </c>
      <c r="I1019" s="1">
        <f>0</f>
        <v>0</v>
      </c>
      <c r="J1019">
        <v>-99.190799999999996</v>
      </c>
      <c r="K1019">
        <v>527.28300000000002</v>
      </c>
      <c r="L1019">
        <v>0</v>
      </c>
    </row>
    <row r="1020" spans="1:12" x14ac:dyDescent="0.25">
      <c r="A1020">
        <f>80255790*0.00001</f>
        <v>802.55790000000002</v>
      </c>
      <c r="B1020">
        <v>3490</v>
      </c>
      <c r="C1020">
        <v>84</v>
      </c>
      <c r="D1020">
        <v>278.536</v>
      </c>
      <c r="E1020">
        <v>3930</v>
      </c>
      <c r="F1020">
        <v>1606</v>
      </c>
      <c r="G1020">
        <v>1</v>
      </c>
      <c r="H1020">
        <v>0.2</v>
      </c>
      <c r="I1020">
        <v>0</v>
      </c>
      <c r="J1020" s="1">
        <f>-98.6671</f>
        <v>-98.667100000000005</v>
      </c>
      <c r="K1020" s="1">
        <f>527.212</f>
        <v>527.21199999999999</v>
      </c>
      <c r="L1020">
        <v>0</v>
      </c>
    </row>
    <row r="1021" spans="1:12" x14ac:dyDescent="0.25">
      <c r="A1021">
        <f>80255910*0.00001</f>
        <v>802.55910000000006</v>
      </c>
      <c r="B1021">
        <v>3490</v>
      </c>
      <c r="C1021">
        <v>85</v>
      </c>
      <c r="D1021" s="1">
        <f>278.231</f>
        <v>278.23099999999999</v>
      </c>
      <c r="E1021" s="1">
        <f>3936</f>
        <v>3936</v>
      </c>
      <c r="F1021">
        <v>1606</v>
      </c>
      <c r="G1021">
        <v>1</v>
      </c>
      <c r="H1021">
        <v>0.2</v>
      </c>
      <c r="I1021">
        <v>0</v>
      </c>
      <c r="J1021">
        <v>-98.667100000000005</v>
      </c>
      <c r="K1021">
        <v>527.21199999999999</v>
      </c>
      <c r="L1021" s="1">
        <f>0</f>
        <v>0</v>
      </c>
    </row>
    <row r="1022" spans="1:12" x14ac:dyDescent="0.25">
      <c r="A1022">
        <f>80256149*0.00001</f>
        <v>802.56149000000005</v>
      </c>
      <c r="B1022">
        <v>3490</v>
      </c>
      <c r="C1022">
        <v>87</v>
      </c>
      <c r="D1022">
        <v>278.23099999999999</v>
      </c>
      <c r="E1022">
        <v>3936</v>
      </c>
      <c r="F1022">
        <v>1606</v>
      </c>
      <c r="G1022" s="1">
        <f>1</f>
        <v>1</v>
      </c>
      <c r="H1022">
        <v>0.2</v>
      </c>
      <c r="I1022">
        <v>0</v>
      </c>
      <c r="J1022">
        <v>-98.667100000000005</v>
      </c>
      <c r="K1022">
        <v>527.21199999999999</v>
      </c>
      <c r="L1022">
        <v>0</v>
      </c>
    </row>
    <row r="1023" spans="1:12" x14ac:dyDescent="0.25">
      <c r="A1023">
        <f>80256269*0.00001</f>
        <v>802.56269000000009</v>
      </c>
      <c r="B1023">
        <v>3490</v>
      </c>
      <c r="C1023">
        <v>88</v>
      </c>
      <c r="D1023">
        <v>278.23099999999999</v>
      </c>
      <c r="E1023">
        <v>3936</v>
      </c>
      <c r="F1023">
        <v>1606</v>
      </c>
      <c r="G1023">
        <v>1</v>
      </c>
      <c r="H1023">
        <v>0.2</v>
      </c>
      <c r="I1023" s="1">
        <f>0</f>
        <v>0</v>
      </c>
      <c r="J1023">
        <v>-98.667100000000005</v>
      </c>
      <c r="K1023">
        <v>527.21199999999999</v>
      </c>
      <c r="L1023">
        <v>0</v>
      </c>
    </row>
    <row r="1024" spans="1:12" x14ac:dyDescent="0.25">
      <c r="A1024">
        <f>80256388*0.00001</f>
        <v>802.56388000000004</v>
      </c>
      <c r="B1024">
        <v>3490</v>
      </c>
      <c r="C1024">
        <v>89</v>
      </c>
      <c r="D1024">
        <v>278.23099999999999</v>
      </c>
      <c r="E1024">
        <v>3936</v>
      </c>
      <c r="F1024">
        <v>1606</v>
      </c>
      <c r="G1024">
        <v>1</v>
      </c>
      <c r="H1024">
        <v>0.2</v>
      </c>
      <c r="I1024">
        <v>0</v>
      </c>
      <c r="J1024" s="1">
        <f>-98.2472</f>
        <v>-98.247200000000007</v>
      </c>
      <c r="K1024" s="1">
        <f>527.141</f>
        <v>527.14099999999996</v>
      </c>
      <c r="L1024">
        <v>0</v>
      </c>
    </row>
    <row r="1025" spans="1:12" x14ac:dyDescent="0.25">
      <c r="A1025">
        <f>80256508*0.00001</f>
        <v>802.56508000000008</v>
      </c>
      <c r="B1025">
        <v>3490</v>
      </c>
      <c r="C1025">
        <v>90</v>
      </c>
      <c r="D1025" s="1">
        <f>277.951</f>
        <v>277.95100000000002</v>
      </c>
      <c r="E1025" s="1">
        <f>3943</f>
        <v>3943</v>
      </c>
      <c r="F1025">
        <v>1606</v>
      </c>
      <c r="G1025">
        <v>1</v>
      </c>
      <c r="H1025">
        <v>0.2</v>
      </c>
      <c r="I1025">
        <v>0</v>
      </c>
      <c r="J1025">
        <v>-98.247200000000007</v>
      </c>
      <c r="K1025">
        <v>527.14099999999996</v>
      </c>
      <c r="L1025" s="1">
        <f>0</f>
        <v>0</v>
      </c>
    </row>
    <row r="1026" spans="1:12" x14ac:dyDescent="0.25">
      <c r="A1026">
        <f>80256748*0.00001</f>
        <v>802.56748000000005</v>
      </c>
      <c r="B1026">
        <v>3490</v>
      </c>
      <c r="C1026">
        <v>92</v>
      </c>
      <c r="D1026">
        <v>277.95100000000002</v>
      </c>
      <c r="E1026">
        <v>3943</v>
      </c>
      <c r="F1026">
        <v>1606</v>
      </c>
      <c r="G1026" s="1">
        <f>1</f>
        <v>1</v>
      </c>
      <c r="H1026">
        <v>0.2</v>
      </c>
      <c r="I1026">
        <v>0</v>
      </c>
      <c r="J1026">
        <v>-98.247200000000007</v>
      </c>
      <c r="K1026">
        <v>527.14099999999996</v>
      </c>
      <c r="L1026">
        <v>0</v>
      </c>
    </row>
    <row r="1027" spans="1:12" x14ac:dyDescent="0.25">
      <c r="A1027">
        <f>80256868*0.00001</f>
        <v>802.56868000000009</v>
      </c>
      <c r="B1027">
        <v>3490</v>
      </c>
      <c r="C1027">
        <v>93</v>
      </c>
      <c r="D1027">
        <v>277.95100000000002</v>
      </c>
      <c r="E1027">
        <v>3943</v>
      </c>
      <c r="F1027">
        <v>1606</v>
      </c>
      <c r="G1027">
        <v>1</v>
      </c>
      <c r="H1027">
        <v>0.2</v>
      </c>
      <c r="I1027" s="1">
        <f>0</f>
        <v>0</v>
      </c>
      <c r="J1027">
        <v>-98.247200000000007</v>
      </c>
      <c r="K1027">
        <v>527.14099999999996</v>
      </c>
      <c r="L1027">
        <v>0</v>
      </c>
    </row>
    <row r="1028" spans="1:12" x14ac:dyDescent="0.25">
      <c r="A1028">
        <f>80256988*0.00001</f>
        <v>802.56988000000001</v>
      </c>
      <c r="B1028">
        <v>3490</v>
      </c>
      <c r="C1028">
        <v>94</v>
      </c>
      <c r="D1028">
        <v>277.95100000000002</v>
      </c>
      <c r="E1028">
        <v>3943</v>
      </c>
      <c r="F1028">
        <v>1606</v>
      </c>
      <c r="G1028">
        <v>1</v>
      </c>
      <c r="H1028">
        <v>0.2</v>
      </c>
      <c r="I1028">
        <v>0</v>
      </c>
      <c r="J1028" s="1">
        <f>-97.7956</f>
        <v>-97.795599999999993</v>
      </c>
      <c r="K1028" s="1">
        <f>527.07</f>
        <v>527.07000000000005</v>
      </c>
      <c r="L1028">
        <v>0</v>
      </c>
    </row>
    <row r="1029" spans="1:12" x14ac:dyDescent="0.25">
      <c r="A1029">
        <f>80257108*0.00001</f>
        <v>802.57108000000005</v>
      </c>
      <c r="B1029">
        <v>3490</v>
      </c>
      <c r="C1029">
        <v>95</v>
      </c>
      <c r="D1029" s="1">
        <f>277.665</f>
        <v>277.66500000000002</v>
      </c>
      <c r="E1029" s="1">
        <f>3949</f>
        <v>3949</v>
      </c>
      <c r="F1029">
        <v>1606</v>
      </c>
      <c r="G1029">
        <v>1</v>
      </c>
      <c r="H1029">
        <v>0.2</v>
      </c>
      <c r="I1029">
        <v>0</v>
      </c>
      <c r="J1029">
        <v>-97.795599999999993</v>
      </c>
      <c r="K1029">
        <v>527.07000000000005</v>
      </c>
      <c r="L1029" s="1">
        <f>0</f>
        <v>0</v>
      </c>
    </row>
    <row r="1030" spans="1:12" x14ac:dyDescent="0.25">
      <c r="A1030">
        <f>80257348*0.00001</f>
        <v>802.57348000000002</v>
      </c>
      <c r="B1030">
        <v>3490</v>
      </c>
      <c r="C1030">
        <v>97</v>
      </c>
      <c r="D1030">
        <v>277.66500000000002</v>
      </c>
      <c r="E1030">
        <v>3949</v>
      </c>
      <c r="F1030">
        <v>1606</v>
      </c>
      <c r="G1030" s="1">
        <f>1</f>
        <v>1</v>
      </c>
      <c r="H1030">
        <v>0.2</v>
      </c>
      <c r="I1030">
        <v>0</v>
      </c>
      <c r="J1030">
        <v>-97.795599999999993</v>
      </c>
      <c r="K1030">
        <v>527.07000000000005</v>
      </c>
      <c r="L1030">
        <v>0</v>
      </c>
    </row>
    <row r="1031" spans="1:12" x14ac:dyDescent="0.25">
      <c r="A1031">
        <f>80257469*0.00001</f>
        <v>802.57469000000003</v>
      </c>
      <c r="B1031">
        <v>3490</v>
      </c>
      <c r="C1031">
        <v>98</v>
      </c>
      <c r="D1031">
        <v>277.66500000000002</v>
      </c>
      <c r="E1031">
        <v>3949</v>
      </c>
      <c r="F1031">
        <v>1606</v>
      </c>
      <c r="G1031">
        <v>1</v>
      </c>
      <c r="H1031">
        <v>0.2</v>
      </c>
      <c r="I1031" s="1">
        <f>0</f>
        <v>0</v>
      </c>
      <c r="J1031">
        <v>-97.795599999999993</v>
      </c>
      <c r="K1031">
        <v>527.07000000000005</v>
      </c>
      <c r="L1031">
        <v>0</v>
      </c>
    </row>
    <row r="1032" spans="1:12" x14ac:dyDescent="0.25">
      <c r="A1032">
        <f>80257589*0.00001</f>
        <v>802.57589000000007</v>
      </c>
      <c r="B1032">
        <v>3490</v>
      </c>
      <c r="C1032">
        <v>99</v>
      </c>
      <c r="D1032">
        <v>277.66500000000002</v>
      </c>
      <c r="E1032">
        <v>3949</v>
      </c>
      <c r="F1032">
        <v>1606</v>
      </c>
      <c r="G1032">
        <v>1</v>
      </c>
      <c r="H1032">
        <v>0.2</v>
      </c>
      <c r="I1032">
        <v>0</v>
      </c>
      <c r="J1032" s="1">
        <f>-97.3679</f>
        <v>-97.367900000000006</v>
      </c>
      <c r="K1032" s="1">
        <f>526.999</f>
        <v>526.99900000000002</v>
      </c>
      <c r="L1032">
        <v>0</v>
      </c>
    </row>
    <row r="1033" spans="1:12" x14ac:dyDescent="0.25">
      <c r="A1033">
        <f>80257709*0.00001</f>
        <v>802.57709000000011</v>
      </c>
      <c r="B1033">
        <v>3490</v>
      </c>
      <c r="C1033">
        <v>100</v>
      </c>
      <c r="D1033" s="1">
        <f>277.378</f>
        <v>277.37799999999999</v>
      </c>
      <c r="E1033" s="1">
        <f>3955</f>
        <v>3955</v>
      </c>
      <c r="F1033">
        <v>1606</v>
      </c>
      <c r="G1033">
        <v>1</v>
      </c>
      <c r="H1033">
        <v>0.2</v>
      </c>
      <c r="I1033">
        <v>0</v>
      </c>
      <c r="J1033">
        <v>-97.367900000000006</v>
      </c>
      <c r="K1033">
        <v>526.99900000000002</v>
      </c>
      <c r="L1033" s="1">
        <f>0</f>
        <v>0</v>
      </c>
    </row>
    <row r="1034" spans="1:12" x14ac:dyDescent="0.25">
      <c r="A1034">
        <f>80257949*0.00001</f>
        <v>802.57949000000008</v>
      </c>
      <c r="B1034">
        <v>3490</v>
      </c>
      <c r="C1034">
        <v>102</v>
      </c>
      <c r="D1034">
        <v>277.37799999999999</v>
      </c>
      <c r="E1034">
        <v>3955</v>
      </c>
      <c r="F1034">
        <v>1606</v>
      </c>
      <c r="G1034" s="1">
        <f>1</f>
        <v>1</v>
      </c>
      <c r="H1034">
        <v>0.2</v>
      </c>
      <c r="I1034">
        <v>0</v>
      </c>
      <c r="J1034">
        <v>-97.367900000000006</v>
      </c>
      <c r="K1034">
        <v>526.99900000000002</v>
      </c>
      <c r="L1034">
        <v>0</v>
      </c>
    </row>
    <row r="1035" spans="1:12" x14ac:dyDescent="0.25">
      <c r="A1035">
        <f>80258069*0.00001</f>
        <v>802.58069000000012</v>
      </c>
      <c r="B1035">
        <v>3490</v>
      </c>
      <c r="C1035">
        <v>103</v>
      </c>
      <c r="D1035">
        <v>277.37799999999999</v>
      </c>
      <c r="E1035">
        <v>3955</v>
      </c>
      <c r="F1035">
        <v>1606</v>
      </c>
      <c r="G1035">
        <v>1</v>
      </c>
      <c r="H1035">
        <v>0.2</v>
      </c>
      <c r="I1035" s="1">
        <f>0</f>
        <v>0</v>
      </c>
      <c r="J1035">
        <v>-97.367900000000006</v>
      </c>
      <c r="K1035">
        <v>526.99900000000002</v>
      </c>
      <c r="L1035">
        <v>0</v>
      </c>
    </row>
    <row r="1036" spans="1:12" x14ac:dyDescent="0.25">
      <c r="A1036">
        <f>80258189*0.00001</f>
        <v>802.58189000000004</v>
      </c>
      <c r="B1036">
        <v>3490</v>
      </c>
      <c r="C1036">
        <v>104</v>
      </c>
      <c r="D1036">
        <v>277.37799999999999</v>
      </c>
      <c r="E1036">
        <v>3955</v>
      </c>
      <c r="F1036">
        <v>1606</v>
      </c>
      <c r="G1036">
        <v>1</v>
      </c>
      <c r="H1036">
        <v>0.2</v>
      </c>
      <c r="I1036">
        <v>0</v>
      </c>
      <c r="J1036" s="1">
        <f>-96.9341</f>
        <v>-96.934100000000001</v>
      </c>
      <c r="K1036" s="1">
        <f>526.929</f>
        <v>526.92899999999997</v>
      </c>
      <c r="L1036">
        <v>0</v>
      </c>
    </row>
    <row r="1037" spans="1:12" x14ac:dyDescent="0.25">
      <c r="A1037">
        <f>80258309*0.00001</f>
        <v>802.58309000000008</v>
      </c>
      <c r="B1037">
        <v>3490</v>
      </c>
      <c r="C1037">
        <v>105</v>
      </c>
      <c r="D1037" s="1">
        <f>277.118</f>
        <v>277.11799999999999</v>
      </c>
      <c r="E1037" s="1">
        <f>3961</f>
        <v>3961</v>
      </c>
      <c r="F1037">
        <v>1606</v>
      </c>
      <c r="G1037">
        <v>1</v>
      </c>
      <c r="H1037">
        <v>0.2</v>
      </c>
      <c r="I1037">
        <v>0</v>
      </c>
      <c r="J1037">
        <v>-96.934100000000001</v>
      </c>
      <c r="K1037">
        <v>526.92899999999997</v>
      </c>
      <c r="L1037" s="1">
        <f>0</f>
        <v>0</v>
      </c>
    </row>
    <row r="1038" spans="1:12" x14ac:dyDescent="0.25">
      <c r="A1038">
        <f>80258551*0.00001</f>
        <v>802.58551000000011</v>
      </c>
      <c r="B1038">
        <v>3490</v>
      </c>
      <c r="C1038">
        <v>107</v>
      </c>
      <c r="D1038">
        <v>277.11799999999999</v>
      </c>
      <c r="E1038">
        <v>3961</v>
      </c>
      <c r="F1038">
        <v>1606</v>
      </c>
      <c r="G1038" s="1">
        <f>1</f>
        <v>1</v>
      </c>
      <c r="H1038">
        <v>0.2</v>
      </c>
      <c r="I1038">
        <v>0</v>
      </c>
      <c r="J1038">
        <v>-96.934100000000001</v>
      </c>
      <c r="K1038">
        <v>526.92899999999997</v>
      </c>
      <c r="L1038">
        <v>0</v>
      </c>
    </row>
    <row r="1039" spans="1:12" x14ac:dyDescent="0.25">
      <c r="A1039">
        <f>80258671*0.00001</f>
        <v>802.58671000000004</v>
      </c>
      <c r="B1039">
        <v>3490</v>
      </c>
      <c r="C1039">
        <v>108</v>
      </c>
      <c r="D1039">
        <v>277.11799999999999</v>
      </c>
      <c r="E1039">
        <v>3961</v>
      </c>
      <c r="F1039">
        <v>1606</v>
      </c>
      <c r="G1039">
        <v>1</v>
      </c>
      <c r="H1039">
        <v>0.2</v>
      </c>
      <c r="I1039" s="1">
        <f>0</f>
        <v>0</v>
      </c>
      <c r="J1039">
        <v>-96.934100000000001</v>
      </c>
      <c r="K1039">
        <v>526.92899999999997</v>
      </c>
      <c r="L1039">
        <v>0</v>
      </c>
    </row>
    <row r="1040" spans="1:12" x14ac:dyDescent="0.25">
      <c r="A1040">
        <f>80258791*0.00001</f>
        <v>802.58791000000008</v>
      </c>
      <c r="B1040">
        <v>3490</v>
      </c>
      <c r="C1040">
        <v>109</v>
      </c>
      <c r="D1040">
        <v>277.11799999999999</v>
      </c>
      <c r="E1040">
        <v>3961</v>
      </c>
      <c r="F1040">
        <v>1606</v>
      </c>
      <c r="G1040">
        <v>1</v>
      </c>
      <c r="H1040">
        <v>0.2</v>
      </c>
      <c r="I1040">
        <v>0</v>
      </c>
      <c r="J1040" s="1">
        <f>-96.497</f>
        <v>-96.497</v>
      </c>
      <c r="K1040" s="1">
        <f>526.859</f>
        <v>526.85900000000004</v>
      </c>
      <c r="L1040">
        <v>0</v>
      </c>
    </row>
    <row r="1041" spans="1:12" x14ac:dyDescent="0.25">
      <c r="A1041">
        <f>80258911*0.00001</f>
        <v>802.58911000000012</v>
      </c>
      <c r="B1041">
        <v>3490</v>
      </c>
      <c r="C1041">
        <v>110</v>
      </c>
      <c r="D1041" s="1">
        <f>276.813</f>
        <v>276.81299999999999</v>
      </c>
      <c r="E1041" s="1">
        <f>3967</f>
        <v>3967</v>
      </c>
      <c r="F1041">
        <v>1606</v>
      </c>
      <c r="G1041">
        <v>1</v>
      </c>
      <c r="H1041">
        <v>0.2</v>
      </c>
      <c r="I1041">
        <v>0</v>
      </c>
      <c r="J1041">
        <v>-96.497</v>
      </c>
      <c r="K1041">
        <v>526.85900000000004</v>
      </c>
      <c r="L1041" s="1">
        <f>0</f>
        <v>0</v>
      </c>
    </row>
    <row r="1042" spans="1:12" x14ac:dyDescent="0.25">
      <c r="A1042">
        <f>80259151*0.00001</f>
        <v>802.59151000000008</v>
      </c>
      <c r="B1042">
        <v>3490</v>
      </c>
      <c r="C1042">
        <v>112</v>
      </c>
      <c r="D1042">
        <v>276.81299999999999</v>
      </c>
      <c r="E1042">
        <v>3967</v>
      </c>
      <c r="F1042">
        <v>1606</v>
      </c>
      <c r="G1042" s="1">
        <f>1</f>
        <v>1</v>
      </c>
      <c r="H1042">
        <v>0.2</v>
      </c>
      <c r="I1042">
        <v>0</v>
      </c>
      <c r="J1042">
        <v>-96.497</v>
      </c>
      <c r="K1042">
        <v>526.85900000000004</v>
      </c>
      <c r="L1042">
        <v>0</v>
      </c>
    </row>
    <row r="1043" spans="1:12" x14ac:dyDescent="0.25">
      <c r="A1043">
        <f>80259271*0.00001</f>
        <v>802.59271000000001</v>
      </c>
      <c r="B1043">
        <v>3490</v>
      </c>
      <c r="C1043">
        <v>113</v>
      </c>
      <c r="D1043">
        <v>276.81299999999999</v>
      </c>
      <c r="E1043">
        <v>3967</v>
      </c>
      <c r="F1043">
        <v>1606</v>
      </c>
      <c r="G1043">
        <v>1</v>
      </c>
      <c r="H1043">
        <v>0.2</v>
      </c>
      <c r="I1043" s="1">
        <f>0</f>
        <v>0</v>
      </c>
      <c r="J1043">
        <v>-96.497</v>
      </c>
      <c r="K1043">
        <v>526.85900000000004</v>
      </c>
      <c r="L1043">
        <v>0</v>
      </c>
    </row>
    <row r="1044" spans="1:12" x14ac:dyDescent="0.25">
      <c r="A1044">
        <f>80259391*0.00001</f>
        <v>802.59391000000005</v>
      </c>
      <c r="B1044">
        <v>3490</v>
      </c>
      <c r="C1044">
        <v>114</v>
      </c>
      <c r="D1044">
        <v>276.81299999999999</v>
      </c>
      <c r="E1044">
        <v>3967</v>
      </c>
      <c r="F1044">
        <v>1606</v>
      </c>
      <c r="G1044">
        <v>1</v>
      </c>
      <c r="H1044">
        <v>0.2</v>
      </c>
      <c r="I1044">
        <v>0</v>
      </c>
      <c r="J1044" s="1">
        <f>-96.0872</f>
        <v>-96.087199999999996</v>
      </c>
      <c r="K1044" s="1">
        <f>526.789</f>
        <v>526.78899999999999</v>
      </c>
      <c r="L1044">
        <v>0</v>
      </c>
    </row>
    <row r="1045" spans="1:12" x14ac:dyDescent="0.25">
      <c r="A1045">
        <f>80259511*0.00001</f>
        <v>802.59511000000009</v>
      </c>
      <c r="B1045">
        <v>3490</v>
      </c>
      <c r="C1045">
        <v>115</v>
      </c>
      <c r="D1045" s="1">
        <f>276.543</f>
        <v>276.54300000000001</v>
      </c>
      <c r="E1045" s="1">
        <f>3971</f>
        <v>3971</v>
      </c>
      <c r="F1045">
        <v>1606</v>
      </c>
      <c r="G1045">
        <v>1</v>
      </c>
      <c r="H1045">
        <v>0.2</v>
      </c>
      <c r="I1045">
        <v>0</v>
      </c>
      <c r="J1045">
        <v>-96.087199999999996</v>
      </c>
      <c r="K1045">
        <v>526.78899999999999</v>
      </c>
      <c r="L1045" s="1">
        <f>0</f>
        <v>0</v>
      </c>
    </row>
    <row r="1046" spans="1:12" x14ac:dyDescent="0.25">
      <c r="A1046">
        <f>80259753*0.00001</f>
        <v>802.59753000000012</v>
      </c>
      <c r="B1046">
        <v>3490</v>
      </c>
      <c r="C1046">
        <v>117</v>
      </c>
      <c r="D1046">
        <v>276.54300000000001</v>
      </c>
      <c r="E1046">
        <v>3971</v>
      </c>
      <c r="F1046">
        <v>1606</v>
      </c>
      <c r="G1046" s="1">
        <f>1</f>
        <v>1</v>
      </c>
      <c r="H1046">
        <v>0.2</v>
      </c>
      <c r="I1046">
        <v>0</v>
      </c>
      <c r="J1046">
        <v>-96.087199999999996</v>
      </c>
      <c r="K1046">
        <v>526.78899999999999</v>
      </c>
      <c r="L1046">
        <v>0</v>
      </c>
    </row>
    <row r="1047" spans="1:12" x14ac:dyDescent="0.25">
      <c r="A1047">
        <f>80259874*0.00001</f>
        <v>802.59874000000002</v>
      </c>
      <c r="B1047">
        <v>3490</v>
      </c>
      <c r="C1047">
        <v>118</v>
      </c>
      <c r="D1047">
        <v>276.54300000000001</v>
      </c>
      <c r="E1047">
        <v>3971</v>
      </c>
      <c r="F1047">
        <v>1606</v>
      </c>
      <c r="G1047">
        <v>1</v>
      </c>
      <c r="H1047">
        <v>0.2</v>
      </c>
      <c r="I1047" s="1">
        <f>0</f>
        <v>0</v>
      </c>
      <c r="J1047">
        <v>-96.087199999999996</v>
      </c>
      <c r="K1047">
        <v>526.78899999999999</v>
      </c>
      <c r="L1047">
        <v>0</v>
      </c>
    </row>
    <row r="1048" spans="1:12" x14ac:dyDescent="0.25">
      <c r="A1048">
        <f>80259995*0.00001</f>
        <v>802.59995000000004</v>
      </c>
      <c r="B1048">
        <v>3490</v>
      </c>
      <c r="C1048">
        <v>119</v>
      </c>
      <c r="D1048">
        <v>276.54300000000001</v>
      </c>
      <c r="E1048">
        <v>3971</v>
      </c>
      <c r="F1048">
        <v>1606</v>
      </c>
      <c r="G1048">
        <v>1</v>
      </c>
      <c r="H1048">
        <v>0.2</v>
      </c>
      <c r="I1048">
        <v>0</v>
      </c>
      <c r="J1048" s="1">
        <f>-95.6446</f>
        <v>-95.644599999999997</v>
      </c>
      <c r="K1048" s="1">
        <f>526.719</f>
        <v>526.71900000000005</v>
      </c>
      <c r="L1048">
        <v>0</v>
      </c>
    </row>
    <row r="1049" spans="1:12" x14ac:dyDescent="0.25">
      <c r="A1049">
        <f>80260116*0.00001</f>
        <v>802.60116000000005</v>
      </c>
      <c r="B1049">
        <v>3490</v>
      </c>
      <c r="C1049">
        <v>120</v>
      </c>
      <c r="D1049" s="1">
        <f>276.265</f>
        <v>276.26499999999999</v>
      </c>
      <c r="E1049" s="1">
        <f>3977</f>
        <v>3977</v>
      </c>
      <c r="F1049" s="1">
        <f>1606</f>
        <v>1606</v>
      </c>
      <c r="G1049" s="1">
        <f>1</f>
        <v>1</v>
      </c>
      <c r="H1049">
        <v>0.2</v>
      </c>
      <c r="I1049">
        <v>0</v>
      </c>
      <c r="J1049">
        <v>-95.644599999999997</v>
      </c>
      <c r="K1049">
        <v>526.71900000000005</v>
      </c>
      <c r="L1049" s="1">
        <f>0</f>
        <v>0</v>
      </c>
    </row>
    <row r="1050" spans="1:12" x14ac:dyDescent="0.25">
      <c r="A1050">
        <f>80260477*0.00001</f>
        <v>802.60477000000003</v>
      </c>
      <c r="B1050">
        <v>3490</v>
      </c>
      <c r="C1050">
        <v>123</v>
      </c>
      <c r="D1050">
        <v>276.26499999999999</v>
      </c>
      <c r="E1050">
        <v>3977</v>
      </c>
      <c r="F1050">
        <v>1606</v>
      </c>
      <c r="G1050">
        <v>1</v>
      </c>
      <c r="H1050">
        <v>0.2</v>
      </c>
      <c r="I1050" s="1">
        <f>0</f>
        <v>0</v>
      </c>
      <c r="J1050">
        <v>-95.644599999999997</v>
      </c>
      <c r="K1050">
        <v>526.71900000000005</v>
      </c>
      <c r="L1050">
        <v>0</v>
      </c>
    </row>
    <row r="1051" spans="1:12" x14ac:dyDescent="0.25">
      <c r="A1051">
        <f>80260598*0.00001</f>
        <v>802.60598000000005</v>
      </c>
      <c r="B1051">
        <v>3490</v>
      </c>
      <c r="C1051">
        <v>124</v>
      </c>
      <c r="D1051">
        <v>276.26499999999999</v>
      </c>
      <c r="E1051">
        <v>3977</v>
      </c>
      <c r="F1051">
        <v>1606</v>
      </c>
      <c r="G1051">
        <v>1</v>
      </c>
      <c r="H1051">
        <v>0.2</v>
      </c>
      <c r="I1051">
        <v>0</v>
      </c>
      <c r="J1051">
        <v>-95.644599999999997</v>
      </c>
      <c r="K1051" s="1">
        <f>526.65</f>
        <v>526.65</v>
      </c>
      <c r="L1051">
        <v>0</v>
      </c>
    </row>
    <row r="1052" spans="1:12" x14ac:dyDescent="0.25">
      <c r="A1052">
        <f>80260718*0.00001</f>
        <v>802.60718000000008</v>
      </c>
      <c r="B1052">
        <v>3490</v>
      </c>
      <c r="C1052">
        <v>125</v>
      </c>
      <c r="D1052" s="1">
        <f>275.975</f>
        <v>275.97500000000002</v>
      </c>
      <c r="E1052" s="1">
        <f>3983</f>
        <v>3983</v>
      </c>
      <c r="F1052" s="1">
        <f>1606</f>
        <v>1606</v>
      </c>
      <c r="G1052" s="1">
        <f>1</f>
        <v>1</v>
      </c>
      <c r="H1052">
        <v>0.2</v>
      </c>
      <c r="I1052">
        <v>0</v>
      </c>
      <c r="J1052">
        <v>-95.644599999999997</v>
      </c>
      <c r="K1052">
        <v>526.65</v>
      </c>
      <c r="L1052" s="1">
        <f>0</f>
        <v>0</v>
      </c>
    </row>
    <row r="1053" spans="1:12" x14ac:dyDescent="0.25">
      <c r="A1053">
        <f>80261080*0.00001</f>
        <v>802.61080000000004</v>
      </c>
      <c r="B1053">
        <v>3490</v>
      </c>
      <c r="C1053">
        <v>128</v>
      </c>
      <c r="D1053">
        <v>275.97500000000002</v>
      </c>
      <c r="E1053">
        <v>3983</v>
      </c>
      <c r="F1053">
        <v>1606</v>
      </c>
      <c r="G1053">
        <v>1</v>
      </c>
      <c r="H1053">
        <v>0.2</v>
      </c>
      <c r="I1053" s="1">
        <f>0</f>
        <v>0</v>
      </c>
      <c r="J1053">
        <v>-95.644599999999997</v>
      </c>
      <c r="K1053">
        <v>526.65</v>
      </c>
      <c r="L1053">
        <v>0</v>
      </c>
    </row>
    <row r="1054" spans="1:12" x14ac:dyDescent="0.25">
      <c r="A1054">
        <f>80261201*0.00001</f>
        <v>802.61201000000005</v>
      </c>
      <c r="B1054">
        <v>3490</v>
      </c>
      <c r="C1054">
        <v>129</v>
      </c>
      <c r="D1054">
        <v>275.97500000000002</v>
      </c>
      <c r="E1054">
        <v>3983</v>
      </c>
      <c r="F1054">
        <v>1606</v>
      </c>
      <c r="G1054">
        <v>1</v>
      </c>
      <c r="H1054">
        <v>0.2</v>
      </c>
      <c r="I1054">
        <v>0</v>
      </c>
      <c r="J1054">
        <v>-95.644599999999997</v>
      </c>
      <c r="K1054" s="1">
        <f>526.581</f>
        <v>526.58100000000002</v>
      </c>
      <c r="L1054">
        <v>0</v>
      </c>
    </row>
    <row r="1055" spans="1:12" x14ac:dyDescent="0.25">
      <c r="A1055">
        <f>80261321*0.00001</f>
        <v>802.61321000000009</v>
      </c>
      <c r="B1055">
        <v>3490</v>
      </c>
      <c r="C1055">
        <v>130</v>
      </c>
      <c r="D1055" s="1">
        <f>275.723</f>
        <v>275.72300000000001</v>
      </c>
      <c r="E1055" s="1">
        <f>3988</f>
        <v>3988</v>
      </c>
      <c r="F1055" s="1">
        <f>1606</f>
        <v>1606</v>
      </c>
      <c r="G1055" s="1">
        <f>1</f>
        <v>1</v>
      </c>
      <c r="H1055">
        <v>0.2</v>
      </c>
      <c r="I1055">
        <v>0</v>
      </c>
      <c r="J1055">
        <v>-95.644599999999997</v>
      </c>
      <c r="K1055">
        <v>526.58100000000002</v>
      </c>
      <c r="L1055" s="1">
        <f>0</f>
        <v>0</v>
      </c>
    </row>
    <row r="1056" spans="1:12" x14ac:dyDescent="0.25">
      <c r="A1056">
        <f>80261684*0.00001</f>
        <v>802.61684000000002</v>
      </c>
      <c r="B1056">
        <v>3490</v>
      </c>
      <c r="C1056">
        <v>133</v>
      </c>
      <c r="D1056">
        <v>275.72300000000001</v>
      </c>
      <c r="E1056">
        <v>3988</v>
      </c>
      <c r="F1056">
        <v>1606</v>
      </c>
      <c r="G1056">
        <v>1</v>
      </c>
      <c r="H1056">
        <v>0.2</v>
      </c>
      <c r="I1056" s="1">
        <f>0</f>
        <v>0</v>
      </c>
      <c r="J1056">
        <v>-95.644599999999997</v>
      </c>
      <c r="K1056">
        <v>526.58100000000002</v>
      </c>
      <c r="L1056">
        <v>0</v>
      </c>
    </row>
    <row r="1057" spans="1:12" x14ac:dyDescent="0.25">
      <c r="A1057">
        <f>80261805*0.00001</f>
        <v>802.61805000000004</v>
      </c>
      <c r="B1057">
        <v>3490</v>
      </c>
      <c r="C1057">
        <v>134</v>
      </c>
      <c r="D1057">
        <v>275.72300000000001</v>
      </c>
      <c r="E1057">
        <v>3988</v>
      </c>
      <c r="F1057">
        <v>1606</v>
      </c>
      <c r="G1057">
        <v>1</v>
      </c>
      <c r="H1057">
        <v>0.2</v>
      </c>
      <c r="I1057">
        <v>0</v>
      </c>
      <c r="J1057">
        <v>-95.644599999999997</v>
      </c>
      <c r="K1057" s="1">
        <f>526.512</f>
        <v>526.51199999999994</v>
      </c>
      <c r="L1057">
        <v>0</v>
      </c>
    </row>
    <row r="1058" spans="1:12" x14ac:dyDescent="0.25">
      <c r="A1058">
        <f>80261926*0.00001</f>
        <v>802.61926000000005</v>
      </c>
      <c r="B1058">
        <v>3490</v>
      </c>
      <c r="C1058">
        <v>135</v>
      </c>
      <c r="D1058" s="1">
        <f>275.425</f>
        <v>275.42500000000001</v>
      </c>
      <c r="E1058">
        <v>3988</v>
      </c>
      <c r="F1058">
        <v>1606</v>
      </c>
      <c r="G1058">
        <v>1</v>
      </c>
      <c r="H1058">
        <v>0.2</v>
      </c>
      <c r="I1058">
        <v>0</v>
      </c>
      <c r="J1058">
        <v>-95.644599999999997</v>
      </c>
      <c r="K1058">
        <v>526.51199999999994</v>
      </c>
      <c r="L1058" s="1">
        <f>0</f>
        <v>0</v>
      </c>
    </row>
    <row r="1059" spans="1:12" x14ac:dyDescent="0.25">
      <c r="A1059">
        <f>80262046*0.00001</f>
        <v>802.62046000000009</v>
      </c>
      <c r="B1059">
        <v>3490</v>
      </c>
      <c r="C1059">
        <v>136</v>
      </c>
      <c r="D1059">
        <v>275.42500000000001</v>
      </c>
      <c r="E1059" s="1">
        <f>3995</f>
        <v>3995</v>
      </c>
      <c r="F1059" s="1">
        <f>1606</f>
        <v>1606</v>
      </c>
      <c r="G1059" s="1">
        <f>1</f>
        <v>1</v>
      </c>
      <c r="H1059">
        <v>0.2</v>
      </c>
      <c r="I1059">
        <v>0</v>
      </c>
      <c r="J1059">
        <v>-95.644599999999997</v>
      </c>
      <c r="K1059">
        <v>526.51199999999994</v>
      </c>
      <c r="L1059">
        <v>0</v>
      </c>
    </row>
    <row r="1060" spans="1:12" x14ac:dyDescent="0.25">
      <c r="A1060">
        <f>80262288*0.00001</f>
        <v>802.62288000000001</v>
      </c>
      <c r="B1060">
        <v>3490</v>
      </c>
      <c r="C1060">
        <v>138</v>
      </c>
      <c r="D1060">
        <v>275.42500000000001</v>
      </c>
      <c r="E1060">
        <v>3995</v>
      </c>
      <c r="F1060">
        <v>1606</v>
      </c>
      <c r="G1060">
        <v>1</v>
      </c>
      <c r="H1060">
        <v>0.2</v>
      </c>
      <c r="I1060" s="1">
        <f>0</f>
        <v>0</v>
      </c>
      <c r="J1060">
        <v>-95.644599999999997</v>
      </c>
      <c r="K1060">
        <v>526.51199999999994</v>
      </c>
      <c r="L1060">
        <v>0</v>
      </c>
    </row>
    <row r="1061" spans="1:12" x14ac:dyDescent="0.25">
      <c r="A1061">
        <f>80262409*0.00001</f>
        <v>802.62409000000002</v>
      </c>
      <c r="B1061">
        <v>3490</v>
      </c>
      <c r="C1061">
        <v>139</v>
      </c>
      <c r="D1061">
        <v>275.42500000000001</v>
      </c>
      <c r="E1061">
        <v>3995</v>
      </c>
      <c r="F1061">
        <v>1606</v>
      </c>
      <c r="G1061">
        <v>1</v>
      </c>
      <c r="H1061">
        <v>0.2</v>
      </c>
      <c r="I1061">
        <v>0</v>
      </c>
      <c r="J1061">
        <v>-95.644599999999997</v>
      </c>
      <c r="K1061" s="1">
        <f>526.444</f>
        <v>526.44399999999996</v>
      </c>
      <c r="L1061">
        <v>0</v>
      </c>
    </row>
    <row r="1062" spans="1:12" x14ac:dyDescent="0.25">
      <c r="A1062">
        <f>80262530*0.00001</f>
        <v>802.62530000000004</v>
      </c>
      <c r="B1062">
        <v>3490</v>
      </c>
      <c r="C1062">
        <v>140</v>
      </c>
      <c r="D1062" s="1">
        <f>275.151</f>
        <v>275.15100000000001</v>
      </c>
      <c r="E1062">
        <v>3995</v>
      </c>
      <c r="F1062">
        <v>1606</v>
      </c>
      <c r="G1062">
        <v>1</v>
      </c>
      <c r="H1062">
        <v>0.2</v>
      </c>
      <c r="I1062">
        <v>0</v>
      </c>
      <c r="J1062">
        <v>-95.644599999999997</v>
      </c>
      <c r="K1062">
        <v>526.44399999999996</v>
      </c>
      <c r="L1062">
        <v>0</v>
      </c>
    </row>
    <row r="1063" spans="1:12" x14ac:dyDescent="0.25">
      <c r="A1063">
        <f>80262652*0.00001</f>
        <v>802.62652000000003</v>
      </c>
      <c r="B1063">
        <v>3490</v>
      </c>
      <c r="C1063">
        <v>141</v>
      </c>
      <c r="D1063">
        <v>275.15100000000001</v>
      </c>
      <c r="E1063" s="1">
        <f>4000</f>
        <v>4000</v>
      </c>
      <c r="F1063" s="1">
        <f>1606</f>
        <v>1606</v>
      </c>
      <c r="G1063" s="1">
        <f>1</f>
        <v>1</v>
      </c>
      <c r="H1063" s="1">
        <f>0.2</f>
        <v>0.2</v>
      </c>
      <c r="I1063" s="1">
        <f>0</f>
        <v>0</v>
      </c>
      <c r="J1063">
        <v>-95.644599999999997</v>
      </c>
      <c r="K1063">
        <v>526.44399999999996</v>
      </c>
      <c r="L1063">
        <v>0</v>
      </c>
    </row>
    <row r="1064" spans="1:12" x14ac:dyDescent="0.25">
      <c r="A1064">
        <f>80263015*0.00001</f>
        <v>802.63015000000007</v>
      </c>
      <c r="B1064">
        <v>3490</v>
      </c>
      <c r="C1064">
        <v>144</v>
      </c>
      <c r="D1064">
        <v>275.15100000000001</v>
      </c>
      <c r="E1064">
        <v>4000</v>
      </c>
      <c r="F1064">
        <v>1606</v>
      </c>
      <c r="G1064">
        <v>1</v>
      </c>
      <c r="H1064">
        <v>0.2</v>
      </c>
      <c r="I1064">
        <v>0</v>
      </c>
      <c r="J1064">
        <v>-95.644599999999997</v>
      </c>
      <c r="K1064" s="1">
        <f>526.375</f>
        <v>526.375</v>
      </c>
      <c r="L1064">
        <v>0</v>
      </c>
    </row>
    <row r="1065" spans="1:12" x14ac:dyDescent="0.25">
      <c r="A1065">
        <f>80263137*0.00001</f>
        <v>802.63137000000006</v>
      </c>
      <c r="B1065">
        <v>3490</v>
      </c>
      <c r="C1065">
        <v>145</v>
      </c>
      <c r="D1065" s="1">
        <f>274.881</f>
        <v>274.88099999999997</v>
      </c>
      <c r="E1065">
        <v>4000</v>
      </c>
      <c r="F1065">
        <v>1606</v>
      </c>
      <c r="G1065">
        <v>1</v>
      </c>
      <c r="H1065">
        <v>0.2</v>
      </c>
      <c r="I1065">
        <v>0</v>
      </c>
      <c r="J1065">
        <v>-95.644599999999997</v>
      </c>
      <c r="K1065">
        <v>526.375</v>
      </c>
      <c r="L1065">
        <v>0</v>
      </c>
    </row>
    <row r="1066" spans="1:12" x14ac:dyDescent="0.25">
      <c r="A1066">
        <f>80263258*0.00001</f>
        <v>802.63258000000008</v>
      </c>
      <c r="B1066">
        <v>3490</v>
      </c>
      <c r="C1066">
        <v>146</v>
      </c>
      <c r="D1066">
        <v>274.88099999999997</v>
      </c>
      <c r="E1066" s="1">
        <f>4006</f>
        <v>4006</v>
      </c>
      <c r="F1066" s="1">
        <f>1606</f>
        <v>1606</v>
      </c>
      <c r="G1066">
        <v>1</v>
      </c>
      <c r="H1066">
        <v>0.2</v>
      </c>
      <c r="I1066">
        <v>0</v>
      </c>
      <c r="J1066">
        <v>-95.644599999999997</v>
      </c>
      <c r="K1066">
        <v>526.375</v>
      </c>
      <c r="L1066">
        <v>0</v>
      </c>
    </row>
    <row r="1067" spans="1:12" x14ac:dyDescent="0.25">
      <c r="A1067">
        <f>80263379*0.00001</f>
        <v>802.63379000000009</v>
      </c>
      <c r="B1067">
        <v>3490</v>
      </c>
      <c r="C1067">
        <v>147</v>
      </c>
      <c r="D1067">
        <v>274.88099999999997</v>
      </c>
      <c r="E1067">
        <v>4006</v>
      </c>
      <c r="F1067">
        <v>1606</v>
      </c>
      <c r="G1067" s="1">
        <f>1</f>
        <v>1</v>
      </c>
      <c r="H1067" s="1">
        <f>0.2</f>
        <v>0.2</v>
      </c>
      <c r="I1067" s="1">
        <f>0</f>
        <v>0</v>
      </c>
      <c r="J1067">
        <v>-95.644599999999997</v>
      </c>
      <c r="K1067">
        <v>526.375</v>
      </c>
      <c r="L1067">
        <v>0</v>
      </c>
    </row>
    <row r="1068" spans="1:12" x14ac:dyDescent="0.25">
      <c r="A1068">
        <f>80263621*0.00001</f>
        <v>802.63621000000012</v>
      </c>
      <c r="B1068">
        <v>3490</v>
      </c>
      <c r="C1068">
        <v>149</v>
      </c>
      <c r="D1068">
        <v>274.88099999999997</v>
      </c>
      <c r="E1068">
        <v>4006</v>
      </c>
      <c r="F1068">
        <v>1606</v>
      </c>
      <c r="G1068">
        <v>1</v>
      </c>
      <c r="H1068">
        <v>0.2</v>
      </c>
      <c r="I1068">
        <v>0</v>
      </c>
      <c r="J1068">
        <v>-95.644599999999997</v>
      </c>
      <c r="K1068" s="1">
        <f>526.307</f>
        <v>526.30700000000002</v>
      </c>
      <c r="L1068">
        <v>0</v>
      </c>
    </row>
    <row r="1069" spans="1:12" x14ac:dyDescent="0.25">
      <c r="A1069">
        <f>80263742*0.00001</f>
        <v>802.63742000000002</v>
      </c>
      <c r="B1069">
        <v>3490</v>
      </c>
      <c r="C1069">
        <v>150</v>
      </c>
      <c r="D1069" s="1">
        <f>274.598</f>
        <v>274.59800000000001</v>
      </c>
      <c r="E1069">
        <v>4006</v>
      </c>
      <c r="F1069">
        <v>1606</v>
      </c>
      <c r="G1069">
        <v>1</v>
      </c>
      <c r="H1069">
        <v>0.2</v>
      </c>
      <c r="I1069">
        <v>0</v>
      </c>
      <c r="J1069">
        <v>-95.644599999999997</v>
      </c>
      <c r="K1069">
        <v>526.30700000000002</v>
      </c>
      <c r="L1069">
        <v>0</v>
      </c>
    </row>
    <row r="1070" spans="1:12" x14ac:dyDescent="0.25">
      <c r="A1070">
        <f>80263863*0.00001</f>
        <v>802.63863000000003</v>
      </c>
      <c r="B1070">
        <v>3490</v>
      </c>
      <c r="C1070">
        <v>151</v>
      </c>
      <c r="D1070">
        <v>274.59800000000001</v>
      </c>
      <c r="E1070" s="1">
        <f>4012</f>
        <v>4012</v>
      </c>
      <c r="F1070" s="1">
        <f>1606</f>
        <v>1606</v>
      </c>
      <c r="G1070">
        <v>1</v>
      </c>
      <c r="H1070">
        <v>0.2</v>
      </c>
      <c r="I1070">
        <v>0</v>
      </c>
      <c r="J1070">
        <v>-95.644599999999997</v>
      </c>
      <c r="K1070">
        <v>526.30700000000002</v>
      </c>
      <c r="L1070">
        <v>0</v>
      </c>
    </row>
    <row r="1071" spans="1:12" x14ac:dyDescent="0.25">
      <c r="A1071">
        <f>80263985*0.00001</f>
        <v>802.63985000000002</v>
      </c>
      <c r="B1071">
        <v>3490</v>
      </c>
      <c r="C1071">
        <v>152</v>
      </c>
      <c r="D1071">
        <v>274.59800000000001</v>
      </c>
      <c r="E1071">
        <v>4012</v>
      </c>
      <c r="F1071">
        <v>1606</v>
      </c>
      <c r="G1071" s="1">
        <f>1</f>
        <v>1</v>
      </c>
      <c r="H1071" s="1">
        <f>0.2</f>
        <v>0.2</v>
      </c>
      <c r="I1071" s="1">
        <f>0</f>
        <v>0</v>
      </c>
      <c r="J1071" s="1">
        <f>-92.7222</f>
        <v>-92.722200000000001</v>
      </c>
      <c r="K1071" s="1">
        <f>526.239</f>
        <v>526.23900000000003</v>
      </c>
      <c r="L1071">
        <v>0</v>
      </c>
    </row>
    <row r="1072" spans="1:12" x14ac:dyDescent="0.25">
      <c r="A1072">
        <f>80264350*0.00001</f>
        <v>802.64350000000002</v>
      </c>
      <c r="B1072">
        <v>3490</v>
      </c>
      <c r="C1072">
        <v>155</v>
      </c>
      <c r="D1072" s="1">
        <f>274.34</f>
        <v>274.33999999999997</v>
      </c>
      <c r="E1072">
        <v>4012</v>
      </c>
      <c r="F1072">
        <v>1606</v>
      </c>
      <c r="G1072">
        <v>1</v>
      </c>
      <c r="H1072">
        <v>0.2</v>
      </c>
      <c r="I1072">
        <v>0</v>
      </c>
      <c r="J1072">
        <v>-92.722200000000001</v>
      </c>
      <c r="K1072">
        <v>526.23900000000003</v>
      </c>
      <c r="L1072">
        <v>0</v>
      </c>
    </row>
    <row r="1073" spans="1:12" x14ac:dyDescent="0.25">
      <c r="A1073">
        <f>80264472*0.00001</f>
        <v>802.64472000000012</v>
      </c>
      <c r="B1073">
        <v>3490</v>
      </c>
      <c r="C1073">
        <v>156</v>
      </c>
      <c r="D1073">
        <v>274.33999999999997</v>
      </c>
      <c r="E1073">
        <v>4012</v>
      </c>
      <c r="F1073" s="1">
        <f>1606</f>
        <v>1606</v>
      </c>
      <c r="G1073">
        <v>1</v>
      </c>
      <c r="H1073">
        <v>0.2</v>
      </c>
      <c r="I1073">
        <v>0</v>
      </c>
      <c r="J1073">
        <v>-92.722200000000001</v>
      </c>
      <c r="K1073">
        <v>526.23900000000003</v>
      </c>
      <c r="L1073">
        <v>0</v>
      </c>
    </row>
    <row r="1074" spans="1:12" x14ac:dyDescent="0.25">
      <c r="A1074">
        <f>80264594*0.00001</f>
        <v>802.64594000000011</v>
      </c>
      <c r="B1074">
        <v>3490</v>
      </c>
      <c r="C1074">
        <v>157</v>
      </c>
      <c r="D1074">
        <v>274.33999999999997</v>
      </c>
      <c r="E1074">
        <v>4012</v>
      </c>
      <c r="F1074">
        <v>1606</v>
      </c>
      <c r="G1074" s="1">
        <f>1</f>
        <v>1</v>
      </c>
      <c r="H1074" s="1">
        <f>0.2</f>
        <v>0.2</v>
      </c>
      <c r="I1074">
        <v>0</v>
      </c>
      <c r="J1074">
        <v>-92.722200000000001</v>
      </c>
      <c r="K1074">
        <v>526.23900000000003</v>
      </c>
      <c r="L1074">
        <v>0</v>
      </c>
    </row>
    <row r="1075" spans="1:12" x14ac:dyDescent="0.25">
      <c r="A1075">
        <f>80264715*0.00001</f>
        <v>802.64715000000001</v>
      </c>
      <c r="B1075">
        <v>3490</v>
      </c>
      <c r="C1075">
        <v>158</v>
      </c>
      <c r="D1075" s="1">
        <f>274.05</f>
        <v>274.05</v>
      </c>
      <c r="E1075">
        <v>4012</v>
      </c>
      <c r="F1075">
        <v>1606</v>
      </c>
      <c r="G1075">
        <v>1</v>
      </c>
      <c r="H1075">
        <v>0.2</v>
      </c>
      <c r="I1075" s="1">
        <f>0</f>
        <v>0</v>
      </c>
      <c r="J1075" s="1">
        <f>-92.2871</f>
        <v>-92.287099999999995</v>
      </c>
      <c r="K1075" s="1">
        <f>526.172</f>
        <v>526.17200000000003</v>
      </c>
      <c r="L1075" s="1">
        <f>0</f>
        <v>0</v>
      </c>
    </row>
    <row r="1076" spans="1:12" x14ac:dyDescent="0.25">
      <c r="A1076">
        <f>80265079*0.00001</f>
        <v>802.65079000000003</v>
      </c>
      <c r="B1076">
        <v>3490</v>
      </c>
      <c r="C1076">
        <v>161</v>
      </c>
      <c r="D1076">
        <v>274.05</v>
      </c>
      <c r="E1076">
        <v>4012</v>
      </c>
      <c r="F1076" s="1">
        <f>1606</f>
        <v>1606</v>
      </c>
      <c r="G1076">
        <v>1</v>
      </c>
      <c r="H1076">
        <v>0.2</v>
      </c>
      <c r="I1076">
        <v>0</v>
      </c>
      <c r="J1076">
        <v>-92.287099999999995</v>
      </c>
      <c r="K1076">
        <v>526.17200000000003</v>
      </c>
      <c r="L1076">
        <v>0</v>
      </c>
    </row>
    <row r="1077" spans="1:12" x14ac:dyDescent="0.25">
      <c r="A1077">
        <f>80265201*0.00001</f>
        <v>802.65201000000002</v>
      </c>
      <c r="B1077">
        <v>3490</v>
      </c>
      <c r="C1077">
        <v>162</v>
      </c>
      <c r="D1077">
        <v>274.05</v>
      </c>
      <c r="E1077">
        <v>4012</v>
      </c>
      <c r="F1077">
        <v>1606</v>
      </c>
      <c r="G1077">
        <v>1</v>
      </c>
      <c r="H1077" s="1">
        <f>0.2</f>
        <v>0.2</v>
      </c>
      <c r="I1077">
        <v>0</v>
      </c>
      <c r="J1077">
        <v>-92.287099999999995</v>
      </c>
      <c r="K1077">
        <v>526.17200000000003</v>
      </c>
      <c r="L1077">
        <v>0</v>
      </c>
    </row>
    <row r="1078" spans="1:12" x14ac:dyDescent="0.25">
      <c r="A1078">
        <f>80265323*0.00001</f>
        <v>802.65323000000012</v>
      </c>
      <c r="B1078">
        <v>3490</v>
      </c>
      <c r="C1078">
        <v>163</v>
      </c>
      <c r="D1078" s="1">
        <f>273.772</f>
        <v>273.77199999999999</v>
      </c>
      <c r="E1078">
        <v>4012</v>
      </c>
      <c r="F1078">
        <v>1606</v>
      </c>
      <c r="G1078">
        <v>1</v>
      </c>
      <c r="H1078">
        <v>0.2</v>
      </c>
      <c r="I1078" s="1">
        <f>0</f>
        <v>0</v>
      </c>
      <c r="J1078" s="1">
        <f>-91.8774</f>
        <v>-91.877399999999994</v>
      </c>
      <c r="K1078" s="1">
        <f>526.104</f>
        <v>526.10400000000004</v>
      </c>
      <c r="L1078" s="1">
        <f>0</f>
        <v>0</v>
      </c>
    </row>
    <row r="1079" spans="1:12" x14ac:dyDescent="0.25">
      <c r="A1079">
        <f>80265688*0.00001</f>
        <v>802.65688000000011</v>
      </c>
      <c r="B1079">
        <v>3490</v>
      </c>
      <c r="C1079">
        <v>166</v>
      </c>
      <c r="D1079">
        <v>273.77199999999999</v>
      </c>
      <c r="E1079">
        <v>4012</v>
      </c>
      <c r="F1079" s="1">
        <f>1606</f>
        <v>1606</v>
      </c>
      <c r="G1079">
        <v>1</v>
      </c>
      <c r="H1079">
        <v>0.2</v>
      </c>
      <c r="I1079">
        <v>0</v>
      </c>
      <c r="J1079">
        <v>-91.877399999999994</v>
      </c>
      <c r="K1079">
        <v>526.10400000000004</v>
      </c>
      <c r="L1079">
        <v>0</v>
      </c>
    </row>
    <row r="1080" spans="1:12" x14ac:dyDescent="0.25">
      <c r="A1080">
        <f>80265809*0.00001</f>
        <v>802.65809000000002</v>
      </c>
      <c r="B1080">
        <v>3490</v>
      </c>
      <c r="C1080">
        <v>167</v>
      </c>
      <c r="D1080">
        <v>273.77199999999999</v>
      </c>
      <c r="E1080">
        <v>4012</v>
      </c>
      <c r="F1080">
        <v>1606</v>
      </c>
      <c r="G1080">
        <v>1</v>
      </c>
      <c r="H1080" s="1">
        <f>0.2</f>
        <v>0.2</v>
      </c>
      <c r="I1080">
        <v>0</v>
      </c>
      <c r="J1080">
        <v>-91.877399999999994</v>
      </c>
      <c r="K1080">
        <v>526.10400000000004</v>
      </c>
      <c r="L1080">
        <v>0</v>
      </c>
    </row>
    <row r="1081" spans="1:12" x14ac:dyDescent="0.25">
      <c r="A1081">
        <f>80265931*0.00001</f>
        <v>802.65931000000012</v>
      </c>
      <c r="B1081">
        <v>3490</v>
      </c>
      <c r="C1081">
        <v>168</v>
      </c>
      <c r="D1081">
        <v>273.77199999999999</v>
      </c>
      <c r="E1081">
        <v>4012</v>
      </c>
      <c r="F1081">
        <v>1606</v>
      </c>
      <c r="G1081">
        <v>1</v>
      </c>
      <c r="H1081">
        <v>0.2</v>
      </c>
      <c r="I1081" s="1">
        <f>0</f>
        <v>0</v>
      </c>
      <c r="J1081" s="1">
        <f>-91.4365</f>
        <v>-91.436499999999995</v>
      </c>
      <c r="K1081">
        <v>526.10400000000004</v>
      </c>
      <c r="L1081">
        <v>0</v>
      </c>
    </row>
    <row r="1082" spans="1:12" x14ac:dyDescent="0.25">
      <c r="A1082">
        <f>80266053*0.00001</f>
        <v>802.66053000000011</v>
      </c>
      <c r="B1082">
        <v>3490</v>
      </c>
      <c r="C1082">
        <v>169</v>
      </c>
      <c r="D1082" s="1">
        <f>273.505</f>
        <v>273.505</v>
      </c>
      <c r="E1082" s="1">
        <f>4035</f>
        <v>4035</v>
      </c>
      <c r="F1082" s="1">
        <f>1606</f>
        <v>1606</v>
      </c>
      <c r="G1082">
        <v>1</v>
      </c>
      <c r="H1082">
        <v>0.2</v>
      </c>
      <c r="I1082">
        <v>0</v>
      </c>
      <c r="J1082">
        <v>-91.436499999999995</v>
      </c>
      <c r="K1082" s="1">
        <f>526.037</f>
        <v>526.03700000000003</v>
      </c>
      <c r="L1082" s="1">
        <f>0</f>
        <v>0</v>
      </c>
    </row>
    <row r="1083" spans="1:12" x14ac:dyDescent="0.25">
      <c r="A1083">
        <f>80266418*0.00001</f>
        <v>802.6641800000001</v>
      </c>
      <c r="B1083">
        <v>3490</v>
      </c>
      <c r="C1083">
        <v>172</v>
      </c>
      <c r="D1083">
        <v>273.505</v>
      </c>
      <c r="E1083">
        <v>4035</v>
      </c>
      <c r="F1083">
        <v>1606</v>
      </c>
      <c r="G1083">
        <v>1</v>
      </c>
      <c r="H1083" s="1">
        <f>0.2</f>
        <v>0.2</v>
      </c>
      <c r="I1083">
        <v>0</v>
      </c>
      <c r="J1083">
        <v>-91.436499999999995</v>
      </c>
      <c r="K1083">
        <v>526.03700000000003</v>
      </c>
      <c r="L1083">
        <v>0</v>
      </c>
    </row>
    <row r="1084" spans="1:12" x14ac:dyDescent="0.25">
      <c r="A1084">
        <f>80266540*0.00001</f>
        <v>802.66540000000009</v>
      </c>
      <c r="B1084">
        <v>3490</v>
      </c>
      <c r="C1084">
        <v>173</v>
      </c>
      <c r="D1084">
        <v>273.505</v>
      </c>
      <c r="E1084">
        <v>4035</v>
      </c>
      <c r="F1084">
        <v>1606</v>
      </c>
      <c r="G1084">
        <v>1</v>
      </c>
      <c r="H1084">
        <v>0.2</v>
      </c>
      <c r="I1084">
        <v>0</v>
      </c>
      <c r="J1084" s="1">
        <f>-91.0181</f>
        <v>-91.018100000000004</v>
      </c>
      <c r="K1084">
        <v>526.03700000000003</v>
      </c>
      <c r="L1084">
        <v>0</v>
      </c>
    </row>
    <row r="1085" spans="1:12" x14ac:dyDescent="0.25">
      <c r="A1085">
        <f>80266662*0.00001</f>
        <v>802.66662000000008</v>
      </c>
      <c r="B1085">
        <v>3490</v>
      </c>
      <c r="C1085">
        <v>174</v>
      </c>
      <c r="D1085">
        <v>273.505</v>
      </c>
      <c r="E1085">
        <v>4035</v>
      </c>
      <c r="F1085">
        <v>1606</v>
      </c>
      <c r="G1085">
        <v>1</v>
      </c>
      <c r="H1085">
        <v>0.2</v>
      </c>
      <c r="I1085">
        <v>0</v>
      </c>
      <c r="J1085">
        <v>-91.018100000000004</v>
      </c>
      <c r="K1085" s="1">
        <f>525.97</f>
        <v>525.97</v>
      </c>
      <c r="L1085" s="1">
        <f>0</f>
        <v>0</v>
      </c>
    </row>
    <row r="1086" spans="1:12" x14ac:dyDescent="0.25">
      <c r="A1086">
        <f>80266784*0.00001</f>
        <v>802.66784000000007</v>
      </c>
      <c r="B1086">
        <v>3490</v>
      </c>
      <c r="C1086">
        <v>175</v>
      </c>
      <c r="D1086" s="1">
        <f>273.224</f>
        <v>273.22399999999999</v>
      </c>
      <c r="E1086" s="1">
        <f>4041</f>
        <v>4041</v>
      </c>
      <c r="F1086" s="1">
        <f>1606</f>
        <v>1606</v>
      </c>
      <c r="G1086" s="1">
        <f>1</f>
        <v>1</v>
      </c>
      <c r="H1086" s="1">
        <f>0.2</f>
        <v>0.2</v>
      </c>
      <c r="I1086">
        <v>0</v>
      </c>
      <c r="J1086">
        <v>-91.018100000000004</v>
      </c>
      <c r="K1086">
        <v>525.97</v>
      </c>
      <c r="L1086">
        <v>0</v>
      </c>
    </row>
    <row r="1087" spans="1:12" x14ac:dyDescent="0.25">
      <c r="A1087">
        <f>80267150*0.00001</f>
        <v>802.67150000000004</v>
      </c>
      <c r="B1087">
        <v>3490</v>
      </c>
      <c r="C1087">
        <v>178</v>
      </c>
      <c r="D1087">
        <v>273.22399999999999</v>
      </c>
      <c r="E1087">
        <v>4041</v>
      </c>
      <c r="F1087">
        <v>1606</v>
      </c>
      <c r="G1087">
        <v>1</v>
      </c>
      <c r="H1087">
        <v>0.2</v>
      </c>
      <c r="I1087">
        <v>0</v>
      </c>
      <c r="J1087" s="1">
        <f>-90.6031</f>
        <v>-90.603099999999998</v>
      </c>
      <c r="K1087" s="1">
        <f>525.917</f>
        <v>525.91700000000003</v>
      </c>
      <c r="L1087" s="1">
        <f>0</f>
        <v>0</v>
      </c>
    </row>
    <row r="1088" spans="1:12" s="2" customFormat="1" x14ac:dyDescent="0.25">
      <c r="A1088" s="2">
        <f>80267395*0.00001</f>
        <v>802.6739500000001</v>
      </c>
      <c r="B1088" s="2">
        <v>3491</v>
      </c>
      <c r="C1088" s="2">
        <v>0</v>
      </c>
      <c r="D1088" s="1">
        <f>273.073</f>
        <v>273.07299999999998</v>
      </c>
      <c r="E1088" s="1">
        <f>4045</f>
        <v>4045</v>
      </c>
      <c r="F1088" s="2">
        <v>1606</v>
      </c>
      <c r="G1088" s="2">
        <v>1</v>
      </c>
      <c r="H1088" s="2">
        <v>0.2</v>
      </c>
      <c r="I1088" s="2">
        <v>0</v>
      </c>
      <c r="J1088" s="2">
        <v>-90.603099999999998</v>
      </c>
      <c r="K1088" s="2">
        <v>525.91700000000003</v>
      </c>
      <c r="L1088" s="2">
        <v>0</v>
      </c>
    </row>
    <row r="1089" spans="1:12" x14ac:dyDescent="0.25">
      <c r="A1089">
        <f>80267517*0.00001</f>
        <v>802.67517000000009</v>
      </c>
      <c r="B1089">
        <v>3491</v>
      </c>
      <c r="C1089">
        <v>1</v>
      </c>
      <c r="D1089">
        <v>273.07299999999998</v>
      </c>
      <c r="E1089">
        <v>4045</v>
      </c>
      <c r="F1089" s="1">
        <f>1606</f>
        <v>1606</v>
      </c>
      <c r="G1089" s="1">
        <f>1</f>
        <v>1</v>
      </c>
      <c r="H1089" s="1">
        <f>0.2</f>
        <v>0.2</v>
      </c>
      <c r="I1089" s="1">
        <f>0</f>
        <v>0</v>
      </c>
      <c r="J1089" s="1">
        <f>-90.2606</f>
        <v>-90.260599999999997</v>
      </c>
      <c r="K1089">
        <v>525.91700000000003</v>
      </c>
      <c r="L1089">
        <v>0</v>
      </c>
    </row>
    <row r="1090" spans="1:12" x14ac:dyDescent="0.25">
      <c r="A1090">
        <f>80267884*0.00001</f>
        <v>802.67884000000004</v>
      </c>
      <c r="B1090">
        <v>3491</v>
      </c>
      <c r="C1090">
        <v>4</v>
      </c>
      <c r="D1090">
        <v>273.07299999999998</v>
      </c>
      <c r="E1090">
        <v>4045</v>
      </c>
      <c r="F1090">
        <v>1606</v>
      </c>
      <c r="G1090">
        <v>1</v>
      </c>
      <c r="H1090">
        <v>0.2</v>
      </c>
      <c r="I1090">
        <v>0</v>
      </c>
      <c r="J1090">
        <v>-90.260599999999997</v>
      </c>
      <c r="K1090">
        <v>525.91700000000003</v>
      </c>
      <c r="L1090" s="1">
        <f>0</f>
        <v>0</v>
      </c>
    </row>
    <row r="1091" spans="1:12" x14ac:dyDescent="0.25">
      <c r="A1091">
        <f>80268006*0.00001</f>
        <v>802.68006000000003</v>
      </c>
      <c r="B1091">
        <v>3491</v>
      </c>
      <c r="C1091">
        <v>5</v>
      </c>
      <c r="D1091">
        <v>273.07299999999998</v>
      </c>
      <c r="E1091" s="1">
        <f>4051</f>
        <v>4051</v>
      </c>
      <c r="F1091">
        <v>1606</v>
      </c>
      <c r="G1091">
        <v>1</v>
      </c>
      <c r="H1091">
        <v>0.2</v>
      </c>
      <c r="I1091">
        <v>0</v>
      </c>
      <c r="J1091">
        <v>-90.260599999999997</v>
      </c>
      <c r="K1091">
        <v>525.91700000000003</v>
      </c>
      <c r="L1091">
        <v>0</v>
      </c>
    </row>
    <row r="1092" spans="1:12" x14ac:dyDescent="0.25">
      <c r="A1092">
        <f>80268128*0.00001</f>
        <v>802.68128000000002</v>
      </c>
      <c r="B1092">
        <v>3491</v>
      </c>
      <c r="C1092">
        <v>6</v>
      </c>
      <c r="D1092">
        <v>273.07299999999998</v>
      </c>
      <c r="E1092">
        <v>4051</v>
      </c>
      <c r="F1092">
        <v>1606</v>
      </c>
      <c r="G1092" s="1">
        <f>1</f>
        <v>1</v>
      </c>
      <c r="H1092">
        <v>0.2</v>
      </c>
      <c r="I1092">
        <v>0</v>
      </c>
      <c r="J1092">
        <v>-90.260599999999997</v>
      </c>
      <c r="K1092">
        <v>525.91700000000003</v>
      </c>
      <c r="L1092">
        <v>0</v>
      </c>
    </row>
    <row r="1093" spans="1:12" x14ac:dyDescent="0.25">
      <c r="A1093">
        <f>80268250*0.00001</f>
        <v>802.68250000000012</v>
      </c>
      <c r="B1093">
        <v>3491</v>
      </c>
      <c r="C1093">
        <v>7</v>
      </c>
      <c r="D1093">
        <v>273.07299999999998</v>
      </c>
      <c r="E1093">
        <v>4051</v>
      </c>
      <c r="F1093">
        <v>1606</v>
      </c>
      <c r="G1093">
        <v>1</v>
      </c>
      <c r="H1093" s="1">
        <f>0.2</f>
        <v>0.2</v>
      </c>
      <c r="I1093" s="1">
        <f>0</f>
        <v>0</v>
      </c>
      <c r="J1093" s="1">
        <f>-89.8481</f>
        <v>-89.848100000000002</v>
      </c>
      <c r="K1093" s="1">
        <f>525.811</f>
        <v>525.81100000000004</v>
      </c>
      <c r="L1093" s="1">
        <f>0</f>
        <v>0</v>
      </c>
    </row>
    <row r="1094" spans="1:12" x14ac:dyDescent="0.25">
      <c r="A1094">
        <f>80268617*0.00001</f>
        <v>802.68617000000006</v>
      </c>
      <c r="B1094">
        <v>3491</v>
      </c>
      <c r="C1094">
        <v>10</v>
      </c>
      <c r="D1094">
        <v>273.07299999999998</v>
      </c>
      <c r="E1094" s="1">
        <f>4057</f>
        <v>4057</v>
      </c>
      <c r="F1094">
        <v>1606</v>
      </c>
      <c r="G1094">
        <v>1</v>
      </c>
      <c r="H1094">
        <v>0.2</v>
      </c>
      <c r="I1094">
        <v>0</v>
      </c>
      <c r="J1094">
        <v>-89.848100000000002</v>
      </c>
      <c r="K1094">
        <v>525.81100000000004</v>
      </c>
      <c r="L1094">
        <v>0</v>
      </c>
    </row>
    <row r="1095" spans="1:12" x14ac:dyDescent="0.25">
      <c r="A1095">
        <f>80268739*0.00001</f>
        <v>802.68739000000005</v>
      </c>
      <c r="B1095">
        <v>3491</v>
      </c>
      <c r="C1095">
        <v>11</v>
      </c>
      <c r="D1095">
        <v>273.07299999999998</v>
      </c>
      <c r="E1095">
        <v>4057</v>
      </c>
      <c r="F1095">
        <v>1606</v>
      </c>
      <c r="G1095" s="1">
        <f>1</f>
        <v>1</v>
      </c>
      <c r="H1095">
        <v>0.2</v>
      </c>
      <c r="I1095">
        <v>0</v>
      </c>
      <c r="J1095">
        <v>-89.848100000000002</v>
      </c>
      <c r="K1095">
        <v>525.81100000000004</v>
      </c>
      <c r="L1095">
        <v>0</v>
      </c>
    </row>
    <row r="1096" spans="1:12" x14ac:dyDescent="0.25">
      <c r="A1096">
        <f>80268861*0.00001</f>
        <v>802.68861000000004</v>
      </c>
      <c r="B1096">
        <v>3491</v>
      </c>
      <c r="C1096">
        <v>12</v>
      </c>
      <c r="D1096">
        <v>273.07299999999998</v>
      </c>
      <c r="E1096">
        <v>4057</v>
      </c>
      <c r="F1096">
        <v>1606</v>
      </c>
      <c r="G1096">
        <v>1</v>
      </c>
      <c r="H1096">
        <v>0.2</v>
      </c>
      <c r="I1096" s="1">
        <f>0</f>
        <v>0</v>
      </c>
      <c r="J1096">
        <v>-89.848100000000002</v>
      </c>
      <c r="K1096">
        <v>525.81100000000004</v>
      </c>
      <c r="L1096">
        <v>0</v>
      </c>
    </row>
    <row r="1097" spans="1:12" x14ac:dyDescent="0.25">
      <c r="A1097">
        <f>80268983*0.00001</f>
        <v>802.68983000000003</v>
      </c>
      <c r="B1097">
        <v>3491</v>
      </c>
      <c r="C1097">
        <v>13</v>
      </c>
      <c r="D1097">
        <v>273.07299999999998</v>
      </c>
      <c r="E1097">
        <v>4057</v>
      </c>
      <c r="F1097">
        <v>1606</v>
      </c>
      <c r="G1097">
        <v>1</v>
      </c>
      <c r="H1097">
        <v>0.2</v>
      </c>
      <c r="I1097">
        <v>0</v>
      </c>
      <c r="J1097" s="1">
        <f>-89.3959</f>
        <v>-89.395899999999997</v>
      </c>
      <c r="K1097" s="1">
        <f>525.745</f>
        <v>525.745</v>
      </c>
      <c r="L1097">
        <v>0</v>
      </c>
    </row>
    <row r="1098" spans="1:12" x14ac:dyDescent="0.25">
      <c r="A1098">
        <f>80269105*0.00001</f>
        <v>802.69105000000002</v>
      </c>
      <c r="B1098">
        <v>3491</v>
      </c>
      <c r="C1098">
        <v>14</v>
      </c>
      <c r="D1098" s="1">
        <f>272.264</f>
        <v>272.26400000000001</v>
      </c>
      <c r="E1098" s="1">
        <f>4062</f>
        <v>4062</v>
      </c>
      <c r="F1098" s="1">
        <f>1606</f>
        <v>1606</v>
      </c>
      <c r="G1098" s="1">
        <f>1</f>
        <v>1</v>
      </c>
      <c r="H1098">
        <v>0.2</v>
      </c>
      <c r="I1098">
        <v>0</v>
      </c>
      <c r="J1098">
        <v>-89.395899999999997</v>
      </c>
      <c r="K1098">
        <v>525.745</v>
      </c>
      <c r="L1098" s="1">
        <f>0</f>
        <v>0</v>
      </c>
    </row>
    <row r="1099" spans="1:12" x14ac:dyDescent="0.25">
      <c r="A1099">
        <f>80269472*0.00001</f>
        <v>802.69472000000007</v>
      </c>
      <c r="B1099">
        <v>3491</v>
      </c>
      <c r="C1099">
        <v>17</v>
      </c>
      <c r="D1099">
        <v>272.26400000000001</v>
      </c>
      <c r="E1099">
        <v>4062</v>
      </c>
      <c r="F1099">
        <v>1606</v>
      </c>
      <c r="G1099">
        <v>1</v>
      </c>
      <c r="H1099">
        <v>0.2</v>
      </c>
      <c r="I1099" s="1">
        <f>0</f>
        <v>0</v>
      </c>
      <c r="J1099">
        <v>-89.395899999999997</v>
      </c>
      <c r="K1099">
        <v>525.745</v>
      </c>
      <c r="L1099">
        <v>0</v>
      </c>
    </row>
    <row r="1100" spans="1:12" x14ac:dyDescent="0.25">
      <c r="A1100">
        <f>80269594*0.00001</f>
        <v>802.69594000000006</v>
      </c>
      <c r="B1100">
        <v>3491</v>
      </c>
      <c r="C1100">
        <v>18</v>
      </c>
      <c r="D1100">
        <v>272.26400000000001</v>
      </c>
      <c r="E1100">
        <v>4062</v>
      </c>
      <c r="F1100">
        <v>1606</v>
      </c>
      <c r="G1100">
        <v>1</v>
      </c>
      <c r="H1100">
        <v>0.2</v>
      </c>
      <c r="I1100">
        <v>0</v>
      </c>
      <c r="J1100">
        <v>-89.395899999999997</v>
      </c>
      <c r="K1100" s="1">
        <f>525.679</f>
        <v>525.67899999999997</v>
      </c>
      <c r="L1100">
        <v>0</v>
      </c>
    </row>
    <row r="1101" spans="1:12" x14ac:dyDescent="0.25">
      <c r="A1101">
        <f>80269716*0.00001</f>
        <v>802.69716000000005</v>
      </c>
      <c r="B1101">
        <v>3491</v>
      </c>
      <c r="C1101">
        <v>19</v>
      </c>
      <c r="D1101" s="1">
        <f>271.979</f>
        <v>271.97899999999998</v>
      </c>
      <c r="E1101">
        <v>4062</v>
      </c>
      <c r="F1101">
        <v>1606</v>
      </c>
      <c r="G1101">
        <v>1</v>
      </c>
      <c r="H1101">
        <v>0.2</v>
      </c>
      <c r="I1101">
        <v>0</v>
      </c>
      <c r="J1101">
        <v>-89.395899999999997</v>
      </c>
      <c r="K1101">
        <v>525.67899999999997</v>
      </c>
      <c r="L1101" s="1">
        <f>0</f>
        <v>0</v>
      </c>
    </row>
    <row r="1102" spans="1:12" x14ac:dyDescent="0.25">
      <c r="A1102">
        <f>80269839*0.00001</f>
        <v>802.69839000000002</v>
      </c>
      <c r="B1102">
        <v>3491</v>
      </c>
      <c r="C1102">
        <v>20</v>
      </c>
      <c r="D1102">
        <v>271.97899999999998</v>
      </c>
      <c r="E1102" s="1">
        <f>4068</f>
        <v>4068</v>
      </c>
      <c r="F1102" s="1">
        <f>1606</f>
        <v>1606</v>
      </c>
      <c r="G1102" s="1">
        <f>1</f>
        <v>1</v>
      </c>
      <c r="H1102" s="1">
        <f>0.2</f>
        <v>0.2</v>
      </c>
      <c r="I1102" s="1">
        <f>0</f>
        <v>0</v>
      </c>
      <c r="J1102">
        <v>-89.395899999999997</v>
      </c>
      <c r="K1102">
        <v>525.67899999999997</v>
      </c>
      <c r="L1102">
        <v>0</v>
      </c>
    </row>
    <row r="1103" spans="1:12" x14ac:dyDescent="0.25">
      <c r="A1103">
        <f>80270208*0.00001</f>
        <v>802.70208000000002</v>
      </c>
      <c r="B1103">
        <v>3491</v>
      </c>
      <c r="C1103">
        <v>23</v>
      </c>
      <c r="D1103">
        <v>271.97899999999998</v>
      </c>
      <c r="E1103">
        <v>4068</v>
      </c>
      <c r="F1103">
        <v>1606</v>
      </c>
      <c r="G1103">
        <v>1</v>
      </c>
      <c r="H1103">
        <v>0.2</v>
      </c>
      <c r="I1103">
        <v>0</v>
      </c>
      <c r="J1103">
        <v>-89.395899999999997</v>
      </c>
      <c r="K1103" s="1">
        <f>525.613</f>
        <v>525.61300000000006</v>
      </c>
      <c r="L1103">
        <v>0</v>
      </c>
    </row>
    <row r="1104" spans="1:12" x14ac:dyDescent="0.25">
      <c r="A1104">
        <f>80270330*0.00001</f>
        <v>802.70330000000001</v>
      </c>
      <c r="B1104">
        <v>3491</v>
      </c>
      <c r="C1104">
        <v>24</v>
      </c>
      <c r="D1104" s="1">
        <f>271.721</f>
        <v>271.721</v>
      </c>
      <c r="E1104">
        <v>4068</v>
      </c>
      <c r="F1104">
        <v>1606</v>
      </c>
      <c r="G1104">
        <v>1</v>
      </c>
      <c r="H1104">
        <v>0.2</v>
      </c>
      <c r="I1104">
        <v>0</v>
      </c>
      <c r="J1104">
        <v>-89.395899999999997</v>
      </c>
      <c r="K1104">
        <v>525.61300000000006</v>
      </c>
      <c r="L1104">
        <v>0</v>
      </c>
    </row>
    <row r="1105" spans="1:12" x14ac:dyDescent="0.25">
      <c r="A1105">
        <f>80270452*0.00001</f>
        <v>802.70452000000012</v>
      </c>
      <c r="B1105">
        <v>3491</v>
      </c>
      <c r="C1105">
        <v>25</v>
      </c>
      <c r="D1105">
        <v>271.721</v>
      </c>
      <c r="E1105" s="1">
        <f>4074</f>
        <v>4074</v>
      </c>
      <c r="F1105" s="1">
        <f>1606</f>
        <v>1606</v>
      </c>
      <c r="G1105">
        <v>1</v>
      </c>
      <c r="H1105">
        <v>0.2</v>
      </c>
      <c r="I1105">
        <v>0</v>
      </c>
      <c r="J1105">
        <v>-89.395899999999997</v>
      </c>
      <c r="K1105">
        <v>525.61300000000006</v>
      </c>
      <c r="L1105">
        <v>0</v>
      </c>
    </row>
    <row r="1106" spans="1:12" x14ac:dyDescent="0.25">
      <c r="A1106">
        <f>80270575*0.00001</f>
        <v>802.70575000000008</v>
      </c>
      <c r="B1106">
        <v>3491</v>
      </c>
      <c r="C1106">
        <v>26</v>
      </c>
      <c r="D1106">
        <v>271.721</v>
      </c>
      <c r="E1106">
        <v>4074</v>
      </c>
      <c r="F1106">
        <v>1606</v>
      </c>
      <c r="G1106" s="1">
        <f>1</f>
        <v>1</v>
      </c>
      <c r="H1106" s="1">
        <f>0.2</f>
        <v>0.2</v>
      </c>
      <c r="I1106" s="1">
        <f>0</f>
        <v>0</v>
      </c>
      <c r="J1106" s="1">
        <f>-88.1979</f>
        <v>-88.197900000000004</v>
      </c>
      <c r="K1106" s="1">
        <f>525.548</f>
        <v>525.548</v>
      </c>
      <c r="L1106">
        <v>0</v>
      </c>
    </row>
    <row r="1107" spans="1:12" x14ac:dyDescent="0.25">
      <c r="A1107">
        <f>80270943*0.00001</f>
        <v>802.70943000000011</v>
      </c>
      <c r="B1107">
        <v>3491</v>
      </c>
      <c r="C1107">
        <v>29</v>
      </c>
      <c r="D1107" s="1">
        <f>271.431</f>
        <v>271.43099999999998</v>
      </c>
      <c r="E1107">
        <v>4074</v>
      </c>
      <c r="F1107">
        <v>1606</v>
      </c>
      <c r="G1107">
        <v>1</v>
      </c>
      <c r="H1107">
        <v>0.2</v>
      </c>
      <c r="I1107">
        <v>0</v>
      </c>
      <c r="J1107">
        <v>-88.197900000000004</v>
      </c>
      <c r="K1107">
        <v>525.548</v>
      </c>
      <c r="L1107">
        <v>0</v>
      </c>
    </row>
    <row r="1108" spans="1:12" x14ac:dyDescent="0.25">
      <c r="A1108">
        <f>80271066*0.00001</f>
        <v>802.71066000000008</v>
      </c>
      <c r="B1108">
        <v>3491</v>
      </c>
      <c r="C1108">
        <v>30</v>
      </c>
      <c r="D1108">
        <v>271.43099999999998</v>
      </c>
      <c r="E1108">
        <v>4074</v>
      </c>
      <c r="F1108" s="1">
        <f>1606</f>
        <v>1606</v>
      </c>
      <c r="G1108">
        <v>1</v>
      </c>
      <c r="H1108">
        <v>0.2</v>
      </c>
      <c r="I1108">
        <v>0</v>
      </c>
      <c r="J1108">
        <v>-88.197900000000004</v>
      </c>
      <c r="K1108">
        <v>525.548</v>
      </c>
      <c r="L1108">
        <v>0</v>
      </c>
    </row>
    <row r="1109" spans="1:12" x14ac:dyDescent="0.25">
      <c r="A1109">
        <f>80271188*0.00001</f>
        <v>802.71188000000006</v>
      </c>
      <c r="B1109">
        <v>3491</v>
      </c>
      <c r="C1109">
        <v>31</v>
      </c>
      <c r="D1109">
        <v>271.43099999999998</v>
      </c>
      <c r="E1109">
        <v>4074</v>
      </c>
      <c r="F1109">
        <v>1606</v>
      </c>
      <c r="G1109">
        <v>1</v>
      </c>
      <c r="H1109" s="1">
        <f>0.2</f>
        <v>0.2</v>
      </c>
      <c r="I1109">
        <v>0</v>
      </c>
      <c r="J1109">
        <v>-88.197900000000004</v>
      </c>
      <c r="K1109">
        <v>525.548</v>
      </c>
      <c r="L1109">
        <v>0</v>
      </c>
    </row>
    <row r="1110" spans="1:12" x14ac:dyDescent="0.25">
      <c r="A1110">
        <f>80271311*0.00001</f>
        <v>802.71311000000003</v>
      </c>
      <c r="B1110">
        <v>3491</v>
      </c>
      <c r="C1110">
        <v>32</v>
      </c>
      <c r="D1110">
        <v>271.43099999999998</v>
      </c>
      <c r="E1110">
        <v>4074</v>
      </c>
      <c r="F1110">
        <v>1606</v>
      </c>
      <c r="G1110">
        <v>1</v>
      </c>
      <c r="H1110">
        <v>0.2</v>
      </c>
      <c r="I1110" s="1">
        <f>0</f>
        <v>0</v>
      </c>
      <c r="J1110" s="1">
        <f>-87.7645</f>
        <v>-87.764499999999998</v>
      </c>
      <c r="K1110">
        <v>525.548</v>
      </c>
      <c r="L1110">
        <v>0</v>
      </c>
    </row>
    <row r="1111" spans="1:12" x14ac:dyDescent="0.25">
      <c r="A1111">
        <f>80271434*0.00001</f>
        <v>802.71434000000011</v>
      </c>
      <c r="B1111">
        <v>3491</v>
      </c>
      <c r="C1111">
        <v>33</v>
      </c>
      <c r="D1111" s="1">
        <f>271.166</f>
        <v>271.166</v>
      </c>
      <c r="E1111" s="1">
        <f>4086</f>
        <v>4086</v>
      </c>
      <c r="F1111" s="1">
        <f>1606</f>
        <v>1606</v>
      </c>
      <c r="G1111">
        <v>1</v>
      </c>
      <c r="H1111">
        <v>0.2</v>
      </c>
      <c r="I1111">
        <v>0</v>
      </c>
      <c r="J1111">
        <v>-87.764499999999998</v>
      </c>
      <c r="K1111" s="1">
        <f>525.483</f>
        <v>525.48299999999995</v>
      </c>
      <c r="L1111" s="1">
        <f>0</f>
        <v>0</v>
      </c>
    </row>
    <row r="1112" spans="1:12" x14ac:dyDescent="0.25">
      <c r="A1112">
        <f>80271803*0.00001</f>
        <v>802.71803000000011</v>
      </c>
      <c r="B1112">
        <v>3491</v>
      </c>
      <c r="C1112">
        <v>36</v>
      </c>
      <c r="D1112">
        <v>271.166</v>
      </c>
      <c r="E1112">
        <v>4086</v>
      </c>
      <c r="F1112">
        <v>1606</v>
      </c>
      <c r="G1112">
        <v>1</v>
      </c>
      <c r="H1112" s="1">
        <f>0.2</f>
        <v>0.2</v>
      </c>
      <c r="I1112">
        <v>0</v>
      </c>
      <c r="J1112">
        <v>-87.764499999999998</v>
      </c>
      <c r="K1112">
        <v>525.48299999999995</v>
      </c>
      <c r="L1112">
        <v>0</v>
      </c>
    </row>
    <row r="1113" spans="1:12" x14ac:dyDescent="0.25">
      <c r="A1113">
        <f>80271925*0.00001</f>
        <v>802.7192500000001</v>
      </c>
      <c r="B1113">
        <v>3491</v>
      </c>
      <c r="C1113">
        <v>37</v>
      </c>
      <c r="D1113">
        <v>271.166</v>
      </c>
      <c r="E1113">
        <v>4086</v>
      </c>
      <c r="F1113">
        <v>1606</v>
      </c>
      <c r="G1113">
        <v>1</v>
      </c>
      <c r="H1113">
        <v>0.2</v>
      </c>
      <c r="I1113">
        <v>0</v>
      </c>
      <c r="J1113" s="1">
        <f>-87.3244</f>
        <v>-87.324399999999997</v>
      </c>
      <c r="K1113">
        <v>525.48299999999995</v>
      </c>
      <c r="L1113">
        <v>0</v>
      </c>
    </row>
    <row r="1114" spans="1:12" x14ac:dyDescent="0.25">
      <c r="A1114">
        <f>80272048*0.00001</f>
        <v>802.72048000000007</v>
      </c>
      <c r="B1114">
        <v>3491</v>
      </c>
      <c r="C1114">
        <v>38</v>
      </c>
      <c r="D1114">
        <v>271.166</v>
      </c>
      <c r="E1114">
        <v>4086</v>
      </c>
      <c r="F1114">
        <v>1606</v>
      </c>
      <c r="G1114">
        <v>1</v>
      </c>
      <c r="H1114">
        <v>0.2</v>
      </c>
      <c r="I1114">
        <v>0</v>
      </c>
      <c r="J1114">
        <v>-87.324399999999997</v>
      </c>
      <c r="K1114" s="1">
        <f>525.418</f>
        <v>525.41800000000001</v>
      </c>
      <c r="L1114" s="1">
        <f>0</f>
        <v>0</v>
      </c>
    </row>
    <row r="1115" spans="1:12" x14ac:dyDescent="0.25">
      <c r="A1115">
        <f>80272171*0.00001</f>
        <v>802.72171000000003</v>
      </c>
      <c r="B1115">
        <v>3491</v>
      </c>
      <c r="C1115">
        <v>39</v>
      </c>
      <c r="D1115" s="1">
        <f>270.893</f>
        <v>270.89299999999997</v>
      </c>
      <c r="E1115" s="1">
        <f>4092</f>
        <v>4092</v>
      </c>
      <c r="F1115" s="1">
        <f>1606</f>
        <v>1606</v>
      </c>
      <c r="G1115" s="1">
        <f>1</f>
        <v>1</v>
      </c>
      <c r="H1115" s="1">
        <f>0.2</f>
        <v>0.2</v>
      </c>
      <c r="I1115">
        <v>0</v>
      </c>
      <c r="J1115">
        <v>-87.324399999999997</v>
      </c>
      <c r="K1115">
        <v>525.41800000000001</v>
      </c>
      <c r="L1115">
        <v>0</v>
      </c>
    </row>
    <row r="1116" spans="1:12" x14ac:dyDescent="0.25">
      <c r="A1116">
        <f>80272540*0.00001</f>
        <v>802.72540000000004</v>
      </c>
      <c r="B1116">
        <v>3491</v>
      </c>
      <c r="C1116">
        <v>42</v>
      </c>
      <c r="D1116">
        <v>270.89299999999997</v>
      </c>
      <c r="E1116">
        <v>4092</v>
      </c>
      <c r="F1116">
        <v>1606</v>
      </c>
      <c r="G1116">
        <v>1</v>
      </c>
      <c r="H1116">
        <v>0.2</v>
      </c>
      <c r="I1116">
        <v>0</v>
      </c>
      <c r="J1116" s="1">
        <f>-86.9191</f>
        <v>-86.9191</v>
      </c>
      <c r="K1116">
        <v>525.41800000000001</v>
      </c>
      <c r="L1116">
        <v>0</v>
      </c>
    </row>
    <row r="1117" spans="1:12" x14ac:dyDescent="0.25">
      <c r="A1117">
        <f>80272663*0.00001</f>
        <v>802.72663000000011</v>
      </c>
      <c r="B1117">
        <v>3491</v>
      </c>
      <c r="C1117">
        <v>43</v>
      </c>
      <c r="D1117">
        <v>270.89299999999997</v>
      </c>
      <c r="E1117">
        <v>4092</v>
      </c>
      <c r="F1117">
        <v>1606</v>
      </c>
      <c r="G1117">
        <v>1</v>
      </c>
      <c r="H1117">
        <v>0.2</v>
      </c>
      <c r="I1117">
        <v>0</v>
      </c>
      <c r="J1117">
        <v>-86.9191</v>
      </c>
      <c r="K1117">
        <v>525.41800000000001</v>
      </c>
      <c r="L1117" s="1">
        <f>0</f>
        <v>0</v>
      </c>
    </row>
    <row r="1118" spans="1:12" x14ac:dyDescent="0.25">
      <c r="A1118">
        <f>80272787*0.00001</f>
        <v>802.72787000000005</v>
      </c>
      <c r="B1118">
        <v>3491</v>
      </c>
      <c r="C1118">
        <v>44</v>
      </c>
      <c r="D1118">
        <v>270.89299999999997</v>
      </c>
      <c r="E1118" s="1">
        <f>4098</f>
        <v>4098</v>
      </c>
      <c r="F1118">
        <v>1606</v>
      </c>
      <c r="G1118">
        <v>1</v>
      </c>
      <c r="H1118">
        <v>0.2</v>
      </c>
      <c r="I1118">
        <v>0</v>
      </c>
      <c r="J1118">
        <v>-86.9191</v>
      </c>
      <c r="K1118">
        <v>525.41800000000001</v>
      </c>
      <c r="L1118">
        <v>0</v>
      </c>
    </row>
    <row r="1119" spans="1:12" x14ac:dyDescent="0.25">
      <c r="A1119">
        <f>80272910*0.00001</f>
        <v>802.72910000000002</v>
      </c>
      <c r="B1119">
        <v>3491</v>
      </c>
      <c r="C1119">
        <v>45</v>
      </c>
      <c r="D1119">
        <v>270.89299999999997</v>
      </c>
      <c r="E1119">
        <v>4098</v>
      </c>
      <c r="F1119" s="1">
        <f>1606</f>
        <v>1606</v>
      </c>
      <c r="G1119" s="1">
        <f>1</f>
        <v>1</v>
      </c>
      <c r="H1119">
        <v>0.2</v>
      </c>
      <c r="I1119">
        <v>0</v>
      </c>
      <c r="J1119">
        <v>-86.9191</v>
      </c>
      <c r="K1119">
        <v>525.41800000000001</v>
      </c>
      <c r="L1119">
        <v>0</v>
      </c>
    </row>
    <row r="1120" spans="1:12" x14ac:dyDescent="0.25">
      <c r="A1120">
        <f>80273033*0.00001</f>
        <v>802.73033000000009</v>
      </c>
      <c r="B1120">
        <v>3491</v>
      </c>
      <c r="C1120">
        <v>46</v>
      </c>
      <c r="D1120">
        <v>270.89299999999997</v>
      </c>
      <c r="E1120">
        <v>4098</v>
      </c>
      <c r="F1120">
        <v>1606</v>
      </c>
      <c r="G1120">
        <v>1</v>
      </c>
      <c r="H1120" s="1">
        <f>0.2</f>
        <v>0.2</v>
      </c>
      <c r="I1120" s="1">
        <f>0</f>
        <v>0</v>
      </c>
      <c r="J1120" s="1">
        <f>-86.4947</f>
        <v>-86.494699999999995</v>
      </c>
      <c r="K1120" s="1">
        <f>525.302</f>
        <v>525.30200000000002</v>
      </c>
      <c r="L1120" s="1">
        <f>0</f>
        <v>0</v>
      </c>
    </row>
    <row r="1121" spans="1:12" x14ac:dyDescent="0.25">
      <c r="A1121">
        <f>80273402*0.00001</f>
        <v>802.7340200000001</v>
      </c>
      <c r="B1121">
        <v>3491</v>
      </c>
      <c r="C1121">
        <v>49</v>
      </c>
      <c r="D1121">
        <v>270.89299999999997</v>
      </c>
      <c r="E1121" s="1">
        <f>4104</f>
        <v>4104</v>
      </c>
      <c r="F1121">
        <v>1606</v>
      </c>
      <c r="G1121">
        <v>1</v>
      </c>
      <c r="H1121">
        <v>0.2</v>
      </c>
      <c r="I1121">
        <v>0</v>
      </c>
      <c r="J1121">
        <v>-86.494699999999995</v>
      </c>
      <c r="K1121">
        <v>525.30200000000002</v>
      </c>
      <c r="L1121">
        <v>0</v>
      </c>
    </row>
    <row r="1122" spans="1:12" x14ac:dyDescent="0.25">
      <c r="A1122">
        <f>80273525*0.00001</f>
        <v>802.73525000000006</v>
      </c>
      <c r="B1122">
        <v>3491</v>
      </c>
      <c r="C1122">
        <v>50</v>
      </c>
      <c r="D1122">
        <v>270.89299999999997</v>
      </c>
      <c r="E1122">
        <v>4104</v>
      </c>
      <c r="F1122">
        <v>1606</v>
      </c>
      <c r="G1122" s="1">
        <f>1</f>
        <v>1</v>
      </c>
      <c r="H1122">
        <v>0.2</v>
      </c>
      <c r="I1122">
        <v>0</v>
      </c>
      <c r="J1122">
        <v>-86.494699999999995</v>
      </c>
      <c r="K1122">
        <v>525.30200000000002</v>
      </c>
      <c r="L1122">
        <v>0</v>
      </c>
    </row>
    <row r="1123" spans="1:12" x14ac:dyDescent="0.25">
      <c r="A1123">
        <f>80273648*0.00001</f>
        <v>802.73648000000003</v>
      </c>
      <c r="B1123">
        <v>3491</v>
      </c>
      <c r="C1123">
        <v>51</v>
      </c>
      <c r="D1123">
        <v>270.89299999999997</v>
      </c>
      <c r="E1123">
        <v>4104</v>
      </c>
      <c r="F1123">
        <v>1606</v>
      </c>
      <c r="G1123">
        <v>1</v>
      </c>
      <c r="H1123">
        <v>0.2</v>
      </c>
      <c r="I1123" s="1">
        <f>0</f>
        <v>0</v>
      </c>
      <c r="J1123">
        <v>-86.494699999999995</v>
      </c>
      <c r="K1123">
        <v>525.30200000000002</v>
      </c>
      <c r="L1123">
        <v>0</v>
      </c>
    </row>
    <row r="1124" spans="1:12" x14ac:dyDescent="0.25">
      <c r="A1124">
        <f>80273771*0.00001</f>
        <v>802.73771000000011</v>
      </c>
      <c r="B1124">
        <v>3491</v>
      </c>
      <c r="C1124">
        <v>52</v>
      </c>
      <c r="D1124">
        <v>270.89299999999997</v>
      </c>
      <c r="E1124">
        <v>4104</v>
      </c>
      <c r="F1124">
        <v>1606</v>
      </c>
      <c r="G1124">
        <v>1</v>
      </c>
      <c r="H1124">
        <v>0.2</v>
      </c>
      <c r="I1124">
        <v>0</v>
      </c>
      <c r="J1124" s="1">
        <f>-86.0801</f>
        <v>-86.080100000000002</v>
      </c>
      <c r="K1124" s="1">
        <f>525.238</f>
        <v>525.23800000000006</v>
      </c>
      <c r="L1124">
        <v>0</v>
      </c>
    </row>
    <row r="1125" spans="1:12" x14ac:dyDescent="0.25">
      <c r="A1125">
        <f>80273894*0.00001</f>
        <v>802.73894000000007</v>
      </c>
      <c r="B1125">
        <v>3491</v>
      </c>
      <c r="C1125">
        <v>53</v>
      </c>
      <c r="D1125" s="1">
        <f>270.144</f>
        <v>270.14400000000001</v>
      </c>
      <c r="E1125" s="1">
        <f>4109</f>
        <v>4109</v>
      </c>
      <c r="F1125" s="1">
        <f>1606</f>
        <v>1606</v>
      </c>
      <c r="G1125" s="1">
        <f>1</f>
        <v>1</v>
      </c>
      <c r="H1125">
        <v>0.2</v>
      </c>
      <c r="I1125">
        <v>0</v>
      </c>
      <c r="J1125">
        <v>-86.080100000000002</v>
      </c>
      <c r="K1125">
        <v>525.23800000000006</v>
      </c>
      <c r="L1125" s="1">
        <f>0</f>
        <v>0</v>
      </c>
    </row>
    <row r="1126" spans="1:12" x14ac:dyDescent="0.25">
      <c r="A1126">
        <f>80274264*0.00001</f>
        <v>802.74264000000005</v>
      </c>
      <c r="B1126">
        <v>3491</v>
      </c>
      <c r="C1126">
        <v>56</v>
      </c>
      <c r="D1126">
        <v>270.14400000000001</v>
      </c>
      <c r="E1126">
        <v>4109</v>
      </c>
      <c r="F1126">
        <v>1606</v>
      </c>
      <c r="G1126">
        <v>1</v>
      </c>
      <c r="H1126">
        <v>0.2</v>
      </c>
      <c r="I1126" s="1">
        <f>0</f>
        <v>0</v>
      </c>
      <c r="J1126">
        <v>-86.080100000000002</v>
      </c>
      <c r="K1126">
        <v>525.23800000000006</v>
      </c>
      <c r="L1126">
        <v>0</v>
      </c>
    </row>
    <row r="1127" spans="1:12" x14ac:dyDescent="0.25">
      <c r="A1127">
        <f>80274388*0.00001</f>
        <v>802.7438800000001</v>
      </c>
      <c r="B1127">
        <v>3491</v>
      </c>
      <c r="C1127">
        <v>57</v>
      </c>
      <c r="D1127">
        <v>270.14400000000001</v>
      </c>
      <c r="E1127">
        <v>4109</v>
      </c>
      <c r="F1127">
        <v>1606</v>
      </c>
      <c r="G1127">
        <v>1</v>
      </c>
      <c r="H1127">
        <v>0.2</v>
      </c>
      <c r="I1127">
        <v>0</v>
      </c>
      <c r="J1127">
        <v>-86.080100000000002</v>
      </c>
      <c r="K1127" s="1">
        <f>525.175</f>
        <v>525.17499999999995</v>
      </c>
      <c r="L1127">
        <v>0</v>
      </c>
    </row>
    <row r="1128" spans="1:12" x14ac:dyDescent="0.25">
      <c r="A1128">
        <f>80274512*0.00001</f>
        <v>802.74512000000004</v>
      </c>
      <c r="B1128">
        <v>3491</v>
      </c>
      <c r="C1128">
        <v>58</v>
      </c>
      <c r="D1128" s="1">
        <f>269.906</f>
        <v>269.90600000000001</v>
      </c>
      <c r="E1128">
        <v>4109</v>
      </c>
      <c r="F1128">
        <v>1606</v>
      </c>
      <c r="G1128">
        <v>1</v>
      </c>
      <c r="H1128">
        <v>0.2</v>
      </c>
      <c r="I1128">
        <v>0</v>
      </c>
      <c r="J1128">
        <v>-86.080100000000002</v>
      </c>
      <c r="K1128">
        <v>525.17499999999995</v>
      </c>
      <c r="L1128" s="1">
        <f>0</f>
        <v>0</v>
      </c>
    </row>
    <row r="1129" spans="1:12" x14ac:dyDescent="0.25">
      <c r="A1129">
        <f>80274636*0.00001</f>
        <v>802.7463600000001</v>
      </c>
      <c r="B1129">
        <v>3491</v>
      </c>
      <c r="C1129">
        <v>59</v>
      </c>
      <c r="D1129">
        <v>269.90600000000001</v>
      </c>
      <c r="E1129" s="1">
        <f>4114</f>
        <v>4114</v>
      </c>
      <c r="F1129" s="1">
        <f>1606</f>
        <v>1606</v>
      </c>
      <c r="G1129" s="1">
        <f>1</f>
        <v>1</v>
      </c>
      <c r="H1129" s="1">
        <f>0.2</f>
        <v>0.2</v>
      </c>
      <c r="I1129" s="1">
        <f>0</f>
        <v>0</v>
      </c>
      <c r="J1129" s="1">
        <f>-85.3318</f>
        <v>-85.331800000000001</v>
      </c>
      <c r="K1129" s="1">
        <f>525.111</f>
        <v>525.11099999999999</v>
      </c>
      <c r="L1129">
        <v>0</v>
      </c>
    </row>
    <row r="1130" spans="1:12" x14ac:dyDescent="0.25">
      <c r="A1130">
        <f>80275130*0.00001</f>
        <v>802.75130000000001</v>
      </c>
      <c r="B1130">
        <v>3491</v>
      </c>
      <c r="C1130">
        <v>63</v>
      </c>
      <c r="D1130" s="1">
        <f>269.624</f>
        <v>269.62400000000002</v>
      </c>
      <c r="E1130">
        <v>4114</v>
      </c>
      <c r="F1130">
        <v>1606</v>
      </c>
      <c r="G1130">
        <v>1</v>
      </c>
      <c r="H1130">
        <v>0.2</v>
      </c>
      <c r="I1130">
        <v>0</v>
      </c>
      <c r="J1130">
        <v>-85.331800000000001</v>
      </c>
      <c r="K1130">
        <v>525.11099999999999</v>
      </c>
      <c r="L1130">
        <v>0</v>
      </c>
    </row>
    <row r="1131" spans="1:12" x14ac:dyDescent="0.25">
      <c r="A1131">
        <f>80275254*0.00001</f>
        <v>802.75254000000007</v>
      </c>
      <c r="B1131">
        <v>3491</v>
      </c>
      <c r="C1131">
        <v>64</v>
      </c>
      <c r="D1131">
        <v>269.62400000000002</v>
      </c>
      <c r="E1131">
        <v>4114</v>
      </c>
      <c r="F1131" s="1">
        <f>1606</f>
        <v>1606</v>
      </c>
      <c r="G1131">
        <v>1</v>
      </c>
      <c r="H1131">
        <v>0.2</v>
      </c>
      <c r="I1131">
        <v>0</v>
      </c>
      <c r="J1131">
        <v>-85.331800000000001</v>
      </c>
      <c r="K1131">
        <v>525.11099999999999</v>
      </c>
      <c r="L1131">
        <v>0</v>
      </c>
    </row>
    <row r="1132" spans="1:12" x14ac:dyDescent="0.25">
      <c r="A1132">
        <f>80275378*0.00001</f>
        <v>802.75378000000012</v>
      </c>
      <c r="B1132">
        <v>3491</v>
      </c>
      <c r="C1132">
        <v>65</v>
      </c>
      <c r="D1132">
        <v>269.62400000000002</v>
      </c>
      <c r="E1132">
        <v>4114</v>
      </c>
      <c r="F1132">
        <v>1606</v>
      </c>
      <c r="G1132" s="1">
        <f>1</f>
        <v>1</v>
      </c>
      <c r="H1132" s="1">
        <f>0.2</f>
        <v>0.2</v>
      </c>
      <c r="I1132">
        <v>0</v>
      </c>
      <c r="J1132">
        <v>-85.331800000000001</v>
      </c>
      <c r="K1132">
        <v>525.11099999999999</v>
      </c>
      <c r="L1132">
        <v>0</v>
      </c>
    </row>
    <row r="1133" spans="1:12" x14ac:dyDescent="0.25">
      <c r="A1133">
        <f>80275502*0.00001</f>
        <v>802.75502000000006</v>
      </c>
      <c r="B1133">
        <v>3491</v>
      </c>
      <c r="C1133">
        <v>66</v>
      </c>
      <c r="D1133" s="1">
        <f>269.363</f>
        <v>269.363</v>
      </c>
      <c r="E1133" s="1">
        <f>4126</f>
        <v>4126</v>
      </c>
      <c r="F1133" s="1">
        <f>1606</f>
        <v>1606</v>
      </c>
      <c r="G1133">
        <v>1</v>
      </c>
      <c r="H1133">
        <v>0.2</v>
      </c>
      <c r="I1133" s="1">
        <f>0</f>
        <v>0</v>
      </c>
      <c r="J1133" s="1">
        <f>-84.9166</f>
        <v>-84.916600000000003</v>
      </c>
      <c r="K1133" s="1">
        <f>525.048</f>
        <v>525.048</v>
      </c>
      <c r="L1133" s="1">
        <f>0</f>
        <v>0</v>
      </c>
    </row>
    <row r="1134" spans="1:12" x14ac:dyDescent="0.25">
      <c r="A1134">
        <f>80275996*0.00001</f>
        <v>802.75996000000009</v>
      </c>
      <c r="B1134">
        <v>3491</v>
      </c>
      <c r="C1134">
        <v>70</v>
      </c>
      <c r="D1134">
        <v>269.363</v>
      </c>
      <c r="E1134">
        <v>4126</v>
      </c>
      <c r="F1134">
        <v>1606</v>
      </c>
      <c r="G1134">
        <v>1</v>
      </c>
      <c r="H1134" s="1">
        <f>0.2</f>
        <v>0.2</v>
      </c>
      <c r="I1134">
        <v>0</v>
      </c>
      <c r="J1134">
        <v>-84.916600000000003</v>
      </c>
      <c r="K1134">
        <v>525.048</v>
      </c>
      <c r="L1134">
        <v>0</v>
      </c>
    </row>
    <row r="1135" spans="1:12" x14ac:dyDescent="0.25">
      <c r="A1135">
        <f>80276120*0.00001</f>
        <v>802.76120000000003</v>
      </c>
      <c r="B1135">
        <v>3491</v>
      </c>
      <c r="C1135">
        <v>71</v>
      </c>
      <c r="D1135">
        <v>269.363</v>
      </c>
      <c r="E1135">
        <v>4126</v>
      </c>
      <c r="F1135">
        <v>1606</v>
      </c>
      <c r="G1135">
        <v>1</v>
      </c>
      <c r="H1135">
        <v>0.2</v>
      </c>
      <c r="I1135">
        <v>0</v>
      </c>
      <c r="J1135" s="1">
        <f>-84.4758</f>
        <v>-84.475800000000007</v>
      </c>
      <c r="K1135">
        <v>525.048</v>
      </c>
      <c r="L1135">
        <v>0</v>
      </c>
    </row>
    <row r="1136" spans="1:12" x14ac:dyDescent="0.25">
      <c r="A1136">
        <f>80276244*0.00001</f>
        <v>802.76244000000008</v>
      </c>
      <c r="B1136">
        <v>3491</v>
      </c>
      <c r="C1136">
        <v>72</v>
      </c>
      <c r="D1136">
        <v>269.363</v>
      </c>
      <c r="E1136">
        <v>4126</v>
      </c>
      <c r="F1136">
        <v>1606</v>
      </c>
      <c r="G1136">
        <v>1</v>
      </c>
      <c r="H1136">
        <v>0.2</v>
      </c>
      <c r="I1136">
        <v>0</v>
      </c>
      <c r="J1136">
        <v>-84.475800000000007</v>
      </c>
      <c r="K1136" s="1">
        <f>524.985</f>
        <v>524.98500000000001</v>
      </c>
      <c r="L1136" s="1">
        <f>0</f>
        <v>0</v>
      </c>
    </row>
    <row r="1137" spans="1:12" x14ac:dyDescent="0.25">
      <c r="A1137">
        <f>80276368*0.00001</f>
        <v>802.76368000000002</v>
      </c>
      <c r="B1137">
        <v>3491</v>
      </c>
      <c r="C1137">
        <v>73</v>
      </c>
      <c r="D1137" s="1">
        <f>269.106</f>
        <v>269.10599999999999</v>
      </c>
      <c r="E1137" s="1">
        <f>4132</f>
        <v>4132</v>
      </c>
      <c r="F1137" s="1">
        <f>1606</f>
        <v>1606</v>
      </c>
      <c r="G1137" s="1">
        <f>1</f>
        <v>1</v>
      </c>
      <c r="H1137" s="1">
        <f>0.2</f>
        <v>0.2</v>
      </c>
      <c r="I1137" s="1">
        <f>0</f>
        <v>0</v>
      </c>
      <c r="J1137" s="1">
        <f>-84.0793</f>
        <v>-84.079300000000003</v>
      </c>
      <c r="K1137">
        <v>524.98500000000001</v>
      </c>
      <c r="L1137">
        <v>0</v>
      </c>
    </row>
    <row r="1138" spans="1:12" x14ac:dyDescent="0.25">
      <c r="A1138">
        <f>80276863*0.00001</f>
        <v>802.76863000000003</v>
      </c>
      <c r="B1138">
        <v>3491</v>
      </c>
      <c r="C1138">
        <v>77</v>
      </c>
      <c r="D1138">
        <v>269.10599999999999</v>
      </c>
      <c r="E1138">
        <v>4132</v>
      </c>
      <c r="F1138">
        <v>1606</v>
      </c>
      <c r="G1138">
        <v>1</v>
      </c>
      <c r="H1138">
        <v>0.2</v>
      </c>
      <c r="I1138">
        <v>0</v>
      </c>
      <c r="J1138">
        <v>-84.079300000000003</v>
      </c>
      <c r="K1138">
        <v>524.98500000000001</v>
      </c>
      <c r="L1138" s="1">
        <f>0</f>
        <v>0</v>
      </c>
    </row>
    <row r="1139" spans="1:12" x14ac:dyDescent="0.25">
      <c r="A1139">
        <f>80276987*0.00001</f>
        <v>802.76987000000008</v>
      </c>
      <c r="B1139">
        <v>3491</v>
      </c>
      <c r="C1139">
        <v>78</v>
      </c>
      <c r="D1139">
        <v>269.10599999999999</v>
      </c>
      <c r="E1139" s="1">
        <f>4138</f>
        <v>4138</v>
      </c>
      <c r="F1139">
        <v>1606</v>
      </c>
      <c r="G1139">
        <v>1</v>
      </c>
      <c r="H1139">
        <v>0.2</v>
      </c>
      <c r="I1139">
        <v>0</v>
      </c>
      <c r="J1139">
        <v>-84.079300000000003</v>
      </c>
      <c r="K1139">
        <v>524.98500000000001</v>
      </c>
      <c r="L1139">
        <v>0</v>
      </c>
    </row>
    <row r="1140" spans="1:12" x14ac:dyDescent="0.25">
      <c r="A1140">
        <f>80277111*0.00001</f>
        <v>802.77111000000002</v>
      </c>
      <c r="B1140">
        <v>3491</v>
      </c>
      <c r="C1140">
        <v>79</v>
      </c>
      <c r="D1140">
        <v>269.10599999999999</v>
      </c>
      <c r="E1140">
        <v>4138</v>
      </c>
      <c r="F1140" s="1">
        <f>1606</f>
        <v>1606</v>
      </c>
      <c r="G1140" s="1">
        <f>1</f>
        <v>1</v>
      </c>
      <c r="H1140">
        <v>0.2</v>
      </c>
      <c r="I1140">
        <v>0</v>
      </c>
      <c r="J1140">
        <v>-84.079300000000003</v>
      </c>
      <c r="K1140">
        <v>524.98500000000001</v>
      </c>
      <c r="L1140">
        <v>0</v>
      </c>
    </row>
    <row r="1141" spans="1:12" x14ac:dyDescent="0.25">
      <c r="A1141">
        <f>80277235*0.00001</f>
        <v>802.77235000000007</v>
      </c>
      <c r="B1141">
        <v>3491</v>
      </c>
      <c r="C1141">
        <v>80</v>
      </c>
      <c r="D1141">
        <v>269.10599999999999</v>
      </c>
      <c r="E1141">
        <v>4138</v>
      </c>
      <c r="F1141">
        <v>1606</v>
      </c>
      <c r="G1141">
        <v>1</v>
      </c>
      <c r="H1141" s="1">
        <f>0.2</f>
        <v>0.2</v>
      </c>
      <c r="I1141" s="1">
        <f>0</f>
        <v>0</v>
      </c>
      <c r="J1141">
        <v>-84.079300000000003</v>
      </c>
      <c r="K1141">
        <v>524.98500000000001</v>
      </c>
      <c r="L1141">
        <v>0</v>
      </c>
    </row>
    <row r="1142" spans="1:12" x14ac:dyDescent="0.25">
      <c r="A1142">
        <f>80277359*0.00001</f>
        <v>802.77359000000001</v>
      </c>
      <c r="B1142">
        <v>3491</v>
      </c>
      <c r="C1142">
        <v>81</v>
      </c>
      <c r="D1142" s="1">
        <f>268.643</f>
        <v>268.64299999999997</v>
      </c>
      <c r="E1142" s="1">
        <f>4143</f>
        <v>4143</v>
      </c>
      <c r="F1142">
        <v>1606</v>
      </c>
      <c r="G1142">
        <v>1</v>
      </c>
      <c r="H1142">
        <v>0.2</v>
      </c>
      <c r="I1142">
        <v>0</v>
      </c>
      <c r="J1142" s="1">
        <f>-83.668</f>
        <v>-83.668000000000006</v>
      </c>
      <c r="K1142" s="1">
        <f>524.872</f>
        <v>524.87199999999996</v>
      </c>
      <c r="L1142" s="1">
        <f>0</f>
        <v>0</v>
      </c>
    </row>
    <row r="1143" spans="1:12" x14ac:dyDescent="0.25">
      <c r="A1143">
        <f>80277731*0.00001</f>
        <v>802.77731000000006</v>
      </c>
      <c r="B1143">
        <v>3491</v>
      </c>
      <c r="C1143">
        <v>84</v>
      </c>
      <c r="D1143">
        <v>268.64299999999997</v>
      </c>
      <c r="E1143">
        <v>4143</v>
      </c>
      <c r="F1143">
        <v>1606</v>
      </c>
      <c r="G1143" s="1">
        <f>1</f>
        <v>1</v>
      </c>
      <c r="H1143">
        <v>0.2</v>
      </c>
      <c r="I1143">
        <v>0</v>
      </c>
      <c r="J1143">
        <v>-83.668000000000006</v>
      </c>
      <c r="K1143">
        <v>524.87199999999996</v>
      </c>
      <c r="L1143">
        <v>0</v>
      </c>
    </row>
    <row r="1144" spans="1:12" x14ac:dyDescent="0.25">
      <c r="A1144">
        <f>80277855*0.00001</f>
        <v>802.77855000000011</v>
      </c>
      <c r="B1144">
        <v>3491</v>
      </c>
      <c r="C1144">
        <v>85</v>
      </c>
      <c r="D1144">
        <v>268.64299999999997</v>
      </c>
      <c r="E1144">
        <v>4143</v>
      </c>
      <c r="F1144">
        <v>1606</v>
      </c>
      <c r="G1144">
        <v>1</v>
      </c>
      <c r="H1144">
        <v>0.2</v>
      </c>
      <c r="I1144" s="1">
        <f>0</f>
        <v>0</v>
      </c>
      <c r="J1144">
        <v>-83.668000000000006</v>
      </c>
      <c r="K1144">
        <v>524.87199999999996</v>
      </c>
      <c r="L1144">
        <v>0</v>
      </c>
    </row>
    <row r="1145" spans="1:12" x14ac:dyDescent="0.25">
      <c r="A1145">
        <f>80277979*0.00001</f>
        <v>802.77979000000005</v>
      </c>
      <c r="B1145">
        <v>3491</v>
      </c>
      <c r="C1145">
        <v>86</v>
      </c>
      <c r="D1145">
        <v>268.64299999999997</v>
      </c>
      <c r="E1145">
        <v>4143</v>
      </c>
      <c r="F1145">
        <v>1606</v>
      </c>
      <c r="G1145">
        <v>1</v>
      </c>
      <c r="H1145">
        <v>0.2</v>
      </c>
      <c r="I1145">
        <v>0</v>
      </c>
      <c r="J1145">
        <v>-83.668000000000006</v>
      </c>
      <c r="K1145" s="1">
        <f>524.81</f>
        <v>524.80999999999995</v>
      </c>
      <c r="L1145">
        <v>0</v>
      </c>
    </row>
    <row r="1146" spans="1:12" x14ac:dyDescent="0.25">
      <c r="A1146">
        <f>80278103*0.00001</f>
        <v>802.7810300000001</v>
      </c>
      <c r="B1146">
        <v>3491</v>
      </c>
      <c r="C1146">
        <v>87</v>
      </c>
      <c r="D1146" s="1">
        <f>268.371</f>
        <v>268.37099999999998</v>
      </c>
      <c r="E1146">
        <v>4143</v>
      </c>
      <c r="F1146">
        <v>1606</v>
      </c>
      <c r="G1146">
        <v>1</v>
      </c>
      <c r="H1146">
        <v>0.2</v>
      </c>
      <c r="I1146">
        <v>0</v>
      </c>
      <c r="J1146">
        <v>-83.668000000000006</v>
      </c>
      <c r="K1146">
        <v>524.80999999999995</v>
      </c>
      <c r="L1146" s="1">
        <f>0</f>
        <v>0</v>
      </c>
    </row>
    <row r="1147" spans="1:12" x14ac:dyDescent="0.25">
      <c r="A1147">
        <f>80278227*0.00001</f>
        <v>802.78227000000004</v>
      </c>
      <c r="B1147">
        <v>3491</v>
      </c>
      <c r="C1147">
        <v>88</v>
      </c>
      <c r="D1147">
        <v>268.37099999999998</v>
      </c>
      <c r="E1147" s="1">
        <f>4148</f>
        <v>4148</v>
      </c>
      <c r="F1147" s="1">
        <f>1606</f>
        <v>1606</v>
      </c>
      <c r="G1147" s="1">
        <f>1</f>
        <v>1</v>
      </c>
      <c r="H1147" s="1">
        <f>0.2</f>
        <v>0.2</v>
      </c>
      <c r="I1147" s="1">
        <f>0</f>
        <v>0</v>
      </c>
      <c r="J1147">
        <v>-83.668000000000006</v>
      </c>
      <c r="K1147">
        <v>524.80999999999995</v>
      </c>
      <c r="L1147">
        <v>0</v>
      </c>
    </row>
    <row r="1148" spans="1:12" x14ac:dyDescent="0.25">
      <c r="A1148">
        <f>80278600*0.00001</f>
        <v>802.78600000000006</v>
      </c>
      <c r="B1148">
        <v>3491</v>
      </c>
      <c r="C1148">
        <v>91</v>
      </c>
      <c r="D1148">
        <v>268.37099999999998</v>
      </c>
      <c r="E1148">
        <v>4148</v>
      </c>
      <c r="F1148">
        <v>1606</v>
      </c>
      <c r="G1148">
        <v>1</v>
      </c>
      <c r="H1148">
        <v>0.2</v>
      </c>
      <c r="I1148">
        <v>0</v>
      </c>
      <c r="J1148">
        <v>-83.668000000000006</v>
      </c>
      <c r="K1148" s="1">
        <f>524.747</f>
        <v>524.74699999999996</v>
      </c>
      <c r="L1148">
        <v>0</v>
      </c>
    </row>
    <row r="1149" spans="1:12" x14ac:dyDescent="0.25">
      <c r="A1149">
        <f>80278724*0.00001</f>
        <v>802.78724000000011</v>
      </c>
      <c r="B1149">
        <v>3491</v>
      </c>
      <c r="C1149">
        <v>92</v>
      </c>
      <c r="D1149" s="1">
        <f>268.132</f>
        <v>268.13200000000001</v>
      </c>
      <c r="E1149">
        <v>4148</v>
      </c>
      <c r="F1149">
        <v>1606</v>
      </c>
      <c r="G1149">
        <v>1</v>
      </c>
      <c r="H1149">
        <v>0.2</v>
      </c>
      <c r="I1149">
        <v>0</v>
      </c>
      <c r="J1149">
        <v>-83.668000000000006</v>
      </c>
      <c r="K1149">
        <v>524.74699999999996</v>
      </c>
      <c r="L1149">
        <v>0</v>
      </c>
    </row>
    <row r="1150" spans="1:12" x14ac:dyDescent="0.25">
      <c r="A1150">
        <f>80278848*0.00001</f>
        <v>802.78848000000005</v>
      </c>
      <c r="B1150">
        <v>3491</v>
      </c>
      <c r="C1150">
        <v>93</v>
      </c>
      <c r="D1150">
        <v>268.13200000000001</v>
      </c>
      <c r="E1150">
        <v>4148</v>
      </c>
      <c r="F1150" s="1">
        <f>1606</f>
        <v>1606</v>
      </c>
      <c r="G1150">
        <v>1</v>
      </c>
      <c r="H1150">
        <v>0.2</v>
      </c>
      <c r="I1150">
        <v>0</v>
      </c>
      <c r="J1150">
        <v>-83.668000000000006</v>
      </c>
      <c r="K1150">
        <v>524.74699999999996</v>
      </c>
      <c r="L1150">
        <v>0</v>
      </c>
    </row>
    <row r="1151" spans="1:12" x14ac:dyDescent="0.25">
      <c r="A1151">
        <f>80278973*0.00001</f>
        <v>802.78973000000008</v>
      </c>
      <c r="B1151">
        <v>3491</v>
      </c>
      <c r="C1151">
        <v>94</v>
      </c>
      <c r="D1151">
        <v>268.13200000000001</v>
      </c>
      <c r="E1151">
        <v>4148</v>
      </c>
      <c r="F1151">
        <v>1606</v>
      </c>
      <c r="G1151" s="1">
        <f>1</f>
        <v>1</v>
      </c>
      <c r="H1151" s="1">
        <f>0.2</f>
        <v>0.2</v>
      </c>
      <c r="I1151">
        <v>0</v>
      </c>
      <c r="J1151">
        <v>-83.668000000000006</v>
      </c>
      <c r="K1151">
        <v>524.74699999999996</v>
      </c>
      <c r="L1151">
        <v>0</v>
      </c>
    </row>
    <row r="1152" spans="1:12" x14ac:dyDescent="0.25">
      <c r="A1152">
        <f>80279098*0.00001</f>
        <v>802.7909800000001</v>
      </c>
      <c r="B1152">
        <v>3491</v>
      </c>
      <c r="C1152">
        <v>95</v>
      </c>
      <c r="D1152" s="1">
        <f>267.861</f>
        <v>267.86099999999999</v>
      </c>
      <c r="E1152">
        <v>4148</v>
      </c>
      <c r="F1152">
        <v>1606</v>
      </c>
      <c r="G1152">
        <v>1</v>
      </c>
      <c r="H1152">
        <v>0.2</v>
      </c>
      <c r="I1152" s="1">
        <f>0</f>
        <v>0</v>
      </c>
      <c r="J1152" s="1">
        <f>-82.5173</f>
        <v>-82.517300000000006</v>
      </c>
      <c r="K1152" s="1">
        <f>524.685</f>
        <v>524.68499999999995</v>
      </c>
      <c r="L1152" s="1">
        <f>0</f>
        <v>0</v>
      </c>
    </row>
    <row r="1153" spans="1:12" x14ac:dyDescent="0.25">
      <c r="A1153">
        <f>80279473*0.00001</f>
        <v>802.79473000000007</v>
      </c>
      <c r="B1153">
        <v>3491</v>
      </c>
      <c r="C1153">
        <v>98</v>
      </c>
      <c r="D1153">
        <v>267.86099999999999</v>
      </c>
      <c r="E1153">
        <v>4148</v>
      </c>
      <c r="F1153" s="1">
        <f>1606</f>
        <v>1606</v>
      </c>
      <c r="G1153">
        <v>1</v>
      </c>
      <c r="H1153">
        <v>0.2</v>
      </c>
      <c r="I1153">
        <v>0</v>
      </c>
      <c r="J1153">
        <v>-82.517300000000006</v>
      </c>
      <c r="K1153">
        <v>524.68499999999995</v>
      </c>
      <c r="L1153">
        <v>0</v>
      </c>
    </row>
    <row r="1154" spans="1:12" x14ac:dyDescent="0.25">
      <c r="A1154">
        <f>80279598*0.00001</f>
        <v>802.7959800000001</v>
      </c>
      <c r="B1154">
        <v>3491</v>
      </c>
      <c r="C1154">
        <v>99</v>
      </c>
      <c r="D1154">
        <v>267.86099999999999</v>
      </c>
      <c r="E1154">
        <v>4148</v>
      </c>
      <c r="F1154">
        <v>1606</v>
      </c>
      <c r="G1154">
        <v>1</v>
      </c>
      <c r="H1154" s="1">
        <f>0.2</f>
        <v>0.2</v>
      </c>
      <c r="I1154">
        <v>0</v>
      </c>
      <c r="J1154">
        <v>-82.517300000000006</v>
      </c>
      <c r="K1154">
        <v>524.68499999999995</v>
      </c>
      <c r="L1154">
        <v>0</v>
      </c>
    </row>
    <row r="1155" spans="1:12" x14ac:dyDescent="0.25">
      <c r="A1155">
        <f>80279722*0.00001</f>
        <v>802.79722000000004</v>
      </c>
      <c r="B1155">
        <v>3491</v>
      </c>
      <c r="C1155">
        <v>100</v>
      </c>
      <c r="D1155">
        <v>267.86099999999999</v>
      </c>
      <c r="E1155">
        <v>4148</v>
      </c>
      <c r="F1155">
        <v>1606</v>
      </c>
      <c r="G1155">
        <v>1</v>
      </c>
      <c r="H1155">
        <v>0.2</v>
      </c>
      <c r="I1155">
        <v>0</v>
      </c>
      <c r="J1155" s="1">
        <f>-82.1101</f>
        <v>-82.110100000000003</v>
      </c>
      <c r="K1155">
        <v>524.68499999999995</v>
      </c>
      <c r="L1155">
        <v>0</v>
      </c>
    </row>
    <row r="1156" spans="1:12" x14ac:dyDescent="0.25">
      <c r="A1156">
        <f>80279847*0.00001</f>
        <v>802.79847000000007</v>
      </c>
      <c r="B1156">
        <v>3491</v>
      </c>
      <c r="C1156">
        <v>101</v>
      </c>
      <c r="D1156">
        <v>267.86099999999999</v>
      </c>
      <c r="E1156">
        <v>4148</v>
      </c>
      <c r="F1156">
        <v>1606</v>
      </c>
      <c r="G1156">
        <v>1</v>
      </c>
      <c r="H1156">
        <v>0.2</v>
      </c>
      <c r="I1156">
        <v>0</v>
      </c>
      <c r="J1156">
        <v>-82.110100000000003</v>
      </c>
      <c r="K1156" s="1">
        <f>524.624</f>
        <v>524.62400000000002</v>
      </c>
      <c r="L1156" s="1">
        <f>0</f>
        <v>0</v>
      </c>
    </row>
    <row r="1157" spans="1:12" x14ac:dyDescent="0.25">
      <c r="A1157">
        <f>80279972*0.00001</f>
        <v>802.79972000000009</v>
      </c>
      <c r="B1157">
        <v>3491</v>
      </c>
      <c r="C1157">
        <v>102</v>
      </c>
      <c r="D1157" s="1">
        <f>267.611</f>
        <v>267.61099999999999</v>
      </c>
      <c r="E1157" s="1">
        <f>4165</f>
        <v>4165</v>
      </c>
      <c r="F1157" s="1">
        <f>1606</f>
        <v>1606</v>
      </c>
      <c r="G1157" s="1">
        <f>1</f>
        <v>1</v>
      </c>
      <c r="H1157" s="1">
        <f>0.2</f>
        <v>0.2</v>
      </c>
      <c r="I1157" s="1">
        <f>0</f>
        <v>0</v>
      </c>
      <c r="J1157" s="1">
        <f>-81.6842</f>
        <v>-81.684200000000004</v>
      </c>
      <c r="K1157">
        <v>524.62400000000002</v>
      </c>
      <c r="L1157">
        <v>0</v>
      </c>
    </row>
    <row r="1158" spans="1:12" x14ac:dyDescent="0.25">
      <c r="A1158">
        <f>80280470*0.00001</f>
        <v>802.80470000000003</v>
      </c>
      <c r="B1158">
        <v>3491</v>
      </c>
      <c r="C1158">
        <v>106</v>
      </c>
      <c r="D1158">
        <v>267.61099999999999</v>
      </c>
      <c r="E1158">
        <v>4165</v>
      </c>
      <c r="F1158">
        <v>1606</v>
      </c>
      <c r="G1158">
        <v>1</v>
      </c>
      <c r="H1158">
        <v>0.2</v>
      </c>
      <c r="I1158">
        <v>0</v>
      </c>
      <c r="J1158">
        <v>-81.684200000000004</v>
      </c>
      <c r="K1158">
        <v>524.62400000000002</v>
      </c>
      <c r="L1158" s="1">
        <f>0</f>
        <v>0</v>
      </c>
    </row>
    <row r="1159" spans="1:12" x14ac:dyDescent="0.25">
      <c r="A1159">
        <f>80280594*0.00001</f>
        <v>802.80594000000008</v>
      </c>
      <c r="B1159">
        <v>3491</v>
      </c>
      <c r="C1159">
        <v>107</v>
      </c>
      <c r="D1159">
        <v>267.61099999999999</v>
      </c>
      <c r="E1159" s="1">
        <f>4171</f>
        <v>4171</v>
      </c>
      <c r="F1159">
        <v>1606</v>
      </c>
      <c r="G1159">
        <v>1</v>
      </c>
      <c r="H1159">
        <v>0.2</v>
      </c>
      <c r="I1159">
        <v>0</v>
      </c>
      <c r="J1159">
        <v>-81.684200000000004</v>
      </c>
      <c r="K1159">
        <v>524.62400000000002</v>
      </c>
      <c r="L1159">
        <v>0</v>
      </c>
    </row>
    <row r="1160" spans="1:12" x14ac:dyDescent="0.25">
      <c r="A1160">
        <f>80280719*0.00001</f>
        <v>802.80719000000011</v>
      </c>
      <c r="B1160">
        <v>3491</v>
      </c>
      <c r="C1160">
        <v>108</v>
      </c>
      <c r="D1160">
        <v>267.61099999999999</v>
      </c>
      <c r="E1160">
        <v>4171</v>
      </c>
      <c r="F1160" s="1">
        <f>1606</f>
        <v>1606</v>
      </c>
      <c r="G1160" s="1">
        <f>1</f>
        <v>1</v>
      </c>
      <c r="H1160">
        <v>0.2</v>
      </c>
      <c r="I1160">
        <v>0</v>
      </c>
      <c r="J1160">
        <v>-81.684200000000004</v>
      </c>
      <c r="K1160">
        <v>524.62400000000002</v>
      </c>
      <c r="L1160">
        <v>0</v>
      </c>
    </row>
    <row r="1161" spans="1:12" x14ac:dyDescent="0.25">
      <c r="A1161">
        <f>80280844*0.00001</f>
        <v>802.80844000000002</v>
      </c>
      <c r="B1161">
        <v>3491</v>
      </c>
      <c r="C1161">
        <v>109</v>
      </c>
      <c r="D1161">
        <v>267.61099999999999</v>
      </c>
      <c r="E1161">
        <v>4171</v>
      </c>
      <c r="F1161">
        <v>1606</v>
      </c>
      <c r="G1161">
        <v>1</v>
      </c>
      <c r="H1161" s="1">
        <f>0.2</f>
        <v>0.2</v>
      </c>
      <c r="I1161" s="1">
        <f>0</f>
        <v>0</v>
      </c>
      <c r="J1161">
        <v>-81.684200000000004</v>
      </c>
      <c r="K1161">
        <v>524.62400000000002</v>
      </c>
      <c r="L1161">
        <v>0</v>
      </c>
    </row>
    <row r="1162" spans="1:12" x14ac:dyDescent="0.25">
      <c r="A1162">
        <f>80280969*0.00001</f>
        <v>802.80969000000005</v>
      </c>
      <c r="B1162">
        <v>3491</v>
      </c>
      <c r="C1162">
        <v>110</v>
      </c>
      <c r="D1162" s="1">
        <f>267.152</f>
        <v>267.15199999999999</v>
      </c>
      <c r="E1162" s="1">
        <f>4177</f>
        <v>4177</v>
      </c>
      <c r="F1162" s="1">
        <f>1606</f>
        <v>1606</v>
      </c>
      <c r="G1162" s="1">
        <f>1</f>
        <v>1</v>
      </c>
      <c r="H1162">
        <v>0.2</v>
      </c>
      <c r="I1162">
        <v>0</v>
      </c>
      <c r="J1162" s="1">
        <f>-81.2889</f>
        <v>-81.288899999999998</v>
      </c>
      <c r="K1162" s="1">
        <f>524.514</f>
        <v>524.51400000000001</v>
      </c>
      <c r="L1162" s="1">
        <f>0</f>
        <v>0</v>
      </c>
    </row>
    <row r="1163" spans="1:12" x14ac:dyDescent="0.25">
      <c r="A1163">
        <f>80281467*0.00001</f>
        <v>802.81467000000009</v>
      </c>
      <c r="B1163">
        <v>3491</v>
      </c>
      <c r="C1163">
        <v>114</v>
      </c>
      <c r="D1163">
        <v>267.15199999999999</v>
      </c>
      <c r="E1163">
        <v>4177</v>
      </c>
      <c r="F1163">
        <v>1606</v>
      </c>
      <c r="G1163">
        <v>1</v>
      </c>
      <c r="H1163">
        <v>0.2</v>
      </c>
      <c r="I1163" s="1">
        <f>0</f>
        <v>0</v>
      </c>
      <c r="J1163">
        <v>-81.288899999999998</v>
      </c>
      <c r="K1163">
        <v>524.51400000000001</v>
      </c>
      <c r="L1163">
        <v>0</v>
      </c>
    </row>
    <row r="1164" spans="1:12" x14ac:dyDescent="0.25">
      <c r="A1164">
        <f>80281592*0.00001</f>
        <v>802.81592000000012</v>
      </c>
      <c r="B1164">
        <v>3491</v>
      </c>
      <c r="C1164">
        <v>115</v>
      </c>
      <c r="D1164">
        <v>267.15199999999999</v>
      </c>
      <c r="E1164">
        <v>4177</v>
      </c>
      <c r="F1164">
        <v>1606</v>
      </c>
      <c r="G1164">
        <v>1</v>
      </c>
      <c r="H1164">
        <v>0.2</v>
      </c>
      <c r="I1164">
        <v>0</v>
      </c>
      <c r="J1164">
        <v>-81.288899999999998</v>
      </c>
      <c r="K1164" s="1">
        <f>524.453</f>
        <v>524.45299999999997</v>
      </c>
      <c r="L1164">
        <v>0</v>
      </c>
    </row>
    <row r="1165" spans="1:12" x14ac:dyDescent="0.25">
      <c r="A1165">
        <f>80281717*0.00001</f>
        <v>802.81717000000003</v>
      </c>
      <c r="B1165">
        <v>3491</v>
      </c>
      <c r="C1165">
        <v>116</v>
      </c>
      <c r="D1165" s="1">
        <f>266.91</f>
        <v>266.91000000000003</v>
      </c>
      <c r="E1165">
        <v>4177</v>
      </c>
      <c r="F1165">
        <v>1606</v>
      </c>
      <c r="G1165">
        <v>1</v>
      </c>
      <c r="H1165">
        <v>0.2</v>
      </c>
      <c r="I1165">
        <v>0</v>
      </c>
      <c r="J1165">
        <v>-81.288899999999998</v>
      </c>
      <c r="K1165">
        <v>524.45299999999997</v>
      </c>
      <c r="L1165" s="1">
        <f>0</f>
        <v>0</v>
      </c>
    </row>
    <row r="1166" spans="1:12" x14ac:dyDescent="0.25">
      <c r="A1166">
        <f>80281841*0.00001</f>
        <v>802.81841000000009</v>
      </c>
      <c r="B1166">
        <v>3491</v>
      </c>
      <c r="C1166">
        <v>117</v>
      </c>
      <c r="D1166">
        <v>266.91000000000003</v>
      </c>
      <c r="E1166" s="1">
        <f>4181</f>
        <v>4181</v>
      </c>
      <c r="F1166" s="1">
        <f>1606</f>
        <v>1606</v>
      </c>
      <c r="G1166">
        <v>1</v>
      </c>
      <c r="H1166">
        <v>0.2</v>
      </c>
      <c r="I1166">
        <v>0</v>
      </c>
      <c r="J1166">
        <v>-81.288899999999998</v>
      </c>
      <c r="K1166">
        <v>524.45299999999997</v>
      </c>
      <c r="L1166">
        <v>0</v>
      </c>
    </row>
    <row r="1167" spans="1:12" x14ac:dyDescent="0.25">
      <c r="A1167">
        <f>80281966*0.00001</f>
        <v>802.81966000000011</v>
      </c>
      <c r="B1167">
        <v>3491</v>
      </c>
      <c r="C1167">
        <v>118</v>
      </c>
      <c r="D1167" s="1">
        <f>266.645</f>
        <v>266.64499999999998</v>
      </c>
      <c r="E1167">
        <v>4181</v>
      </c>
      <c r="F1167">
        <v>1606</v>
      </c>
      <c r="G1167" s="1">
        <f>1</f>
        <v>1</v>
      </c>
      <c r="H1167" s="1">
        <f>0.2</f>
        <v>0.2</v>
      </c>
      <c r="I1167" s="1">
        <f>0</f>
        <v>0</v>
      </c>
      <c r="J1167" s="1">
        <f>-80.5569</f>
        <v>-80.556899999999999</v>
      </c>
      <c r="K1167" s="1">
        <f>524.392</f>
        <v>524.39200000000005</v>
      </c>
      <c r="L1167" s="1">
        <f>0</f>
        <v>0</v>
      </c>
    </row>
    <row r="1168" spans="1:12" x14ac:dyDescent="0.25">
      <c r="A1168">
        <f>80282466*0.00001</f>
        <v>802.82466000000011</v>
      </c>
      <c r="B1168">
        <v>3491</v>
      </c>
      <c r="C1168">
        <v>122</v>
      </c>
      <c r="D1168">
        <v>266.64499999999998</v>
      </c>
      <c r="E1168">
        <v>4181</v>
      </c>
      <c r="F1168" s="1">
        <f>1606</f>
        <v>1606</v>
      </c>
      <c r="G1168">
        <v>1</v>
      </c>
      <c r="H1168">
        <v>0.2</v>
      </c>
      <c r="I1168">
        <v>0</v>
      </c>
      <c r="J1168">
        <v>-80.556899999999999</v>
      </c>
      <c r="K1168">
        <v>524.39200000000005</v>
      </c>
      <c r="L1168">
        <v>0</v>
      </c>
    </row>
    <row r="1169" spans="1:12" x14ac:dyDescent="0.25">
      <c r="A1169">
        <f>80282591*0.00001</f>
        <v>802.82591000000002</v>
      </c>
      <c r="B1169">
        <v>3491</v>
      </c>
      <c r="C1169">
        <v>123</v>
      </c>
      <c r="D1169">
        <v>266.64499999999998</v>
      </c>
      <c r="E1169">
        <v>4181</v>
      </c>
      <c r="F1169">
        <v>1606</v>
      </c>
      <c r="G1169">
        <v>1</v>
      </c>
      <c r="H1169" s="1">
        <f>0.2</f>
        <v>0.2</v>
      </c>
      <c r="I1169">
        <v>0</v>
      </c>
      <c r="J1169">
        <v>-80.556899999999999</v>
      </c>
      <c r="K1169">
        <v>524.39200000000005</v>
      </c>
      <c r="L1169">
        <v>0</v>
      </c>
    </row>
    <row r="1170" spans="1:12" x14ac:dyDescent="0.25">
      <c r="A1170">
        <f>80282716*0.00001</f>
        <v>802.82716000000005</v>
      </c>
      <c r="B1170">
        <v>3491</v>
      </c>
      <c r="C1170">
        <v>124</v>
      </c>
      <c r="D1170">
        <v>266.64499999999998</v>
      </c>
      <c r="E1170">
        <v>4181</v>
      </c>
      <c r="F1170">
        <v>1606</v>
      </c>
      <c r="G1170">
        <v>1</v>
      </c>
      <c r="H1170">
        <v>0.2</v>
      </c>
      <c r="I1170" s="1">
        <f>0</f>
        <v>0</v>
      </c>
      <c r="J1170" s="1">
        <f>-80.1349</f>
        <v>-80.134900000000002</v>
      </c>
      <c r="K1170">
        <v>524.39200000000005</v>
      </c>
      <c r="L1170">
        <v>0</v>
      </c>
    </row>
    <row r="1171" spans="1:12" x14ac:dyDescent="0.25">
      <c r="A1171">
        <f>80282841*0.00001</f>
        <v>802.82841000000008</v>
      </c>
      <c r="B1171">
        <v>3491</v>
      </c>
      <c r="C1171">
        <v>125</v>
      </c>
      <c r="D1171">
        <v>266.64499999999998</v>
      </c>
      <c r="E1171">
        <v>4181</v>
      </c>
      <c r="F1171">
        <v>1606</v>
      </c>
      <c r="G1171">
        <v>1</v>
      </c>
      <c r="H1171">
        <v>0.2</v>
      </c>
      <c r="I1171">
        <v>0</v>
      </c>
      <c r="J1171">
        <v>-80.134900000000002</v>
      </c>
      <c r="K1171" s="1">
        <f>524.332</f>
        <v>524.33199999999999</v>
      </c>
      <c r="L1171" s="1">
        <f>0</f>
        <v>0</v>
      </c>
    </row>
    <row r="1172" spans="1:12" x14ac:dyDescent="0.25">
      <c r="A1172">
        <f>80282966*0.00001</f>
        <v>802.8296600000001</v>
      </c>
      <c r="B1172">
        <v>3491</v>
      </c>
      <c r="C1172">
        <v>126</v>
      </c>
      <c r="D1172" s="1">
        <f>266.411</f>
        <v>266.411</v>
      </c>
      <c r="E1172" s="1">
        <f>4193</f>
        <v>4193</v>
      </c>
      <c r="F1172" s="1">
        <f>1606</f>
        <v>1606</v>
      </c>
      <c r="G1172" s="1">
        <f>1</f>
        <v>1</v>
      </c>
      <c r="H1172" s="1">
        <f>0.2</f>
        <v>0.2</v>
      </c>
      <c r="I1172" s="1">
        <f>0</f>
        <v>0</v>
      </c>
      <c r="J1172" s="1">
        <f>-79.7244</f>
        <v>-79.724400000000003</v>
      </c>
      <c r="K1172">
        <v>524.33199999999999</v>
      </c>
      <c r="L1172">
        <v>0</v>
      </c>
    </row>
    <row r="1173" spans="1:12" x14ac:dyDescent="0.25">
      <c r="A1173">
        <f>80283467*0.00001</f>
        <v>802.83467000000007</v>
      </c>
      <c r="B1173">
        <v>3491</v>
      </c>
      <c r="C1173">
        <v>130</v>
      </c>
      <c r="D1173">
        <v>266.411</v>
      </c>
      <c r="E1173">
        <v>4193</v>
      </c>
      <c r="F1173">
        <v>1606</v>
      </c>
      <c r="G1173">
        <v>1</v>
      </c>
      <c r="H1173">
        <v>0.2</v>
      </c>
      <c r="I1173">
        <v>0</v>
      </c>
      <c r="J1173">
        <v>-79.724400000000003</v>
      </c>
      <c r="K1173">
        <v>524.33199999999999</v>
      </c>
      <c r="L1173" s="1">
        <f>0</f>
        <v>0</v>
      </c>
    </row>
    <row r="1174" spans="1:12" x14ac:dyDescent="0.25">
      <c r="A1174">
        <f>80283592*0.00001</f>
        <v>802.8359200000001</v>
      </c>
      <c r="B1174">
        <v>3491</v>
      </c>
      <c r="C1174">
        <v>131</v>
      </c>
      <c r="D1174">
        <v>266.411</v>
      </c>
      <c r="E1174" s="1">
        <f>4199</f>
        <v>4199</v>
      </c>
      <c r="F1174">
        <v>1606</v>
      </c>
      <c r="G1174">
        <v>1</v>
      </c>
      <c r="H1174">
        <v>0.2</v>
      </c>
      <c r="I1174">
        <v>0</v>
      </c>
      <c r="J1174">
        <v>-79.724400000000003</v>
      </c>
      <c r="K1174">
        <v>524.33199999999999</v>
      </c>
      <c r="L1174">
        <v>0</v>
      </c>
    </row>
    <row r="1175" spans="1:12" x14ac:dyDescent="0.25">
      <c r="A1175">
        <f>80283717*0.00001</f>
        <v>802.83717000000001</v>
      </c>
      <c r="B1175">
        <v>3491</v>
      </c>
      <c r="C1175">
        <v>132</v>
      </c>
      <c r="D1175">
        <v>266.411</v>
      </c>
      <c r="E1175">
        <v>4199</v>
      </c>
      <c r="F1175" s="1">
        <f>1606</f>
        <v>1606</v>
      </c>
      <c r="G1175" s="1">
        <f>1</f>
        <v>1</v>
      </c>
      <c r="H1175">
        <v>0.2</v>
      </c>
      <c r="I1175">
        <v>0</v>
      </c>
      <c r="J1175">
        <v>-79.724400000000003</v>
      </c>
      <c r="K1175">
        <v>524.33199999999999</v>
      </c>
      <c r="L1175">
        <v>0</v>
      </c>
    </row>
    <row r="1176" spans="1:12" x14ac:dyDescent="0.25">
      <c r="A1176">
        <f>80283843*0.00001</f>
        <v>802.83843000000002</v>
      </c>
      <c r="B1176">
        <v>3491</v>
      </c>
      <c r="C1176">
        <v>133</v>
      </c>
      <c r="D1176">
        <v>266.411</v>
      </c>
      <c r="E1176">
        <v>4199</v>
      </c>
      <c r="F1176">
        <v>1606</v>
      </c>
      <c r="G1176">
        <v>1</v>
      </c>
      <c r="H1176" s="1">
        <f>0.2</f>
        <v>0.2</v>
      </c>
      <c r="I1176" s="1">
        <f>0</f>
        <v>0</v>
      </c>
      <c r="J1176">
        <v>-79.724400000000003</v>
      </c>
      <c r="K1176">
        <v>524.33199999999999</v>
      </c>
      <c r="L1176">
        <v>0</v>
      </c>
    </row>
    <row r="1177" spans="1:12" x14ac:dyDescent="0.25">
      <c r="A1177">
        <f>80283968*0.00001</f>
        <v>802.83968000000004</v>
      </c>
      <c r="B1177">
        <v>3491</v>
      </c>
      <c r="C1177">
        <v>134</v>
      </c>
      <c r="D1177" s="1">
        <f>265.946</f>
        <v>265.94600000000003</v>
      </c>
      <c r="E1177" s="1">
        <f>4203</f>
        <v>4203</v>
      </c>
      <c r="F1177" s="1">
        <f>1606</f>
        <v>1606</v>
      </c>
      <c r="G1177" s="1">
        <f>1</f>
        <v>1</v>
      </c>
      <c r="H1177">
        <v>0.2</v>
      </c>
      <c r="I1177">
        <v>0</v>
      </c>
      <c r="J1177" s="1">
        <f>-79.3361</f>
        <v>-79.336100000000002</v>
      </c>
      <c r="K1177" s="1">
        <f>524.224</f>
        <v>524.22400000000005</v>
      </c>
      <c r="L1177" s="1">
        <f>0</f>
        <v>0</v>
      </c>
    </row>
    <row r="1178" spans="1:12" x14ac:dyDescent="0.25">
      <c r="A1178">
        <f>80284468*0.00001</f>
        <v>802.84468000000004</v>
      </c>
      <c r="B1178">
        <v>3491</v>
      </c>
      <c r="C1178">
        <v>138</v>
      </c>
      <c r="D1178">
        <v>265.94600000000003</v>
      </c>
      <c r="E1178">
        <v>4203</v>
      </c>
      <c r="F1178">
        <v>1606</v>
      </c>
      <c r="G1178">
        <v>1</v>
      </c>
      <c r="H1178">
        <v>0.2</v>
      </c>
      <c r="I1178" s="1">
        <f>0</f>
        <v>0</v>
      </c>
      <c r="J1178">
        <v>-79.336100000000002</v>
      </c>
      <c r="K1178">
        <v>524.22400000000005</v>
      </c>
      <c r="L1178">
        <v>0</v>
      </c>
    </row>
    <row r="1179" spans="1:12" x14ac:dyDescent="0.25">
      <c r="A1179">
        <f>80284593*0.00001</f>
        <v>802.84593000000007</v>
      </c>
      <c r="B1179">
        <v>3491</v>
      </c>
      <c r="C1179">
        <v>139</v>
      </c>
      <c r="D1179">
        <v>265.94600000000003</v>
      </c>
      <c r="E1179">
        <v>4203</v>
      </c>
      <c r="F1179">
        <v>1606</v>
      </c>
      <c r="G1179">
        <v>1</v>
      </c>
      <c r="H1179">
        <v>0.2</v>
      </c>
      <c r="I1179">
        <v>0</v>
      </c>
      <c r="J1179">
        <v>-79.336100000000002</v>
      </c>
      <c r="K1179" s="1">
        <f>524.164</f>
        <v>524.16399999999999</v>
      </c>
      <c r="L1179">
        <v>0</v>
      </c>
    </row>
    <row r="1180" spans="1:12" x14ac:dyDescent="0.25">
      <c r="A1180">
        <f>80284718*0.00001</f>
        <v>802.84718000000009</v>
      </c>
      <c r="B1180">
        <v>3491</v>
      </c>
      <c r="C1180">
        <v>140</v>
      </c>
      <c r="D1180" s="1">
        <f>265.69</f>
        <v>265.69</v>
      </c>
      <c r="E1180">
        <v>4203</v>
      </c>
      <c r="F1180">
        <v>1606</v>
      </c>
      <c r="G1180">
        <v>1</v>
      </c>
      <c r="H1180">
        <v>0.2</v>
      </c>
      <c r="I1180">
        <v>0</v>
      </c>
      <c r="J1180">
        <v>-79.336100000000002</v>
      </c>
      <c r="K1180">
        <v>524.16399999999999</v>
      </c>
      <c r="L1180">
        <v>0</v>
      </c>
    </row>
    <row r="1181" spans="1:12" x14ac:dyDescent="0.25">
      <c r="A1181">
        <f>80284843*0.00001</f>
        <v>802.84843000000012</v>
      </c>
      <c r="B1181">
        <v>3491</v>
      </c>
      <c r="C1181">
        <v>141</v>
      </c>
      <c r="D1181">
        <v>265.69</v>
      </c>
      <c r="E1181" s="1">
        <f>4209</f>
        <v>4209</v>
      </c>
      <c r="F1181" s="1">
        <f>1606</f>
        <v>1606</v>
      </c>
      <c r="G1181">
        <v>1</v>
      </c>
      <c r="H1181">
        <v>0.2</v>
      </c>
      <c r="I1181">
        <v>0</v>
      </c>
      <c r="J1181">
        <v>-79.336100000000002</v>
      </c>
      <c r="K1181">
        <v>524.16399999999999</v>
      </c>
      <c r="L1181">
        <v>0</v>
      </c>
    </row>
    <row r="1182" spans="1:12" x14ac:dyDescent="0.25">
      <c r="A1182">
        <f>80284969*0.00001</f>
        <v>802.84969000000001</v>
      </c>
      <c r="B1182">
        <v>3491</v>
      </c>
      <c r="C1182">
        <v>142</v>
      </c>
      <c r="D1182">
        <v>265.69</v>
      </c>
      <c r="E1182">
        <v>4209</v>
      </c>
      <c r="F1182">
        <v>1606</v>
      </c>
      <c r="G1182" s="1">
        <f>1</f>
        <v>1</v>
      </c>
      <c r="H1182" s="1">
        <f>0.2</f>
        <v>0.2</v>
      </c>
      <c r="I1182">
        <v>0</v>
      </c>
      <c r="J1182">
        <v>-79.336100000000002</v>
      </c>
      <c r="K1182">
        <v>524.16399999999999</v>
      </c>
      <c r="L1182">
        <v>0</v>
      </c>
    </row>
    <row r="1183" spans="1:12" x14ac:dyDescent="0.25">
      <c r="A1183">
        <f>80285095*0.00001</f>
        <v>802.85095000000001</v>
      </c>
      <c r="B1183">
        <v>3491</v>
      </c>
      <c r="C1183">
        <v>143</v>
      </c>
      <c r="D1183" s="1">
        <f>265.442</f>
        <v>265.44200000000001</v>
      </c>
      <c r="E1183" s="1">
        <f>4215</f>
        <v>4215</v>
      </c>
      <c r="F1183" s="1">
        <f>1606</f>
        <v>1606</v>
      </c>
      <c r="G1183">
        <v>1</v>
      </c>
      <c r="H1183">
        <v>0.2</v>
      </c>
      <c r="I1183" s="1">
        <f>0</f>
        <v>0</v>
      </c>
      <c r="J1183" s="1">
        <f>-78.6107</f>
        <v>-78.610699999999994</v>
      </c>
      <c r="K1183" s="1">
        <f>524.105</f>
        <v>524.10500000000002</v>
      </c>
      <c r="L1183" s="1">
        <f>0</f>
        <v>0</v>
      </c>
    </row>
    <row r="1184" spans="1:12" x14ac:dyDescent="0.25">
      <c r="A1184">
        <f>80285597*0.00001</f>
        <v>802.85597000000007</v>
      </c>
      <c r="B1184">
        <v>3491</v>
      </c>
      <c r="C1184">
        <v>147</v>
      </c>
      <c r="D1184">
        <v>265.44200000000001</v>
      </c>
      <c r="E1184">
        <v>4215</v>
      </c>
      <c r="F1184">
        <v>1606</v>
      </c>
      <c r="G1184">
        <v>1</v>
      </c>
      <c r="H1184" s="1">
        <f>0.2</f>
        <v>0.2</v>
      </c>
      <c r="I1184">
        <v>0</v>
      </c>
      <c r="J1184">
        <v>-78.610699999999994</v>
      </c>
      <c r="K1184">
        <v>524.10500000000002</v>
      </c>
      <c r="L1184">
        <v>0</v>
      </c>
    </row>
    <row r="1185" spans="1:12" x14ac:dyDescent="0.25">
      <c r="A1185">
        <f>80285723*0.00001</f>
        <v>802.85723000000007</v>
      </c>
      <c r="B1185">
        <v>3491</v>
      </c>
      <c r="C1185">
        <v>148</v>
      </c>
      <c r="D1185">
        <v>265.44200000000001</v>
      </c>
      <c r="E1185">
        <v>4215</v>
      </c>
      <c r="F1185">
        <v>1606</v>
      </c>
      <c r="G1185">
        <v>1</v>
      </c>
      <c r="H1185">
        <v>0.2</v>
      </c>
      <c r="I1185">
        <v>0</v>
      </c>
      <c r="J1185" s="1">
        <f>-78.1733</f>
        <v>-78.173299999999998</v>
      </c>
      <c r="K1185">
        <v>524.10500000000002</v>
      </c>
      <c r="L1185">
        <v>0</v>
      </c>
    </row>
    <row r="1186" spans="1:12" x14ac:dyDescent="0.25">
      <c r="A1186">
        <f>80285849*0.00001</f>
        <v>802.85849000000007</v>
      </c>
      <c r="B1186">
        <v>3491</v>
      </c>
      <c r="C1186">
        <v>149</v>
      </c>
      <c r="D1186">
        <v>265.44200000000001</v>
      </c>
      <c r="E1186">
        <v>4215</v>
      </c>
      <c r="F1186">
        <v>1606</v>
      </c>
      <c r="G1186">
        <v>1</v>
      </c>
      <c r="H1186">
        <v>0.2</v>
      </c>
      <c r="I1186">
        <v>0</v>
      </c>
      <c r="J1186">
        <v>-78.173299999999998</v>
      </c>
      <c r="K1186">
        <v>524.10500000000002</v>
      </c>
      <c r="L1186" s="1">
        <f>0</f>
        <v>0</v>
      </c>
    </row>
    <row r="1187" spans="1:12" x14ac:dyDescent="0.25">
      <c r="A1187">
        <f>80285975*0.00001</f>
        <v>802.85975000000008</v>
      </c>
      <c r="B1187">
        <v>3491</v>
      </c>
      <c r="C1187">
        <v>150</v>
      </c>
      <c r="D1187" s="1">
        <f>265.203</f>
        <v>265.20299999999997</v>
      </c>
      <c r="E1187" s="1">
        <f>4221</f>
        <v>4221</v>
      </c>
      <c r="F1187">
        <v>1606</v>
      </c>
      <c r="G1187">
        <v>1</v>
      </c>
      <c r="H1187">
        <v>0.2</v>
      </c>
      <c r="I1187">
        <v>0</v>
      </c>
      <c r="J1187">
        <v>-78.173299999999998</v>
      </c>
      <c r="K1187">
        <v>524.10500000000002</v>
      </c>
      <c r="L1187">
        <v>0</v>
      </c>
    </row>
    <row r="1188" spans="1:12" x14ac:dyDescent="0.25">
      <c r="A1188">
        <f>80286101*0.00001</f>
        <v>802.86101000000008</v>
      </c>
      <c r="B1188">
        <v>3491</v>
      </c>
      <c r="C1188">
        <v>151</v>
      </c>
      <c r="D1188">
        <v>265.20299999999997</v>
      </c>
      <c r="E1188">
        <v>4221</v>
      </c>
      <c r="F1188" s="1">
        <f>1606</f>
        <v>1606</v>
      </c>
      <c r="G1188" s="1">
        <f>1</f>
        <v>1</v>
      </c>
      <c r="H1188">
        <v>0.2</v>
      </c>
      <c r="I1188">
        <v>0</v>
      </c>
      <c r="J1188">
        <v>-78.173299999999998</v>
      </c>
      <c r="K1188">
        <v>524.10500000000002</v>
      </c>
      <c r="L1188">
        <v>0</v>
      </c>
    </row>
    <row r="1189" spans="1:12" x14ac:dyDescent="0.25">
      <c r="A1189">
        <f>80286226*0.00001</f>
        <v>802.86226000000011</v>
      </c>
      <c r="B1189">
        <v>3491</v>
      </c>
      <c r="C1189">
        <v>152</v>
      </c>
      <c r="D1189" s="1">
        <f>264.995</f>
        <v>264.995</v>
      </c>
      <c r="E1189" s="1">
        <f>4227</f>
        <v>4227</v>
      </c>
      <c r="F1189">
        <v>1606</v>
      </c>
      <c r="G1189">
        <v>1</v>
      </c>
      <c r="H1189" s="1">
        <f>0.2</f>
        <v>0.2</v>
      </c>
      <c r="I1189" s="1">
        <f>0</f>
        <v>0</v>
      </c>
      <c r="J1189" s="1">
        <f>-77.7796</f>
        <v>-77.779600000000002</v>
      </c>
      <c r="K1189" s="1">
        <f>523.998</f>
        <v>523.99800000000005</v>
      </c>
      <c r="L1189" s="1">
        <f>0</f>
        <v>0</v>
      </c>
    </row>
    <row r="1190" spans="1:12" x14ac:dyDescent="0.25">
      <c r="A1190">
        <f>80286730*0.00001</f>
        <v>802.86730000000011</v>
      </c>
      <c r="B1190">
        <v>3491</v>
      </c>
      <c r="C1190">
        <v>156</v>
      </c>
      <c r="D1190">
        <v>264.995</v>
      </c>
      <c r="E1190">
        <v>4227</v>
      </c>
      <c r="F1190">
        <v>1606</v>
      </c>
      <c r="G1190" s="1">
        <f>1</f>
        <v>1</v>
      </c>
      <c r="H1190">
        <v>0.2</v>
      </c>
      <c r="I1190">
        <v>0</v>
      </c>
      <c r="J1190">
        <v>-77.779600000000002</v>
      </c>
      <c r="K1190">
        <v>523.99800000000005</v>
      </c>
      <c r="L1190">
        <v>0</v>
      </c>
    </row>
    <row r="1191" spans="1:12" x14ac:dyDescent="0.25">
      <c r="A1191">
        <f>80286856*0.00001</f>
        <v>802.86856000000012</v>
      </c>
      <c r="B1191">
        <v>3491</v>
      </c>
      <c r="C1191">
        <v>157</v>
      </c>
      <c r="D1191">
        <v>264.995</v>
      </c>
      <c r="E1191">
        <v>4227</v>
      </c>
      <c r="F1191">
        <v>1606</v>
      </c>
      <c r="G1191">
        <v>1</v>
      </c>
      <c r="H1191">
        <v>0.2</v>
      </c>
      <c r="I1191" s="1">
        <f>0</f>
        <v>0</v>
      </c>
      <c r="J1191">
        <v>-77.779600000000002</v>
      </c>
      <c r="K1191">
        <v>523.99800000000005</v>
      </c>
      <c r="L1191">
        <v>0</v>
      </c>
    </row>
    <row r="1192" spans="1:12" x14ac:dyDescent="0.25">
      <c r="A1192">
        <f>80286981*0.00001</f>
        <v>802.86981000000003</v>
      </c>
      <c r="B1192">
        <v>3491</v>
      </c>
      <c r="C1192">
        <v>158</v>
      </c>
      <c r="D1192">
        <v>264.995</v>
      </c>
      <c r="E1192">
        <v>4227</v>
      </c>
      <c r="F1192">
        <v>1606</v>
      </c>
      <c r="G1192">
        <v>1</v>
      </c>
      <c r="H1192">
        <v>0.2</v>
      </c>
      <c r="I1192">
        <v>0</v>
      </c>
      <c r="J1192">
        <v>-77.779600000000002</v>
      </c>
      <c r="K1192" s="1">
        <f>523.939</f>
        <v>523.93899999999996</v>
      </c>
      <c r="L1192">
        <v>0</v>
      </c>
    </row>
    <row r="1193" spans="1:12" x14ac:dyDescent="0.25">
      <c r="A1193">
        <f>80287107*0.00001</f>
        <v>802.87107000000003</v>
      </c>
      <c r="B1193">
        <v>3491</v>
      </c>
      <c r="C1193">
        <v>159</v>
      </c>
      <c r="D1193" s="1">
        <f>264.764</f>
        <v>264.76400000000001</v>
      </c>
      <c r="E1193">
        <v>4227</v>
      </c>
      <c r="F1193">
        <v>1606</v>
      </c>
      <c r="G1193">
        <v>1</v>
      </c>
      <c r="H1193">
        <v>0.2</v>
      </c>
      <c r="I1193">
        <v>0</v>
      </c>
      <c r="J1193">
        <v>-77.779600000000002</v>
      </c>
      <c r="K1193">
        <v>523.93899999999996</v>
      </c>
      <c r="L1193" s="1">
        <f>0</f>
        <v>0</v>
      </c>
    </row>
    <row r="1194" spans="1:12" x14ac:dyDescent="0.25">
      <c r="A1194">
        <f>80287233*0.00001</f>
        <v>802.87233000000003</v>
      </c>
      <c r="B1194">
        <v>3491</v>
      </c>
      <c r="C1194">
        <v>160</v>
      </c>
      <c r="D1194">
        <v>264.76400000000001</v>
      </c>
      <c r="E1194" s="1">
        <f>4231</f>
        <v>4231</v>
      </c>
      <c r="F1194" s="1">
        <f>1607</f>
        <v>1607</v>
      </c>
      <c r="G1194">
        <v>1</v>
      </c>
      <c r="H1194">
        <v>0.2</v>
      </c>
      <c r="I1194">
        <v>0</v>
      </c>
      <c r="J1194">
        <v>-77.779600000000002</v>
      </c>
      <c r="K1194">
        <v>523.93899999999996</v>
      </c>
      <c r="L1194">
        <v>0</v>
      </c>
    </row>
    <row r="1195" spans="1:12" x14ac:dyDescent="0.25">
      <c r="A1195">
        <f>80287359*0.00001</f>
        <v>802.87359000000004</v>
      </c>
      <c r="B1195">
        <v>3491</v>
      </c>
      <c r="C1195">
        <v>161</v>
      </c>
      <c r="D1195" s="1">
        <f>264.501</f>
        <v>264.50099999999998</v>
      </c>
      <c r="E1195">
        <v>4231</v>
      </c>
      <c r="F1195">
        <v>1607</v>
      </c>
      <c r="G1195" s="1">
        <f>1</f>
        <v>1</v>
      </c>
      <c r="H1195" s="1">
        <f>0.2</f>
        <v>0.2</v>
      </c>
      <c r="I1195" s="1">
        <f>0</f>
        <v>0</v>
      </c>
      <c r="J1195" s="1">
        <f>-77.0594</f>
        <v>-77.059399999999997</v>
      </c>
      <c r="K1195" s="1">
        <f>523.881</f>
        <v>523.88099999999997</v>
      </c>
      <c r="L1195" s="1">
        <f>0</f>
        <v>0</v>
      </c>
    </row>
    <row r="1196" spans="1:12" x14ac:dyDescent="0.25">
      <c r="A1196">
        <f>80287863*0.00001</f>
        <v>802.87863000000004</v>
      </c>
      <c r="B1196">
        <v>3491</v>
      </c>
      <c r="C1196">
        <v>165</v>
      </c>
      <c r="D1196">
        <v>264.50099999999998</v>
      </c>
      <c r="E1196">
        <v>4231</v>
      </c>
      <c r="F1196" s="1">
        <f>1607</f>
        <v>1607</v>
      </c>
      <c r="G1196">
        <v>1</v>
      </c>
      <c r="H1196">
        <v>0.2</v>
      </c>
      <c r="I1196">
        <v>0</v>
      </c>
      <c r="J1196">
        <v>-77.059399999999997</v>
      </c>
      <c r="K1196">
        <v>523.88099999999997</v>
      </c>
      <c r="L1196">
        <v>0</v>
      </c>
    </row>
    <row r="1197" spans="1:12" x14ac:dyDescent="0.25">
      <c r="A1197">
        <f>80287989*0.00001</f>
        <v>802.87989000000005</v>
      </c>
      <c r="B1197">
        <v>3491</v>
      </c>
      <c r="C1197">
        <v>166</v>
      </c>
      <c r="D1197">
        <v>264.50099999999998</v>
      </c>
      <c r="E1197">
        <v>4231</v>
      </c>
      <c r="F1197">
        <v>1607</v>
      </c>
      <c r="G1197">
        <v>1</v>
      </c>
      <c r="H1197" s="1">
        <f>0.2</f>
        <v>0.2</v>
      </c>
      <c r="I1197">
        <v>0</v>
      </c>
      <c r="J1197">
        <v>-77.059399999999997</v>
      </c>
      <c r="K1197">
        <v>523.88099999999997</v>
      </c>
      <c r="L1197">
        <v>0</v>
      </c>
    </row>
    <row r="1198" spans="1:12" x14ac:dyDescent="0.25">
      <c r="A1198">
        <f>80288115*0.00001</f>
        <v>802.88115000000005</v>
      </c>
      <c r="B1198">
        <v>3491</v>
      </c>
      <c r="C1198">
        <v>167</v>
      </c>
      <c r="D1198">
        <v>264.50099999999998</v>
      </c>
      <c r="E1198">
        <v>4231</v>
      </c>
      <c r="F1198">
        <v>1607</v>
      </c>
      <c r="G1198">
        <v>1</v>
      </c>
      <c r="H1198">
        <v>0.2</v>
      </c>
      <c r="I1198">
        <v>0</v>
      </c>
      <c r="J1198" s="1">
        <f>-76.6481</f>
        <v>-76.648099999999999</v>
      </c>
      <c r="K1198">
        <v>523.88099999999997</v>
      </c>
      <c r="L1198">
        <v>0</v>
      </c>
    </row>
    <row r="1199" spans="1:12" x14ac:dyDescent="0.25">
      <c r="A1199">
        <f>80288241*0.00001</f>
        <v>802.88241000000005</v>
      </c>
      <c r="B1199">
        <v>3491</v>
      </c>
      <c r="C1199">
        <v>168</v>
      </c>
      <c r="D1199">
        <v>264.50099999999998</v>
      </c>
      <c r="E1199">
        <v>4231</v>
      </c>
      <c r="F1199">
        <v>1607</v>
      </c>
      <c r="G1199">
        <v>1</v>
      </c>
      <c r="H1199">
        <v>0.2</v>
      </c>
      <c r="I1199">
        <v>0</v>
      </c>
      <c r="J1199">
        <v>-76.648099999999999</v>
      </c>
      <c r="K1199" s="1">
        <f>523.823</f>
        <v>523.82299999999998</v>
      </c>
      <c r="L1199" s="1">
        <f>0</f>
        <v>0</v>
      </c>
    </row>
    <row r="1200" spans="1:12" x14ac:dyDescent="0.25">
      <c r="A1200">
        <f>80288367*0.00001</f>
        <v>802.88367000000005</v>
      </c>
      <c r="B1200">
        <v>3491</v>
      </c>
      <c r="C1200">
        <v>169</v>
      </c>
      <c r="D1200" s="1">
        <f>264.267</f>
        <v>264.267</v>
      </c>
      <c r="E1200" s="1">
        <f>4242</f>
        <v>4242</v>
      </c>
      <c r="F1200">
        <v>1607</v>
      </c>
      <c r="G1200">
        <v>1</v>
      </c>
      <c r="H1200">
        <v>0.2</v>
      </c>
      <c r="I1200">
        <v>0</v>
      </c>
      <c r="J1200">
        <v>-76.648099999999999</v>
      </c>
      <c r="K1200">
        <v>523.82299999999998</v>
      </c>
      <c r="L1200">
        <v>0</v>
      </c>
    </row>
    <row r="1201" spans="1:12" x14ac:dyDescent="0.25">
      <c r="A1201">
        <f>80288493*0.00001</f>
        <v>802.88493000000005</v>
      </c>
      <c r="B1201">
        <v>3491</v>
      </c>
      <c r="C1201">
        <v>170</v>
      </c>
      <c r="D1201">
        <v>264.267</v>
      </c>
      <c r="E1201">
        <v>4242</v>
      </c>
      <c r="F1201" s="1">
        <f>1607</f>
        <v>1607</v>
      </c>
      <c r="G1201" s="1">
        <f>1</f>
        <v>1</v>
      </c>
      <c r="H1201" s="1">
        <f>0.2</f>
        <v>0.2</v>
      </c>
      <c r="I1201" s="1">
        <f>0</f>
        <v>0</v>
      </c>
      <c r="J1201" s="1">
        <f>-76.2382</f>
        <v>-76.238200000000006</v>
      </c>
      <c r="K1201" s="1">
        <f>523.776</f>
        <v>523.77599999999995</v>
      </c>
      <c r="L1201" s="1">
        <f>0</f>
        <v>0</v>
      </c>
    </row>
    <row r="1202" spans="1:12" x14ac:dyDescent="0.25">
      <c r="A1202">
        <f>80288998*0.00001</f>
        <v>802.88998000000004</v>
      </c>
      <c r="B1202">
        <v>3491</v>
      </c>
      <c r="C1202">
        <v>174</v>
      </c>
      <c r="D1202">
        <v>264.267</v>
      </c>
      <c r="E1202" s="1">
        <f>4248</f>
        <v>4248</v>
      </c>
      <c r="F1202">
        <v>1607</v>
      </c>
      <c r="G1202">
        <v>1</v>
      </c>
      <c r="H1202">
        <v>0.2</v>
      </c>
      <c r="I1202">
        <v>0</v>
      </c>
      <c r="J1202">
        <v>-76.238200000000006</v>
      </c>
      <c r="K1202">
        <v>523.77599999999995</v>
      </c>
      <c r="L1202">
        <v>0</v>
      </c>
    </row>
    <row r="1203" spans="1:12" x14ac:dyDescent="0.25">
      <c r="A1203">
        <f>80289125*0.00001</f>
        <v>802.89125000000001</v>
      </c>
      <c r="B1203">
        <v>3491</v>
      </c>
      <c r="C1203">
        <v>175</v>
      </c>
      <c r="D1203">
        <v>264.267</v>
      </c>
      <c r="E1203">
        <v>4248</v>
      </c>
      <c r="F1203">
        <v>1607</v>
      </c>
      <c r="G1203" s="1">
        <f>1</f>
        <v>1</v>
      </c>
      <c r="H1203">
        <v>0.2</v>
      </c>
      <c r="I1203">
        <v>0</v>
      </c>
      <c r="J1203">
        <v>-76.238200000000006</v>
      </c>
      <c r="K1203">
        <v>523.77599999999995</v>
      </c>
      <c r="L1203">
        <v>0</v>
      </c>
    </row>
    <row r="1204" spans="1:12" x14ac:dyDescent="0.25">
      <c r="A1204">
        <f>80289251*0.00001</f>
        <v>802.89251000000002</v>
      </c>
      <c r="B1204">
        <v>3491</v>
      </c>
      <c r="C1204">
        <v>176</v>
      </c>
      <c r="D1204">
        <v>264.267</v>
      </c>
      <c r="E1204">
        <v>4248</v>
      </c>
      <c r="F1204">
        <v>1607</v>
      </c>
      <c r="G1204">
        <v>1</v>
      </c>
      <c r="H1204">
        <v>0.2</v>
      </c>
      <c r="I1204" s="1">
        <f>0</f>
        <v>0</v>
      </c>
      <c r="J1204">
        <v>-76.238200000000006</v>
      </c>
      <c r="K1204">
        <v>523.77599999999995</v>
      </c>
      <c r="L1204">
        <v>0</v>
      </c>
    </row>
    <row r="1205" spans="1:12" x14ac:dyDescent="0.25">
      <c r="A1205">
        <f>80289377*0.00001</f>
        <v>802.89377000000002</v>
      </c>
      <c r="B1205">
        <v>3491</v>
      </c>
      <c r="C1205">
        <v>177</v>
      </c>
      <c r="D1205">
        <v>264.267</v>
      </c>
      <c r="E1205">
        <v>4248</v>
      </c>
      <c r="F1205">
        <v>1607</v>
      </c>
      <c r="G1205">
        <v>1</v>
      </c>
      <c r="H1205">
        <v>0.2</v>
      </c>
      <c r="I1205">
        <v>0</v>
      </c>
      <c r="J1205" s="1">
        <f>-75.8701</f>
        <v>-75.870099999999994</v>
      </c>
      <c r="K1205" s="1">
        <f>523.718</f>
        <v>523.71799999999996</v>
      </c>
      <c r="L1205">
        <v>0</v>
      </c>
    </row>
    <row r="1206" spans="1:12" x14ac:dyDescent="0.25">
      <c r="A1206">
        <f>80289503*0.00001</f>
        <v>802.89503000000002</v>
      </c>
      <c r="B1206">
        <v>3491</v>
      </c>
      <c r="C1206">
        <v>178</v>
      </c>
      <c r="D1206" s="1">
        <f>263.841</f>
        <v>263.84100000000001</v>
      </c>
      <c r="E1206" s="1">
        <f>4253</f>
        <v>4253</v>
      </c>
      <c r="F1206" s="1">
        <f>1607</f>
        <v>1607</v>
      </c>
      <c r="G1206">
        <v>1</v>
      </c>
      <c r="H1206">
        <v>0.2</v>
      </c>
      <c r="I1206">
        <v>0</v>
      </c>
      <c r="J1206">
        <v>-75.870099999999994</v>
      </c>
      <c r="K1206">
        <v>523.71799999999996</v>
      </c>
      <c r="L1206" s="1">
        <f>0</f>
        <v>0</v>
      </c>
    </row>
    <row r="1207" spans="1:12" s="2" customFormat="1" x14ac:dyDescent="0.25">
      <c r="A1207" s="2">
        <f>80289757*0.00001</f>
        <v>802.89757000000009</v>
      </c>
      <c r="B1207" s="2">
        <v>3492</v>
      </c>
      <c r="C1207" s="2">
        <v>0</v>
      </c>
      <c r="D1207" s="1">
        <f>263.681</f>
        <v>263.68099999999998</v>
      </c>
      <c r="E1207" s="2">
        <v>4253</v>
      </c>
      <c r="F1207" s="2">
        <v>1607</v>
      </c>
      <c r="G1207" s="1">
        <f>1</f>
        <v>1</v>
      </c>
      <c r="H1207" s="1">
        <f>0.2</f>
        <v>0.2</v>
      </c>
      <c r="I1207" s="1">
        <f>0</f>
        <v>0</v>
      </c>
      <c r="J1207" s="1">
        <f>-75.6418</f>
        <v>-75.641800000000003</v>
      </c>
      <c r="K1207" s="1">
        <f>523.684</f>
        <v>523.68399999999997</v>
      </c>
      <c r="L1207" s="1">
        <f>0</f>
        <v>0</v>
      </c>
    </row>
    <row r="1208" spans="1:12" x14ac:dyDescent="0.25">
      <c r="A1208">
        <f>80290264*0.00001</f>
        <v>802.90264000000002</v>
      </c>
      <c r="B1208">
        <v>3492</v>
      </c>
      <c r="C1208">
        <v>4</v>
      </c>
      <c r="D1208">
        <v>263.68099999999998</v>
      </c>
      <c r="E1208">
        <v>4253</v>
      </c>
      <c r="F1208" s="1">
        <f>1607</f>
        <v>1607</v>
      </c>
      <c r="G1208">
        <v>1</v>
      </c>
      <c r="H1208">
        <v>0.2</v>
      </c>
      <c r="I1208">
        <v>0</v>
      </c>
      <c r="J1208">
        <v>-75.641800000000003</v>
      </c>
      <c r="K1208">
        <v>523.68399999999997</v>
      </c>
      <c r="L1208">
        <v>0</v>
      </c>
    </row>
    <row r="1209" spans="1:12" x14ac:dyDescent="0.25">
      <c r="A1209">
        <f>80290390*0.00001</f>
        <v>802.90390000000002</v>
      </c>
      <c r="B1209">
        <v>3492</v>
      </c>
      <c r="C1209">
        <v>5</v>
      </c>
      <c r="D1209">
        <v>263.68099999999998</v>
      </c>
      <c r="E1209">
        <v>4253</v>
      </c>
      <c r="F1209">
        <v>1607</v>
      </c>
      <c r="G1209">
        <v>1</v>
      </c>
      <c r="H1209" s="1">
        <f>0.2</f>
        <v>0.2</v>
      </c>
      <c r="I1209">
        <v>0</v>
      </c>
      <c r="J1209">
        <v>-75.641800000000003</v>
      </c>
      <c r="K1209">
        <v>523.68399999999997</v>
      </c>
      <c r="L1209">
        <v>0</v>
      </c>
    </row>
    <row r="1210" spans="1:12" x14ac:dyDescent="0.25">
      <c r="A1210">
        <f>80290516*0.00001</f>
        <v>802.90516000000002</v>
      </c>
      <c r="B1210">
        <v>3492</v>
      </c>
      <c r="C1210">
        <v>6</v>
      </c>
      <c r="D1210">
        <v>263.68099999999998</v>
      </c>
      <c r="E1210">
        <v>4253</v>
      </c>
      <c r="F1210">
        <v>1607</v>
      </c>
      <c r="G1210">
        <v>1</v>
      </c>
      <c r="H1210">
        <v>0.2</v>
      </c>
      <c r="I1210">
        <v>0</v>
      </c>
      <c r="J1210" s="1">
        <f>-75.2277</f>
        <v>-75.227699999999999</v>
      </c>
      <c r="K1210">
        <v>523.68399999999997</v>
      </c>
      <c r="L1210">
        <v>0</v>
      </c>
    </row>
    <row r="1211" spans="1:12" x14ac:dyDescent="0.25">
      <c r="A1211">
        <f>80290642*0.00001</f>
        <v>802.90642000000003</v>
      </c>
      <c r="B1211">
        <v>3492</v>
      </c>
      <c r="C1211">
        <v>7</v>
      </c>
      <c r="D1211">
        <v>263.68099999999998</v>
      </c>
      <c r="E1211">
        <v>4253</v>
      </c>
      <c r="F1211">
        <v>1607</v>
      </c>
      <c r="G1211">
        <v>1</v>
      </c>
      <c r="H1211">
        <v>0.2</v>
      </c>
      <c r="I1211">
        <v>0</v>
      </c>
      <c r="J1211">
        <v>-75.227699999999999</v>
      </c>
      <c r="K1211" s="1">
        <f>523.627</f>
        <v>523.62699999999995</v>
      </c>
      <c r="L1211" s="1">
        <f>0</f>
        <v>0</v>
      </c>
    </row>
    <row r="1212" spans="1:12" x14ac:dyDescent="0.25">
      <c r="A1212">
        <f>80290768*0.00001</f>
        <v>802.90768000000003</v>
      </c>
      <c r="B1212">
        <v>3492</v>
      </c>
      <c r="C1212">
        <v>8</v>
      </c>
      <c r="D1212" s="1">
        <f>263.467</f>
        <v>263.46699999999998</v>
      </c>
      <c r="E1212" s="1">
        <f>4262</f>
        <v>4262</v>
      </c>
      <c r="F1212">
        <v>1607</v>
      </c>
      <c r="G1212">
        <v>1</v>
      </c>
      <c r="H1212">
        <v>0.2</v>
      </c>
      <c r="I1212">
        <v>0</v>
      </c>
      <c r="J1212">
        <v>-75.227699999999999</v>
      </c>
      <c r="K1212">
        <v>523.62699999999995</v>
      </c>
      <c r="L1212">
        <v>0</v>
      </c>
    </row>
    <row r="1213" spans="1:12" x14ac:dyDescent="0.25">
      <c r="A1213">
        <f>80290894*0.00001</f>
        <v>802.90894000000003</v>
      </c>
      <c r="B1213">
        <v>3492</v>
      </c>
      <c r="C1213">
        <v>9</v>
      </c>
      <c r="D1213" s="1">
        <f>263.289</f>
        <v>263.28899999999999</v>
      </c>
      <c r="E1213" s="1">
        <f>4267</f>
        <v>4267</v>
      </c>
      <c r="F1213" s="1">
        <f>1607</f>
        <v>1607</v>
      </c>
      <c r="G1213" s="1">
        <f>1</f>
        <v>1</v>
      </c>
      <c r="H1213" s="1">
        <f>0.2</f>
        <v>0.2</v>
      </c>
      <c r="I1213" s="1">
        <f>0</f>
        <v>0</v>
      </c>
      <c r="J1213" s="1">
        <f>-74.872</f>
        <v>-74.872</v>
      </c>
      <c r="K1213" s="1">
        <f>523.581</f>
        <v>523.58100000000002</v>
      </c>
      <c r="L1213" s="1">
        <f>0</f>
        <v>0</v>
      </c>
    </row>
    <row r="1214" spans="1:12" x14ac:dyDescent="0.25">
      <c r="A1214">
        <f>80291526*0.00001</f>
        <v>802.9152600000001</v>
      </c>
      <c r="B1214">
        <v>3492</v>
      </c>
      <c r="C1214">
        <v>14</v>
      </c>
      <c r="D1214">
        <v>263.28899999999999</v>
      </c>
      <c r="E1214">
        <v>4267</v>
      </c>
      <c r="F1214">
        <v>1607</v>
      </c>
      <c r="G1214" s="1">
        <f>1</f>
        <v>1</v>
      </c>
      <c r="H1214">
        <v>0.2</v>
      </c>
      <c r="I1214">
        <v>0</v>
      </c>
      <c r="J1214">
        <v>-74.872</v>
      </c>
      <c r="K1214">
        <v>523.58100000000002</v>
      </c>
      <c r="L1214">
        <v>0</v>
      </c>
    </row>
    <row r="1215" spans="1:12" x14ac:dyDescent="0.25">
      <c r="A1215">
        <f>80291653*0.00001</f>
        <v>802.91653000000008</v>
      </c>
      <c r="B1215">
        <v>3492</v>
      </c>
      <c r="C1215">
        <v>15</v>
      </c>
      <c r="D1215">
        <v>263.28899999999999</v>
      </c>
      <c r="E1215">
        <v>4267</v>
      </c>
      <c r="F1215">
        <v>1607</v>
      </c>
      <c r="G1215">
        <v>1</v>
      </c>
      <c r="H1215">
        <v>0.2</v>
      </c>
      <c r="I1215" s="1">
        <f>0</f>
        <v>0</v>
      </c>
      <c r="J1215">
        <v>-74.872</v>
      </c>
      <c r="K1215">
        <v>523.58100000000002</v>
      </c>
      <c r="L1215">
        <v>0</v>
      </c>
    </row>
    <row r="1216" spans="1:12" x14ac:dyDescent="0.25">
      <c r="A1216">
        <f>80291780*0.00001</f>
        <v>802.91780000000006</v>
      </c>
      <c r="B1216">
        <v>3492</v>
      </c>
      <c r="C1216">
        <v>16</v>
      </c>
      <c r="D1216">
        <v>263.28899999999999</v>
      </c>
      <c r="E1216">
        <v>4267</v>
      </c>
      <c r="F1216">
        <v>1607</v>
      </c>
      <c r="G1216">
        <v>1</v>
      </c>
      <c r="H1216">
        <v>0.2</v>
      </c>
      <c r="I1216">
        <v>0</v>
      </c>
      <c r="J1216">
        <v>-74.872</v>
      </c>
      <c r="K1216" s="1">
        <f>523.524</f>
        <v>523.524</v>
      </c>
      <c r="L1216">
        <v>0</v>
      </c>
    </row>
    <row r="1217" spans="1:12" x14ac:dyDescent="0.25">
      <c r="A1217">
        <f>80291907*0.00001</f>
        <v>802.91907000000003</v>
      </c>
      <c r="B1217">
        <v>3492</v>
      </c>
      <c r="C1217">
        <v>17</v>
      </c>
      <c r="D1217" s="1">
        <f>263.069</f>
        <v>263.06900000000002</v>
      </c>
      <c r="E1217">
        <v>4267</v>
      </c>
      <c r="F1217">
        <v>1607</v>
      </c>
      <c r="G1217">
        <v>1</v>
      </c>
      <c r="H1217">
        <v>0.2</v>
      </c>
      <c r="I1217">
        <v>0</v>
      </c>
      <c r="J1217">
        <v>-74.872</v>
      </c>
      <c r="K1217">
        <v>523.524</v>
      </c>
      <c r="L1217" s="1">
        <f>0</f>
        <v>0</v>
      </c>
    </row>
    <row r="1218" spans="1:12" x14ac:dyDescent="0.25">
      <c r="A1218">
        <f>80292033*0.00001</f>
        <v>802.92033000000004</v>
      </c>
      <c r="B1218">
        <v>3492</v>
      </c>
      <c r="C1218">
        <v>18</v>
      </c>
      <c r="D1218">
        <v>263.06900000000002</v>
      </c>
      <c r="E1218" s="1">
        <f>4271</f>
        <v>4271</v>
      </c>
      <c r="F1218" s="1">
        <f>1607</f>
        <v>1607</v>
      </c>
      <c r="G1218">
        <v>1</v>
      </c>
      <c r="H1218">
        <v>0.2</v>
      </c>
      <c r="I1218">
        <v>0</v>
      </c>
      <c r="J1218">
        <v>-74.872</v>
      </c>
      <c r="K1218">
        <v>523.524</v>
      </c>
      <c r="L1218">
        <v>0</v>
      </c>
    </row>
    <row r="1219" spans="1:12" x14ac:dyDescent="0.25">
      <c r="A1219">
        <f>80292159*0.00001</f>
        <v>802.92159000000004</v>
      </c>
      <c r="B1219">
        <v>3492</v>
      </c>
      <c r="C1219">
        <v>19</v>
      </c>
      <c r="D1219">
        <v>263.06900000000002</v>
      </c>
      <c r="E1219">
        <v>4271</v>
      </c>
      <c r="F1219">
        <v>1607</v>
      </c>
      <c r="G1219" s="1">
        <f>1</f>
        <v>1</v>
      </c>
      <c r="H1219" s="1">
        <f>0.2</f>
        <v>0.2</v>
      </c>
      <c r="I1219">
        <v>0</v>
      </c>
      <c r="J1219">
        <v>-74.872</v>
      </c>
      <c r="K1219">
        <v>523.524</v>
      </c>
      <c r="L1219">
        <v>0</v>
      </c>
    </row>
    <row r="1220" spans="1:12" x14ac:dyDescent="0.25">
      <c r="A1220">
        <f>80292285*0.00001</f>
        <v>802.92285000000004</v>
      </c>
      <c r="B1220">
        <v>3492</v>
      </c>
      <c r="C1220">
        <v>20</v>
      </c>
      <c r="D1220" s="1">
        <f>262.888</f>
        <v>262.88799999999998</v>
      </c>
      <c r="E1220" s="1">
        <f>4276</f>
        <v>4276</v>
      </c>
      <c r="F1220" s="1">
        <f>1607</f>
        <v>1607</v>
      </c>
      <c r="G1220">
        <v>1</v>
      </c>
      <c r="H1220">
        <v>0.2</v>
      </c>
      <c r="I1220" s="1">
        <f>0</f>
        <v>0</v>
      </c>
      <c r="J1220" s="1">
        <f>-74.2175</f>
        <v>-74.217500000000001</v>
      </c>
      <c r="K1220" s="1">
        <f>523.467</f>
        <v>523.46699999999998</v>
      </c>
      <c r="L1220" s="1">
        <f>0</f>
        <v>0</v>
      </c>
    </row>
    <row r="1221" spans="1:12" x14ac:dyDescent="0.25">
      <c r="A1221">
        <f>80292793*0.00001</f>
        <v>802.92793000000006</v>
      </c>
      <c r="B1221">
        <v>3492</v>
      </c>
      <c r="C1221">
        <v>24</v>
      </c>
      <c r="D1221">
        <v>262.88799999999998</v>
      </c>
      <c r="E1221">
        <v>4276</v>
      </c>
      <c r="F1221">
        <v>1607</v>
      </c>
      <c r="G1221">
        <v>1</v>
      </c>
      <c r="H1221" s="1">
        <f>0.2</f>
        <v>0.2</v>
      </c>
      <c r="I1221">
        <v>0</v>
      </c>
      <c r="J1221">
        <v>-74.217500000000001</v>
      </c>
      <c r="K1221">
        <v>523.46699999999998</v>
      </c>
      <c r="L1221">
        <v>0</v>
      </c>
    </row>
    <row r="1222" spans="1:12" x14ac:dyDescent="0.25">
      <c r="A1222">
        <f>80292920*0.00001</f>
        <v>802.92920000000004</v>
      </c>
      <c r="B1222">
        <v>3492</v>
      </c>
      <c r="C1222">
        <v>25</v>
      </c>
      <c r="D1222">
        <v>262.88799999999998</v>
      </c>
      <c r="E1222">
        <v>4276</v>
      </c>
      <c r="F1222">
        <v>1607</v>
      </c>
      <c r="G1222">
        <v>1</v>
      </c>
      <c r="H1222">
        <v>0.2</v>
      </c>
      <c r="I1222">
        <v>0</v>
      </c>
      <c r="J1222" s="1">
        <f>-73.8289</f>
        <v>-73.828900000000004</v>
      </c>
      <c r="K1222">
        <v>523.46699999999998</v>
      </c>
      <c r="L1222">
        <v>0</v>
      </c>
    </row>
    <row r="1223" spans="1:12" x14ac:dyDescent="0.25">
      <c r="A1223">
        <f>80293047*0.00001</f>
        <v>802.93047000000001</v>
      </c>
      <c r="B1223">
        <v>3492</v>
      </c>
      <c r="C1223">
        <v>26</v>
      </c>
      <c r="D1223">
        <v>262.88799999999998</v>
      </c>
      <c r="E1223">
        <v>4276</v>
      </c>
      <c r="F1223">
        <v>1607</v>
      </c>
      <c r="G1223">
        <v>1</v>
      </c>
      <c r="H1223">
        <v>0.2</v>
      </c>
      <c r="I1223">
        <v>0</v>
      </c>
      <c r="J1223">
        <v>-73.828900000000004</v>
      </c>
      <c r="K1223">
        <v>523.46699999999998</v>
      </c>
      <c r="L1223" s="1">
        <f>0</f>
        <v>0</v>
      </c>
    </row>
    <row r="1224" spans="1:12" x14ac:dyDescent="0.25">
      <c r="A1224">
        <f>80293174*0.00001</f>
        <v>802.9317400000001</v>
      </c>
      <c r="B1224">
        <v>3492</v>
      </c>
      <c r="C1224">
        <v>27</v>
      </c>
      <c r="D1224">
        <v>262.88799999999998</v>
      </c>
      <c r="E1224" s="1">
        <f>4281</f>
        <v>4281</v>
      </c>
      <c r="F1224">
        <v>1607</v>
      </c>
      <c r="G1224">
        <v>1</v>
      </c>
      <c r="H1224">
        <v>0.2</v>
      </c>
      <c r="I1224">
        <v>0</v>
      </c>
      <c r="J1224">
        <v>-73.828900000000004</v>
      </c>
      <c r="K1224">
        <v>523.46699999999998</v>
      </c>
      <c r="L1224">
        <v>0</v>
      </c>
    </row>
    <row r="1225" spans="1:12" x14ac:dyDescent="0.25">
      <c r="A1225">
        <f>80293301*0.00001</f>
        <v>802.93301000000008</v>
      </c>
      <c r="B1225">
        <v>3492</v>
      </c>
      <c r="C1225">
        <v>28</v>
      </c>
      <c r="D1225">
        <v>262.88799999999998</v>
      </c>
      <c r="E1225">
        <v>4281</v>
      </c>
      <c r="F1225" s="1">
        <f>1607</f>
        <v>1607</v>
      </c>
      <c r="G1225" s="1">
        <f>1</f>
        <v>1</v>
      </c>
      <c r="H1225">
        <v>0.2</v>
      </c>
      <c r="I1225">
        <v>0</v>
      </c>
      <c r="J1225">
        <v>-73.828900000000004</v>
      </c>
      <c r="K1225">
        <v>523.46699999999998</v>
      </c>
      <c r="L1225">
        <v>0</v>
      </c>
    </row>
    <row r="1226" spans="1:12" x14ac:dyDescent="0.25">
      <c r="A1226">
        <f>80293427*0.00001</f>
        <v>802.93427000000008</v>
      </c>
      <c r="B1226">
        <v>3492</v>
      </c>
      <c r="C1226">
        <v>29</v>
      </c>
      <c r="D1226">
        <v>262.88799999999998</v>
      </c>
      <c r="E1226">
        <v>4281</v>
      </c>
      <c r="F1226">
        <v>1607</v>
      </c>
      <c r="G1226">
        <v>1</v>
      </c>
      <c r="H1226" s="1">
        <f>0.2</f>
        <v>0.2</v>
      </c>
      <c r="I1226" s="1">
        <f>0</f>
        <v>0</v>
      </c>
      <c r="J1226">
        <v>-73.828900000000004</v>
      </c>
      <c r="K1226">
        <v>523.46699999999998</v>
      </c>
      <c r="L1226">
        <v>0</v>
      </c>
    </row>
    <row r="1227" spans="1:12" x14ac:dyDescent="0.25">
      <c r="A1227">
        <f>80293554*0.00001</f>
        <v>802.93554000000006</v>
      </c>
      <c r="B1227">
        <v>3492</v>
      </c>
      <c r="C1227">
        <v>30</v>
      </c>
      <c r="D1227" s="1">
        <f>262.524</f>
        <v>262.524</v>
      </c>
      <c r="E1227" s="1">
        <f>4285</f>
        <v>4285</v>
      </c>
      <c r="F1227" s="1">
        <f>1607</f>
        <v>1607</v>
      </c>
      <c r="G1227" s="1">
        <f>1</f>
        <v>1</v>
      </c>
      <c r="H1227">
        <v>0.2</v>
      </c>
      <c r="I1227">
        <v>0</v>
      </c>
      <c r="J1227" s="1">
        <f>-73.4855</f>
        <v>-73.485500000000002</v>
      </c>
      <c r="K1227" s="1">
        <f>523.366</f>
        <v>523.36599999999999</v>
      </c>
      <c r="L1227" s="1">
        <f>0</f>
        <v>0</v>
      </c>
    </row>
    <row r="1228" spans="1:12" x14ac:dyDescent="0.25">
      <c r="A1228">
        <f>80294062*0.00001</f>
        <v>802.94062000000008</v>
      </c>
      <c r="B1228">
        <v>3492</v>
      </c>
      <c r="C1228">
        <v>34</v>
      </c>
      <c r="D1228">
        <v>262.524</v>
      </c>
      <c r="E1228">
        <v>4285</v>
      </c>
      <c r="F1228">
        <v>1607</v>
      </c>
      <c r="G1228">
        <v>1</v>
      </c>
      <c r="H1228">
        <v>0.2</v>
      </c>
      <c r="I1228" s="1">
        <f>0</f>
        <v>0</v>
      </c>
      <c r="J1228">
        <v>-73.485500000000002</v>
      </c>
      <c r="K1228">
        <v>523.36599999999999</v>
      </c>
      <c r="L1228">
        <v>0</v>
      </c>
    </row>
    <row r="1229" spans="1:12" x14ac:dyDescent="0.25">
      <c r="A1229">
        <f>80294189*0.00001</f>
        <v>802.94189000000006</v>
      </c>
      <c r="B1229">
        <v>3492</v>
      </c>
      <c r="C1229">
        <v>35</v>
      </c>
      <c r="D1229">
        <v>262.524</v>
      </c>
      <c r="E1229">
        <v>4285</v>
      </c>
      <c r="F1229">
        <v>1607</v>
      </c>
      <c r="G1229">
        <v>1</v>
      </c>
      <c r="H1229">
        <v>0.2</v>
      </c>
      <c r="I1229">
        <v>0</v>
      </c>
      <c r="J1229">
        <v>-73.485500000000002</v>
      </c>
      <c r="K1229" s="1">
        <f>523.31</f>
        <v>523.30999999999995</v>
      </c>
      <c r="L1229">
        <v>0</v>
      </c>
    </row>
    <row r="1230" spans="1:12" x14ac:dyDescent="0.25">
      <c r="A1230">
        <f>80294316*0.00001</f>
        <v>802.94316000000003</v>
      </c>
      <c r="B1230">
        <v>3492</v>
      </c>
      <c r="C1230">
        <v>36</v>
      </c>
      <c r="D1230" s="1">
        <f>262.343</f>
        <v>262.34300000000002</v>
      </c>
      <c r="E1230">
        <v>4285</v>
      </c>
      <c r="F1230">
        <v>1607</v>
      </c>
      <c r="G1230">
        <v>1</v>
      </c>
      <c r="H1230">
        <v>0.2</v>
      </c>
      <c r="I1230">
        <v>0</v>
      </c>
      <c r="J1230">
        <v>-73.485500000000002</v>
      </c>
      <c r="K1230">
        <v>523.30999999999995</v>
      </c>
      <c r="L1230">
        <v>0</v>
      </c>
    </row>
    <row r="1231" spans="1:12" x14ac:dyDescent="0.25">
      <c r="A1231">
        <f>80294442*0.00001</f>
        <v>802.94442000000004</v>
      </c>
      <c r="B1231">
        <v>3492</v>
      </c>
      <c r="C1231">
        <v>37</v>
      </c>
      <c r="D1231">
        <v>262.34300000000002</v>
      </c>
      <c r="E1231">
        <v>4285</v>
      </c>
      <c r="F1231" s="1">
        <f>1607</f>
        <v>1607</v>
      </c>
      <c r="G1231">
        <v>1</v>
      </c>
      <c r="H1231">
        <v>0.2</v>
      </c>
      <c r="I1231">
        <v>0</v>
      </c>
      <c r="J1231">
        <v>-73.485500000000002</v>
      </c>
      <c r="K1231">
        <v>523.30999999999995</v>
      </c>
      <c r="L1231">
        <v>0</v>
      </c>
    </row>
    <row r="1232" spans="1:12" x14ac:dyDescent="0.25">
      <c r="A1232">
        <f>80294569*0.00001</f>
        <v>802.94569000000001</v>
      </c>
      <c r="B1232">
        <v>3492</v>
      </c>
      <c r="C1232">
        <v>38</v>
      </c>
      <c r="D1232">
        <v>262.34300000000002</v>
      </c>
      <c r="E1232">
        <v>4285</v>
      </c>
      <c r="F1232">
        <v>1607</v>
      </c>
      <c r="G1232" s="1">
        <f>1</f>
        <v>1</v>
      </c>
      <c r="H1232" s="1">
        <f>0.2</f>
        <v>0.2</v>
      </c>
      <c r="I1232">
        <v>0</v>
      </c>
      <c r="J1232">
        <v>-73.485500000000002</v>
      </c>
      <c r="K1232">
        <v>523.30999999999995</v>
      </c>
      <c r="L1232">
        <v>0</v>
      </c>
    </row>
    <row r="1233" spans="1:12" x14ac:dyDescent="0.25">
      <c r="A1233">
        <f>80294696*0.00001</f>
        <v>802.9469600000001</v>
      </c>
      <c r="B1233">
        <v>3492</v>
      </c>
      <c r="C1233">
        <v>39</v>
      </c>
      <c r="D1233">
        <v>262.34300000000002</v>
      </c>
      <c r="E1233">
        <v>4285</v>
      </c>
      <c r="F1233">
        <v>1607</v>
      </c>
      <c r="G1233">
        <v>1</v>
      </c>
      <c r="H1233">
        <v>0.2</v>
      </c>
      <c r="I1233" s="1">
        <f>0</f>
        <v>0</v>
      </c>
      <c r="J1233" s="1">
        <f>-72.8777</f>
        <v>-72.877700000000004</v>
      </c>
      <c r="K1233">
        <v>523.30999999999995</v>
      </c>
      <c r="L1233">
        <v>0</v>
      </c>
    </row>
    <row r="1234" spans="1:12" x14ac:dyDescent="0.25">
      <c r="A1234">
        <f>80294823*0.00001</f>
        <v>802.94823000000008</v>
      </c>
      <c r="B1234">
        <v>3492</v>
      </c>
      <c r="C1234">
        <v>40</v>
      </c>
      <c r="D1234" s="1">
        <f>262.15</f>
        <v>262.14999999999998</v>
      </c>
      <c r="E1234" s="1">
        <f>4294</f>
        <v>4294</v>
      </c>
      <c r="F1234" s="1">
        <f>1607</f>
        <v>1607</v>
      </c>
      <c r="G1234" s="1">
        <f>1</f>
        <v>1</v>
      </c>
      <c r="H1234" s="1">
        <f>0.2</f>
        <v>0.2</v>
      </c>
      <c r="I1234" s="1">
        <f>0</f>
        <v>0</v>
      </c>
      <c r="J1234" s="1">
        <f>-72.5374</f>
        <v>-72.537400000000005</v>
      </c>
      <c r="K1234" s="1">
        <f>523.254</f>
        <v>523.25400000000002</v>
      </c>
      <c r="L1234" s="1">
        <f>0</f>
        <v>0</v>
      </c>
    </row>
    <row r="1235" spans="1:12" x14ac:dyDescent="0.25">
      <c r="A1235">
        <f>80295459*0.00001</f>
        <v>802.95459000000005</v>
      </c>
      <c r="B1235">
        <v>3492</v>
      </c>
      <c r="C1235">
        <v>45</v>
      </c>
      <c r="D1235">
        <v>262.14999999999998</v>
      </c>
      <c r="E1235">
        <v>4294</v>
      </c>
      <c r="F1235">
        <v>1607</v>
      </c>
      <c r="G1235">
        <v>1</v>
      </c>
      <c r="H1235">
        <v>0.2</v>
      </c>
      <c r="I1235">
        <v>0</v>
      </c>
      <c r="J1235">
        <v>-72.537400000000005</v>
      </c>
      <c r="K1235">
        <v>523.25400000000002</v>
      </c>
      <c r="L1235" s="1">
        <f>0</f>
        <v>0</v>
      </c>
    </row>
    <row r="1236" spans="1:12" x14ac:dyDescent="0.25">
      <c r="A1236">
        <f>80295586*0.00001</f>
        <v>802.95586000000003</v>
      </c>
      <c r="B1236">
        <v>3492</v>
      </c>
      <c r="C1236">
        <v>46</v>
      </c>
      <c r="D1236">
        <v>262.14999999999998</v>
      </c>
      <c r="E1236" s="1">
        <f>4297</f>
        <v>4297</v>
      </c>
      <c r="F1236">
        <v>1607</v>
      </c>
      <c r="G1236">
        <v>1</v>
      </c>
      <c r="H1236">
        <v>0.2</v>
      </c>
      <c r="I1236">
        <v>0</v>
      </c>
      <c r="J1236">
        <v>-72.537400000000005</v>
      </c>
      <c r="K1236">
        <v>523.25400000000002</v>
      </c>
      <c r="L1236">
        <v>0</v>
      </c>
    </row>
    <row r="1237" spans="1:12" x14ac:dyDescent="0.25">
      <c r="A1237">
        <f>80295713*0.00001</f>
        <v>802.95713000000012</v>
      </c>
      <c r="B1237">
        <v>3492</v>
      </c>
      <c r="C1237">
        <v>47</v>
      </c>
      <c r="D1237">
        <v>262.14999999999998</v>
      </c>
      <c r="E1237">
        <v>4297</v>
      </c>
      <c r="F1237">
        <v>1607</v>
      </c>
      <c r="G1237" s="1">
        <f>1</f>
        <v>1</v>
      </c>
      <c r="H1237">
        <v>0.2</v>
      </c>
      <c r="I1237">
        <v>0</v>
      </c>
      <c r="J1237">
        <v>-72.537400000000005</v>
      </c>
      <c r="K1237">
        <v>523.25400000000002</v>
      </c>
      <c r="L1237">
        <v>0</v>
      </c>
    </row>
    <row r="1238" spans="1:12" x14ac:dyDescent="0.25">
      <c r="A1238">
        <f>80295840*0.00001</f>
        <v>802.9584000000001</v>
      </c>
      <c r="B1238">
        <v>3492</v>
      </c>
      <c r="C1238">
        <v>48</v>
      </c>
      <c r="D1238">
        <v>262.14999999999998</v>
      </c>
      <c r="E1238">
        <v>4297</v>
      </c>
      <c r="F1238">
        <v>1607</v>
      </c>
      <c r="G1238">
        <v>1</v>
      </c>
      <c r="H1238">
        <v>0.2</v>
      </c>
      <c r="I1238" s="1">
        <f>0</f>
        <v>0</v>
      </c>
      <c r="J1238">
        <v>-72.537400000000005</v>
      </c>
      <c r="K1238">
        <v>523.25400000000002</v>
      </c>
      <c r="L1238">
        <v>0</v>
      </c>
    </row>
    <row r="1239" spans="1:12" x14ac:dyDescent="0.25">
      <c r="A1239">
        <f>80295968*0.00001</f>
        <v>802.95968000000005</v>
      </c>
      <c r="B1239">
        <v>3492</v>
      </c>
      <c r="C1239">
        <v>49</v>
      </c>
      <c r="D1239">
        <v>262.14999999999998</v>
      </c>
      <c r="E1239">
        <v>4297</v>
      </c>
      <c r="F1239">
        <v>1607</v>
      </c>
      <c r="G1239">
        <v>1</v>
      </c>
      <c r="H1239">
        <v>0.2</v>
      </c>
      <c r="I1239">
        <v>0</v>
      </c>
      <c r="J1239" s="1">
        <f>-72.1964</f>
        <v>-72.196399999999997</v>
      </c>
      <c r="K1239" s="1">
        <f>523.154</f>
        <v>523.154</v>
      </c>
      <c r="L1239">
        <v>0</v>
      </c>
    </row>
    <row r="1240" spans="1:12" x14ac:dyDescent="0.25">
      <c r="A1240">
        <f>80296095*0.00001</f>
        <v>802.96095000000003</v>
      </c>
      <c r="B1240">
        <v>3492</v>
      </c>
      <c r="C1240">
        <v>50</v>
      </c>
      <c r="D1240" s="1">
        <f>261.831</f>
        <v>261.83100000000002</v>
      </c>
      <c r="E1240">
        <v>4297</v>
      </c>
      <c r="F1240">
        <v>1607</v>
      </c>
      <c r="G1240">
        <v>1</v>
      </c>
      <c r="H1240">
        <v>0.2</v>
      </c>
      <c r="I1240">
        <v>0</v>
      </c>
      <c r="J1240">
        <v>-72.196399999999997</v>
      </c>
      <c r="K1240">
        <v>523.154</v>
      </c>
      <c r="L1240" s="1">
        <f>0</f>
        <v>0</v>
      </c>
    </row>
    <row r="1241" spans="1:12" x14ac:dyDescent="0.25">
      <c r="A1241">
        <f>80296222*0.00001</f>
        <v>802.96222000000012</v>
      </c>
      <c r="B1241">
        <v>3492</v>
      </c>
      <c r="C1241">
        <v>51</v>
      </c>
      <c r="D1241" s="1">
        <f>261.661</f>
        <v>261.661</v>
      </c>
      <c r="E1241" s="1">
        <f>4302</f>
        <v>4302</v>
      </c>
      <c r="F1241" s="1">
        <f>1607</f>
        <v>1607</v>
      </c>
      <c r="G1241" s="1">
        <f>1</f>
        <v>1</v>
      </c>
      <c r="H1241" s="1">
        <f>0.2</f>
        <v>0.2</v>
      </c>
      <c r="I1241" s="1">
        <f>0</f>
        <v>0</v>
      </c>
      <c r="J1241" s="1">
        <f>-71.9306</f>
        <v>-71.930599999999998</v>
      </c>
      <c r="K1241" s="1">
        <f>523.099</f>
        <v>523.09900000000005</v>
      </c>
      <c r="L1241" s="1">
        <f>0</f>
        <v>0</v>
      </c>
    </row>
    <row r="1242" spans="1:12" x14ac:dyDescent="0.25">
      <c r="A1242">
        <f>80296858*0.00001</f>
        <v>802.96858000000009</v>
      </c>
      <c r="B1242">
        <v>3492</v>
      </c>
      <c r="C1242">
        <v>56</v>
      </c>
      <c r="D1242">
        <v>261.661</v>
      </c>
      <c r="E1242">
        <v>4302</v>
      </c>
      <c r="F1242" s="1">
        <f>1607</f>
        <v>1607</v>
      </c>
      <c r="G1242">
        <v>1</v>
      </c>
      <c r="H1242">
        <v>0.2</v>
      </c>
      <c r="I1242">
        <v>0</v>
      </c>
      <c r="J1242">
        <v>-71.930599999999998</v>
      </c>
      <c r="K1242">
        <v>523.09900000000005</v>
      </c>
      <c r="L1242">
        <v>0</v>
      </c>
    </row>
    <row r="1243" spans="1:12" x14ac:dyDescent="0.25">
      <c r="A1243">
        <f>80296985*0.00001</f>
        <v>802.96985000000006</v>
      </c>
      <c r="B1243">
        <v>3492</v>
      </c>
      <c r="C1243">
        <v>57</v>
      </c>
      <c r="D1243">
        <v>261.661</v>
      </c>
      <c r="E1243">
        <v>4302</v>
      </c>
      <c r="F1243">
        <v>1607</v>
      </c>
      <c r="G1243">
        <v>1</v>
      </c>
      <c r="H1243" s="1">
        <f>0.2</f>
        <v>0.2</v>
      </c>
      <c r="I1243">
        <v>0</v>
      </c>
      <c r="J1243">
        <v>-71.930599999999998</v>
      </c>
      <c r="K1243">
        <v>523.09900000000005</v>
      </c>
      <c r="L1243">
        <v>0</v>
      </c>
    </row>
    <row r="1244" spans="1:12" x14ac:dyDescent="0.25">
      <c r="A1244">
        <f>80297112*0.00001</f>
        <v>802.97112000000004</v>
      </c>
      <c r="B1244">
        <v>3492</v>
      </c>
      <c r="C1244">
        <v>58</v>
      </c>
      <c r="D1244">
        <v>261.661</v>
      </c>
      <c r="E1244">
        <v>4302</v>
      </c>
      <c r="F1244">
        <v>1607</v>
      </c>
      <c r="G1244">
        <v>1</v>
      </c>
      <c r="H1244">
        <v>0.2</v>
      </c>
      <c r="I1244">
        <v>0</v>
      </c>
      <c r="J1244" s="1">
        <f>-71.6103</f>
        <v>-71.610299999999995</v>
      </c>
      <c r="K1244">
        <v>523.09900000000005</v>
      </c>
      <c r="L1244">
        <v>0</v>
      </c>
    </row>
    <row r="1245" spans="1:12" x14ac:dyDescent="0.25">
      <c r="A1245">
        <f>80297239*0.00001</f>
        <v>802.97239000000002</v>
      </c>
      <c r="B1245">
        <v>3492</v>
      </c>
      <c r="C1245">
        <v>59</v>
      </c>
      <c r="D1245">
        <v>261.661</v>
      </c>
      <c r="E1245">
        <v>4302</v>
      </c>
      <c r="F1245">
        <v>1607</v>
      </c>
      <c r="G1245">
        <v>1</v>
      </c>
      <c r="H1245">
        <v>0.2</v>
      </c>
      <c r="I1245">
        <v>0</v>
      </c>
      <c r="J1245">
        <v>-71.610299999999995</v>
      </c>
      <c r="K1245">
        <v>523.09900000000005</v>
      </c>
      <c r="L1245" s="1">
        <f>0</f>
        <v>0</v>
      </c>
    </row>
    <row r="1246" spans="1:12" x14ac:dyDescent="0.25">
      <c r="A1246">
        <f>80297366*0.00001</f>
        <v>802.97366000000011</v>
      </c>
      <c r="B1246">
        <v>3492</v>
      </c>
      <c r="C1246">
        <v>60</v>
      </c>
      <c r="D1246" s="1">
        <f>261.49</f>
        <v>261.49</v>
      </c>
      <c r="E1246" s="1">
        <f>4310</f>
        <v>4310</v>
      </c>
      <c r="F1246">
        <v>1607</v>
      </c>
      <c r="G1246">
        <v>1</v>
      </c>
      <c r="H1246">
        <v>0.2</v>
      </c>
      <c r="I1246">
        <v>0</v>
      </c>
      <c r="J1246">
        <v>-71.610299999999995</v>
      </c>
      <c r="K1246">
        <v>523.09900000000005</v>
      </c>
      <c r="L1246">
        <v>0</v>
      </c>
    </row>
    <row r="1247" spans="1:12" x14ac:dyDescent="0.25">
      <c r="A1247">
        <f>80297493*0.00001</f>
        <v>802.97493000000009</v>
      </c>
      <c r="B1247">
        <v>3492</v>
      </c>
      <c r="C1247">
        <v>61</v>
      </c>
      <c r="D1247">
        <v>261.49</v>
      </c>
      <c r="E1247">
        <v>4310</v>
      </c>
      <c r="F1247" s="1">
        <f>1607</f>
        <v>1607</v>
      </c>
      <c r="G1247" s="1">
        <f>1</f>
        <v>1</v>
      </c>
      <c r="H1247">
        <v>0.2</v>
      </c>
      <c r="I1247">
        <v>0</v>
      </c>
      <c r="J1247">
        <v>-71.610299999999995</v>
      </c>
      <c r="K1247">
        <v>523.09900000000005</v>
      </c>
      <c r="L1247">
        <v>0</v>
      </c>
    </row>
    <row r="1248" spans="1:12" x14ac:dyDescent="0.25">
      <c r="A1248">
        <f>80297621*0.00001</f>
        <v>802.97621000000004</v>
      </c>
      <c r="B1248">
        <v>3492</v>
      </c>
      <c r="C1248">
        <v>62</v>
      </c>
      <c r="D1248" s="1">
        <f>261.339</f>
        <v>261.339</v>
      </c>
      <c r="E1248" s="1">
        <f>4315</f>
        <v>4315</v>
      </c>
      <c r="F1248" s="1">
        <f>1607</f>
        <v>1607</v>
      </c>
      <c r="G1248" s="1">
        <f>1</f>
        <v>1</v>
      </c>
      <c r="H1248" s="1">
        <f>0.2</f>
        <v>0.2</v>
      </c>
      <c r="I1248" s="1">
        <f>0</f>
        <v>0</v>
      </c>
      <c r="J1248" s="1">
        <f>-71.2555</f>
        <v>-71.255499999999998</v>
      </c>
      <c r="K1248" s="1">
        <f>523</f>
        <v>523</v>
      </c>
      <c r="L1248" s="1">
        <f>0</f>
        <v>0</v>
      </c>
    </row>
    <row r="1249" spans="1:12" x14ac:dyDescent="0.25">
      <c r="A1249">
        <f>80298260*0.00001</f>
        <v>802.98260000000005</v>
      </c>
      <c r="B1249">
        <v>3492</v>
      </c>
      <c r="C1249">
        <v>67</v>
      </c>
      <c r="D1249">
        <v>261.339</v>
      </c>
      <c r="E1249">
        <v>4315</v>
      </c>
      <c r="F1249">
        <v>1607</v>
      </c>
      <c r="G1249">
        <v>1</v>
      </c>
      <c r="H1249">
        <v>0.2</v>
      </c>
      <c r="I1249" s="1">
        <f>0</f>
        <v>0</v>
      </c>
      <c r="J1249">
        <v>-71.255499999999998</v>
      </c>
      <c r="K1249">
        <v>523</v>
      </c>
      <c r="L1249">
        <v>0</v>
      </c>
    </row>
    <row r="1250" spans="1:12" x14ac:dyDescent="0.25">
      <c r="A1250">
        <f>80298387*0.00001</f>
        <v>802.98387000000002</v>
      </c>
      <c r="B1250">
        <v>3492</v>
      </c>
      <c r="C1250">
        <v>68</v>
      </c>
      <c r="D1250">
        <v>261.339</v>
      </c>
      <c r="E1250">
        <v>4315</v>
      </c>
      <c r="F1250">
        <v>1607</v>
      </c>
      <c r="G1250">
        <v>1</v>
      </c>
      <c r="H1250">
        <v>0.2</v>
      </c>
      <c r="I1250">
        <v>0</v>
      </c>
      <c r="J1250">
        <v>-71.255499999999998</v>
      </c>
      <c r="K1250" s="1">
        <f>522.946</f>
        <v>522.94600000000003</v>
      </c>
      <c r="L1250">
        <v>0</v>
      </c>
    </row>
    <row r="1251" spans="1:12" x14ac:dyDescent="0.25">
      <c r="A1251">
        <f>80298514*0.00001</f>
        <v>802.98514000000011</v>
      </c>
      <c r="B1251">
        <v>3492</v>
      </c>
      <c r="C1251">
        <v>69</v>
      </c>
      <c r="D1251" s="1">
        <f>261.189</f>
        <v>261.18900000000002</v>
      </c>
      <c r="E1251">
        <v>4315</v>
      </c>
      <c r="F1251">
        <v>1607</v>
      </c>
      <c r="G1251">
        <v>1</v>
      </c>
      <c r="H1251">
        <v>0.2</v>
      </c>
      <c r="I1251">
        <v>0</v>
      </c>
      <c r="J1251">
        <v>-71.255499999999998</v>
      </c>
      <c r="K1251">
        <v>522.94600000000003</v>
      </c>
      <c r="L1251">
        <v>0</v>
      </c>
    </row>
    <row r="1252" spans="1:12" x14ac:dyDescent="0.25">
      <c r="A1252">
        <f>80298641*0.00001</f>
        <v>802.98641000000009</v>
      </c>
      <c r="B1252">
        <v>3492</v>
      </c>
      <c r="C1252">
        <v>70</v>
      </c>
      <c r="D1252">
        <v>261.18900000000002</v>
      </c>
      <c r="E1252">
        <v>4315</v>
      </c>
      <c r="F1252" s="1">
        <f>1607</f>
        <v>1607</v>
      </c>
      <c r="G1252">
        <v>1</v>
      </c>
      <c r="H1252">
        <v>0.2</v>
      </c>
      <c r="I1252">
        <v>0</v>
      </c>
      <c r="J1252">
        <v>-71.255499999999998</v>
      </c>
      <c r="K1252">
        <v>522.94600000000003</v>
      </c>
      <c r="L1252">
        <v>0</v>
      </c>
    </row>
    <row r="1253" spans="1:12" x14ac:dyDescent="0.25">
      <c r="A1253">
        <f>80298768*0.00001</f>
        <v>802.98768000000007</v>
      </c>
      <c r="B1253">
        <v>3492</v>
      </c>
      <c r="C1253">
        <v>71</v>
      </c>
      <c r="D1253">
        <v>261.18900000000002</v>
      </c>
      <c r="E1253">
        <v>4315</v>
      </c>
      <c r="F1253">
        <v>1607</v>
      </c>
      <c r="G1253" s="1">
        <f>1</f>
        <v>1</v>
      </c>
      <c r="H1253" s="1">
        <f>0.2</f>
        <v>0.2</v>
      </c>
      <c r="I1253">
        <v>0</v>
      </c>
      <c r="J1253">
        <v>-71.255499999999998</v>
      </c>
      <c r="K1253">
        <v>522.94600000000003</v>
      </c>
      <c r="L1253">
        <v>0</v>
      </c>
    </row>
    <row r="1254" spans="1:12" x14ac:dyDescent="0.25">
      <c r="A1254">
        <f>80298896*0.00001</f>
        <v>802.98896000000002</v>
      </c>
      <c r="B1254">
        <v>3492</v>
      </c>
      <c r="C1254">
        <v>72</v>
      </c>
      <c r="D1254">
        <v>261.18900000000002</v>
      </c>
      <c r="E1254">
        <v>4315</v>
      </c>
      <c r="F1254">
        <v>1607</v>
      </c>
      <c r="G1254">
        <v>1</v>
      </c>
      <c r="H1254">
        <v>0.2</v>
      </c>
      <c r="I1254" s="1">
        <f>0</f>
        <v>0</v>
      </c>
      <c r="J1254" s="1">
        <f>-70.6821</f>
        <v>-70.682100000000005</v>
      </c>
      <c r="K1254">
        <v>522.94600000000003</v>
      </c>
      <c r="L1254">
        <v>0</v>
      </c>
    </row>
    <row r="1255" spans="1:12" x14ac:dyDescent="0.25">
      <c r="A1255">
        <f>80299024*0.00001</f>
        <v>802.99024000000009</v>
      </c>
      <c r="B1255">
        <v>3492</v>
      </c>
      <c r="C1255">
        <v>73</v>
      </c>
      <c r="D1255" s="1">
        <f>260.996</f>
        <v>260.99599999999998</v>
      </c>
      <c r="E1255" s="1">
        <f>4322</f>
        <v>4322</v>
      </c>
      <c r="F1255" s="1">
        <f>1607</f>
        <v>1607</v>
      </c>
      <c r="G1255" s="1">
        <f>1</f>
        <v>1</v>
      </c>
      <c r="H1255" s="1">
        <f>0.2</f>
        <v>0.2</v>
      </c>
      <c r="I1255" s="1">
        <f>0</f>
        <v>0</v>
      </c>
      <c r="J1255" s="1">
        <f>-70.3242</f>
        <v>-70.324200000000005</v>
      </c>
      <c r="K1255" s="1">
        <f>522.892</f>
        <v>522.89200000000005</v>
      </c>
      <c r="L1255" s="1">
        <f>0</f>
        <v>0</v>
      </c>
    </row>
    <row r="1256" spans="1:12" x14ac:dyDescent="0.25">
      <c r="A1256">
        <f>80299661*0.00001</f>
        <v>802.99661000000003</v>
      </c>
      <c r="B1256">
        <v>3492</v>
      </c>
      <c r="C1256">
        <v>78</v>
      </c>
      <c r="D1256">
        <v>260.99599999999998</v>
      </c>
      <c r="E1256">
        <v>4322</v>
      </c>
      <c r="F1256">
        <v>1607</v>
      </c>
      <c r="G1256">
        <v>1</v>
      </c>
      <c r="H1256">
        <v>0.2</v>
      </c>
      <c r="I1256">
        <v>0</v>
      </c>
      <c r="J1256">
        <v>-70.324200000000005</v>
      </c>
      <c r="K1256">
        <v>522.89200000000005</v>
      </c>
      <c r="L1256" s="1">
        <f>0</f>
        <v>0</v>
      </c>
    </row>
    <row r="1257" spans="1:12" x14ac:dyDescent="0.25">
      <c r="A1257">
        <f>80299789*0.00001</f>
        <v>802.9978900000001</v>
      </c>
      <c r="B1257">
        <v>3492</v>
      </c>
      <c r="C1257">
        <v>79</v>
      </c>
      <c r="D1257">
        <v>260.99599999999998</v>
      </c>
      <c r="E1257" s="1">
        <f>4327</f>
        <v>4327</v>
      </c>
      <c r="F1257">
        <v>1607</v>
      </c>
      <c r="G1257">
        <v>1</v>
      </c>
      <c r="H1257">
        <v>0.2</v>
      </c>
      <c r="I1257">
        <v>0</v>
      </c>
      <c r="J1257">
        <v>-70.324200000000005</v>
      </c>
      <c r="K1257">
        <v>522.89200000000005</v>
      </c>
      <c r="L1257">
        <v>0</v>
      </c>
    </row>
    <row r="1258" spans="1:12" x14ac:dyDescent="0.25">
      <c r="A1258">
        <f>80299917*0.00001</f>
        <v>802.99917000000005</v>
      </c>
      <c r="B1258">
        <v>3492</v>
      </c>
      <c r="C1258">
        <v>80</v>
      </c>
      <c r="D1258">
        <v>260.99599999999998</v>
      </c>
      <c r="E1258">
        <v>4327</v>
      </c>
      <c r="F1258">
        <v>1607</v>
      </c>
      <c r="G1258" s="1">
        <f>1</f>
        <v>1</v>
      </c>
      <c r="H1258">
        <v>0.2</v>
      </c>
      <c r="I1258">
        <v>0</v>
      </c>
      <c r="J1258">
        <v>-70.324200000000005</v>
      </c>
      <c r="K1258">
        <v>522.89200000000005</v>
      </c>
      <c r="L1258">
        <v>0</v>
      </c>
    </row>
    <row r="1259" spans="1:12" x14ac:dyDescent="0.25">
      <c r="A1259">
        <f>80300045*0.00001</f>
        <v>803.00045000000011</v>
      </c>
      <c r="B1259">
        <v>3492</v>
      </c>
      <c r="C1259">
        <v>81</v>
      </c>
      <c r="D1259">
        <v>260.99599999999998</v>
      </c>
      <c r="E1259">
        <v>4327</v>
      </c>
      <c r="F1259">
        <v>1607</v>
      </c>
      <c r="G1259">
        <v>1</v>
      </c>
      <c r="H1259">
        <v>0.2</v>
      </c>
      <c r="I1259" s="1">
        <f>0</f>
        <v>0</v>
      </c>
      <c r="J1259">
        <v>-70.324200000000005</v>
      </c>
      <c r="K1259">
        <v>522.89200000000005</v>
      </c>
      <c r="L1259">
        <v>0</v>
      </c>
    </row>
    <row r="1260" spans="1:12" x14ac:dyDescent="0.25">
      <c r="A1260">
        <f>80300173*0.00001</f>
        <v>803.00173000000007</v>
      </c>
      <c r="B1260">
        <v>3492</v>
      </c>
      <c r="C1260">
        <v>82</v>
      </c>
      <c r="D1260">
        <v>260.99599999999998</v>
      </c>
      <c r="E1260">
        <v>4327</v>
      </c>
      <c r="F1260">
        <v>1607</v>
      </c>
      <c r="G1260">
        <v>1</v>
      </c>
      <c r="H1260">
        <v>0.2</v>
      </c>
      <c r="I1260">
        <v>0</v>
      </c>
      <c r="J1260" s="1">
        <f>-70.0325</f>
        <v>-70.032499999999999</v>
      </c>
      <c r="K1260" s="1">
        <f>522.794</f>
        <v>522.79399999999998</v>
      </c>
      <c r="L1260">
        <v>0</v>
      </c>
    </row>
    <row r="1261" spans="1:12" x14ac:dyDescent="0.25">
      <c r="A1261">
        <f>80300301*0.00001</f>
        <v>803.00301000000002</v>
      </c>
      <c r="B1261">
        <v>3492</v>
      </c>
      <c r="C1261">
        <v>83</v>
      </c>
      <c r="D1261" s="1">
        <f>260.716</f>
        <v>260.71600000000001</v>
      </c>
      <c r="E1261">
        <v>4327</v>
      </c>
      <c r="F1261">
        <v>1607</v>
      </c>
      <c r="G1261">
        <v>1</v>
      </c>
      <c r="H1261">
        <v>0.2</v>
      </c>
      <c r="I1261">
        <v>0</v>
      </c>
      <c r="J1261">
        <v>-70.032499999999999</v>
      </c>
      <c r="K1261">
        <v>522.79399999999998</v>
      </c>
      <c r="L1261" s="1">
        <f>0</f>
        <v>0</v>
      </c>
    </row>
    <row r="1262" spans="1:12" x14ac:dyDescent="0.25">
      <c r="A1262">
        <f>80300429*0.00001</f>
        <v>803.00429000000008</v>
      </c>
      <c r="B1262">
        <v>3492</v>
      </c>
      <c r="C1262">
        <v>84</v>
      </c>
      <c r="D1262">
        <v>260.71600000000001</v>
      </c>
      <c r="E1262" s="1">
        <f>4330</f>
        <v>4330</v>
      </c>
      <c r="F1262" s="1">
        <f>1607</f>
        <v>1607</v>
      </c>
      <c r="G1262">
        <v>1</v>
      </c>
      <c r="H1262">
        <v>0.2</v>
      </c>
      <c r="I1262">
        <v>0</v>
      </c>
      <c r="J1262">
        <v>-70.032499999999999</v>
      </c>
      <c r="K1262">
        <v>522.79399999999998</v>
      </c>
      <c r="L1262">
        <v>0</v>
      </c>
    </row>
    <row r="1263" spans="1:12" x14ac:dyDescent="0.25">
      <c r="A1263">
        <f>80300557*0.00001</f>
        <v>803.00557000000003</v>
      </c>
      <c r="B1263">
        <v>3492</v>
      </c>
      <c r="C1263">
        <v>85</v>
      </c>
      <c r="D1263" s="1">
        <f>260.523</f>
        <v>260.52300000000002</v>
      </c>
      <c r="E1263" s="1">
        <f>4334</f>
        <v>4334</v>
      </c>
      <c r="F1263" s="1">
        <f>1607</f>
        <v>1607</v>
      </c>
      <c r="G1263" s="1">
        <f>1</f>
        <v>1</v>
      </c>
      <c r="H1263" s="1">
        <f>0.2</f>
        <v>0.2</v>
      </c>
      <c r="I1263" s="1">
        <f>0</f>
        <v>0</v>
      </c>
      <c r="J1263" s="1">
        <f>-69.7511</f>
        <v>-69.751099999999994</v>
      </c>
      <c r="K1263" s="1">
        <f>522.741</f>
        <v>522.74099999999999</v>
      </c>
      <c r="L1263" s="1">
        <f>0</f>
        <v>0</v>
      </c>
    </row>
    <row r="1264" spans="1:12" x14ac:dyDescent="0.25">
      <c r="A1264">
        <f>80301197*0.00001</f>
        <v>803.01197000000002</v>
      </c>
      <c r="B1264">
        <v>3492</v>
      </c>
      <c r="C1264">
        <v>90</v>
      </c>
      <c r="D1264">
        <v>260.52300000000002</v>
      </c>
      <c r="E1264">
        <v>4334</v>
      </c>
      <c r="F1264">
        <v>1607</v>
      </c>
      <c r="G1264">
        <v>1</v>
      </c>
      <c r="H1264" s="1">
        <f>0.2</f>
        <v>0.2</v>
      </c>
      <c r="I1264">
        <v>0</v>
      </c>
      <c r="J1264">
        <v>-69.751099999999994</v>
      </c>
      <c r="K1264">
        <v>522.74099999999999</v>
      </c>
      <c r="L1264">
        <v>0</v>
      </c>
    </row>
    <row r="1265" spans="1:12" x14ac:dyDescent="0.25">
      <c r="A1265">
        <f>80301325*0.00001</f>
        <v>803.01325000000008</v>
      </c>
      <c r="B1265">
        <v>3492</v>
      </c>
      <c r="C1265">
        <v>91</v>
      </c>
      <c r="D1265">
        <v>260.52300000000002</v>
      </c>
      <c r="E1265">
        <v>4334</v>
      </c>
      <c r="F1265">
        <v>1607</v>
      </c>
      <c r="G1265">
        <v>1</v>
      </c>
      <c r="H1265">
        <v>0.2</v>
      </c>
      <c r="I1265">
        <v>0</v>
      </c>
      <c r="J1265" s="1">
        <f>-69.4104</f>
        <v>-69.410399999999996</v>
      </c>
      <c r="K1265">
        <v>522.74099999999999</v>
      </c>
      <c r="L1265">
        <v>0</v>
      </c>
    </row>
    <row r="1266" spans="1:12" x14ac:dyDescent="0.25">
      <c r="A1266">
        <f>80301452*0.00001</f>
        <v>803.01452000000006</v>
      </c>
      <c r="B1266">
        <v>3492</v>
      </c>
      <c r="C1266">
        <v>92</v>
      </c>
      <c r="D1266">
        <v>260.52300000000002</v>
      </c>
      <c r="E1266">
        <v>4334</v>
      </c>
      <c r="F1266">
        <v>1607</v>
      </c>
      <c r="G1266">
        <v>1</v>
      </c>
      <c r="H1266">
        <v>0.2</v>
      </c>
      <c r="I1266">
        <v>0</v>
      </c>
      <c r="J1266">
        <v>-69.410399999999996</v>
      </c>
      <c r="K1266">
        <v>522.74099999999999</v>
      </c>
      <c r="L1266" s="1">
        <f>0</f>
        <v>0</v>
      </c>
    </row>
    <row r="1267" spans="1:12" x14ac:dyDescent="0.25">
      <c r="A1267">
        <f>80301580*0.00001</f>
        <v>803.01580000000001</v>
      </c>
      <c r="B1267">
        <v>3492</v>
      </c>
      <c r="C1267">
        <v>93</v>
      </c>
      <c r="D1267">
        <v>260.52300000000002</v>
      </c>
      <c r="E1267" s="1">
        <f>4338</f>
        <v>4338</v>
      </c>
      <c r="F1267">
        <v>1607</v>
      </c>
      <c r="G1267">
        <v>1</v>
      </c>
      <c r="H1267">
        <v>0.2</v>
      </c>
      <c r="I1267">
        <v>0</v>
      </c>
      <c r="J1267">
        <v>-69.410399999999996</v>
      </c>
      <c r="K1267">
        <v>522.74099999999999</v>
      </c>
      <c r="L1267">
        <v>0</v>
      </c>
    </row>
    <row r="1268" spans="1:12" x14ac:dyDescent="0.25">
      <c r="A1268">
        <f>80301708*0.00001</f>
        <v>803.01708000000008</v>
      </c>
      <c r="B1268">
        <v>3492</v>
      </c>
      <c r="C1268">
        <v>94</v>
      </c>
      <c r="D1268">
        <v>260.52300000000002</v>
      </c>
      <c r="E1268">
        <v>4338</v>
      </c>
      <c r="F1268" s="1">
        <f>1607</f>
        <v>1607</v>
      </c>
      <c r="G1268" s="1">
        <f>1</f>
        <v>1</v>
      </c>
      <c r="H1268">
        <v>0.2</v>
      </c>
      <c r="I1268">
        <v>0</v>
      </c>
      <c r="J1268">
        <v>-69.410399999999996</v>
      </c>
      <c r="K1268">
        <v>522.74099999999999</v>
      </c>
      <c r="L1268">
        <v>0</v>
      </c>
    </row>
    <row r="1269" spans="1:12" x14ac:dyDescent="0.25">
      <c r="A1269">
        <f>80301836*0.00001</f>
        <v>803.01836000000003</v>
      </c>
      <c r="B1269">
        <v>3492</v>
      </c>
      <c r="C1269">
        <v>95</v>
      </c>
      <c r="D1269">
        <v>260.52300000000002</v>
      </c>
      <c r="E1269">
        <v>4338</v>
      </c>
      <c r="F1269">
        <v>1607</v>
      </c>
      <c r="G1269">
        <v>1</v>
      </c>
      <c r="H1269" s="1">
        <f>0.2</f>
        <v>0.2</v>
      </c>
      <c r="I1269" s="1">
        <f>0</f>
        <v>0</v>
      </c>
      <c r="J1269">
        <v>-69.410399999999996</v>
      </c>
      <c r="K1269">
        <v>522.74099999999999</v>
      </c>
      <c r="L1269">
        <v>0</v>
      </c>
    </row>
    <row r="1270" spans="1:12" x14ac:dyDescent="0.25">
      <c r="A1270">
        <f>80301964*0.00001</f>
        <v>803.01964000000009</v>
      </c>
      <c r="B1270">
        <v>3492</v>
      </c>
      <c r="C1270">
        <v>96</v>
      </c>
      <c r="D1270">
        <v>260.52300000000002</v>
      </c>
      <c r="E1270">
        <v>4338</v>
      </c>
      <c r="F1270">
        <v>1607</v>
      </c>
      <c r="G1270">
        <v>1</v>
      </c>
      <c r="H1270">
        <v>0.2</v>
      </c>
      <c r="I1270">
        <v>0</v>
      </c>
      <c r="J1270" s="1">
        <f>-69.1021</f>
        <v>-69.102099999999993</v>
      </c>
      <c r="K1270" s="1">
        <f>522.645</f>
        <v>522.64499999999998</v>
      </c>
      <c r="L1270">
        <v>0</v>
      </c>
    </row>
    <row r="1271" spans="1:12" x14ac:dyDescent="0.25">
      <c r="A1271">
        <f>80302092*0.00001</f>
        <v>803.02092000000005</v>
      </c>
      <c r="B1271">
        <v>3492</v>
      </c>
      <c r="C1271">
        <v>97</v>
      </c>
      <c r="D1271" s="1">
        <f>260.229</f>
        <v>260.22899999999998</v>
      </c>
      <c r="E1271" s="1">
        <f>4342</f>
        <v>4342</v>
      </c>
      <c r="F1271" s="1">
        <f>1607</f>
        <v>1607</v>
      </c>
      <c r="G1271" s="1">
        <f>1</f>
        <v>1</v>
      </c>
      <c r="H1271" s="1">
        <f>0.2</f>
        <v>0.2</v>
      </c>
      <c r="I1271" s="1">
        <f>0</f>
        <v>0</v>
      </c>
      <c r="J1271" s="1">
        <f>-68.8255</f>
        <v>-68.825500000000005</v>
      </c>
      <c r="K1271" s="1">
        <f>522.592</f>
        <v>522.59199999999998</v>
      </c>
      <c r="L1271" s="1">
        <f>0</f>
        <v>0</v>
      </c>
    </row>
    <row r="1272" spans="1:12" x14ac:dyDescent="0.25">
      <c r="A1272">
        <f>80302732*0.00001</f>
        <v>803.02732000000003</v>
      </c>
      <c r="B1272">
        <v>3492</v>
      </c>
      <c r="C1272">
        <v>102</v>
      </c>
      <c r="D1272" s="1">
        <f>260.054</f>
        <v>260.05399999999997</v>
      </c>
      <c r="E1272">
        <v>4342</v>
      </c>
      <c r="F1272">
        <v>1607</v>
      </c>
      <c r="G1272">
        <v>1</v>
      </c>
      <c r="H1272">
        <v>0.2</v>
      </c>
      <c r="I1272">
        <v>0</v>
      </c>
      <c r="J1272">
        <v>-68.825500000000005</v>
      </c>
      <c r="K1272">
        <v>522.59199999999998</v>
      </c>
      <c r="L1272">
        <v>0</v>
      </c>
    </row>
    <row r="1273" spans="1:12" x14ac:dyDescent="0.25">
      <c r="A1273">
        <f>80302860*0.00001</f>
        <v>803.0286000000001</v>
      </c>
      <c r="B1273">
        <v>3492</v>
      </c>
      <c r="C1273">
        <v>103</v>
      </c>
      <c r="D1273">
        <v>260.05399999999997</v>
      </c>
      <c r="E1273">
        <v>4342</v>
      </c>
      <c r="F1273" s="1">
        <f>1607</f>
        <v>1607</v>
      </c>
      <c r="G1273">
        <v>1</v>
      </c>
      <c r="H1273">
        <v>0.2</v>
      </c>
      <c r="I1273">
        <v>0</v>
      </c>
      <c r="J1273">
        <v>-68.825500000000005</v>
      </c>
      <c r="K1273">
        <v>522.59199999999998</v>
      </c>
      <c r="L1273">
        <v>0</v>
      </c>
    </row>
    <row r="1274" spans="1:12" x14ac:dyDescent="0.25">
      <c r="A1274">
        <f>80302988*0.00001</f>
        <v>803.02988000000005</v>
      </c>
      <c r="B1274">
        <v>3492</v>
      </c>
      <c r="C1274">
        <v>104</v>
      </c>
      <c r="D1274">
        <v>260.05399999999997</v>
      </c>
      <c r="E1274">
        <v>4342</v>
      </c>
      <c r="F1274">
        <v>1607</v>
      </c>
      <c r="G1274">
        <v>1</v>
      </c>
      <c r="H1274" s="1">
        <f>0.2</f>
        <v>0.2</v>
      </c>
      <c r="I1274">
        <v>0</v>
      </c>
      <c r="J1274">
        <v>-68.825500000000005</v>
      </c>
      <c r="K1274">
        <v>522.59199999999998</v>
      </c>
      <c r="L1274">
        <v>0</v>
      </c>
    </row>
    <row r="1275" spans="1:12" x14ac:dyDescent="0.25">
      <c r="A1275">
        <f>80303116*0.00001</f>
        <v>803.03116000000011</v>
      </c>
      <c r="B1275">
        <v>3492</v>
      </c>
      <c r="C1275">
        <v>105</v>
      </c>
      <c r="D1275">
        <v>260.05399999999997</v>
      </c>
      <c r="E1275">
        <v>4342</v>
      </c>
      <c r="F1275">
        <v>1607</v>
      </c>
      <c r="G1275">
        <v>1</v>
      </c>
      <c r="H1275">
        <v>0.2</v>
      </c>
      <c r="I1275">
        <v>0</v>
      </c>
      <c r="J1275" s="1">
        <f>-68.5013</f>
        <v>-68.501300000000001</v>
      </c>
      <c r="K1275">
        <v>522.59199999999998</v>
      </c>
      <c r="L1275">
        <v>0</v>
      </c>
    </row>
    <row r="1276" spans="1:12" x14ac:dyDescent="0.25">
      <c r="A1276">
        <f>80303244*0.00001</f>
        <v>803.03244000000007</v>
      </c>
      <c r="B1276">
        <v>3492</v>
      </c>
      <c r="C1276">
        <v>106</v>
      </c>
      <c r="D1276">
        <v>260.05399999999997</v>
      </c>
      <c r="E1276">
        <v>4342</v>
      </c>
      <c r="F1276">
        <v>1607</v>
      </c>
      <c r="G1276">
        <v>1</v>
      </c>
      <c r="H1276">
        <v>0.2</v>
      </c>
      <c r="I1276">
        <v>0</v>
      </c>
      <c r="J1276">
        <v>-68.501300000000001</v>
      </c>
      <c r="K1276">
        <v>522.59199999999998</v>
      </c>
      <c r="L1276" s="1">
        <f>0</f>
        <v>0</v>
      </c>
    </row>
    <row r="1277" spans="1:12" x14ac:dyDescent="0.25">
      <c r="A1277">
        <f>80303372*0.00001</f>
        <v>803.03372000000002</v>
      </c>
      <c r="B1277">
        <v>3492</v>
      </c>
      <c r="C1277">
        <v>107</v>
      </c>
      <c r="D1277" s="1">
        <f>259.919</f>
        <v>259.91899999999998</v>
      </c>
      <c r="E1277" s="1">
        <f>4350</f>
        <v>4350</v>
      </c>
      <c r="F1277">
        <v>1607</v>
      </c>
      <c r="G1277">
        <v>1</v>
      </c>
      <c r="H1277">
        <v>0.2</v>
      </c>
      <c r="I1277">
        <v>0</v>
      </c>
      <c r="J1277">
        <v>-68.501300000000001</v>
      </c>
      <c r="K1277">
        <v>522.59199999999998</v>
      </c>
      <c r="L1277">
        <v>0</v>
      </c>
    </row>
    <row r="1278" spans="1:12" x14ac:dyDescent="0.25">
      <c r="A1278">
        <f>80303500*0.00001</f>
        <v>803.03500000000008</v>
      </c>
      <c r="B1278">
        <v>3492</v>
      </c>
      <c r="C1278">
        <v>108</v>
      </c>
      <c r="D1278">
        <v>259.91899999999998</v>
      </c>
      <c r="E1278">
        <v>4350</v>
      </c>
      <c r="F1278" s="1">
        <f>1607</f>
        <v>1607</v>
      </c>
      <c r="G1278" s="1">
        <f>1</f>
        <v>1</v>
      </c>
      <c r="H1278">
        <v>0.2</v>
      </c>
      <c r="I1278">
        <v>0</v>
      </c>
      <c r="J1278">
        <v>-68.501300000000001</v>
      </c>
      <c r="K1278">
        <v>522.59199999999998</v>
      </c>
      <c r="L1278">
        <v>0</v>
      </c>
    </row>
    <row r="1279" spans="1:12" x14ac:dyDescent="0.25">
      <c r="A1279">
        <f>80303628*0.00001</f>
        <v>803.03628000000003</v>
      </c>
      <c r="B1279">
        <v>3492</v>
      </c>
      <c r="C1279">
        <v>109</v>
      </c>
      <c r="D1279">
        <v>259.91899999999998</v>
      </c>
      <c r="E1279">
        <v>4350</v>
      </c>
      <c r="F1279">
        <v>1607</v>
      </c>
      <c r="G1279">
        <v>1</v>
      </c>
      <c r="H1279" s="1">
        <f>0.2</f>
        <v>0.2</v>
      </c>
      <c r="I1279" s="1">
        <f>0</f>
        <v>0</v>
      </c>
      <c r="J1279">
        <v>-68.501300000000001</v>
      </c>
      <c r="K1279">
        <v>522.59199999999998</v>
      </c>
      <c r="L1279">
        <v>0</v>
      </c>
    </row>
    <row r="1280" spans="1:12" x14ac:dyDescent="0.25">
      <c r="A1280">
        <f>80303756*0.00001</f>
        <v>803.0375600000001</v>
      </c>
      <c r="B1280">
        <v>3492</v>
      </c>
      <c r="C1280">
        <v>110</v>
      </c>
      <c r="D1280" s="1">
        <f>259.758</f>
        <v>259.75799999999998</v>
      </c>
      <c r="E1280" s="1">
        <f>4354</f>
        <v>4354</v>
      </c>
      <c r="F1280" s="1">
        <f>1607</f>
        <v>1607</v>
      </c>
      <c r="G1280" s="1">
        <f>1</f>
        <v>1</v>
      </c>
      <c r="H1280" s="1">
        <f>0.2</f>
        <v>0.2</v>
      </c>
      <c r="I1280" s="1">
        <f>0</f>
        <v>0</v>
      </c>
      <c r="J1280" s="1">
        <f>-68.1776</f>
        <v>-68.177599999999998</v>
      </c>
      <c r="K1280" s="1">
        <f>522.497</f>
        <v>522.49699999999996</v>
      </c>
      <c r="L1280" s="1">
        <f>0</f>
        <v>0</v>
      </c>
    </row>
    <row r="1281" spans="1:12" x14ac:dyDescent="0.25">
      <c r="A1281">
        <f>80304397*0.00001</f>
        <v>803.04397000000006</v>
      </c>
      <c r="B1281">
        <v>3492</v>
      </c>
      <c r="C1281">
        <v>115</v>
      </c>
      <c r="D1281">
        <v>259.75799999999998</v>
      </c>
      <c r="E1281">
        <v>4354</v>
      </c>
      <c r="F1281">
        <v>1607</v>
      </c>
      <c r="G1281">
        <v>1</v>
      </c>
      <c r="H1281">
        <v>0.2</v>
      </c>
      <c r="I1281">
        <v>0</v>
      </c>
      <c r="J1281">
        <v>-68.177599999999998</v>
      </c>
      <c r="K1281" s="1">
        <f>522.444</f>
        <v>522.44399999999996</v>
      </c>
      <c r="L1281">
        <v>0</v>
      </c>
    </row>
    <row r="1282" spans="1:12" x14ac:dyDescent="0.25">
      <c r="A1282">
        <f>80304525*0.00001</f>
        <v>803.04525000000001</v>
      </c>
      <c r="B1282">
        <v>3492</v>
      </c>
      <c r="C1282">
        <v>116</v>
      </c>
      <c r="D1282" s="1">
        <f>259.599</f>
        <v>259.59899999999999</v>
      </c>
      <c r="E1282">
        <v>4354</v>
      </c>
      <c r="F1282">
        <v>1607</v>
      </c>
      <c r="G1282">
        <v>1</v>
      </c>
      <c r="H1282">
        <v>0.2</v>
      </c>
      <c r="I1282">
        <v>0</v>
      </c>
      <c r="J1282">
        <v>-68.177599999999998</v>
      </c>
      <c r="K1282">
        <v>522.44399999999996</v>
      </c>
      <c r="L1282">
        <v>0</v>
      </c>
    </row>
    <row r="1283" spans="1:12" x14ac:dyDescent="0.25">
      <c r="A1283">
        <f>80304653*0.00001</f>
        <v>803.04653000000008</v>
      </c>
      <c r="B1283">
        <v>3492</v>
      </c>
      <c r="C1283">
        <v>117</v>
      </c>
      <c r="D1283">
        <v>259.59899999999999</v>
      </c>
      <c r="E1283">
        <v>4354</v>
      </c>
      <c r="F1283" s="1">
        <f>1607</f>
        <v>1607</v>
      </c>
      <c r="G1283">
        <v>1</v>
      </c>
      <c r="H1283">
        <v>0.2</v>
      </c>
      <c r="I1283">
        <v>0</v>
      </c>
      <c r="J1283">
        <v>-68.177599999999998</v>
      </c>
      <c r="K1283">
        <v>522.44399999999996</v>
      </c>
      <c r="L1283">
        <v>0</v>
      </c>
    </row>
    <row r="1284" spans="1:12" x14ac:dyDescent="0.25">
      <c r="A1284">
        <f>80304781*0.00001</f>
        <v>803.04781000000003</v>
      </c>
      <c r="B1284">
        <v>3492</v>
      </c>
      <c r="C1284">
        <v>118</v>
      </c>
      <c r="D1284">
        <v>259.59899999999999</v>
      </c>
      <c r="E1284">
        <v>4354</v>
      </c>
      <c r="F1284">
        <v>1607</v>
      </c>
      <c r="G1284">
        <v>1</v>
      </c>
      <c r="H1284" s="1">
        <f>0.2</f>
        <v>0.2</v>
      </c>
      <c r="I1284">
        <v>0</v>
      </c>
      <c r="J1284">
        <v>-68.177599999999998</v>
      </c>
      <c r="K1284">
        <v>522.44399999999996</v>
      </c>
      <c r="L1284">
        <v>0</v>
      </c>
    </row>
    <row r="1285" spans="1:12" x14ac:dyDescent="0.25">
      <c r="A1285">
        <f>80304910*0.00001</f>
        <v>803.04910000000007</v>
      </c>
      <c r="B1285">
        <v>3492</v>
      </c>
      <c r="C1285">
        <v>119</v>
      </c>
      <c r="D1285">
        <v>259.59899999999999</v>
      </c>
      <c r="E1285">
        <v>4354</v>
      </c>
      <c r="F1285">
        <v>1607</v>
      </c>
      <c r="G1285">
        <v>1</v>
      </c>
      <c r="H1285">
        <v>0.2</v>
      </c>
      <c r="I1285">
        <v>0</v>
      </c>
      <c r="J1285" s="1">
        <f>-67.6028</f>
        <v>-67.602800000000002</v>
      </c>
      <c r="K1285">
        <v>522.44399999999996</v>
      </c>
      <c r="L1285">
        <v>0</v>
      </c>
    </row>
    <row r="1286" spans="1:12" x14ac:dyDescent="0.25">
      <c r="A1286">
        <f>80305038*0.00001</f>
        <v>803.05038000000002</v>
      </c>
      <c r="B1286">
        <v>3492</v>
      </c>
      <c r="C1286">
        <v>120</v>
      </c>
      <c r="D1286">
        <v>259.59899999999999</v>
      </c>
      <c r="E1286">
        <v>4354</v>
      </c>
      <c r="F1286">
        <v>1607</v>
      </c>
      <c r="G1286">
        <v>1</v>
      </c>
      <c r="H1286">
        <v>0.2</v>
      </c>
      <c r="I1286">
        <v>0</v>
      </c>
      <c r="J1286">
        <v>-67.602800000000002</v>
      </c>
      <c r="K1286" s="1">
        <f>522.392</f>
        <v>522.39200000000005</v>
      </c>
      <c r="L1286" s="1">
        <f>0</f>
        <v>0</v>
      </c>
    </row>
    <row r="1287" spans="1:12" x14ac:dyDescent="0.25">
      <c r="A1287">
        <f>80305166*0.00001</f>
        <v>803.05166000000008</v>
      </c>
      <c r="B1287">
        <v>3492</v>
      </c>
      <c r="C1287">
        <v>121</v>
      </c>
      <c r="D1287" s="1">
        <f>259.445</f>
        <v>259.44499999999999</v>
      </c>
      <c r="E1287" s="1">
        <f>4362</f>
        <v>4362</v>
      </c>
      <c r="F1287">
        <v>1607</v>
      </c>
      <c r="G1287">
        <v>1</v>
      </c>
      <c r="H1287">
        <v>0.2</v>
      </c>
      <c r="I1287">
        <v>0</v>
      </c>
      <c r="J1287">
        <v>-67.602800000000002</v>
      </c>
      <c r="K1287">
        <v>522.39200000000005</v>
      </c>
      <c r="L1287">
        <v>0</v>
      </c>
    </row>
    <row r="1288" spans="1:12" x14ac:dyDescent="0.25">
      <c r="A1288">
        <f>80305294*0.00001</f>
        <v>803.05294000000004</v>
      </c>
      <c r="B1288">
        <v>3492</v>
      </c>
      <c r="C1288">
        <v>122</v>
      </c>
      <c r="D1288">
        <v>259.44499999999999</v>
      </c>
      <c r="E1288">
        <v>4362</v>
      </c>
      <c r="F1288" s="1">
        <f>1607</f>
        <v>1607</v>
      </c>
      <c r="G1288" s="1">
        <f>1</f>
        <v>1</v>
      </c>
      <c r="H1288">
        <v>0.2</v>
      </c>
      <c r="I1288">
        <v>0</v>
      </c>
      <c r="J1288">
        <v>-67.602800000000002</v>
      </c>
      <c r="K1288">
        <v>522.39200000000005</v>
      </c>
      <c r="L1288">
        <v>0</v>
      </c>
    </row>
    <row r="1289" spans="1:12" x14ac:dyDescent="0.25">
      <c r="A1289">
        <f>80305422*0.00001</f>
        <v>803.0542200000001</v>
      </c>
      <c r="B1289">
        <v>3492</v>
      </c>
      <c r="C1289">
        <v>123</v>
      </c>
      <c r="D1289" s="1">
        <f>259.298</f>
        <v>259.298</v>
      </c>
      <c r="E1289" s="1">
        <f>4366</f>
        <v>4366</v>
      </c>
      <c r="F1289" s="1">
        <f>1607</f>
        <v>1607</v>
      </c>
      <c r="G1289" s="1">
        <f>1</f>
        <v>1</v>
      </c>
      <c r="H1289" s="1">
        <f>0.2</f>
        <v>0.2</v>
      </c>
      <c r="I1289" s="1">
        <f>0</f>
        <v>0</v>
      </c>
      <c r="J1289" s="1">
        <f>-67.2643</f>
        <v>-67.264300000000006</v>
      </c>
      <c r="K1289" s="1">
        <f>522.35</f>
        <v>522.35</v>
      </c>
      <c r="L1289" s="1">
        <f>0</f>
        <v>0</v>
      </c>
    </row>
    <row r="1290" spans="1:12" x14ac:dyDescent="0.25">
      <c r="A1290">
        <f>80306192*0.00001</f>
        <v>803.0619200000001</v>
      </c>
      <c r="B1290">
        <v>3492</v>
      </c>
      <c r="C1290">
        <v>129</v>
      </c>
      <c r="D1290">
        <v>259.298</v>
      </c>
      <c r="E1290">
        <v>4366</v>
      </c>
      <c r="F1290">
        <v>1607</v>
      </c>
      <c r="G1290">
        <v>1</v>
      </c>
      <c r="H1290">
        <v>0.2</v>
      </c>
      <c r="I1290">
        <v>0</v>
      </c>
      <c r="J1290">
        <v>-67.264300000000006</v>
      </c>
      <c r="K1290" s="1">
        <f>522.298</f>
        <v>522.298</v>
      </c>
      <c r="L1290">
        <v>0</v>
      </c>
    </row>
    <row r="1291" spans="1:12" x14ac:dyDescent="0.25">
      <c r="A1291">
        <f>80306321*0.00001</f>
        <v>803.06321000000003</v>
      </c>
      <c r="B1291">
        <v>3492</v>
      </c>
      <c r="C1291">
        <v>130</v>
      </c>
      <c r="D1291" s="1">
        <f>259.151</f>
        <v>259.15100000000001</v>
      </c>
      <c r="E1291">
        <v>4366</v>
      </c>
      <c r="F1291">
        <v>1607</v>
      </c>
      <c r="G1291">
        <v>1</v>
      </c>
      <c r="H1291">
        <v>0.2</v>
      </c>
      <c r="I1291">
        <v>0</v>
      </c>
      <c r="J1291">
        <v>-67.264300000000006</v>
      </c>
      <c r="K1291">
        <v>522.298</v>
      </c>
      <c r="L1291">
        <v>0</v>
      </c>
    </row>
    <row r="1292" spans="1:12" x14ac:dyDescent="0.25">
      <c r="A1292">
        <f>80306450*0.00001</f>
        <v>803.06450000000007</v>
      </c>
      <c r="B1292">
        <v>3492</v>
      </c>
      <c r="C1292">
        <v>131</v>
      </c>
      <c r="D1292">
        <v>259.15100000000001</v>
      </c>
      <c r="E1292">
        <v>4366</v>
      </c>
      <c r="F1292" s="1">
        <f>1607</f>
        <v>1607</v>
      </c>
      <c r="G1292">
        <v>1</v>
      </c>
      <c r="H1292">
        <v>0.2</v>
      </c>
      <c r="I1292">
        <v>0</v>
      </c>
      <c r="J1292">
        <v>-67.264300000000006</v>
      </c>
      <c r="K1292">
        <v>522.298</v>
      </c>
      <c r="L1292">
        <v>0</v>
      </c>
    </row>
    <row r="1293" spans="1:12" x14ac:dyDescent="0.25">
      <c r="A1293">
        <f>80306579*0.00001</f>
        <v>803.06579000000011</v>
      </c>
      <c r="B1293">
        <v>3492</v>
      </c>
      <c r="C1293">
        <v>132</v>
      </c>
      <c r="D1293">
        <v>259.15100000000001</v>
      </c>
      <c r="E1293">
        <v>4366</v>
      </c>
      <c r="F1293">
        <v>1607</v>
      </c>
      <c r="G1293">
        <v>1</v>
      </c>
      <c r="H1293" s="1">
        <f>0.2</f>
        <v>0.2</v>
      </c>
      <c r="I1293">
        <v>0</v>
      </c>
      <c r="J1293">
        <v>-67.264300000000006</v>
      </c>
      <c r="K1293">
        <v>522.298</v>
      </c>
      <c r="L1293">
        <v>0</v>
      </c>
    </row>
    <row r="1294" spans="1:12" x14ac:dyDescent="0.25">
      <c r="A1294">
        <f>80306708*0.00001</f>
        <v>803.06708000000003</v>
      </c>
      <c r="B1294">
        <v>3492</v>
      </c>
      <c r="C1294">
        <v>133</v>
      </c>
      <c r="D1294">
        <v>259.15100000000001</v>
      </c>
      <c r="E1294">
        <v>4366</v>
      </c>
      <c r="F1294">
        <v>1607</v>
      </c>
      <c r="G1294">
        <v>1</v>
      </c>
      <c r="H1294">
        <v>0.2</v>
      </c>
      <c r="I1294" s="1">
        <f>0</f>
        <v>0</v>
      </c>
      <c r="J1294" s="1">
        <f>-66.6924</f>
        <v>-66.692400000000006</v>
      </c>
      <c r="K1294">
        <v>522.298</v>
      </c>
      <c r="L1294">
        <v>0</v>
      </c>
    </row>
    <row r="1295" spans="1:12" x14ac:dyDescent="0.25">
      <c r="A1295">
        <f>80306837*0.00001</f>
        <v>803.06837000000007</v>
      </c>
      <c r="B1295">
        <v>3492</v>
      </c>
      <c r="C1295">
        <v>134</v>
      </c>
      <c r="D1295">
        <v>259.15100000000001</v>
      </c>
      <c r="E1295">
        <v>4366</v>
      </c>
      <c r="F1295">
        <v>1607</v>
      </c>
      <c r="G1295">
        <v>1</v>
      </c>
      <c r="H1295">
        <v>0.2</v>
      </c>
      <c r="I1295">
        <v>0</v>
      </c>
      <c r="J1295">
        <v>-66.692400000000006</v>
      </c>
      <c r="K1295" s="1">
        <f>522.247</f>
        <v>522.24699999999996</v>
      </c>
      <c r="L1295" s="1">
        <f>0</f>
        <v>0</v>
      </c>
    </row>
    <row r="1296" spans="1:12" x14ac:dyDescent="0.25">
      <c r="A1296">
        <f>80306966*0.00001</f>
        <v>803.06966000000011</v>
      </c>
      <c r="B1296">
        <v>3492</v>
      </c>
      <c r="C1296">
        <v>135</v>
      </c>
      <c r="D1296" s="1">
        <f>258.981</f>
        <v>258.98099999999999</v>
      </c>
      <c r="E1296" s="1">
        <f>4374</f>
        <v>4374</v>
      </c>
      <c r="F1296">
        <v>1607</v>
      </c>
      <c r="G1296">
        <v>1</v>
      </c>
      <c r="H1296">
        <v>0.2</v>
      </c>
      <c r="I1296">
        <v>0</v>
      </c>
      <c r="J1296">
        <v>-66.692400000000006</v>
      </c>
      <c r="K1296">
        <v>522.24699999999996</v>
      </c>
      <c r="L1296">
        <v>0</v>
      </c>
    </row>
    <row r="1297" spans="1:12" x14ac:dyDescent="0.25">
      <c r="A1297">
        <f>80307094*0.00001</f>
        <v>803.07094000000006</v>
      </c>
      <c r="B1297">
        <v>3492</v>
      </c>
      <c r="C1297">
        <v>136</v>
      </c>
      <c r="D1297">
        <v>258.98099999999999</v>
      </c>
      <c r="E1297">
        <v>4374</v>
      </c>
      <c r="F1297" s="1">
        <f>1607</f>
        <v>1607</v>
      </c>
      <c r="G1297" s="1">
        <f>1</f>
        <v>1</v>
      </c>
      <c r="H1297">
        <v>0.2</v>
      </c>
      <c r="I1297">
        <v>0</v>
      </c>
      <c r="J1297">
        <v>-66.692400000000006</v>
      </c>
      <c r="K1297">
        <v>522.24699999999996</v>
      </c>
      <c r="L1297">
        <v>0</v>
      </c>
    </row>
    <row r="1298" spans="1:12" x14ac:dyDescent="0.25">
      <c r="A1298">
        <f>80307222*0.00001</f>
        <v>803.07222000000002</v>
      </c>
      <c r="B1298">
        <v>3492</v>
      </c>
      <c r="C1298">
        <v>137</v>
      </c>
      <c r="D1298" s="1">
        <f>258.844</f>
        <v>258.84399999999999</v>
      </c>
      <c r="E1298" s="1">
        <f>4378</f>
        <v>4378</v>
      </c>
      <c r="F1298" s="1">
        <f>1607</f>
        <v>1607</v>
      </c>
      <c r="G1298" s="1">
        <f>1</f>
        <v>1</v>
      </c>
      <c r="H1298" s="1">
        <f>0.2</f>
        <v>0.2</v>
      </c>
      <c r="I1298" s="1">
        <f>0</f>
        <v>0</v>
      </c>
      <c r="J1298" s="1">
        <f>-66.359</f>
        <v>-66.358999999999995</v>
      </c>
      <c r="K1298" s="1">
        <f>522.205</f>
        <v>522.20500000000004</v>
      </c>
      <c r="L1298" s="1">
        <f>0</f>
        <v>0</v>
      </c>
    </row>
    <row r="1299" spans="1:12" x14ac:dyDescent="0.25">
      <c r="A1299">
        <f>80307866*0.00001</f>
        <v>803.07866000000001</v>
      </c>
      <c r="B1299">
        <v>3492</v>
      </c>
      <c r="C1299">
        <v>142</v>
      </c>
      <c r="D1299">
        <v>258.84399999999999</v>
      </c>
      <c r="E1299">
        <v>4378</v>
      </c>
      <c r="F1299">
        <v>1607</v>
      </c>
      <c r="G1299">
        <v>1</v>
      </c>
      <c r="H1299">
        <v>0.2</v>
      </c>
      <c r="I1299" s="1">
        <f>0</f>
        <v>0</v>
      </c>
      <c r="J1299">
        <v>-66.358999999999995</v>
      </c>
      <c r="K1299">
        <v>522.20500000000004</v>
      </c>
      <c r="L1299">
        <v>0</v>
      </c>
    </row>
    <row r="1300" spans="1:12" x14ac:dyDescent="0.25">
      <c r="A1300">
        <f>80307994*0.00001</f>
        <v>803.07994000000008</v>
      </c>
      <c r="B1300">
        <v>3492</v>
      </c>
      <c r="C1300">
        <v>143</v>
      </c>
      <c r="D1300">
        <v>258.84399999999999</v>
      </c>
      <c r="E1300">
        <v>4378</v>
      </c>
      <c r="F1300">
        <v>1607</v>
      </c>
      <c r="G1300">
        <v>1</v>
      </c>
      <c r="H1300">
        <v>0.2</v>
      </c>
      <c r="I1300">
        <v>0</v>
      </c>
      <c r="J1300">
        <v>-66.358999999999995</v>
      </c>
      <c r="K1300" s="1">
        <f>522.154</f>
        <v>522.154</v>
      </c>
      <c r="L1300">
        <v>0</v>
      </c>
    </row>
    <row r="1301" spans="1:12" x14ac:dyDescent="0.25">
      <c r="A1301">
        <f>80308122*0.00001</f>
        <v>803.08122000000003</v>
      </c>
      <c r="B1301">
        <v>3492</v>
      </c>
      <c r="C1301">
        <v>144</v>
      </c>
      <c r="D1301" s="1">
        <f>258.71</f>
        <v>258.70999999999998</v>
      </c>
      <c r="E1301">
        <v>4378</v>
      </c>
      <c r="F1301">
        <v>1607</v>
      </c>
      <c r="G1301">
        <v>1</v>
      </c>
      <c r="H1301">
        <v>0.2</v>
      </c>
      <c r="I1301">
        <v>0</v>
      </c>
      <c r="J1301">
        <v>-66.358999999999995</v>
      </c>
      <c r="K1301">
        <v>522.154</v>
      </c>
      <c r="L1301">
        <v>0</v>
      </c>
    </row>
    <row r="1302" spans="1:12" x14ac:dyDescent="0.25">
      <c r="A1302">
        <f>80308250*0.00001</f>
        <v>803.0825000000001</v>
      </c>
      <c r="B1302">
        <v>3492</v>
      </c>
      <c r="C1302">
        <v>145</v>
      </c>
      <c r="D1302">
        <v>258.70999999999998</v>
      </c>
      <c r="E1302">
        <v>4378</v>
      </c>
      <c r="F1302" s="1">
        <f>1607</f>
        <v>1607</v>
      </c>
      <c r="G1302">
        <v>1</v>
      </c>
      <c r="H1302">
        <v>0.2</v>
      </c>
      <c r="I1302">
        <v>0</v>
      </c>
      <c r="J1302">
        <v>-66.358999999999995</v>
      </c>
      <c r="K1302">
        <v>522.154</v>
      </c>
      <c r="L1302">
        <v>0</v>
      </c>
    </row>
    <row r="1303" spans="1:12" x14ac:dyDescent="0.25">
      <c r="A1303">
        <f>80308379*0.00001</f>
        <v>803.08379000000002</v>
      </c>
      <c r="B1303">
        <v>3492</v>
      </c>
      <c r="C1303">
        <v>146</v>
      </c>
      <c r="D1303">
        <v>258.70999999999998</v>
      </c>
      <c r="E1303">
        <v>4378</v>
      </c>
      <c r="F1303">
        <v>1607</v>
      </c>
      <c r="G1303">
        <v>1</v>
      </c>
      <c r="H1303" s="1">
        <f>0.2</f>
        <v>0.2</v>
      </c>
      <c r="I1303">
        <v>0</v>
      </c>
      <c r="J1303">
        <v>-66.358999999999995</v>
      </c>
      <c r="K1303">
        <v>522.154</v>
      </c>
      <c r="L1303">
        <v>0</v>
      </c>
    </row>
    <row r="1304" spans="1:12" x14ac:dyDescent="0.25">
      <c r="A1304">
        <f>80308508*0.00001</f>
        <v>803.08508000000006</v>
      </c>
      <c r="B1304">
        <v>3492</v>
      </c>
      <c r="C1304">
        <v>147</v>
      </c>
      <c r="D1304">
        <v>258.70999999999998</v>
      </c>
      <c r="E1304">
        <v>4378</v>
      </c>
      <c r="F1304">
        <v>1607</v>
      </c>
      <c r="G1304">
        <v>1</v>
      </c>
      <c r="H1304">
        <v>0.2</v>
      </c>
      <c r="I1304" s="1">
        <f>0</f>
        <v>0</v>
      </c>
      <c r="J1304" s="1">
        <f>-65.7793</f>
        <v>-65.779300000000006</v>
      </c>
      <c r="K1304">
        <v>522.154</v>
      </c>
      <c r="L1304">
        <v>0</v>
      </c>
    </row>
    <row r="1305" spans="1:12" x14ac:dyDescent="0.25">
      <c r="A1305">
        <f>80308636*0.00001</f>
        <v>803.08636000000001</v>
      </c>
      <c r="B1305">
        <v>3492</v>
      </c>
      <c r="C1305">
        <v>148</v>
      </c>
      <c r="D1305">
        <v>258.70999999999998</v>
      </c>
      <c r="E1305">
        <v>4378</v>
      </c>
      <c r="F1305">
        <v>1607</v>
      </c>
      <c r="G1305">
        <v>1</v>
      </c>
      <c r="H1305">
        <v>0.2</v>
      </c>
      <c r="I1305">
        <v>0</v>
      </c>
      <c r="J1305">
        <v>-65.779300000000006</v>
      </c>
      <c r="K1305" s="1">
        <f>522.103</f>
        <v>522.10299999999995</v>
      </c>
      <c r="L1305" s="1">
        <f>0</f>
        <v>0</v>
      </c>
    </row>
    <row r="1306" spans="1:12" x14ac:dyDescent="0.25">
      <c r="A1306">
        <f>80308765*0.00001</f>
        <v>803.08765000000005</v>
      </c>
      <c r="B1306">
        <v>3492</v>
      </c>
      <c r="C1306">
        <v>149</v>
      </c>
      <c r="D1306" s="1">
        <f>258.524</f>
        <v>258.524</v>
      </c>
      <c r="E1306" s="1">
        <f>4386</f>
        <v>4386</v>
      </c>
      <c r="F1306">
        <v>1607</v>
      </c>
      <c r="G1306">
        <v>1</v>
      </c>
      <c r="H1306">
        <v>0.2</v>
      </c>
      <c r="I1306">
        <v>0</v>
      </c>
      <c r="J1306">
        <v>-65.779300000000006</v>
      </c>
      <c r="K1306">
        <v>522.10299999999995</v>
      </c>
      <c r="L1306">
        <v>0</v>
      </c>
    </row>
    <row r="1307" spans="1:12" x14ac:dyDescent="0.25">
      <c r="A1307">
        <f>80308894*0.00001</f>
        <v>803.08894000000009</v>
      </c>
      <c r="B1307">
        <v>3492</v>
      </c>
      <c r="C1307">
        <v>150</v>
      </c>
      <c r="D1307">
        <v>258.524</v>
      </c>
      <c r="E1307">
        <v>4386</v>
      </c>
      <c r="F1307" s="1">
        <f>1607</f>
        <v>1607</v>
      </c>
      <c r="G1307" s="1">
        <f>1</f>
        <v>1</v>
      </c>
      <c r="H1307">
        <v>0.2</v>
      </c>
      <c r="I1307">
        <v>0</v>
      </c>
      <c r="J1307">
        <v>-65.779300000000006</v>
      </c>
      <c r="K1307">
        <v>522.10299999999995</v>
      </c>
      <c r="L1307">
        <v>0</v>
      </c>
    </row>
    <row r="1308" spans="1:12" x14ac:dyDescent="0.25">
      <c r="A1308">
        <f>80309022*0.00001</f>
        <v>803.09022000000004</v>
      </c>
      <c r="B1308">
        <v>3492</v>
      </c>
      <c r="C1308">
        <v>151</v>
      </c>
      <c r="D1308" s="1">
        <f>258.399</f>
        <v>258.399</v>
      </c>
      <c r="E1308" s="1">
        <f>4390</f>
        <v>4390</v>
      </c>
      <c r="F1308" s="1">
        <f>1607</f>
        <v>1607</v>
      </c>
      <c r="G1308" s="1">
        <f>1</f>
        <v>1</v>
      </c>
      <c r="H1308" s="1">
        <f>0.2</f>
        <v>0.2</v>
      </c>
      <c r="I1308" s="1">
        <f>0</f>
        <v>0</v>
      </c>
      <c r="J1308" s="1">
        <f>-65.4607</f>
        <v>-65.460700000000003</v>
      </c>
      <c r="K1308" s="1">
        <f>522.062</f>
        <v>522.06200000000001</v>
      </c>
      <c r="L1308" s="1">
        <f>0</f>
        <v>0</v>
      </c>
    </row>
    <row r="1309" spans="1:12" x14ac:dyDescent="0.25">
      <c r="A1309">
        <f>80309795*0.00001</f>
        <v>803.09795000000008</v>
      </c>
      <c r="B1309">
        <v>3492</v>
      </c>
      <c r="C1309">
        <v>157</v>
      </c>
      <c r="D1309">
        <v>258.399</v>
      </c>
      <c r="E1309">
        <v>4390</v>
      </c>
      <c r="F1309">
        <v>1607</v>
      </c>
      <c r="G1309">
        <v>1</v>
      </c>
      <c r="H1309">
        <v>0.2</v>
      </c>
      <c r="I1309">
        <v>0</v>
      </c>
      <c r="J1309">
        <v>-65.460700000000003</v>
      </c>
      <c r="K1309" s="1">
        <f>522.012</f>
        <v>522.01199999999994</v>
      </c>
      <c r="L1309">
        <v>0</v>
      </c>
    </row>
    <row r="1310" spans="1:12" x14ac:dyDescent="0.25">
      <c r="A1310">
        <f>80309924*0.00001</f>
        <v>803.09924000000001</v>
      </c>
      <c r="B1310">
        <v>3492</v>
      </c>
      <c r="C1310">
        <v>158</v>
      </c>
      <c r="D1310" s="1">
        <f>258.255</f>
        <v>258.255</v>
      </c>
      <c r="E1310">
        <v>4390</v>
      </c>
      <c r="F1310">
        <v>1607</v>
      </c>
      <c r="G1310">
        <v>1</v>
      </c>
      <c r="H1310">
        <v>0.2</v>
      </c>
      <c r="I1310">
        <v>0</v>
      </c>
      <c r="J1310">
        <v>-65.460700000000003</v>
      </c>
      <c r="K1310">
        <v>522.01199999999994</v>
      </c>
      <c r="L1310">
        <v>0</v>
      </c>
    </row>
    <row r="1311" spans="1:12" x14ac:dyDescent="0.25">
      <c r="A1311">
        <f>80310053*0.00001</f>
        <v>803.10053000000005</v>
      </c>
      <c r="B1311">
        <v>3492</v>
      </c>
      <c r="C1311">
        <v>159</v>
      </c>
      <c r="D1311">
        <v>258.255</v>
      </c>
      <c r="E1311">
        <v>4390</v>
      </c>
      <c r="F1311" s="1">
        <f>1607</f>
        <v>1607</v>
      </c>
      <c r="G1311">
        <v>1</v>
      </c>
      <c r="H1311">
        <v>0.2</v>
      </c>
      <c r="I1311">
        <v>0</v>
      </c>
      <c r="J1311">
        <v>-65.460700000000003</v>
      </c>
      <c r="K1311">
        <v>522.01199999999994</v>
      </c>
      <c r="L1311">
        <v>0</v>
      </c>
    </row>
    <row r="1312" spans="1:12" x14ac:dyDescent="0.25">
      <c r="A1312">
        <f>80310182*0.00001</f>
        <v>803.10182000000009</v>
      </c>
      <c r="B1312">
        <v>3492</v>
      </c>
      <c r="C1312">
        <v>160</v>
      </c>
      <c r="D1312">
        <v>258.255</v>
      </c>
      <c r="E1312">
        <v>4390</v>
      </c>
      <c r="F1312">
        <v>1607</v>
      </c>
      <c r="G1312">
        <v>1</v>
      </c>
      <c r="H1312" s="1">
        <f>0.2</f>
        <v>0.2</v>
      </c>
      <c r="I1312">
        <v>0</v>
      </c>
      <c r="J1312">
        <v>-65.460700000000003</v>
      </c>
      <c r="K1312">
        <v>522.01199999999994</v>
      </c>
      <c r="L1312">
        <v>0</v>
      </c>
    </row>
    <row r="1313" spans="1:12" x14ac:dyDescent="0.25">
      <c r="A1313">
        <f>80310311*0.00001</f>
        <v>803.10311000000002</v>
      </c>
      <c r="B1313">
        <v>3492</v>
      </c>
      <c r="C1313">
        <v>161</v>
      </c>
      <c r="D1313">
        <v>258.255</v>
      </c>
      <c r="E1313">
        <v>4390</v>
      </c>
      <c r="F1313">
        <v>1607</v>
      </c>
      <c r="G1313">
        <v>1</v>
      </c>
      <c r="H1313">
        <v>0.2</v>
      </c>
      <c r="I1313">
        <v>0</v>
      </c>
      <c r="J1313" s="1">
        <f>-64.8733</f>
        <v>-64.8733</v>
      </c>
      <c r="K1313">
        <v>522.01199999999994</v>
      </c>
      <c r="L1313">
        <v>0</v>
      </c>
    </row>
    <row r="1314" spans="1:12" x14ac:dyDescent="0.25">
      <c r="A1314">
        <f>80310440*0.00001</f>
        <v>803.10440000000006</v>
      </c>
      <c r="B1314">
        <v>3492</v>
      </c>
      <c r="C1314">
        <v>162</v>
      </c>
      <c r="D1314">
        <v>258.255</v>
      </c>
      <c r="E1314">
        <v>4390</v>
      </c>
      <c r="F1314">
        <v>1607</v>
      </c>
      <c r="G1314">
        <v>1</v>
      </c>
      <c r="H1314">
        <v>0.2</v>
      </c>
      <c r="I1314">
        <v>0</v>
      </c>
      <c r="J1314">
        <v>-64.8733</v>
      </c>
      <c r="K1314" s="1">
        <f>521.961</f>
        <v>521.96100000000001</v>
      </c>
      <c r="L1314" s="1">
        <f>0</f>
        <v>0</v>
      </c>
    </row>
    <row r="1315" spans="1:12" x14ac:dyDescent="0.25">
      <c r="A1315">
        <f>80310569*0.00001</f>
        <v>803.1056900000001</v>
      </c>
      <c r="B1315">
        <v>3492</v>
      </c>
      <c r="C1315">
        <v>163</v>
      </c>
      <c r="D1315" s="1">
        <f>258.073</f>
        <v>258.07299999999998</v>
      </c>
      <c r="E1315" s="1">
        <f>4397</f>
        <v>4397</v>
      </c>
      <c r="F1315">
        <v>1607</v>
      </c>
      <c r="G1315">
        <v>1</v>
      </c>
      <c r="H1315">
        <v>0.2</v>
      </c>
      <c r="I1315">
        <v>0</v>
      </c>
      <c r="J1315">
        <v>-64.8733</v>
      </c>
      <c r="K1315">
        <v>521.96100000000001</v>
      </c>
      <c r="L1315">
        <v>0</v>
      </c>
    </row>
    <row r="1316" spans="1:12" x14ac:dyDescent="0.25">
      <c r="A1316">
        <f>80310698*0.00001</f>
        <v>803.10698000000002</v>
      </c>
      <c r="B1316">
        <v>3492</v>
      </c>
      <c r="C1316">
        <v>164</v>
      </c>
      <c r="D1316">
        <v>258.07299999999998</v>
      </c>
      <c r="E1316">
        <v>4397</v>
      </c>
      <c r="F1316" s="1">
        <f>1607</f>
        <v>1607</v>
      </c>
      <c r="G1316" s="1">
        <f>1</f>
        <v>1</v>
      </c>
      <c r="H1316">
        <v>0.2</v>
      </c>
      <c r="I1316">
        <v>0</v>
      </c>
      <c r="J1316">
        <v>-64.8733</v>
      </c>
      <c r="K1316">
        <v>521.96100000000001</v>
      </c>
      <c r="L1316">
        <v>0</v>
      </c>
    </row>
    <row r="1317" spans="1:12" x14ac:dyDescent="0.25">
      <c r="A1317">
        <f>80310827*0.00001</f>
        <v>803.10827000000006</v>
      </c>
      <c r="B1317">
        <v>3492</v>
      </c>
      <c r="C1317">
        <v>165</v>
      </c>
      <c r="D1317">
        <v>258.07299999999998</v>
      </c>
      <c r="E1317">
        <v>4397</v>
      </c>
      <c r="F1317">
        <v>1607</v>
      </c>
      <c r="G1317">
        <v>1</v>
      </c>
      <c r="H1317" s="1">
        <f>0.2</f>
        <v>0.2</v>
      </c>
      <c r="I1317" s="1">
        <f>0</f>
        <v>0</v>
      </c>
      <c r="J1317">
        <v>-64.8733</v>
      </c>
      <c r="K1317">
        <v>521.96100000000001</v>
      </c>
      <c r="L1317">
        <v>0</v>
      </c>
    </row>
    <row r="1318" spans="1:12" x14ac:dyDescent="0.25">
      <c r="A1318">
        <f>80310956*0.00001</f>
        <v>803.1095600000001</v>
      </c>
      <c r="B1318">
        <v>3492</v>
      </c>
      <c r="C1318">
        <v>166</v>
      </c>
      <c r="D1318" s="1">
        <f>257.958</f>
        <v>257.95800000000003</v>
      </c>
      <c r="E1318" s="1">
        <f>4400</f>
        <v>4400</v>
      </c>
      <c r="F1318" s="1">
        <f>1607</f>
        <v>1607</v>
      </c>
      <c r="G1318" s="1">
        <f>1</f>
        <v>1</v>
      </c>
      <c r="H1318" s="1">
        <f>0.2</f>
        <v>0.2</v>
      </c>
      <c r="I1318" s="1">
        <f>0</f>
        <v>0</v>
      </c>
      <c r="J1318" s="1">
        <f>-64.3295</f>
        <v>-64.329499999999996</v>
      </c>
      <c r="K1318" s="1">
        <f>521.871</f>
        <v>521.87099999999998</v>
      </c>
      <c r="L1318" s="1">
        <f>0</f>
        <v>0</v>
      </c>
    </row>
    <row r="1319" spans="1:12" x14ac:dyDescent="0.25">
      <c r="A1319">
        <f>80311732*0.00001</f>
        <v>803.11732000000006</v>
      </c>
      <c r="B1319">
        <v>3492</v>
      </c>
      <c r="C1319">
        <v>172</v>
      </c>
      <c r="D1319" s="1">
        <f>257.796</f>
        <v>257.79599999999999</v>
      </c>
      <c r="E1319">
        <v>4400</v>
      </c>
      <c r="F1319">
        <v>1607</v>
      </c>
      <c r="G1319">
        <v>1</v>
      </c>
      <c r="H1319">
        <v>0.2</v>
      </c>
      <c r="I1319">
        <v>0</v>
      </c>
      <c r="J1319">
        <v>-64.329499999999996</v>
      </c>
      <c r="K1319">
        <v>521.87099999999998</v>
      </c>
      <c r="L1319">
        <v>0</v>
      </c>
    </row>
    <row r="1320" spans="1:12" x14ac:dyDescent="0.25">
      <c r="A1320">
        <f>80311861*0.00001</f>
        <v>803.1186100000001</v>
      </c>
      <c r="B1320">
        <v>3492</v>
      </c>
      <c r="C1320">
        <v>173</v>
      </c>
      <c r="D1320">
        <v>257.79599999999999</v>
      </c>
      <c r="E1320">
        <v>4400</v>
      </c>
      <c r="F1320" s="1">
        <f>1607</f>
        <v>1607</v>
      </c>
      <c r="G1320">
        <v>1</v>
      </c>
      <c r="H1320">
        <v>0.2</v>
      </c>
      <c r="I1320">
        <v>0</v>
      </c>
      <c r="J1320">
        <v>-64.329499999999996</v>
      </c>
      <c r="K1320">
        <v>521.87099999999998</v>
      </c>
      <c r="L1320">
        <v>0</v>
      </c>
    </row>
    <row r="1321" spans="1:12" x14ac:dyDescent="0.25">
      <c r="A1321">
        <f>80311990*0.00001</f>
        <v>803.11990000000003</v>
      </c>
      <c r="B1321">
        <v>3492</v>
      </c>
      <c r="C1321">
        <v>174</v>
      </c>
      <c r="D1321">
        <v>257.79599999999999</v>
      </c>
      <c r="E1321">
        <v>4400</v>
      </c>
      <c r="F1321">
        <v>1607</v>
      </c>
      <c r="G1321">
        <v>1</v>
      </c>
      <c r="H1321" s="1">
        <f>0.2</f>
        <v>0.2</v>
      </c>
      <c r="I1321">
        <v>0</v>
      </c>
      <c r="J1321">
        <v>-64.329499999999996</v>
      </c>
      <c r="K1321">
        <v>521.87099999999998</v>
      </c>
      <c r="L1321">
        <v>0</v>
      </c>
    </row>
    <row r="1322" spans="1:12" x14ac:dyDescent="0.25">
      <c r="A1322">
        <f>80312119*0.00001</f>
        <v>803.12119000000007</v>
      </c>
      <c r="B1322">
        <v>3492</v>
      </c>
      <c r="C1322">
        <v>175</v>
      </c>
      <c r="D1322">
        <v>257.79599999999999</v>
      </c>
      <c r="E1322">
        <v>4400</v>
      </c>
      <c r="F1322">
        <v>1607</v>
      </c>
      <c r="G1322">
        <v>1</v>
      </c>
      <c r="H1322">
        <v>0.2</v>
      </c>
      <c r="I1322">
        <v>0</v>
      </c>
      <c r="J1322" s="1">
        <f>-63.9731</f>
        <v>-63.973100000000002</v>
      </c>
      <c r="K1322">
        <v>521.87099999999998</v>
      </c>
      <c r="L1322">
        <v>0</v>
      </c>
    </row>
    <row r="1323" spans="1:12" x14ac:dyDescent="0.25">
      <c r="A1323">
        <f>80312248*0.00001</f>
        <v>803.12248000000011</v>
      </c>
      <c r="B1323">
        <v>3492</v>
      </c>
      <c r="C1323">
        <v>176</v>
      </c>
      <c r="D1323">
        <v>257.79599999999999</v>
      </c>
      <c r="E1323">
        <v>4400</v>
      </c>
      <c r="F1323">
        <v>1607</v>
      </c>
      <c r="G1323">
        <v>1</v>
      </c>
      <c r="H1323">
        <v>0.2</v>
      </c>
      <c r="I1323">
        <v>0</v>
      </c>
      <c r="J1323">
        <v>-63.973100000000002</v>
      </c>
      <c r="K1323">
        <v>521.87099999999998</v>
      </c>
      <c r="L1323" s="1">
        <f>0</f>
        <v>0</v>
      </c>
    </row>
    <row r="1324" spans="1:12" x14ac:dyDescent="0.25">
      <c r="A1324">
        <f>80312378*0.00001</f>
        <v>803.12378000000001</v>
      </c>
      <c r="B1324">
        <v>3492</v>
      </c>
      <c r="C1324">
        <v>177</v>
      </c>
      <c r="D1324">
        <v>257.79599999999999</v>
      </c>
      <c r="E1324" s="1">
        <f>4409</f>
        <v>4409</v>
      </c>
      <c r="F1324">
        <v>1607</v>
      </c>
      <c r="G1324">
        <v>1</v>
      </c>
      <c r="H1324">
        <v>0.2</v>
      </c>
      <c r="I1324">
        <v>0</v>
      </c>
      <c r="J1324">
        <v>-63.973100000000002</v>
      </c>
      <c r="K1324">
        <v>521.87099999999998</v>
      </c>
      <c r="L1324">
        <v>0</v>
      </c>
    </row>
    <row r="1325" spans="1:12" x14ac:dyDescent="0.25">
      <c r="A1325">
        <f>80312507*0.00001</f>
        <v>803.12507000000005</v>
      </c>
      <c r="B1325">
        <v>3492</v>
      </c>
      <c r="C1325">
        <v>178</v>
      </c>
      <c r="D1325">
        <v>257.79599999999999</v>
      </c>
      <c r="E1325">
        <v>4409</v>
      </c>
      <c r="F1325" s="1">
        <f>1607</f>
        <v>1607</v>
      </c>
      <c r="G1325" s="1">
        <f>1</f>
        <v>1</v>
      </c>
      <c r="H1325" s="1">
        <f>0.2</f>
        <v>0.2</v>
      </c>
      <c r="I1325" s="1">
        <f>0</f>
        <v>0</v>
      </c>
      <c r="J1325">
        <v>-63.973100000000002</v>
      </c>
      <c r="K1325">
        <v>521.87099999999998</v>
      </c>
      <c r="L1325">
        <v>0</v>
      </c>
    </row>
    <row r="1326" spans="1:12" s="2" customFormat="1" x14ac:dyDescent="0.25">
      <c r="A1326" s="2">
        <f>80312766*0.00001</f>
        <v>803.12766000000011</v>
      </c>
      <c r="B1326" s="2">
        <v>3493</v>
      </c>
      <c r="C1326" s="2">
        <v>0</v>
      </c>
      <c r="D1326" s="2">
        <v>257.79599999999999</v>
      </c>
      <c r="E1326" s="2">
        <v>4409</v>
      </c>
      <c r="F1326" s="2">
        <v>1607</v>
      </c>
      <c r="G1326" s="2">
        <v>1</v>
      </c>
      <c r="H1326" s="2">
        <v>0.2</v>
      </c>
      <c r="I1326" s="2">
        <v>0</v>
      </c>
      <c r="J1326" s="1">
        <f>-63.7824</f>
        <v>-63.782400000000003</v>
      </c>
      <c r="K1326" s="1">
        <f>521.801</f>
        <v>521.80100000000004</v>
      </c>
      <c r="L1326" s="2">
        <v>0</v>
      </c>
    </row>
    <row r="1327" spans="1:12" x14ac:dyDescent="0.25">
      <c r="A1327">
        <f>80312896*0.00001</f>
        <v>803.12896000000012</v>
      </c>
      <c r="B1327">
        <v>3493</v>
      </c>
      <c r="C1327">
        <v>1</v>
      </c>
      <c r="D1327" s="1">
        <f>257.573</f>
        <v>257.57299999999998</v>
      </c>
      <c r="E1327">
        <v>4409</v>
      </c>
      <c r="F1327">
        <v>1607</v>
      </c>
      <c r="G1327">
        <v>1</v>
      </c>
      <c r="H1327">
        <v>0.2</v>
      </c>
      <c r="I1327">
        <v>0</v>
      </c>
      <c r="J1327">
        <v>-63.782400000000003</v>
      </c>
      <c r="K1327">
        <v>521.80100000000004</v>
      </c>
      <c r="L1327" s="1">
        <f>0</f>
        <v>0</v>
      </c>
    </row>
    <row r="1328" spans="1:12" x14ac:dyDescent="0.25">
      <c r="A1328">
        <f>80313025*0.00001</f>
        <v>803.13025000000005</v>
      </c>
      <c r="B1328">
        <v>3493</v>
      </c>
      <c r="C1328">
        <v>2</v>
      </c>
      <c r="D1328">
        <v>257.57299999999998</v>
      </c>
      <c r="E1328" s="1">
        <f>4411</f>
        <v>4411</v>
      </c>
      <c r="F1328" s="1">
        <f>1607</f>
        <v>1607</v>
      </c>
      <c r="G1328">
        <v>1</v>
      </c>
      <c r="H1328">
        <v>0.2</v>
      </c>
      <c r="I1328">
        <v>0</v>
      </c>
      <c r="J1328">
        <v>-63.782400000000003</v>
      </c>
      <c r="K1328">
        <v>521.80100000000004</v>
      </c>
      <c r="L1328">
        <v>0</v>
      </c>
    </row>
    <row r="1329" spans="1:12" x14ac:dyDescent="0.25">
      <c r="A1329">
        <f>80313154*0.00001</f>
        <v>803.13154000000009</v>
      </c>
      <c r="B1329">
        <v>3493</v>
      </c>
      <c r="C1329">
        <v>3</v>
      </c>
      <c r="D1329" s="1">
        <f>257.382</f>
        <v>257.38200000000001</v>
      </c>
      <c r="E1329" s="1">
        <f>4416</f>
        <v>4416</v>
      </c>
      <c r="F1329" s="1">
        <f>1607</f>
        <v>1607</v>
      </c>
      <c r="G1329" s="1">
        <f>1</f>
        <v>1</v>
      </c>
      <c r="H1329" s="1">
        <f>0.2</f>
        <v>0.2</v>
      </c>
      <c r="I1329" s="1">
        <f>0</f>
        <v>0</v>
      </c>
      <c r="J1329" s="1">
        <f>-63.4678</f>
        <v>-63.467799999999997</v>
      </c>
      <c r="K1329" s="1">
        <f>521.752</f>
        <v>521.75199999999995</v>
      </c>
      <c r="L1329" s="1">
        <f>0</f>
        <v>0</v>
      </c>
    </row>
    <row r="1330" spans="1:12" x14ac:dyDescent="0.25">
      <c r="A1330">
        <f>80313929*0.00001</f>
        <v>803.13929000000007</v>
      </c>
      <c r="B1330">
        <v>3493</v>
      </c>
      <c r="C1330">
        <v>9</v>
      </c>
      <c r="D1330">
        <v>257.38200000000001</v>
      </c>
      <c r="E1330">
        <v>4416</v>
      </c>
      <c r="F1330">
        <v>1607</v>
      </c>
      <c r="G1330">
        <v>1</v>
      </c>
      <c r="H1330">
        <v>0.2</v>
      </c>
      <c r="I1330">
        <v>0</v>
      </c>
      <c r="J1330" s="1">
        <f>-63.1117</f>
        <v>-63.111699999999999</v>
      </c>
      <c r="K1330">
        <v>521.75199999999995</v>
      </c>
      <c r="L1330">
        <v>0</v>
      </c>
    </row>
    <row r="1331" spans="1:12" x14ac:dyDescent="0.25">
      <c r="A1331">
        <f>80314059*0.00001</f>
        <v>803.14059000000009</v>
      </c>
      <c r="B1331">
        <v>3493</v>
      </c>
      <c r="C1331">
        <v>10</v>
      </c>
      <c r="D1331">
        <v>257.38200000000001</v>
      </c>
      <c r="E1331">
        <v>4416</v>
      </c>
      <c r="F1331">
        <v>1607</v>
      </c>
      <c r="G1331">
        <v>1</v>
      </c>
      <c r="H1331">
        <v>0.2</v>
      </c>
      <c r="I1331">
        <v>0</v>
      </c>
      <c r="J1331">
        <v>-63.111699999999999</v>
      </c>
      <c r="K1331">
        <v>521.75199999999995</v>
      </c>
      <c r="L1331" s="1">
        <f>0</f>
        <v>0</v>
      </c>
    </row>
    <row r="1332" spans="1:12" x14ac:dyDescent="0.25">
      <c r="A1332">
        <f>80314189*0.00001</f>
        <v>803.1418900000001</v>
      </c>
      <c r="B1332">
        <v>3493</v>
      </c>
      <c r="C1332">
        <v>11</v>
      </c>
      <c r="D1332">
        <v>257.38200000000001</v>
      </c>
      <c r="E1332" s="1">
        <f>4420</f>
        <v>4420</v>
      </c>
      <c r="F1332">
        <v>1607</v>
      </c>
      <c r="G1332">
        <v>1</v>
      </c>
      <c r="H1332">
        <v>0.2</v>
      </c>
      <c r="I1332">
        <v>0</v>
      </c>
      <c r="J1332">
        <v>-63.111699999999999</v>
      </c>
      <c r="K1332">
        <v>521.75199999999995</v>
      </c>
      <c r="L1332">
        <v>0</v>
      </c>
    </row>
    <row r="1333" spans="1:12" x14ac:dyDescent="0.25">
      <c r="A1333">
        <f>80314319*0.00001</f>
        <v>803.14319000000012</v>
      </c>
      <c r="B1333">
        <v>3493</v>
      </c>
      <c r="C1333">
        <v>12</v>
      </c>
      <c r="D1333">
        <v>257.38200000000001</v>
      </c>
      <c r="E1333">
        <v>4420</v>
      </c>
      <c r="F1333">
        <v>1607</v>
      </c>
      <c r="G1333" s="1">
        <f>1</f>
        <v>1</v>
      </c>
      <c r="H1333">
        <v>0.2</v>
      </c>
      <c r="I1333">
        <v>0</v>
      </c>
      <c r="J1333">
        <v>-63.111699999999999</v>
      </c>
      <c r="K1333">
        <v>521.75199999999995</v>
      </c>
      <c r="L1333">
        <v>0</v>
      </c>
    </row>
    <row r="1334" spans="1:12" x14ac:dyDescent="0.25">
      <c r="A1334">
        <f>80314449*0.00001</f>
        <v>803.14449000000002</v>
      </c>
      <c r="B1334">
        <v>3493</v>
      </c>
      <c r="C1334">
        <v>13</v>
      </c>
      <c r="D1334">
        <v>257.38200000000001</v>
      </c>
      <c r="E1334">
        <v>4420</v>
      </c>
      <c r="F1334">
        <v>1607</v>
      </c>
      <c r="G1334">
        <v>1</v>
      </c>
      <c r="H1334">
        <v>0.2</v>
      </c>
      <c r="I1334" s="1">
        <f>0</f>
        <v>0</v>
      </c>
      <c r="J1334">
        <v>-63.111699999999999</v>
      </c>
      <c r="K1334">
        <v>521.75199999999995</v>
      </c>
      <c r="L1334">
        <v>0</v>
      </c>
    </row>
    <row r="1335" spans="1:12" x14ac:dyDescent="0.25">
      <c r="A1335">
        <f>80314579*0.00001</f>
        <v>803.14579000000003</v>
      </c>
      <c r="B1335">
        <v>3493</v>
      </c>
      <c r="C1335">
        <v>14</v>
      </c>
      <c r="D1335">
        <v>257.38200000000001</v>
      </c>
      <c r="E1335">
        <v>4420</v>
      </c>
      <c r="F1335">
        <v>1607</v>
      </c>
      <c r="G1335">
        <v>1</v>
      </c>
      <c r="H1335">
        <v>0.2</v>
      </c>
      <c r="I1335">
        <v>0</v>
      </c>
      <c r="J1335">
        <v>-63.111699999999999</v>
      </c>
      <c r="K1335" s="1">
        <f>521.663</f>
        <v>521.66300000000001</v>
      </c>
      <c r="L1335">
        <v>0</v>
      </c>
    </row>
    <row r="1336" spans="1:12" x14ac:dyDescent="0.25">
      <c r="A1336">
        <f>80314708*0.00001</f>
        <v>803.14708000000007</v>
      </c>
      <c r="B1336">
        <v>3493</v>
      </c>
      <c r="C1336">
        <v>15</v>
      </c>
      <c r="D1336" s="1">
        <f>257.115</f>
        <v>257.11500000000001</v>
      </c>
      <c r="E1336">
        <v>4420</v>
      </c>
      <c r="F1336">
        <v>1607</v>
      </c>
      <c r="G1336">
        <v>1</v>
      </c>
      <c r="H1336">
        <v>0.2</v>
      </c>
      <c r="I1336">
        <v>0</v>
      </c>
      <c r="J1336">
        <v>-63.111699999999999</v>
      </c>
      <c r="K1336">
        <v>521.66300000000001</v>
      </c>
      <c r="L1336">
        <v>0</v>
      </c>
    </row>
    <row r="1337" spans="1:12" x14ac:dyDescent="0.25">
      <c r="A1337">
        <f>80314838*0.00001</f>
        <v>803.14838000000009</v>
      </c>
      <c r="B1337">
        <v>3493</v>
      </c>
      <c r="C1337">
        <v>16</v>
      </c>
      <c r="D1337">
        <v>257.11500000000001</v>
      </c>
      <c r="E1337" s="1">
        <f>4423</f>
        <v>4423</v>
      </c>
      <c r="F1337" s="1">
        <f>1607</f>
        <v>1607</v>
      </c>
      <c r="G1337">
        <v>1</v>
      </c>
      <c r="H1337">
        <v>0.2</v>
      </c>
      <c r="I1337">
        <v>0</v>
      </c>
      <c r="J1337">
        <v>-63.111699999999999</v>
      </c>
      <c r="K1337">
        <v>521.66300000000001</v>
      </c>
      <c r="L1337">
        <v>0</v>
      </c>
    </row>
    <row r="1338" spans="1:12" x14ac:dyDescent="0.25">
      <c r="A1338">
        <f>80314968*0.00001</f>
        <v>803.1496800000001</v>
      </c>
      <c r="B1338">
        <v>3493</v>
      </c>
      <c r="C1338">
        <v>17</v>
      </c>
      <c r="D1338">
        <v>257.11500000000001</v>
      </c>
      <c r="E1338">
        <v>4423</v>
      </c>
      <c r="F1338">
        <v>1607</v>
      </c>
      <c r="G1338" s="1">
        <f>1</f>
        <v>1</v>
      </c>
      <c r="H1338" s="1">
        <f>0.2</f>
        <v>0.2</v>
      </c>
      <c r="I1338">
        <v>0</v>
      </c>
      <c r="J1338">
        <v>-63.111699999999999</v>
      </c>
      <c r="K1338">
        <v>521.66300000000001</v>
      </c>
      <c r="L1338">
        <v>0</v>
      </c>
    </row>
    <row r="1339" spans="1:12" x14ac:dyDescent="0.25">
      <c r="A1339">
        <f>80315098*0.00001</f>
        <v>803.15098000000012</v>
      </c>
      <c r="B1339">
        <v>3493</v>
      </c>
      <c r="C1339">
        <v>18</v>
      </c>
      <c r="D1339">
        <v>257.11500000000001</v>
      </c>
      <c r="E1339">
        <v>4423</v>
      </c>
      <c r="F1339">
        <v>1607</v>
      </c>
      <c r="G1339">
        <v>1</v>
      </c>
      <c r="H1339">
        <v>0.2</v>
      </c>
      <c r="I1339" s="1">
        <f>0</f>
        <v>0</v>
      </c>
      <c r="J1339" s="1">
        <f>-62.5512</f>
        <v>-62.551200000000001</v>
      </c>
      <c r="K1339">
        <v>521.66300000000001</v>
      </c>
      <c r="L1339">
        <v>0</v>
      </c>
    </row>
    <row r="1340" spans="1:12" x14ac:dyDescent="0.25">
      <c r="A1340">
        <f>80315228*0.00001</f>
        <v>803.15228000000002</v>
      </c>
      <c r="B1340">
        <v>3493</v>
      </c>
      <c r="C1340">
        <v>19</v>
      </c>
      <c r="D1340">
        <v>257.11500000000001</v>
      </c>
      <c r="E1340">
        <v>4423</v>
      </c>
      <c r="F1340">
        <v>1607</v>
      </c>
      <c r="G1340">
        <v>1</v>
      </c>
      <c r="H1340">
        <v>0.2</v>
      </c>
      <c r="I1340">
        <v>0</v>
      </c>
      <c r="J1340">
        <v>-62.551200000000001</v>
      </c>
      <c r="K1340" s="1">
        <f>521.615</f>
        <v>521.61500000000001</v>
      </c>
      <c r="L1340" s="1">
        <f>0</f>
        <v>0</v>
      </c>
    </row>
    <row r="1341" spans="1:12" x14ac:dyDescent="0.25">
      <c r="A1341">
        <f>80315357*0.00001</f>
        <v>803.15357000000006</v>
      </c>
      <c r="B1341">
        <v>3493</v>
      </c>
      <c r="C1341">
        <v>20</v>
      </c>
      <c r="D1341" s="1">
        <f>256.922</f>
        <v>256.92200000000003</v>
      </c>
      <c r="E1341" s="1">
        <f>4428</f>
        <v>4428</v>
      </c>
      <c r="F1341">
        <v>1607</v>
      </c>
      <c r="G1341">
        <v>1</v>
      </c>
      <c r="H1341">
        <v>0.2</v>
      </c>
      <c r="I1341">
        <v>0</v>
      </c>
      <c r="J1341">
        <v>-62.551200000000001</v>
      </c>
      <c r="K1341">
        <v>521.61500000000001</v>
      </c>
      <c r="L1341">
        <v>0</v>
      </c>
    </row>
    <row r="1342" spans="1:12" x14ac:dyDescent="0.25">
      <c r="A1342">
        <f>80315486*0.00001</f>
        <v>803.1548600000001</v>
      </c>
      <c r="B1342">
        <v>3493</v>
      </c>
      <c r="C1342">
        <v>21</v>
      </c>
      <c r="D1342" s="1">
        <f>256.8</f>
        <v>256.8</v>
      </c>
      <c r="E1342" s="1">
        <f>4432</f>
        <v>4432</v>
      </c>
      <c r="F1342" s="1">
        <f>1607</f>
        <v>1607</v>
      </c>
      <c r="G1342" s="1">
        <f>1</f>
        <v>1</v>
      </c>
      <c r="H1342" s="1">
        <f>0.2</f>
        <v>0.2</v>
      </c>
      <c r="I1342" s="1">
        <f>0</f>
        <v>0</v>
      </c>
      <c r="J1342" s="1">
        <f>-62.2099</f>
        <v>-62.209899999999998</v>
      </c>
      <c r="K1342" s="1">
        <f>521.576</f>
        <v>521.57600000000002</v>
      </c>
      <c r="L1342" s="1">
        <f>0</f>
        <v>0</v>
      </c>
    </row>
    <row r="1343" spans="1:12" x14ac:dyDescent="0.25">
      <c r="A1343">
        <f>80316395*0.00001</f>
        <v>803.16395000000011</v>
      </c>
      <c r="B1343">
        <v>3493</v>
      </c>
      <c r="C1343">
        <v>28</v>
      </c>
      <c r="D1343">
        <v>256.8</v>
      </c>
      <c r="E1343">
        <v>4432</v>
      </c>
      <c r="F1343">
        <v>1607</v>
      </c>
      <c r="G1343">
        <v>1</v>
      </c>
      <c r="H1343">
        <v>0.2</v>
      </c>
      <c r="I1343">
        <v>0</v>
      </c>
      <c r="J1343">
        <v>-62.209899999999998</v>
      </c>
      <c r="K1343" s="1">
        <f>521.527</f>
        <v>521.52700000000004</v>
      </c>
      <c r="L1343">
        <v>0</v>
      </c>
    </row>
    <row r="1344" spans="1:12" x14ac:dyDescent="0.25">
      <c r="A1344">
        <f>80316525*0.00001</f>
        <v>803.16525000000001</v>
      </c>
      <c r="B1344">
        <v>3493</v>
      </c>
      <c r="C1344">
        <v>29</v>
      </c>
      <c r="D1344" s="1">
        <f>256.65</f>
        <v>256.64999999999998</v>
      </c>
      <c r="E1344">
        <v>4432</v>
      </c>
      <c r="F1344">
        <v>1607</v>
      </c>
      <c r="G1344">
        <v>1</v>
      </c>
      <c r="H1344">
        <v>0.2</v>
      </c>
      <c r="I1344">
        <v>0</v>
      </c>
      <c r="J1344">
        <v>-62.209899999999998</v>
      </c>
      <c r="K1344">
        <v>521.52700000000004</v>
      </c>
      <c r="L1344">
        <v>0</v>
      </c>
    </row>
    <row r="1345" spans="1:12" x14ac:dyDescent="0.25">
      <c r="A1345">
        <f>80316655*0.00001</f>
        <v>803.16655000000003</v>
      </c>
      <c r="B1345">
        <v>3493</v>
      </c>
      <c r="C1345">
        <v>30</v>
      </c>
      <c r="D1345">
        <v>256.64999999999998</v>
      </c>
      <c r="E1345">
        <v>4432</v>
      </c>
      <c r="F1345" s="1">
        <f>1607</f>
        <v>1607</v>
      </c>
      <c r="G1345">
        <v>1</v>
      </c>
      <c r="H1345">
        <v>0.2</v>
      </c>
      <c r="I1345">
        <v>0</v>
      </c>
      <c r="J1345">
        <v>-62.209899999999998</v>
      </c>
      <c r="K1345">
        <v>521.52700000000004</v>
      </c>
      <c r="L1345">
        <v>0</v>
      </c>
    </row>
    <row r="1346" spans="1:12" x14ac:dyDescent="0.25">
      <c r="A1346">
        <f>80316784*0.00001</f>
        <v>803.16784000000007</v>
      </c>
      <c r="B1346">
        <v>3493</v>
      </c>
      <c r="C1346">
        <v>31</v>
      </c>
      <c r="D1346">
        <v>256.64999999999998</v>
      </c>
      <c r="E1346">
        <v>4432</v>
      </c>
      <c r="F1346">
        <v>1607</v>
      </c>
      <c r="G1346">
        <v>1</v>
      </c>
      <c r="H1346" s="1">
        <f>0.2</f>
        <v>0.2</v>
      </c>
      <c r="I1346">
        <v>0</v>
      </c>
      <c r="J1346">
        <v>-62.209899999999998</v>
      </c>
      <c r="K1346">
        <v>521.52700000000004</v>
      </c>
      <c r="L1346">
        <v>0</v>
      </c>
    </row>
    <row r="1347" spans="1:12" x14ac:dyDescent="0.25">
      <c r="A1347">
        <f>80316914*0.00001</f>
        <v>803.16914000000008</v>
      </c>
      <c r="B1347">
        <v>3493</v>
      </c>
      <c r="C1347">
        <v>32</v>
      </c>
      <c r="D1347">
        <v>256.64999999999998</v>
      </c>
      <c r="E1347">
        <v>4432</v>
      </c>
      <c r="F1347">
        <v>1607</v>
      </c>
      <c r="G1347">
        <v>1</v>
      </c>
      <c r="H1347">
        <v>0.2</v>
      </c>
      <c r="I1347">
        <v>0</v>
      </c>
      <c r="J1347" s="1">
        <f>-61.6219</f>
        <v>-61.621899999999997</v>
      </c>
      <c r="K1347">
        <v>521.52700000000004</v>
      </c>
      <c r="L1347">
        <v>0</v>
      </c>
    </row>
    <row r="1348" spans="1:12" x14ac:dyDescent="0.25">
      <c r="A1348">
        <f>80317044*0.00001</f>
        <v>803.1704400000001</v>
      </c>
      <c r="B1348">
        <v>3493</v>
      </c>
      <c r="C1348">
        <v>33</v>
      </c>
      <c r="D1348">
        <v>256.64999999999998</v>
      </c>
      <c r="E1348">
        <v>4432</v>
      </c>
      <c r="F1348">
        <v>1607</v>
      </c>
      <c r="G1348">
        <v>1</v>
      </c>
      <c r="H1348">
        <v>0.2</v>
      </c>
      <c r="I1348">
        <v>0</v>
      </c>
      <c r="J1348">
        <v>-61.621899999999997</v>
      </c>
      <c r="K1348">
        <v>521.52700000000004</v>
      </c>
      <c r="L1348" s="1">
        <f>0</f>
        <v>0</v>
      </c>
    </row>
    <row r="1349" spans="1:12" x14ac:dyDescent="0.25">
      <c r="A1349">
        <f>80317173*0.00001</f>
        <v>803.17173000000003</v>
      </c>
      <c r="B1349">
        <v>3493</v>
      </c>
      <c r="C1349">
        <v>34</v>
      </c>
      <c r="D1349" s="1">
        <f>256.474</f>
        <v>256.47399999999999</v>
      </c>
      <c r="E1349" s="1">
        <f>4440</f>
        <v>4440</v>
      </c>
      <c r="F1349">
        <v>1607</v>
      </c>
      <c r="G1349">
        <v>1</v>
      </c>
      <c r="H1349">
        <v>0.2</v>
      </c>
      <c r="I1349">
        <v>0</v>
      </c>
      <c r="J1349">
        <v>-61.621899999999997</v>
      </c>
      <c r="K1349">
        <v>521.52700000000004</v>
      </c>
      <c r="L1349">
        <v>0</v>
      </c>
    </row>
    <row r="1350" spans="1:12" x14ac:dyDescent="0.25">
      <c r="A1350">
        <f>80317303*0.00001</f>
        <v>803.17303000000004</v>
      </c>
      <c r="B1350">
        <v>3493</v>
      </c>
      <c r="C1350">
        <v>35</v>
      </c>
      <c r="D1350">
        <v>256.47399999999999</v>
      </c>
      <c r="E1350">
        <v>4440</v>
      </c>
      <c r="F1350" s="1">
        <f>1607</f>
        <v>1607</v>
      </c>
      <c r="G1350" s="1">
        <f>1</f>
        <v>1</v>
      </c>
      <c r="H1350">
        <v>0.2</v>
      </c>
      <c r="I1350">
        <v>0</v>
      </c>
      <c r="J1350">
        <v>-61.621899999999997</v>
      </c>
      <c r="K1350">
        <v>521.52700000000004</v>
      </c>
      <c r="L1350">
        <v>0</v>
      </c>
    </row>
    <row r="1351" spans="1:12" x14ac:dyDescent="0.25">
      <c r="A1351">
        <f>80317433*0.00001</f>
        <v>803.17433000000005</v>
      </c>
      <c r="B1351">
        <v>3493</v>
      </c>
      <c r="C1351">
        <v>36</v>
      </c>
      <c r="D1351">
        <v>256.47399999999999</v>
      </c>
      <c r="E1351">
        <v>4440</v>
      </c>
      <c r="F1351">
        <v>1607</v>
      </c>
      <c r="G1351">
        <v>1</v>
      </c>
      <c r="H1351" s="1">
        <f>0.2</f>
        <v>0.2</v>
      </c>
      <c r="I1351" s="1">
        <f>0</f>
        <v>0</v>
      </c>
      <c r="J1351">
        <v>-61.621899999999997</v>
      </c>
      <c r="K1351">
        <v>521.52700000000004</v>
      </c>
      <c r="L1351">
        <v>0</v>
      </c>
    </row>
    <row r="1352" spans="1:12" x14ac:dyDescent="0.25">
      <c r="A1352">
        <f>80317562*0.00001</f>
        <v>803.17562000000009</v>
      </c>
      <c r="B1352">
        <v>3493</v>
      </c>
      <c r="C1352">
        <v>37</v>
      </c>
      <c r="D1352">
        <v>256.47399999999999</v>
      </c>
      <c r="E1352">
        <v>4440</v>
      </c>
      <c r="F1352">
        <v>1607</v>
      </c>
      <c r="G1352">
        <v>1</v>
      </c>
      <c r="H1352">
        <v>0.2</v>
      </c>
      <c r="I1352">
        <v>0</v>
      </c>
      <c r="J1352" s="1">
        <f>-61.3207</f>
        <v>-61.320700000000002</v>
      </c>
      <c r="K1352" s="1">
        <f>521.441</f>
        <v>521.44100000000003</v>
      </c>
      <c r="L1352">
        <v>0</v>
      </c>
    </row>
    <row r="1353" spans="1:12" x14ac:dyDescent="0.25">
      <c r="A1353">
        <f>80317692*0.00001</f>
        <v>803.17692000000011</v>
      </c>
      <c r="B1353">
        <v>3493</v>
      </c>
      <c r="C1353">
        <v>38</v>
      </c>
      <c r="D1353" s="1">
        <f>256.362</f>
        <v>256.36200000000002</v>
      </c>
      <c r="E1353">
        <v>4440</v>
      </c>
      <c r="F1353">
        <v>1607</v>
      </c>
      <c r="G1353">
        <v>1</v>
      </c>
      <c r="H1353">
        <v>0.2</v>
      </c>
      <c r="I1353">
        <v>0</v>
      </c>
      <c r="J1353">
        <v>-61.320700000000002</v>
      </c>
      <c r="K1353">
        <v>521.44100000000003</v>
      </c>
      <c r="L1353" s="1">
        <f>0</f>
        <v>0</v>
      </c>
    </row>
    <row r="1354" spans="1:12" x14ac:dyDescent="0.25">
      <c r="A1354">
        <f>80317822*0.00001</f>
        <v>803.17822000000001</v>
      </c>
      <c r="B1354">
        <v>3493</v>
      </c>
      <c r="C1354">
        <v>39</v>
      </c>
      <c r="D1354">
        <v>256.36200000000002</v>
      </c>
      <c r="E1354" s="1">
        <f>4443</f>
        <v>4443</v>
      </c>
      <c r="F1354" s="1">
        <f>1607</f>
        <v>1607</v>
      </c>
      <c r="G1354">
        <v>1</v>
      </c>
      <c r="H1354">
        <v>0.2</v>
      </c>
      <c r="I1354">
        <v>0</v>
      </c>
      <c r="J1354">
        <v>-61.320700000000002</v>
      </c>
      <c r="K1354">
        <v>521.44100000000003</v>
      </c>
      <c r="L1354">
        <v>0</v>
      </c>
    </row>
    <row r="1355" spans="1:12" x14ac:dyDescent="0.25">
      <c r="A1355">
        <f>80317951*0.00001</f>
        <v>803.17951000000005</v>
      </c>
      <c r="B1355">
        <v>3493</v>
      </c>
      <c r="C1355">
        <v>40</v>
      </c>
      <c r="D1355" s="1">
        <f>256.204</f>
        <v>256.20400000000001</v>
      </c>
      <c r="E1355" s="1">
        <f>4447</f>
        <v>4447</v>
      </c>
      <c r="F1355" s="1">
        <f>1607</f>
        <v>1607</v>
      </c>
      <c r="G1355" s="1">
        <f>1</f>
        <v>1</v>
      </c>
      <c r="H1355" s="1">
        <f>0.2</f>
        <v>0.2</v>
      </c>
      <c r="I1355" s="1">
        <f>0</f>
        <v>0</v>
      </c>
      <c r="J1355" s="1">
        <f>-60.7334</f>
        <v>-60.733400000000003</v>
      </c>
      <c r="K1355" s="1">
        <f>521.393</f>
        <v>521.39300000000003</v>
      </c>
      <c r="L1355" s="1">
        <f>0</f>
        <v>0</v>
      </c>
    </row>
    <row r="1356" spans="1:12" x14ac:dyDescent="0.25">
      <c r="A1356">
        <f>80318861*0.00001</f>
        <v>803.18861000000004</v>
      </c>
      <c r="B1356">
        <v>3493</v>
      </c>
      <c r="C1356">
        <v>47</v>
      </c>
      <c r="D1356">
        <v>256.20400000000001</v>
      </c>
      <c r="E1356">
        <v>4447</v>
      </c>
      <c r="F1356">
        <v>1607</v>
      </c>
      <c r="G1356">
        <v>1</v>
      </c>
      <c r="H1356">
        <v>0.2</v>
      </c>
      <c r="I1356">
        <v>0</v>
      </c>
      <c r="J1356">
        <v>-60.733400000000003</v>
      </c>
      <c r="K1356">
        <v>521.39300000000003</v>
      </c>
      <c r="L1356" s="1">
        <f>0</f>
        <v>0</v>
      </c>
    </row>
    <row r="1357" spans="1:12" x14ac:dyDescent="0.25">
      <c r="A1357">
        <f>80318991*0.00001</f>
        <v>803.18991000000005</v>
      </c>
      <c r="B1357">
        <v>3493</v>
      </c>
      <c r="C1357">
        <v>48</v>
      </c>
      <c r="D1357">
        <v>256.20400000000001</v>
      </c>
      <c r="E1357" s="1">
        <f>4451</f>
        <v>4451</v>
      </c>
      <c r="F1357">
        <v>1607</v>
      </c>
      <c r="G1357">
        <v>1</v>
      </c>
      <c r="H1357">
        <v>0.2</v>
      </c>
      <c r="I1357">
        <v>0</v>
      </c>
      <c r="J1357">
        <v>-60.733400000000003</v>
      </c>
      <c r="K1357">
        <v>521.39300000000003</v>
      </c>
      <c r="L1357">
        <v>0</v>
      </c>
    </row>
    <row r="1358" spans="1:12" x14ac:dyDescent="0.25">
      <c r="A1358">
        <f>80319121*0.00001</f>
        <v>803.19121000000007</v>
      </c>
      <c r="B1358">
        <v>3493</v>
      </c>
      <c r="C1358">
        <v>49</v>
      </c>
      <c r="D1358">
        <v>256.20400000000001</v>
      </c>
      <c r="E1358">
        <v>4451</v>
      </c>
      <c r="F1358">
        <v>1607</v>
      </c>
      <c r="G1358" s="1">
        <f>1</f>
        <v>1</v>
      </c>
      <c r="H1358">
        <v>0.2</v>
      </c>
      <c r="I1358">
        <v>0</v>
      </c>
      <c r="J1358">
        <v>-60.733400000000003</v>
      </c>
      <c r="K1358">
        <v>521.39300000000003</v>
      </c>
      <c r="L1358">
        <v>0</v>
      </c>
    </row>
    <row r="1359" spans="1:12" x14ac:dyDescent="0.25">
      <c r="A1359">
        <f>80319251*0.00001</f>
        <v>803.19251000000008</v>
      </c>
      <c r="B1359">
        <v>3493</v>
      </c>
      <c r="C1359">
        <v>50</v>
      </c>
      <c r="D1359">
        <v>256.20400000000001</v>
      </c>
      <c r="E1359">
        <v>4451</v>
      </c>
      <c r="F1359">
        <v>1607</v>
      </c>
      <c r="G1359">
        <v>1</v>
      </c>
      <c r="H1359">
        <v>0.2</v>
      </c>
      <c r="I1359" s="1">
        <f>0</f>
        <v>0</v>
      </c>
      <c r="J1359">
        <v>-60.733400000000003</v>
      </c>
      <c r="K1359">
        <v>521.39300000000003</v>
      </c>
      <c r="L1359">
        <v>0</v>
      </c>
    </row>
    <row r="1360" spans="1:12" x14ac:dyDescent="0.25">
      <c r="A1360">
        <f>80319381*0.00001</f>
        <v>803.1938100000001</v>
      </c>
      <c r="B1360">
        <v>3493</v>
      </c>
      <c r="C1360">
        <v>51</v>
      </c>
      <c r="D1360">
        <v>256.20400000000001</v>
      </c>
      <c r="E1360">
        <v>4451</v>
      </c>
      <c r="F1360">
        <v>1607</v>
      </c>
      <c r="G1360">
        <v>1</v>
      </c>
      <c r="H1360">
        <v>0.2</v>
      </c>
      <c r="I1360">
        <v>0</v>
      </c>
      <c r="J1360">
        <v>-60.733400000000003</v>
      </c>
      <c r="K1360" s="1">
        <f>521.307</f>
        <v>521.30700000000002</v>
      </c>
      <c r="L1360">
        <v>0</v>
      </c>
    </row>
    <row r="1361" spans="1:12" x14ac:dyDescent="0.25">
      <c r="A1361">
        <f>80319511*0.00001</f>
        <v>803.19511000000011</v>
      </c>
      <c r="B1361">
        <v>3493</v>
      </c>
      <c r="C1361">
        <v>52</v>
      </c>
      <c r="D1361" s="1">
        <f>255.936</f>
        <v>255.93600000000001</v>
      </c>
      <c r="E1361">
        <v>4451</v>
      </c>
      <c r="F1361">
        <v>1607</v>
      </c>
      <c r="G1361">
        <v>1</v>
      </c>
      <c r="H1361">
        <v>0.2</v>
      </c>
      <c r="I1361">
        <v>0</v>
      </c>
      <c r="J1361">
        <v>-60.733400000000003</v>
      </c>
      <c r="K1361">
        <v>521.30700000000002</v>
      </c>
      <c r="L1361">
        <v>0</v>
      </c>
    </row>
    <row r="1362" spans="1:12" x14ac:dyDescent="0.25">
      <c r="A1362">
        <f>80319641*0.00001</f>
        <v>803.19641000000001</v>
      </c>
      <c r="B1362">
        <v>3493</v>
      </c>
      <c r="C1362">
        <v>53</v>
      </c>
      <c r="D1362">
        <v>255.93600000000001</v>
      </c>
      <c r="E1362">
        <v>4451</v>
      </c>
      <c r="F1362" s="1">
        <f>1607</f>
        <v>1607</v>
      </c>
      <c r="G1362">
        <v>1</v>
      </c>
      <c r="H1362">
        <v>0.2</v>
      </c>
      <c r="I1362">
        <v>0</v>
      </c>
      <c r="J1362">
        <v>-60.733400000000003</v>
      </c>
      <c r="K1362">
        <v>521.30700000000002</v>
      </c>
      <c r="L1362">
        <v>0</v>
      </c>
    </row>
    <row r="1363" spans="1:12" x14ac:dyDescent="0.25">
      <c r="A1363">
        <f>80319771*0.00001</f>
        <v>803.19771000000003</v>
      </c>
      <c r="B1363">
        <v>3493</v>
      </c>
      <c r="C1363">
        <v>54</v>
      </c>
      <c r="D1363">
        <v>255.93600000000001</v>
      </c>
      <c r="E1363">
        <v>4451</v>
      </c>
      <c r="F1363">
        <v>1607</v>
      </c>
      <c r="G1363" s="1">
        <f>1</f>
        <v>1</v>
      </c>
      <c r="H1363" s="1">
        <f>0.2</f>
        <v>0.2</v>
      </c>
      <c r="I1363">
        <v>0</v>
      </c>
      <c r="J1363">
        <v>-60.733400000000003</v>
      </c>
      <c r="K1363">
        <v>521.30700000000002</v>
      </c>
      <c r="L1363">
        <v>0</v>
      </c>
    </row>
    <row r="1364" spans="1:12" x14ac:dyDescent="0.25">
      <c r="A1364">
        <f>80319902*0.00001</f>
        <v>803.19902000000002</v>
      </c>
      <c r="B1364">
        <v>3493</v>
      </c>
      <c r="C1364">
        <v>55</v>
      </c>
      <c r="D1364">
        <v>255.93600000000001</v>
      </c>
      <c r="E1364">
        <v>4451</v>
      </c>
      <c r="F1364">
        <v>1607</v>
      </c>
      <c r="G1364">
        <v>1</v>
      </c>
      <c r="H1364">
        <v>0.2</v>
      </c>
      <c r="I1364" s="1">
        <f>0</f>
        <v>0</v>
      </c>
      <c r="J1364" s="1">
        <f>-60.1655</f>
        <v>-60.165500000000002</v>
      </c>
      <c r="K1364">
        <v>521.30700000000002</v>
      </c>
      <c r="L1364">
        <v>0</v>
      </c>
    </row>
    <row r="1365" spans="1:12" x14ac:dyDescent="0.25">
      <c r="A1365">
        <f>80320032*0.00001</f>
        <v>803.20032000000003</v>
      </c>
      <c r="B1365">
        <v>3493</v>
      </c>
      <c r="C1365">
        <v>56</v>
      </c>
      <c r="D1365">
        <v>255.93600000000001</v>
      </c>
      <c r="E1365">
        <v>4451</v>
      </c>
      <c r="F1365">
        <v>1607</v>
      </c>
      <c r="G1365">
        <v>1</v>
      </c>
      <c r="H1365">
        <v>0.2</v>
      </c>
      <c r="I1365">
        <v>0</v>
      </c>
      <c r="J1365">
        <v>-60.165500000000002</v>
      </c>
      <c r="K1365" s="1">
        <f>521.26</f>
        <v>521.26</v>
      </c>
      <c r="L1365" s="1">
        <f>0</f>
        <v>0</v>
      </c>
    </row>
    <row r="1366" spans="1:12" x14ac:dyDescent="0.25">
      <c r="A1366">
        <f>80320162*0.00001</f>
        <v>803.20162000000005</v>
      </c>
      <c r="B1366">
        <v>3493</v>
      </c>
      <c r="C1366">
        <v>57</v>
      </c>
      <c r="D1366" s="1">
        <f>255.76</f>
        <v>255.76</v>
      </c>
      <c r="E1366" s="1">
        <f>4459</f>
        <v>4459</v>
      </c>
      <c r="F1366">
        <v>1607</v>
      </c>
      <c r="G1366">
        <v>1</v>
      </c>
      <c r="H1366">
        <v>0.2</v>
      </c>
      <c r="I1366">
        <v>0</v>
      </c>
      <c r="J1366">
        <v>-60.165500000000002</v>
      </c>
      <c r="K1366">
        <v>521.26</v>
      </c>
      <c r="L1366">
        <v>0</v>
      </c>
    </row>
    <row r="1367" spans="1:12" x14ac:dyDescent="0.25">
      <c r="A1367">
        <f>80320292*0.00001</f>
        <v>803.20292000000006</v>
      </c>
      <c r="B1367">
        <v>3493</v>
      </c>
      <c r="C1367">
        <v>58</v>
      </c>
      <c r="D1367">
        <v>255.76</v>
      </c>
      <c r="E1367">
        <v>4459</v>
      </c>
      <c r="F1367" s="1">
        <f>1607</f>
        <v>1607</v>
      </c>
      <c r="G1367" s="1">
        <f>1</f>
        <v>1</v>
      </c>
      <c r="H1367">
        <v>0.2</v>
      </c>
      <c r="I1367">
        <v>0</v>
      </c>
      <c r="J1367">
        <v>-60.165500000000002</v>
      </c>
      <c r="K1367">
        <v>521.26</v>
      </c>
      <c r="L1367">
        <v>0</v>
      </c>
    </row>
    <row r="1368" spans="1:12" x14ac:dyDescent="0.25">
      <c r="A1368">
        <f>80320423*0.00001</f>
        <v>803.20423000000005</v>
      </c>
      <c r="B1368">
        <v>3493</v>
      </c>
      <c r="C1368">
        <v>59</v>
      </c>
      <c r="D1368">
        <v>255.76</v>
      </c>
      <c r="E1368">
        <v>4459</v>
      </c>
      <c r="F1368">
        <v>1607</v>
      </c>
      <c r="G1368">
        <v>1</v>
      </c>
      <c r="H1368" s="1">
        <f>0.2</f>
        <v>0.2</v>
      </c>
      <c r="I1368" s="1">
        <f>0</f>
        <v>0</v>
      </c>
      <c r="J1368">
        <v>-60.165500000000002</v>
      </c>
      <c r="K1368">
        <v>521.26</v>
      </c>
      <c r="L1368">
        <v>0</v>
      </c>
    </row>
    <row r="1369" spans="1:12" x14ac:dyDescent="0.25">
      <c r="A1369">
        <f>80320553*0.00001</f>
        <v>803.20553000000007</v>
      </c>
      <c r="B1369">
        <v>3493</v>
      </c>
      <c r="C1369">
        <v>60</v>
      </c>
      <c r="D1369" s="1">
        <f>255.512</f>
        <v>255.512</v>
      </c>
      <c r="E1369" s="1">
        <f>4466</f>
        <v>4466</v>
      </c>
      <c r="F1369" s="1">
        <f>1607</f>
        <v>1607</v>
      </c>
      <c r="G1369" s="1">
        <f>1</f>
        <v>1</v>
      </c>
      <c r="H1369" s="1">
        <f>0.2</f>
        <v>0.2</v>
      </c>
      <c r="I1369" s="1">
        <f>0</f>
        <v>0</v>
      </c>
      <c r="J1369" s="1">
        <f>-59.6069</f>
        <v>-59.606900000000003</v>
      </c>
      <c r="K1369" s="1">
        <f>521.176</f>
        <v>521.17600000000004</v>
      </c>
      <c r="L1369" s="1">
        <f>0</f>
        <v>0</v>
      </c>
    </row>
    <row r="1370" spans="1:12" x14ac:dyDescent="0.25">
      <c r="A1370">
        <f>80321596*0.00001</f>
        <v>803.21596000000011</v>
      </c>
      <c r="B1370">
        <v>3493</v>
      </c>
      <c r="C1370">
        <v>68</v>
      </c>
      <c r="D1370">
        <v>255.512</v>
      </c>
      <c r="E1370">
        <v>4466</v>
      </c>
      <c r="F1370">
        <v>1607</v>
      </c>
      <c r="G1370">
        <v>1</v>
      </c>
      <c r="H1370" s="1">
        <f>0.2</f>
        <v>0.2</v>
      </c>
      <c r="I1370">
        <v>0</v>
      </c>
      <c r="J1370">
        <v>-59.606900000000003</v>
      </c>
      <c r="K1370">
        <v>521.17600000000004</v>
      </c>
      <c r="L1370">
        <v>0</v>
      </c>
    </row>
    <row r="1371" spans="1:12" x14ac:dyDescent="0.25">
      <c r="A1371">
        <f>80321726*0.00001</f>
        <v>803.21726000000001</v>
      </c>
      <c r="B1371">
        <v>3493</v>
      </c>
      <c r="C1371">
        <v>69</v>
      </c>
      <c r="D1371">
        <v>255.512</v>
      </c>
      <c r="E1371">
        <v>4466</v>
      </c>
      <c r="F1371">
        <v>1607</v>
      </c>
      <c r="G1371">
        <v>1</v>
      </c>
      <c r="H1371">
        <v>0.2</v>
      </c>
      <c r="I1371">
        <v>0</v>
      </c>
      <c r="J1371" s="1">
        <f>-59.2789</f>
        <v>-59.2789</v>
      </c>
      <c r="K1371">
        <v>521.17600000000004</v>
      </c>
      <c r="L1371">
        <v>0</v>
      </c>
    </row>
    <row r="1372" spans="1:12" x14ac:dyDescent="0.25">
      <c r="A1372">
        <f>80321856*0.00001</f>
        <v>803.21856000000002</v>
      </c>
      <c r="B1372">
        <v>3493</v>
      </c>
      <c r="C1372">
        <v>70</v>
      </c>
      <c r="D1372">
        <v>255.512</v>
      </c>
      <c r="E1372">
        <v>4466</v>
      </c>
      <c r="F1372">
        <v>1607</v>
      </c>
      <c r="G1372">
        <v>1</v>
      </c>
      <c r="H1372">
        <v>0.2</v>
      </c>
      <c r="I1372">
        <v>0</v>
      </c>
      <c r="J1372">
        <v>-59.2789</v>
      </c>
      <c r="K1372">
        <v>521.17600000000004</v>
      </c>
      <c r="L1372" s="1">
        <f>0</f>
        <v>0</v>
      </c>
    </row>
    <row r="1373" spans="1:12" x14ac:dyDescent="0.25">
      <c r="A1373">
        <f>80321986*0.00001</f>
        <v>803.21986000000004</v>
      </c>
      <c r="B1373">
        <v>3493</v>
      </c>
      <c r="C1373">
        <v>71</v>
      </c>
      <c r="D1373">
        <v>255.512</v>
      </c>
      <c r="E1373" s="1">
        <f>4471</f>
        <v>4471</v>
      </c>
      <c r="F1373">
        <v>1607</v>
      </c>
      <c r="G1373">
        <v>1</v>
      </c>
      <c r="H1373">
        <v>0.2</v>
      </c>
      <c r="I1373">
        <v>0</v>
      </c>
      <c r="J1373">
        <v>-59.2789</v>
      </c>
      <c r="K1373">
        <v>521.17600000000004</v>
      </c>
      <c r="L1373">
        <v>0</v>
      </c>
    </row>
    <row r="1374" spans="1:12" x14ac:dyDescent="0.25">
      <c r="A1374">
        <f>80322116*0.00001</f>
        <v>803.22116000000005</v>
      </c>
      <c r="B1374">
        <v>3493</v>
      </c>
      <c r="C1374">
        <v>72</v>
      </c>
      <c r="D1374">
        <v>255.512</v>
      </c>
      <c r="E1374">
        <v>4471</v>
      </c>
      <c r="F1374">
        <v>1607</v>
      </c>
      <c r="G1374" s="1">
        <f>1</f>
        <v>1</v>
      </c>
      <c r="H1374">
        <v>0.2</v>
      </c>
      <c r="I1374">
        <v>0</v>
      </c>
      <c r="J1374">
        <v>-59.2789</v>
      </c>
      <c r="K1374">
        <v>521.17600000000004</v>
      </c>
      <c r="L1374">
        <v>0</v>
      </c>
    </row>
    <row r="1375" spans="1:12" x14ac:dyDescent="0.25">
      <c r="A1375">
        <f>80322246*0.00001</f>
        <v>803.22246000000007</v>
      </c>
      <c r="B1375">
        <v>3493</v>
      </c>
      <c r="C1375">
        <v>73</v>
      </c>
      <c r="D1375">
        <v>255.512</v>
      </c>
      <c r="E1375">
        <v>4471</v>
      </c>
      <c r="F1375">
        <v>1607</v>
      </c>
      <c r="G1375">
        <v>1</v>
      </c>
      <c r="H1375">
        <v>0.2</v>
      </c>
      <c r="I1375" s="1">
        <f>0</f>
        <v>0</v>
      </c>
      <c r="J1375">
        <v>-59.2789</v>
      </c>
      <c r="K1375">
        <v>521.17600000000004</v>
      </c>
      <c r="L1375">
        <v>0</v>
      </c>
    </row>
    <row r="1376" spans="1:12" x14ac:dyDescent="0.25">
      <c r="A1376">
        <f>80322376*0.00001</f>
        <v>803.22376000000008</v>
      </c>
      <c r="B1376">
        <v>3493</v>
      </c>
      <c r="C1376">
        <v>74</v>
      </c>
      <c r="D1376">
        <v>255.512</v>
      </c>
      <c r="E1376">
        <v>4471</v>
      </c>
      <c r="F1376">
        <v>1607</v>
      </c>
      <c r="G1376">
        <v>1</v>
      </c>
      <c r="H1376">
        <v>0.2</v>
      </c>
      <c r="I1376">
        <v>0</v>
      </c>
      <c r="J1376">
        <v>-59.2789</v>
      </c>
      <c r="K1376" s="1">
        <f>521.092</f>
        <v>521.09199999999998</v>
      </c>
      <c r="L1376">
        <v>0</v>
      </c>
    </row>
    <row r="1377" spans="1:12" x14ac:dyDescent="0.25">
      <c r="A1377">
        <f>80322506*0.00001</f>
        <v>803.2250600000001</v>
      </c>
      <c r="B1377">
        <v>3493</v>
      </c>
      <c r="C1377">
        <v>75</v>
      </c>
      <c r="D1377" s="1">
        <f>255.211</f>
        <v>255.21100000000001</v>
      </c>
      <c r="E1377">
        <v>4471</v>
      </c>
      <c r="F1377">
        <v>1607</v>
      </c>
      <c r="G1377">
        <v>1</v>
      </c>
      <c r="H1377">
        <v>0.2</v>
      </c>
      <c r="I1377">
        <v>0</v>
      </c>
      <c r="J1377">
        <v>-59.2789</v>
      </c>
      <c r="K1377">
        <v>521.09199999999998</v>
      </c>
      <c r="L1377">
        <v>0</v>
      </c>
    </row>
    <row r="1378" spans="1:12" x14ac:dyDescent="0.25">
      <c r="A1378">
        <f>80322636*0.00001</f>
        <v>803.22636000000011</v>
      </c>
      <c r="B1378">
        <v>3493</v>
      </c>
      <c r="C1378">
        <v>76</v>
      </c>
      <c r="D1378">
        <v>255.21100000000001</v>
      </c>
      <c r="E1378" s="1">
        <f>4474</f>
        <v>4474</v>
      </c>
      <c r="F1378" s="1">
        <f>1607</f>
        <v>1607</v>
      </c>
      <c r="G1378">
        <v>1</v>
      </c>
      <c r="H1378">
        <v>0.2</v>
      </c>
      <c r="I1378">
        <v>0</v>
      </c>
      <c r="J1378">
        <v>-59.2789</v>
      </c>
      <c r="K1378">
        <v>521.09199999999998</v>
      </c>
      <c r="L1378">
        <v>0</v>
      </c>
    </row>
    <row r="1379" spans="1:12" x14ac:dyDescent="0.25">
      <c r="A1379">
        <f>80322766*0.00001</f>
        <v>803.22766000000001</v>
      </c>
      <c r="B1379">
        <v>3493</v>
      </c>
      <c r="C1379">
        <v>77</v>
      </c>
      <c r="D1379">
        <v>255.21100000000001</v>
      </c>
      <c r="E1379">
        <v>4474</v>
      </c>
      <c r="F1379">
        <v>1607</v>
      </c>
      <c r="G1379" s="1">
        <f>1</f>
        <v>1</v>
      </c>
      <c r="H1379" s="1">
        <f>0.2</f>
        <v>0.2</v>
      </c>
      <c r="I1379">
        <v>0</v>
      </c>
      <c r="J1379">
        <v>-59.2789</v>
      </c>
      <c r="K1379">
        <v>521.09199999999998</v>
      </c>
      <c r="L1379">
        <v>0</v>
      </c>
    </row>
    <row r="1380" spans="1:12" x14ac:dyDescent="0.25">
      <c r="A1380">
        <f>80322897*0.00001</f>
        <v>803.22897000000012</v>
      </c>
      <c r="B1380">
        <v>3493</v>
      </c>
      <c r="C1380">
        <v>78</v>
      </c>
      <c r="D1380">
        <v>255.21100000000001</v>
      </c>
      <c r="E1380">
        <v>4474</v>
      </c>
      <c r="F1380">
        <v>1607</v>
      </c>
      <c r="G1380">
        <v>1</v>
      </c>
      <c r="H1380">
        <v>0.2</v>
      </c>
      <c r="I1380" s="1">
        <f>0</f>
        <v>0</v>
      </c>
      <c r="J1380" s="1">
        <f>-58.7458</f>
        <v>-58.745800000000003</v>
      </c>
      <c r="K1380">
        <v>521.09199999999998</v>
      </c>
      <c r="L1380">
        <v>0</v>
      </c>
    </row>
    <row r="1381" spans="1:12" x14ac:dyDescent="0.25">
      <c r="A1381">
        <f>80323027*0.00001</f>
        <v>803.23027000000002</v>
      </c>
      <c r="B1381">
        <v>3493</v>
      </c>
      <c r="C1381">
        <v>79</v>
      </c>
      <c r="D1381">
        <v>255.21100000000001</v>
      </c>
      <c r="E1381">
        <v>4474</v>
      </c>
      <c r="F1381">
        <v>1607</v>
      </c>
      <c r="G1381">
        <v>1</v>
      </c>
      <c r="H1381">
        <v>0.2</v>
      </c>
      <c r="I1381">
        <v>0</v>
      </c>
      <c r="J1381">
        <v>-58.745800000000003</v>
      </c>
      <c r="K1381" s="1">
        <f>521.046</f>
        <v>521.04600000000005</v>
      </c>
      <c r="L1381" s="1">
        <f>0</f>
        <v>0</v>
      </c>
    </row>
    <row r="1382" spans="1:12" x14ac:dyDescent="0.25">
      <c r="A1382">
        <f>80323158*0.00001</f>
        <v>803.23158000000012</v>
      </c>
      <c r="B1382">
        <v>3493</v>
      </c>
      <c r="C1382">
        <v>80</v>
      </c>
      <c r="D1382" s="1">
        <f>255.075</f>
        <v>255.07499999999999</v>
      </c>
      <c r="E1382" s="1">
        <f>4478</f>
        <v>4478</v>
      </c>
      <c r="F1382">
        <v>1607</v>
      </c>
      <c r="G1382">
        <v>1</v>
      </c>
      <c r="H1382">
        <v>0.2</v>
      </c>
      <c r="I1382">
        <v>0</v>
      </c>
      <c r="J1382">
        <v>-58.745800000000003</v>
      </c>
      <c r="K1382">
        <v>521.04600000000005</v>
      </c>
      <c r="L1382">
        <v>0</v>
      </c>
    </row>
    <row r="1383" spans="1:12" x14ac:dyDescent="0.25">
      <c r="A1383">
        <f>80323288*0.00001</f>
        <v>803.23288000000002</v>
      </c>
      <c r="B1383">
        <v>3493</v>
      </c>
      <c r="C1383">
        <v>81</v>
      </c>
      <c r="D1383">
        <v>255.07499999999999</v>
      </c>
      <c r="E1383">
        <v>4478</v>
      </c>
      <c r="F1383" s="1">
        <f>1607</f>
        <v>1607</v>
      </c>
      <c r="G1383" s="1">
        <f>1</f>
        <v>1</v>
      </c>
      <c r="H1383">
        <v>0.2</v>
      </c>
      <c r="I1383">
        <v>0</v>
      </c>
      <c r="J1383">
        <v>-58.745800000000003</v>
      </c>
      <c r="K1383">
        <v>521.04600000000005</v>
      </c>
      <c r="L1383">
        <v>0</v>
      </c>
    </row>
    <row r="1384" spans="1:12" x14ac:dyDescent="0.25">
      <c r="A1384">
        <f>80323418*0.00001</f>
        <v>803.23418000000004</v>
      </c>
      <c r="B1384">
        <v>3493</v>
      </c>
      <c r="C1384">
        <v>82</v>
      </c>
      <c r="D1384">
        <v>255.07499999999999</v>
      </c>
      <c r="E1384">
        <v>4478</v>
      </c>
      <c r="F1384">
        <v>1607</v>
      </c>
      <c r="G1384">
        <v>1</v>
      </c>
      <c r="H1384" s="1">
        <f>0.2</f>
        <v>0.2</v>
      </c>
      <c r="I1384" s="1">
        <f>0</f>
        <v>0</v>
      </c>
      <c r="J1384">
        <v>-58.745800000000003</v>
      </c>
      <c r="K1384">
        <v>521.04600000000005</v>
      </c>
      <c r="L1384">
        <v>0</v>
      </c>
    </row>
    <row r="1385" spans="1:12" x14ac:dyDescent="0.25">
      <c r="A1385">
        <f>80323548*0.00001</f>
        <v>803.23548000000005</v>
      </c>
      <c r="B1385">
        <v>3493</v>
      </c>
      <c r="C1385">
        <v>83</v>
      </c>
      <c r="D1385" s="1">
        <f>254.792</f>
        <v>254.792</v>
      </c>
      <c r="E1385" s="1">
        <f>4485</f>
        <v>4485</v>
      </c>
      <c r="F1385" s="1">
        <f>1607</f>
        <v>1607</v>
      </c>
      <c r="G1385" s="1">
        <f>1</f>
        <v>1</v>
      </c>
      <c r="H1385" s="1">
        <f>0.2</f>
        <v>0.2</v>
      </c>
      <c r="I1385" s="1">
        <f>0</f>
        <v>0</v>
      </c>
      <c r="J1385" s="1">
        <f>-58.1525</f>
        <v>-58.152500000000003</v>
      </c>
      <c r="K1385" s="1">
        <f>520.963</f>
        <v>520.96299999999997</v>
      </c>
      <c r="L1385" s="1">
        <f>0</f>
        <v>0</v>
      </c>
    </row>
    <row r="1386" spans="1:12" x14ac:dyDescent="0.25">
      <c r="A1386">
        <f>80324724*0.00001</f>
        <v>803.24724000000003</v>
      </c>
      <c r="B1386">
        <v>3493</v>
      </c>
      <c r="C1386">
        <v>92</v>
      </c>
      <c r="D1386">
        <v>254.792</v>
      </c>
      <c r="E1386">
        <v>4485</v>
      </c>
      <c r="F1386">
        <v>1607</v>
      </c>
      <c r="G1386">
        <v>1</v>
      </c>
      <c r="H1386">
        <v>0.2</v>
      </c>
      <c r="I1386">
        <v>0</v>
      </c>
      <c r="J1386" s="1">
        <f>-57.8568</f>
        <v>-57.8568</v>
      </c>
      <c r="K1386">
        <v>520.96299999999997</v>
      </c>
      <c r="L1386">
        <v>0</v>
      </c>
    </row>
    <row r="1387" spans="1:12" x14ac:dyDescent="0.25">
      <c r="A1387">
        <f>80324855*0.00001</f>
        <v>803.24855000000002</v>
      </c>
      <c r="B1387">
        <v>3493</v>
      </c>
      <c r="C1387">
        <v>93</v>
      </c>
      <c r="D1387">
        <v>254.792</v>
      </c>
      <c r="E1387">
        <v>4485</v>
      </c>
      <c r="F1387">
        <v>1607</v>
      </c>
      <c r="G1387">
        <v>1</v>
      </c>
      <c r="H1387">
        <v>0.2</v>
      </c>
      <c r="I1387">
        <v>0</v>
      </c>
      <c r="J1387">
        <v>-57.8568</v>
      </c>
      <c r="K1387">
        <v>520.96299999999997</v>
      </c>
      <c r="L1387" s="1">
        <f>0</f>
        <v>0</v>
      </c>
    </row>
    <row r="1388" spans="1:12" x14ac:dyDescent="0.25">
      <c r="A1388">
        <f>80324986*0.00001</f>
        <v>803.24986000000001</v>
      </c>
      <c r="B1388">
        <v>3493</v>
      </c>
      <c r="C1388">
        <v>94</v>
      </c>
      <c r="D1388">
        <v>254.792</v>
      </c>
      <c r="E1388" s="1">
        <f>4489</f>
        <v>4489</v>
      </c>
      <c r="F1388">
        <v>1607</v>
      </c>
      <c r="G1388">
        <v>1</v>
      </c>
      <c r="H1388">
        <v>0.2</v>
      </c>
      <c r="I1388">
        <v>0</v>
      </c>
      <c r="J1388">
        <v>-57.8568</v>
      </c>
      <c r="K1388">
        <v>520.96299999999997</v>
      </c>
      <c r="L1388">
        <v>0</v>
      </c>
    </row>
    <row r="1389" spans="1:12" x14ac:dyDescent="0.25">
      <c r="A1389">
        <f>80325117*0.00001</f>
        <v>803.25117000000012</v>
      </c>
      <c r="B1389">
        <v>3493</v>
      </c>
      <c r="C1389">
        <v>95</v>
      </c>
      <c r="D1389">
        <v>254.792</v>
      </c>
      <c r="E1389">
        <v>4489</v>
      </c>
      <c r="F1389">
        <v>1607</v>
      </c>
      <c r="G1389" s="1">
        <f>1</f>
        <v>1</v>
      </c>
      <c r="H1389">
        <v>0.2</v>
      </c>
      <c r="I1389">
        <v>0</v>
      </c>
      <c r="J1389">
        <v>-57.8568</v>
      </c>
      <c r="K1389">
        <v>520.96299999999997</v>
      </c>
      <c r="L1389">
        <v>0</v>
      </c>
    </row>
    <row r="1390" spans="1:12" x14ac:dyDescent="0.25">
      <c r="A1390">
        <f>80325248*0.00001</f>
        <v>803.25248000000011</v>
      </c>
      <c r="B1390">
        <v>3493</v>
      </c>
      <c r="C1390">
        <v>96</v>
      </c>
      <c r="D1390">
        <v>254.792</v>
      </c>
      <c r="E1390">
        <v>4489</v>
      </c>
      <c r="F1390">
        <v>1607</v>
      </c>
      <c r="G1390">
        <v>1</v>
      </c>
      <c r="H1390">
        <v>0.2</v>
      </c>
      <c r="I1390" s="1">
        <f>0</f>
        <v>0</v>
      </c>
      <c r="J1390">
        <v>-57.8568</v>
      </c>
      <c r="K1390">
        <v>520.96299999999997</v>
      </c>
      <c r="L1390">
        <v>0</v>
      </c>
    </row>
    <row r="1391" spans="1:12" x14ac:dyDescent="0.25">
      <c r="A1391">
        <f>80325379*0.00001</f>
        <v>803.25379000000009</v>
      </c>
      <c r="B1391">
        <v>3493</v>
      </c>
      <c r="C1391">
        <v>97</v>
      </c>
      <c r="D1391">
        <v>254.792</v>
      </c>
      <c r="E1391">
        <v>4489</v>
      </c>
      <c r="F1391">
        <v>1607</v>
      </c>
      <c r="G1391">
        <v>1</v>
      </c>
      <c r="H1391">
        <v>0.2</v>
      </c>
      <c r="I1391">
        <v>0</v>
      </c>
      <c r="J1391">
        <v>-57.8568</v>
      </c>
      <c r="K1391" s="1">
        <f>520.881</f>
        <v>520.88099999999997</v>
      </c>
      <c r="L1391">
        <v>0</v>
      </c>
    </row>
    <row r="1392" spans="1:12" x14ac:dyDescent="0.25">
      <c r="A1392">
        <f>80325510*0.00001</f>
        <v>803.25510000000008</v>
      </c>
      <c r="B1392">
        <v>3493</v>
      </c>
      <c r="C1392">
        <v>98</v>
      </c>
      <c r="D1392" s="1">
        <f>254.511</f>
        <v>254.511</v>
      </c>
      <c r="E1392">
        <v>4489</v>
      </c>
      <c r="F1392">
        <v>1607</v>
      </c>
      <c r="G1392">
        <v>1</v>
      </c>
      <c r="H1392">
        <v>0.2</v>
      </c>
      <c r="I1392">
        <v>0</v>
      </c>
      <c r="J1392">
        <v>-57.8568</v>
      </c>
      <c r="K1392">
        <v>520.88099999999997</v>
      </c>
      <c r="L1392">
        <v>0</v>
      </c>
    </row>
    <row r="1393" spans="1:12" x14ac:dyDescent="0.25">
      <c r="A1393">
        <f>80325641*0.00001</f>
        <v>803.25641000000007</v>
      </c>
      <c r="B1393">
        <v>3493</v>
      </c>
      <c r="C1393">
        <v>99</v>
      </c>
      <c r="D1393">
        <v>254.511</v>
      </c>
      <c r="E1393">
        <v>4489</v>
      </c>
      <c r="F1393" s="1">
        <f>1607</f>
        <v>1607</v>
      </c>
      <c r="G1393">
        <v>1</v>
      </c>
      <c r="H1393">
        <v>0.2</v>
      </c>
      <c r="I1393">
        <v>0</v>
      </c>
      <c r="J1393">
        <v>-57.8568</v>
      </c>
      <c r="K1393">
        <v>520.88099999999997</v>
      </c>
      <c r="L1393">
        <v>0</v>
      </c>
    </row>
    <row r="1394" spans="1:12" x14ac:dyDescent="0.25">
      <c r="A1394">
        <f>80325772*0.00001</f>
        <v>803.25772000000006</v>
      </c>
      <c r="B1394">
        <v>3493</v>
      </c>
      <c r="C1394">
        <v>100</v>
      </c>
      <c r="D1394">
        <v>254.511</v>
      </c>
      <c r="E1394">
        <v>4489</v>
      </c>
      <c r="F1394">
        <v>1607</v>
      </c>
      <c r="G1394">
        <v>1</v>
      </c>
      <c r="H1394" s="1">
        <f>0.2</f>
        <v>0.2</v>
      </c>
      <c r="I1394">
        <v>0</v>
      </c>
      <c r="J1394">
        <v>-57.8568</v>
      </c>
      <c r="K1394">
        <v>520.88099999999997</v>
      </c>
      <c r="L1394">
        <v>0</v>
      </c>
    </row>
    <row r="1395" spans="1:12" x14ac:dyDescent="0.25">
      <c r="A1395">
        <f>80325903*0.00001</f>
        <v>803.25903000000005</v>
      </c>
      <c r="B1395">
        <v>3493</v>
      </c>
      <c r="C1395">
        <v>101</v>
      </c>
      <c r="D1395">
        <v>254.511</v>
      </c>
      <c r="E1395">
        <v>4489</v>
      </c>
      <c r="F1395">
        <v>1607</v>
      </c>
      <c r="G1395">
        <v>1</v>
      </c>
      <c r="H1395">
        <v>0.2</v>
      </c>
      <c r="I1395" s="1">
        <f>0</f>
        <v>0</v>
      </c>
      <c r="J1395" s="1">
        <f>-57.2605</f>
        <v>-57.2605</v>
      </c>
      <c r="K1395">
        <v>520.88099999999997</v>
      </c>
      <c r="L1395">
        <v>0</v>
      </c>
    </row>
    <row r="1396" spans="1:12" x14ac:dyDescent="0.25">
      <c r="A1396">
        <f>80326034*0.00001</f>
        <v>803.26034000000004</v>
      </c>
      <c r="B1396">
        <v>3493</v>
      </c>
      <c r="C1396">
        <v>102</v>
      </c>
      <c r="D1396">
        <v>254.511</v>
      </c>
      <c r="E1396">
        <v>4489</v>
      </c>
      <c r="F1396">
        <v>1607</v>
      </c>
      <c r="G1396">
        <v>1</v>
      </c>
      <c r="H1396">
        <v>0.2</v>
      </c>
      <c r="I1396">
        <v>0</v>
      </c>
      <c r="J1396">
        <v>-57.2605</v>
      </c>
      <c r="K1396" s="1">
        <f>520.836</f>
        <v>520.83600000000001</v>
      </c>
      <c r="L1396" s="1">
        <f>0</f>
        <v>0</v>
      </c>
    </row>
    <row r="1397" spans="1:12" x14ac:dyDescent="0.25">
      <c r="A1397">
        <f>80326164*0.00001</f>
        <v>803.26164000000006</v>
      </c>
      <c r="B1397">
        <v>3493</v>
      </c>
      <c r="C1397">
        <v>103</v>
      </c>
      <c r="D1397" s="1">
        <f>254.378</f>
        <v>254.37799999999999</v>
      </c>
      <c r="E1397" s="1">
        <f>4497</f>
        <v>4497</v>
      </c>
      <c r="F1397">
        <v>1607</v>
      </c>
      <c r="G1397">
        <v>1</v>
      </c>
      <c r="H1397">
        <v>0.2</v>
      </c>
      <c r="I1397">
        <v>0</v>
      </c>
      <c r="J1397">
        <v>-57.2605</v>
      </c>
      <c r="K1397">
        <v>520.83600000000001</v>
      </c>
      <c r="L1397">
        <v>0</v>
      </c>
    </row>
    <row r="1398" spans="1:12" x14ac:dyDescent="0.25">
      <c r="A1398">
        <f>80326295*0.00001</f>
        <v>803.26295000000005</v>
      </c>
      <c r="B1398">
        <v>3493</v>
      </c>
      <c r="C1398">
        <v>104</v>
      </c>
      <c r="D1398">
        <v>254.37799999999999</v>
      </c>
      <c r="E1398">
        <v>4497</v>
      </c>
      <c r="F1398" s="1">
        <f>1607</f>
        <v>1607</v>
      </c>
      <c r="G1398" s="1">
        <f>1</f>
        <v>1</v>
      </c>
      <c r="H1398">
        <v>0.2</v>
      </c>
      <c r="I1398">
        <v>0</v>
      </c>
      <c r="J1398">
        <v>-57.2605</v>
      </c>
      <c r="K1398">
        <v>520.83600000000001</v>
      </c>
      <c r="L1398">
        <v>0</v>
      </c>
    </row>
    <row r="1399" spans="1:12" x14ac:dyDescent="0.25">
      <c r="A1399">
        <f>80326426*0.00001</f>
        <v>803.26426000000004</v>
      </c>
      <c r="B1399">
        <v>3493</v>
      </c>
      <c r="C1399">
        <v>105</v>
      </c>
      <c r="D1399">
        <v>254.37799999999999</v>
      </c>
      <c r="E1399">
        <v>4497</v>
      </c>
      <c r="F1399">
        <v>1607</v>
      </c>
      <c r="G1399">
        <v>1</v>
      </c>
      <c r="H1399" s="1">
        <f>0.2</f>
        <v>0.2</v>
      </c>
      <c r="I1399" s="1">
        <f>0</f>
        <v>0</v>
      </c>
      <c r="J1399">
        <v>-57.2605</v>
      </c>
      <c r="K1399">
        <v>520.83600000000001</v>
      </c>
      <c r="L1399">
        <v>0</v>
      </c>
    </row>
    <row r="1400" spans="1:12" x14ac:dyDescent="0.25">
      <c r="A1400">
        <f>80326557*0.00001</f>
        <v>803.26557000000003</v>
      </c>
      <c r="B1400">
        <v>3493</v>
      </c>
      <c r="C1400">
        <v>106</v>
      </c>
      <c r="D1400">
        <v>254.37799999999999</v>
      </c>
      <c r="E1400">
        <v>4497</v>
      </c>
      <c r="F1400">
        <v>1607</v>
      </c>
      <c r="G1400">
        <v>1</v>
      </c>
      <c r="H1400">
        <v>0.2</v>
      </c>
      <c r="I1400">
        <v>0</v>
      </c>
      <c r="J1400" s="1">
        <f>-56.9769</f>
        <v>-56.976900000000001</v>
      </c>
      <c r="K1400" s="1">
        <f>520.8</f>
        <v>520.79999999999995</v>
      </c>
      <c r="L1400">
        <v>0</v>
      </c>
    </row>
    <row r="1401" spans="1:12" x14ac:dyDescent="0.25">
      <c r="A1401">
        <f>80326688*0.00001</f>
        <v>803.26688000000001</v>
      </c>
      <c r="B1401">
        <v>3493</v>
      </c>
      <c r="C1401">
        <v>107</v>
      </c>
      <c r="D1401" s="1">
        <f>254.255</f>
        <v>254.255</v>
      </c>
      <c r="E1401">
        <v>4497</v>
      </c>
      <c r="F1401">
        <v>1607</v>
      </c>
      <c r="G1401">
        <v>1</v>
      </c>
      <c r="H1401">
        <v>0.2</v>
      </c>
      <c r="I1401">
        <v>0</v>
      </c>
      <c r="J1401">
        <v>-56.976900000000001</v>
      </c>
      <c r="K1401">
        <v>520.79999999999995</v>
      </c>
      <c r="L1401" s="1">
        <f>0</f>
        <v>0</v>
      </c>
    </row>
    <row r="1402" spans="1:12" x14ac:dyDescent="0.25">
      <c r="A1402">
        <f>80326819*0.00001</f>
        <v>803.26819000000012</v>
      </c>
      <c r="B1402">
        <v>3493</v>
      </c>
      <c r="C1402">
        <v>108</v>
      </c>
      <c r="D1402">
        <v>254.255</v>
      </c>
      <c r="E1402" s="1">
        <f>4500</f>
        <v>4500</v>
      </c>
      <c r="F1402" s="1">
        <f>1607</f>
        <v>1607</v>
      </c>
      <c r="G1402">
        <v>1</v>
      </c>
      <c r="H1402">
        <v>0.2</v>
      </c>
      <c r="I1402">
        <v>0</v>
      </c>
      <c r="J1402">
        <v>-56.976900000000001</v>
      </c>
      <c r="K1402">
        <v>520.79999999999995</v>
      </c>
      <c r="L1402">
        <v>0</v>
      </c>
    </row>
    <row r="1403" spans="1:12" x14ac:dyDescent="0.25">
      <c r="A1403">
        <f>80326950*0.00001</f>
        <v>803.26950000000011</v>
      </c>
      <c r="B1403">
        <v>3493</v>
      </c>
      <c r="C1403">
        <v>109</v>
      </c>
      <c r="D1403" s="1">
        <f>253.989</f>
        <v>253.989</v>
      </c>
      <c r="E1403" s="1">
        <f>4508</f>
        <v>4508</v>
      </c>
      <c r="F1403" s="1">
        <f>1607</f>
        <v>1607</v>
      </c>
      <c r="G1403" s="1">
        <f>1</f>
        <v>1</v>
      </c>
      <c r="H1403" s="1">
        <f>0.2</f>
        <v>0.2</v>
      </c>
      <c r="I1403" s="1">
        <f>0</f>
        <v>0</v>
      </c>
      <c r="J1403" s="1">
        <f>-56.3968</f>
        <v>-56.396799999999999</v>
      </c>
      <c r="K1403" s="1">
        <f>520.72</f>
        <v>520.72</v>
      </c>
      <c r="L1403" s="1">
        <f>0</f>
        <v>0</v>
      </c>
    </row>
    <row r="1404" spans="1:12" x14ac:dyDescent="0.25">
      <c r="A1404">
        <f>80328392*0.00001</f>
        <v>803.28392000000008</v>
      </c>
      <c r="B1404">
        <v>3493</v>
      </c>
      <c r="C1404">
        <v>120</v>
      </c>
      <c r="D1404">
        <v>253.989</v>
      </c>
      <c r="E1404">
        <v>4508</v>
      </c>
      <c r="F1404">
        <v>1607</v>
      </c>
      <c r="G1404">
        <v>1</v>
      </c>
      <c r="H1404">
        <v>0.2</v>
      </c>
      <c r="I1404">
        <v>0</v>
      </c>
      <c r="J1404">
        <v>-56.396799999999999</v>
      </c>
      <c r="K1404" s="1">
        <f>520.675</f>
        <v>520.67499999999995</v>
      </c>
      <c r="L1404">
        <v>0</v>
      </c>
    </row>
    <row r="1405" spans="1:12" x14ac:dyDescent="0.25">
      <c r="A1405">
        <f>80328523*0.00001</f>
        <v>803.28523000000007</v>
      </c>
      <c r="B1405">
        <v>3493</v>
      </c>
      <c r="C1405">
        <v>121</v>
      </c>
      <c r="D1405" s="1">
        <f>253.832</f>
        <v>253.83199999999999</v>
      </c>
      <c r="E1405">
        <v>4508</v>
      </c>
      <c r="F1405">
        <v>1607</v>
      </c>
      <c r="G1405">
        <v>1</v>
      </c>
      <c r="H1405">
        <v>0.2</v>
      </c>
      <c r="I1405">
        <v>0</v>
      </c>
      <c r="J1405">
        <v>-56.396799999999999</v>
      </c>
      <c r="K1405">
        <v>520.67499999999995</v>
      </c>
      <c r="L1405">
        <v>0</v>
      </c>
    </row>
    <row r="1406" spans="1:12" x14ac:dyDescent="0.25">
      <c r="A1406">
        <f>80328654*0.00001</f>
        <v>803.28654000000006</v>
      </c>
      <c r="B1406">
        <v>3493</v>
      </c>
      <c r="C1406">
        <v>122</v>
      </c>
      <c r="D1406">
        <v>253.83199999999999</v>
      </c>
      <c r="E1406">
        <v>4508</v>
      </c>
      <c r="F1406" s="1">
        <f>1607</f>
        <v>1607</v>
      </c>
      <c r="G1406">
        <v>1</v>
      </c>
      <c r="H1406">
        <v>0.2</v>
      </c>
      <c r="I1406">
        <v>0</v>
      </c>
      <c r="J1406">
        <v>-56.396799999999999</v>
      </c>
      <c r="K1406">
        <v>520.67499999999995</v>
      </c>
      <c r="L1406">
        <v>0</v>
      </c>
    </row>
    <row r="1407" spans="1:12" x14ac:dyDescent="0.25">
      <c r="A1407">
        <f>80328786*0.00001</f>
        <v>803.28786000000002</v>
      </c>
      <c r="B1407">
        <v>3493</v>
      </c>
      <c r="C1407">
        <v>123</v>
      </c>
      <c r="D1407">
        <v>253.83199999999999</v>
      </c>
      <c r="E1407">
        <v>4508</v>
      </c>
      <c r="F1407">
        <v>1607</v>
      </c>
      <c r="G1407">
        <v>1</v>
      </c>
      <c r="H1407" s="1">
        <f>0.2</f>
        <v>0.2</v>
      </c>
      <c r="I1407">
        <v>0</v>
      </c>
      <c r="J1407">
        <v>-56.396799999999999</v>
      </c>
      <c r="K1407">
        <v>520.67499999999995</v>
      </c>
      <c r="L1407">
        <v>0</v>
      </c>
    </row>
    <row r="1408" spans="1:12" x14ac:dyDescent="0.25">
      <c r="A1408">
        <f>80328917*0.00001</f>
        <v>803.28917000000001</v>
      </c>
      <c r="B1408">
        <v>3493</v>
      </c>
      <c r="C1408">
        <v>124</v>
      </c>
      <c r="D1408">
        <v>253.83199999999999</v>
      </c>
      <c r="E1408">
        <v>4508</v>
      </c>
      <c r="F1408">
        <v>1607</v>
      </c>
      <c r="G1408">
        <v>1</v>
      </c>
      <c r="H1408">
        <v>0.2</v>
      </c>
      <c r="I1408">
        <v>0</v>
      </c>
      <c r="J1408" s="1">
        <f>-55.8185</f>
        <v>-55.8185</v>
      </c>
      <c r="K1408">
        <v>520.67499999999995</v>
      </c>
      <c r="L1408">
        <v>0</v>
      </c>
    </row>
    <row r="1409" spans="1:12" x14ac:dyDescent="0.25">
      <c r="A1409">
        <f>80329048*0.00001</f>
        <v>803.29048000000012</v>
      </c>
      <c r="B1409">
        <v>3493</v>
      </c>
      <c r="C1409">
        <v>125</v>
      </c>
      <c r="D1409">
        <v>253.83199999999999</v>
      </c>
      <c r="E1409">
        <v>4508</v>
      </c>
      <c r="F1409">
        <v>1607</v>
      </c>
      <c r="G1409">
        <v>1</v>
      </c>
      <c r="H1409">
        <v>0.2</v>
      </c>
      <c r="I1409">
        <v>0</v>
      </c>
      <c r="J1409">
        <v>-55.8185</v>
      </c>
      <c r="K1409">
        <v>520.67499999999995</v>
      </c>
      <c r="L1409" s="1">
        <f>0</f>
        <v>0</v>
      </c>
    </row>
    <row r="1410" spans="1:12" x14ac:dyDescent="0.25">
      <c r="A1410">
        <f>80329179*0.00001</f>
        <v>803.29179000000011</v>
      </c>
      <c r="B1410">
        <v>3493</v>
      </c>
      <c r="C1410">
        <v>126</v>
      </c>
      <c r="D1410">
        <v>253.83199999999999</v>
      </c>
      <c r="E1410" s="1">
        <f>4516</f>
        <v>4516</v>
      </c>
      <c r="F1410">
        <v>1607</v>
      </c>
      <c r="G1410">
        <v>1</v>
      </c>
      <c r="H1410">
        <v>0.2</v>
      </c>
      <c r="I1410">
        <v>0</v>
      </c>
      <c r="J1410">
        <v>-55.8185</v>
      </c>
      <c r="K1410">
        <v>520.67499999999995</v>
      </c>
      <c r="L1410">
        <v>0</v>
      </c>
    </row>
    <row r="1411" spans="1:12" x14ac:dyDescent="0.25">
      <c r="A1411">
        <f>80329310*0.00001</f>
        <v>803.29310000000009</v>
      </c>
      <c r="B1411">
        <v>3493</v>
      </c>
      <c r="C1411">
        <v>127</v>
      </c>
      <c r="D1411">
        <v>253.83199999999999</v>
      </c>
      <c r="E1411">
        <v>4516</v>
      </c>
      <c r="F1411">
        <v>1607</v>
      </c>
      <c r="G1411" s="1">
        <f>1</f>
        <v>1</v>
      </c>
      <c r="H1411">
        <v>0.2</v>
      </c>
      <c r="I1411">
        <v>0</v>
      </c>
      <c r="J1411">
        <v>-55.8185</v>
      </c>
      <c r="K1411">
        <v>520.67499999999995</v>
      </c>
      <c r="L1411">
        <v>0</v>
      </c>
    </row>
    <row r="1412" spans="1:12" x14ac:dyDescent="0.25">
      <c r="A1412">
        <f>80329441*0.00001</f>
        <v>803.29441000000008</v>
      </c>
      <c r="B1412">
        <v>3493</v>
      </c>
      <c r="C1412">
        <v>128</v>
      </c>
      <c r="D1412">
        <v>253.83199999999999</v>
      </c>
      <c r="E1412">
        <v>4516</v>
      </c>
      <c r="F1412">
        <v>1607</v>
      </c>
      <c r="G1412">
        <v>1</v>
      </c>
      <c r="H1412">
        <v>0.2</v>
      </c>
      <c r="I1412">
        <v>0</v>
      </c>
      <c r="J1412">
        <v>-55.8185</v>
      </c>
      <c r="K1412">
        <v>520.67499999999995</v>
      </c>
      <c r="L1412">
        <v>0</v>
      </c>
    </row>
    <row r="1413" spans="1:12" x14ac:dyDescent="0.25">
      <c r="A1413">
        <f>80329469*0.00001</f>
        <v>803.29469000000006</v>
      </c>
      <c r="B1413">
        <v>3493</v>
      </c>
      <c r="C1413">
        <v>128</v>
      </c>
      <c r="D1413">
        <v>253.83199999999999</v>
      </c>
      <c r="E1413">
        <v>4516</v>
      </c>
      <c r="F1413">
        <v>1607</v>
      </c>
      <c r="G1413">
        <v>1</v>
      </c>
      <c r="H1413">
        <v>0.2</v>
      </c>
      <c r="I1413" s="1">
        <f>0</f>
        <v>0</v>
      </c>
      <c r="J1413">
        <v>-55.8185</v>
      </c>
      <c r="K1413">
        <v>520.67499999999995</v>
      </c>
      <c r="L1413">
        <v>0</v>
      </c>
    </row>
    <row r="1414" spans="1:12" x14ac:dyDescent="0.25">
      <c r="A1414">
        <f>80329572*0.00001</f>
        <v>803.29572000000007</v>
      </c>
      <c r="B1414">
        <v>3493</v>
      </c>
      <c r="C1414">
        <v>129</v>
      </c>
      <c r="D1414">
        <v>253.83199999999999</v>
      </c>
      <c r="E1414">
        <v>4516</v>
      </c>
      <c r="F1414">
        <v>1607</v>
      </c>
      <c r="G1414">
        <v>1</v>
      </c>
      <c r="H1414">
        <v>0.2</v>
      </c>
      <c r="I1414">
        <v>0</v>
      </c>
      <c r="J1414">
        <v>-55.8185</v>
      </c>
      <c r="K1414" s="1">
        <f>520.596</f>
        <v>520.596</v>
      </c>
      <c r="L1414">
        <v>0</v>
      </c>
    </row>
    <row r="1415" spans="1:12" x14ac:dyDescent="0.25">
      <c r="A1415">
        <f>80329704*0.00001</f>
        <v>803.29704000000004</v>
      </c>
      <c r="B1415">
        <v>3493</v>
      </c>
      <c r="C1415">
        <v>130</v>
      </c>
      <c r="D1415" s="1">
        <f>253.58</f>
        <v>253.58</v>
      </c>
      <c r="E1415">
        <v>4516</v>
      </c>
      <c r="F1415">
        <v>1607</v>
      </c>
      <c r="G1415">
        <v>1</v>
      </c>
      <c r="H1415">
        <v>0.2</v>
      </c>
      <c r="I1415">
        <v>0</v>
      </c>
      <c r="J1415">
        <v>-55.8185</v>
      </c>
      <c r="K1415">
        <v>520.596</v>
      </c>
      <c r="L1415" s="1">
        <f>0</f>
        <v>0</v>
      </c>
    </row>
    <row r="1416" spans="1:12" x14ac:dyDescent="0.25">
      <c r="A1416">
        <f>80329835*0.00001</f>
        <v>803.29835000000003</v>
      </c>
      <c r="B1416">
        <v>3493</v>
      </c>
      <c r="C1416">
        <v>131</v>
      </c>
      <c r="D1416">
        <v>253.58</v>
      </c>
      <c r="E1416" s="1">
        <f>4519</f>
        <v>4519</v>
      </c>
      <c r="F1416" s="1">
        <f>1607</f>
        <v>1607</v>
      </c>
      <c r="G1416">
        <v>1</v>
      </c>
      <c r="H1416">
        <v>0.2</v>
      </c>
      <c r="I1416">
        <v>0</v>
      </c>
      <c r="J1416">
        <v>-55.8185</v>
      </c>
      <c r="K1416">
        <v>520.596</v>
      </c>
      <c r="L1416">
        <v>0</v>
      </c>
    </row>
    <row r="1417" spans="1:12" x14ac:dyDescent="0.25">
      <c r="A1417">
        <f>80329966*0.00001</f>
        <v>803.29966000000002</v>
      </c>
      <c r="B1417">
        <v>3493</v>
      </c>
      <c r="C1417">
        <v>132</v>
      </c>
      <c r="D1417">
        <v>253.58</v>
      </c>
      <c r="E1417">
        <v>4519</v>
      </c>
      <c r="F1417">
        <v>1607</v>
      </c>
      <c r="G1417" s="1">
        <f>1</f>
        <v>1</v>
      </c>
      <c r="H1417" s="1">
        <f>0.2</f>
        <v>0.2</v>
      </c>
      <c r="I1417">
        <v>0</v>
      </c>
      <c r="J1417">
        <v>-55.8185</v>
      </c>
      <c r="K1417">
        <v>520.596</v>
      </c>
      <c r="L1417">
        <v>0</v>
      </c>
    </row>
    <row r="1418" spans="1:12" x14ac:dyDescent="0.25">
      <c r="A1418">
        <f>80330097*0.00001</f>
        <v>803.30097000000012</v>
      </c>
      <c r="B1418">
        <v>3493</v>
      </c>
      <c r="C1418">
        <v>133</v>
      </c>
      <c r="D1418">
        <v>253.58</v>
      </c>
      <c r="E1418">
        <v>4519</v>
      </c>
      <c r="F1418">
        <v>1607</v>
      </c>
      <c r="G1418">
        <v>1</v>
      </c>
      <c r="H1418">
        <v>0.2</v>
      </c>
      <c r="I1418" s="1">
        <f>0</f>
        <v>0</v>
      </c>
      <c r="J1418" s="1">
        <f>-55.2972</f>
        <v>-55.297199999999997</v>
      </c>
      <c r="K1418">
        <v>520.596</v>
      </c>
      <c r="L1418">
        <v>0</v>
      </c>
    </row>
    <row r="1419" spans="1:12" x14ac:dyDescent="0.25">
      <c r="A1419">
        <f>80330228*0.00001</f>
        <v>803.30228000000011</v>
      </c>
      <c r="B1419">
        <v>3493</v>
      </c>
      <c r="C1419">
        <v>134</v>
      </c>
      <c r="D1419">
        <v>253.58</v>
      </c>
      <c r="E1419">
        <v>4519</v>
      </c>
      <c r="F1419">
        <v>1607</v>
      </c>
      <c r="G1419">
        <v>1</v>
      </c>
      <c r="H1419">
        <v>0.2</v>
      </c>
      <c r="I1419">
        <v>0</v>
      </c>
      <c r="J1419">
        <v>-55.297199999999997</v>
      </c>
      <c r="K1419" s="1">
        <f>520.552</f>
        <v>520.55200000000002</v>
      </c>
      <c r="L1419" s="1">
        <f>0</f>
        <v>0</v>
      </c>
    </row>
    <row r="1420" spans="1:12" x14ac:dyDescent="0.25">
      <c r="A1420">
        <f>80330359*0.00001</f>
        <v>803.3035900000001</v>
      </c>
      <c r="B1420">
        <v>3493</v>
      </c>
      <c r="C1420">
        <v>135</v>
      </c>
      <c r="D1420" s="1">
        <f>253.42</f>
        <v>253.42</v>
      </c>
      <c r="E1420" s="1">
        <f>4523</f>
        <v>4523</v>
      </c>
      <c r="F1420">
        <v>1607</v>
      </c>
      <c r="G1420">
        <v>1</v>
      </c>
      <c r="H1420">
        <v>0.2</v>
      </c>
      <c r="I1420">
        <v>0</v>
      </c>
      <c r="J1420">
        <v>-55.297199999999997</v>
      </c>
      <c r="K1420">
        <v>520.55200000000002</v>
      </c>
      <c r="L1420">
        <v>0</v>
      </c>
    </row>
    <row r="1421" spans="1:12" x14ac:dyDescent="0.25">
      <c r="A1421">
        <f>80330490*0.00001</f>
        <v>803.30490000000009</v>
      </c>
      <c r="B1421">
        <v>3493</v>
      </c>
      <c r="C1421">
        <v>136</v>
      </c>
      <c r="D1421">
        <v>253.42</v>
      </c>
      <c r="E1421">
        <v>4523</v>
      </c>
      <c r="F1421" s="1">
        <f>1607</f>
        <v>1607</v>
      </c>
      <c r="G1421" s="1">
        <f>1</f>
        <v>1</v>
      </c>
      <c r="H1421">
        <v>0.2</v>
      </c>
      <c r="I1421">
        <v>0</v>
      </c>
      <c r="J1421">
        <v>-55.297199999999997</v>
      </c>
      <c r="K1421">
        <v>520.55200000000002</v>
      </c>
      <c r="L1421">
        <v>0</v>
      </c>
    </row>
    <row r="1422" spans="1:12" x14ac:dyDescent="0.25">
      <c r="A1422">
        <f>80330622*0.00001</f>
        <v>803.30622000000005</v>
      </c>
      <c r="B1422">
        <v>3493</v>
      </c>
      <c r="C1422">
        <v>137</v>
      </c>
      <c r="D1422">
        <v>253.42</v>
      </c>
      <c r="E1422">
        <v>4523</v>
      </c>
      <c r="F1422">
        <v>1607</v>
      </c>
      <c r="G1422">
        <v>1</v>
      </c>
      <c r="H1422" s="1">
        <f>0.2</f>
        <v>0.2</v>
      </c>
      <c r="I1422" s="1">
        <f>0</f>
        <v>0</v>
      </c>
      <c r="J1422">
        <v>-55.297199999999997</v>
      </c>
      <c r="K1422">
        <v>520.55200000000002</v>
      </c>
      <c r="L1422">
        <v>0</v>
      </c>
    </row>
    <row r="1423" spans="1:12" x14ac:dyDescent="0.25">
      <c r="A1423">
        <f>80330753*0.00001</f>
        <v>803.30753000000004</v>
      </c>
      <c r="B1423">
        <v>3493</v>
      </c>
      <c r="C1423">
        <v>138</v>
      </c>
      <c r="D1423">
        <v>253.42</v>
      </c>
      <c r="E1423">
        <v>4523</v>
      </c>
      <c r="F1423">
        <v>1607</v>
      </c>
      <c r="G1423">
        <v>1</v>
      </c>
      <c r="H1423">
        <v>0.2</v>
      </c>
      <c r="I1423">
        <v>0</v>
      </c>
      <c r="J1423" s="1">
        <f>-54.9605</f>
        <v>-54.960500000000003</v>
      </c>
      <c r="K1423" s="1">
        <f>520.518</f>
        <v>520.51800000000003</v>
      </c>
      <c r="L1423">
        <v>0</v>
      </c>
    </row>
    <row r="1424" spans="1:12" x14ac:dyDescent="0.25">
      <c r="A1424">
        <f>80330885*0.00001</f>
        <v>803.30885000000012</v>
      </c>
      <c r="B1424">
        <v>3493</v>
      </c>
      <c r="C1424">
        <v>139</v>
      </c>
      <c r="D1424" s="1">
        <f>253.299</f>
        <v>253.29900000000001</v>
      </c>
      <c r="E1424">
        <v>4523</v>
      </c>
      <c r="F1424">
        <v>1607</v>
      </c>
      <c r="G1424">
        <v>1</v>
      </c>
      <c r="H1424">
        <v>0.2</v>
      </c>
      <c r="I1424">
        <v>0</v>
      </c>
      <c r="J1424">
        <v>-54.960500000000003</v>
      </c>
      <c r="K1424">
        <v>520.51800000000003</v>
      </c>
      <c r="L1424" s="1">
        <f>0</f>
        <v>0</v>
      </c>
    </row>
    <row r="1425" spans="1:12" x14ac:dyDescent="0.25">
      <c r="A1425">
        <f>80331017*0.00001</f>
        <v>803.31017000000008</v>
      </c>
      <c r="B1425">
        <v>3493</v>
      </c>
      <c r="C1425">
        <v>140</v>
      </c>
      <c r="D1425">
        <v>253.29900000000001</v>
      </c>
      <c r="E1425" s="1">
        <f>4526</f>
        <v>4526</v>
      </c>
      <c r="F1425" s="1">
        <f>1607</f>
        <v>1607</v>
      </c>
      <c r="G1425">
        <v>1</v>
      </c>
      <c r="H1425">
        <v>0.2</v>
      </c>
      <c r="I1425">
        <v>0</v>
      </c>
      <c r="J1425">
        <v>-54.960500000000003</v>
      </c>
      <c r="K1425">
        <v>520.51800000000003</v>
      </c>
      <c r="L1425">
        <v>0</v>
      </c>
    </row>
    <row r="1426" spans="1:12" x14ac:dyDescent="0.25">
      <c r="A1426">
        <f>80331149*0.00001</f>
        <v>803.31149000000005</v>
      </c>
      <c r="B1426">
        <v>3493</v>
      </c>
      <c r="C1426">
        <v>141</v>
      </c>
      <c r="D1426" s="1">
        <f>253.039</f>
        <v>253.03899999999999</v>
      </c>
      <c r="E1426" s="1">
        <f>4535</f>
        <v>4535</v>
      </c>
      <c r="F1426" s="1">
        <f>1607</f>
        <v>1607</v>
      </c>
      <c r="G1426" s="1">
        <f>1</f>
        <v>1</v>
      </c>
      <c r="H1426" s="1">
        <f>0.2</f>
        <v>0.2</v>
      </c>
      <c r="I1426" s="1">
        <f>0</f>
        <v>0</v>
      </c>
      <c r="J1426" s="1">
        <f>-54.1546</f>
        <v>-54.154600000000002</v>
      </c>
      <c r="K1426" s="1">
        <f>520.397</f>
        <v>520.39700000000005</v>
      </c>
      <c r="L1426" s="1">
        <f>0</f>
        <v>0</v>
      </c>
    </row>
    <row r="1427" spans="1:12" x14ac:dyDescent="0.25">
      <c r="A1427">
        <f>80332729*0.00001</f>
        <v>803.32729000000006</v>
      </c>
      <c r="B1427">
        <v>3493</v>
      </c>
      <c r="C1427">
        <v>153</v>
      </c>
      <c r="D1427" s="1">
        <f>252.886</f>
        <v>252.886</v>
      </c>
      <c r="E1427">
        <v>4535</v>
      </c>
      <c r="F1427">
        <v>1607</v>
      </c>
      <c r="G1427">
        <v>1</v>
      </c>
      <c r="H1427">
        <v>0.2</v>
      </c>
      <c r="I1427">
        <v>0</v>
      </c>
      <c r="J1427">
        <v>-54.154600000000002</v>
      </c>
      <c r="K1427">
        <v>520.39700000000005</v>
      </c>
      <c r="L1427">
        <v>0</v>
      </c>
    </row>
    <row r="1428" spans="1:12" x14ac:dyDescent="0.25">
      <c r="A1428">
        <f>80332861*0.00001</f>
        <v>803.32861000000003</v>
      </c>
      <c r="B1428">
        <v>3493</v>
      </c>
      <c r="C1428">
        <v>154</v>
      </c>
      <c r="D1428">
        <v>252.886</v>
      </c>
      <c r="E1428">
        <v>4535</v>
      </c>
      <c r="F1428" s="1">
        <f>1607</f>
        <v>1607</v>
      </c>
      <c r="G1428">
        <v>1</v>
      </c>
      <c r="H1428">
        <v>0.2</v>
      </c>
      <c r="I1428">
        <v>0</v>
      </c>
      <c r="J1428">
        <v>-54.154600000000002</v>
      </c>
      <c r="K1428">
        <v>520.39700000000005</v>
      </c>
      <c r="L1428">
        <v>0</v>
      </c>
    </row>
    <row r="1429" spans="1:12" x14ac:dyDescent="0.25">
      <c r="A1429">
        <f>80332993*0.00001</f>
        <v>803.3299300000001</v>
      </c>
      <c r="B1429">
        <v>3493</v>
      </c>
      <c r="C1429">
        <v>155</v>
      </c>
      <c r="D1429">
        <v>252.886</v>
      </c>
      <c r="E1429">
        <v>4535</v>
      </c>
      <c r="F1429">
        <v>1607</v>
      </c>
      <c r="G1429">
        <v>1</v>
      </c>
      <c r="H1429" s="1">
        <f>0.2</f>
        <v>0.2</v>
      </c>
      <c r="I1429">
        <v>0</v>
      </c>
      <c r="J1429">
        <v>-54.154600000000002</v>
      </c>
      <c r="K1429">
        <v>520.39700000000005</v>
      </c>
      <c r="L1429">
        <v>0</v>
      </c>
    </row>
    <row r="1430" spans="1:12" x14ac:dyDescent="0.25">
      <c r="A1430">
        <f>80333125*0.00001</f>
        <v>803.33125000000007</v>
      </c>
      <c r="B1430">
        <v>3493</v>
      </c>
      <c r="C1430">
        <v>156</v>
      </c>
      <c r="D1430">
        <v>252.886</v>
      </c>
      <c r="E1430">
        <v>4535</v>
      </c>
      <c r="F1430">
        <v>1607</v>
      </c>
      <c r="G1430">
        <v>1</v>
      </c>
      <c r="H1430">
        <v>0.2</v>
      </c>
      <c r="I1430">
        <v>0</v>
      </c>
      <c r="J1430" s="1">
        <f>-53.8527</f>
        <v>-53.852699999999999</v>
      </c>
      <c r="K1430">
        <v>520.39700000000005</v>
      </c>
      <c r="L1430">
        <v>0</v>
      </c>
    </row>
    <row r="1431" spans="1:12" x14ac:dyDescent="0.25">
      <c r="A1431">
        <f>80333256*0.00001</f>
        <v>803.33256000000006</v>
      </c>
      <c r="B1431">
        <v>3493</v>
      </c>
      <c r="C1431">
        <v>157</v>
      </c>
      <c r="D1431">
        <v>252.886</v>
      </c>
      <c r="E1431">
        <v>4535</v>
      </c>
      <c r="F1431">
        <v>1607</v>
      </c>
      <c r="G1431">
        <v>1</v>
      </c>
      <c r="H1431">
        <v>0.2</v>
      </c>
      <c r="I1431">
        <v>0</v>
      </c>
      <c r="J1431">
        <v>-53.852699999999999</v>
      </c>
      <c r="K1431">
        <v>520.39700000000005</v>
      </c>
      <c r="L1431" s="1">
        <f>0</f>
        <v>0</v>
      </c>
    </row>
    <row r="1432" spans="1:12" x14ac:dyDescent="0.25">
      <c r="A1432">
        <f>80333387*0.00001</f>
        <v>803.33387000000005</v>
      </c>
      <c r="B1432">
        <v>3493</v>
      </c>
      <c r="C1432">
        <v>158</v>
      </c>
      <c r="D1432">
        <v>252.886</v>
      </c>
      <c r="E1432" s="1">
        <f>4541</f>
        <v>4541</v>
      </c>
      <c r="F1432">
        <v>1607</v>
      </c>
      <c r="G1432">
        <v>1</v>
      </c>
      <c r="H1432">
        <v>0.2</v>
      </c>
      <c r="I1432">
        <v>0</v>
      </c>
      <c r="J1432">
        <v>-53.852699999999999</v>
      </c>
      <c r="K1432">
        <v>520.39700000000005</v>
      </c>
      <c r="L1432">
        <v>0</v>
      </c>
    </row>
    <row r="1433" spans="1:12" x14ac:dyDescent="0.25">
      <c r="A1433">
        <f>80333512*0.00001</f>
        <v>803.33512000000007</v>
      </c>
      <c r="B1433">
        <v>3493</v>
      </c>
      <c r="C1433">
        <v>158</v>
      </c>
      <c r="D1433">
        <v>252.886</v>
      </c>
      <c r="E1433">
        <v>4541</v>
      </c>
      <c r="F1433">
        <v>1607</v>
      </c>
      <c r="G1433" s="1">
        <f>1</f>
        <v>1</v>
      </c>
      <c r="H1433">
        <v>0.2</v>
      </c>
      <c r="I1433">
        <v>0</v>
      </c>
      <c r="J1433">
        <v>-53.852699999999999</v>
      </c>
      <c r="K1433">
        <v>520.39700000000005</v>
      </c>
      <c r="L1433">
        <v>0</v>
      </c>
    </row>
    <row r="1434" spans="1:12" x14ac:dyDescent="0.25">
      <c r="A1434">
        <f>80333650*0.00001</f>
        <v>803.33650000000011</v>
      </c>
      <c r="B1434">
        <v>3493</v>
      </c>
      <c r="C1434">
        <v>160</v>
      </c>
      <c r="D1434">
        <v>252.886</v>
      </c>
      <c r="E1434">
        <v>4541</v>
      </c>
      <c r="F1434">
        <v>1607</v>
      </c>
      <c r="G1434">
        <v>1</v>
      </c>
      <c r="H1434">
        <v>0.2</v>
      </c>
      <c r="I1434" s="1">
        <f>0</f>
        <v>0</v>
      </c>
      <c r="J1434">
        <v>-53.852699999999999</v>
      </c>
      <c r="K1434">
        <v>520.39700000000005</v>
      </c>
      <c r="L1434">
        <v>0</v>
      </c>
    </row>
    <row r="1435" spans="1:12" x14ac:dyDescent="0.25">
      <c r="A1435">
        <f>80333781*0.00001</f>
        <v>803.3378100000001</v>
      </c>
      <c r="B1435">
        <v>3493</v>
      </c>
      <c r="C1435">
        <v>161</v>
      </c>
      <c r="D1435">
        <v>252.886</v>
      </c>
      <c r="E1435">
        <v>4541</v>
      </c>
      <c r="F1435">
        <v>1607</v>
      </c>
      <c r="G1435">
        <v>1</v>
      </c>
      <c r="H1435">
        <v>0.2</v>
      </c>
      <c r="I1435">
        <v>0</v>
      </c>
      <c r="J1435">
        <v>-53.852699999999999</v>
      </c>
      <c r="K1435" s="1">
        <f>520.32</f>
        <v>520.32000000000005</v>
      </c>
      <c r="L1435">
        <v>0</v>
      </c>
    </row>
    <row r="1436" spans="1:12" x14ac:dyDescent="0.25">
      <c r="A1436">
        <f>80333912*0.00001</f>
        <v>803.33912000000009</v>
      </c>
      <c r="B1436">
        <v>3493</v>
      </c>
      <c r="C1436">
        <v>162</v>
      </c>
      <c r="D1436" s="1">
        <f>252.634</f>
        <v>252.63399999999999</v>
      </c>
      <c r="E1436">
        <v>4541</v>
      </c>
      <c r="F1436">
        <v>1607</v>
      </c>
      <c r="G1436">
        <v>1</v>
      </c>
      <c r="H1436">
        <v>0.2</v>
      </c>
      <c r="I1436">
        <v>0</v>
      </c>
      <c r="J1436">
        <v>-53.852699999999999</v>
      </c>
      <c r="K1436">
        <v>520.32000000000005</v>
      </c>
      <c r="L1436">
        <v>0</v>
      </c>
    </row>
    <row r="1437" spans="1:12" x14ac:dyDescent="0.25">
      <c r="A1437">
        <f>80334044*0.00001</f>
        <v>803.34044000000006</v>
      </c>
      <c r="B1437">
        <v>3493</v>
      </c>
      <c r="C1437">
        <v>163</v>
      </c>
      <c r="D1437">
        <v>252.63399999999999</v>
      </c>
      <c r="E1437">
        <v>4541</v>
      </c>
      <c r="F1437" s="1">
        <f>1608</f>
        <v>1608</v>
      </c>
      <c r="G1437">
        <v>1</v>
      </c>
      <c r="H1437">
        <v>0.2</v>
      </c>
      <c r="I1437">
        <v>0</v>
      </c>
      <c r="J1437">
        <v>-53.852699999999999</v>
      </c>
      <c r="K1437">
        <v>520.32000000000005</v>
      </c>
      <c r="L1437">
        <v>0</v>
      </c>
    </row>
    <row r="1438" spans="1:12" x14ac:dyDescent="0.25">
      <c r="A1438">
        <f>80334176*0.00001</f>
        <v>803.34176000000002</v>
      </c>
      <c r="B1438">
        <v>3493</v>
      </c>
      <c r="C1438">
        <v>164</v>
      </c>
      <c r="D1438">
        <v>252.63399999999999</v>
      </c>
      <c r="E1438">
        <v>4541</v>
      </c>
      <c r="F1438">
        <v>1608</v>
      </c>
      <c r="G1438">
        <v>1</v>
      </c>
      <c r="H1438" s="1">
        <f>0.2</f>
        <v>0.2</v>
      </c>
      <c r="I1438">
        <v>0</v>
      </c>
      <c r="J1438">
        <v>-53.852699999999999</v>
      </c>
      <c r="K1438">
        <v>520.32000000000005</v>
      </c>
      <c r="L1438">
        <v>0</v>
      </c>
    </row>
    <row r="1439" spans="1:12" x14ac:dyDescent="0.25">
      <c r="A1439">
        <f>80334307*0.00001</f>
        <v>803.34307000000001</v>
      </c>
      <c r="B1439">
        <v>3493</v>
      </c>
      <c r="C1439">
        <v>165</v>
      </c>
      <c r="D1439">
        <v>252.63399999999999</v>
      </c>
      <c r="E1439">
        <v>4541</v>
      </c>
      <c r="F1439">
        <v>1608</v>
      </c>
      <c r="G1439">
        <v>1</v>
      </c>
      <c r="H1439">
        <v>0.2</v>
      </c>
      <c r="I1439">
        <v>0</v>
      </c>
      <c r="J1439" s="1">
        <f>-53.278</f>
        <v>-53.277999999999999</v>
      </c>
      <c r="K1439">
        <v>520.32000000000005</v>
      </c>
      <c r="L1439">
        <v>0</v>
      </c>
    </row>
    <row r="1440" spans="1:12" x14ac:dyDescent="0.25">
      <c r="A1440">
        <f>80334439*0.00001</f>
        <v>803.34439000000009</v>
      </c>
      <c r="B1440">
        <v>3493</v>
      </c>
      <c r="C1440">
        <v>166</v>
      </c>
      <c r="D1440">
        <v>252.63399999999999</v>
      </c>
      <c r="E1440">
        <v>4541</v>
      </c>
      <c r="F1440">
        <v>1608</v>
      </c>
      <c r="G1440">
        <v>1</v>
      </c>
      <c r="H1440">
        <v>0.2</v>
      </c>
      <c r="I1440">
        <v>0</v>
      </c>
      <c r="J1440">
        <v>-53.277999999999999</v>
      </c>
      <c r="K1440">
        <v>520.32000000000005</v>
      </c>
      <c r="L1440" s="1">
        <f>0</f>
        <v>0</v>
      </c>
    </row>
    <row r="1441" spans="1:12" x14ac:dyDescent="0.25">
      <c r="A1441">
        <f>80334571*0.00001</f>
        <v>803.34571000000005</v>
      </c>
      <c r="B1441">
        <v>3493</v>
      </c>
      <c r="C1441">
        <v>167</v>
      </c>
      <c r="D1441">
        <v>252.63399999999999</v>
      </c>
      <c r="E1441" s="1">
        <f>4549</f>
        <v>4549</v>
      </c>
      <c r="F1441">
        <v>1608</v>
      </c>
      <c r="G1441">
        <v>1</v>
      </c>
      <c r="H1441">
        <v>0.2</v>
      </c>
      <c r="I1441">
        <v>0</v>
      </c>
      <c r="J1441">
        <v>-53.277999999999999</v>
      </c>
      <c r="K1441">
        <v>520.32000000000005</v>
      </c>
      <c r="L1441">
        <v>0</v>
      </c>
    </row>
    <row r="1442" spans="1:12" x14ac:dyDescent="0.25">
      <c r="A1442">
        <f>80334702*0.00001</f>
        <v>803.34702000000004</v>
      </c>
      <c r="B1442">
        <v>3493</v>
      </c>
      <c r="C1442">
        <v>168</v>
      </c>
      <c r="D1442">
        <v>252.63399999999999</v>
      </c>
      <c r="E1442">
        <v>4549</v>
      </c>
      <c r="F1442">
        <v>1608</v>
      </c>
      <c r="G1442" s="1">
        <f>1</f>
        <v>1</v>
      </c>
      <c r="H1442">
        <v>0.2</v>
      </c>
      <c r="I1442">
        <v>0</v>
      </c>
      <c r="J1442">
        <v>-53.277999999999999</v>
      </c>
      <c r="K1442">
        <v>520.32000000000005</v>
      </c>
      <c r="L1442">
        <v>0</v>
      </c>
    </row>
    <row r="1443" spans="1:12" x14ac:dyDescent="0.25">
      <c r="A1443">
        <f>80334834*0.00001</f>
        <v>803.34834000000012</v>
      </c>
      <c r="B1443">
        <v>3493</v>
      </c>
      <c r="C1443">
        <v>169</v>
      </c>
      <c r="D1443">
        <v>252.63399999999999</v>
      </c>
      <c r="E1443">
        <v>4549</v>
      </c>
      <c r="F1443">
        <v>1608</v>
      </c>
      <c r="G1443">
        <v>1</v>
      </c>
      <c r="H1443">
        <v>0.2</v>
      </c>
      <c r="I1443" s="1">
        <f>0</f>
        <v>0</v>
      </c>
      <c r="J1443">
        <v>-53.277999999999999</v>
      </c>
      <c r="K1443">
        <v>520.32000000000005</v>
      </c>
      <c r="L1443">
        <v>0</v>
      </c>
    </row>
    <row r="1444" spans="1:12" x14ac:dyDescent="0.25">
      <c r="A1444">
        <f>80334966*0.00001</f>
        <v>803.34966000000009</v>
      </c>
      <c r="B1444">
        <v>3493</v>
      </c>
      <c r="C1444">
        <v>170</v>
      </c>
      <c r="D1444">
        <v>252.63399999999999</v>
      </c>
      <c r="E1444">
        <v>4549</v>
      </c>
      <c r="F1444">
        <v>1608</v>
      </c>
      <c r="G1444">
        <v>1</v>
      </c>
      <c r="H1444">
        <v>0.2</v>
      </c>
      <c r="I1444">
        <v>0</v>
      </c>
      <c r="J1444">
        <v>-53.277999999999999</v>
      </c>
      <c r="K1444" s="1">
        <f>520.244</f>
        <v>520.24400000000003</v>
      </c>
      <c r="L1444">
        <v>0</v>
      </c>
    </row>
    <row r="1445" spans="1:12" x14ac:dyDescent="0.25">
      <c r="A1445">
        <f>80335097*0.00001</f>
        <v>803.35097000000007</v>
      </c>
      <c r="B1445">
        <v>3493</v>
      </c>
      <c r="C1445">
        <v>171</v>
      </c>
      <c r="D1445" s="1">
        <f>252.4</f>
        <v>252.4</v>
      </c>
      <c r="E1445">
        <v>4549</v>
      </c>
      <c r="F1445">
        <v>1608</v>
      </c>
      <c r="G1445">
        <v>1</v>
      </c>
      <c r="H1445">
        <v>0.2</v>
      </c>
      <c r="I1445">
        <v>0</v>
      </c>
      <c r="J1445">
        <v>-53.277999999999999</v>
      </c>
      <c r="K1445">
        <v>520.24400000000003</v>
      </c>
      <c r="L1445">
        <v>0</v>
      </c>
    </row>
    <row r="1446" spans="1:12" x14ac:dyDescent="0.25">
      <c r="A1446">
        <f>80335229*0.00001</f>
        <v>803.35229000000004</v>
      </c>
      <c r="B1446">
        <v>3493</v>
      </c>
      <c r="C1446">
        <v>172</v>
      </c>
      <c r="D1446">
        <v>252.4</v>
      </c>
      <c r="E1446">
        <v>4549</v>
      </c>
      <c r="F1446" s="1">
        <f>1608</f>
        <v>1608</v>
      </c>
      <c r="G1446">
        <v>1</v>
      </c>
      <c r="H1446">
        <v>0.2</v>
      </c>
      <c r="I1446">
        <v>0</v>
      </c>
      <c r="J1446">
        <v>-53.277999999999999</v>
      </c>
      <c r="K1446">
        <v>520.24400000000003</v>
      </c>
      <c r="L1446">
        <v>0</v>
      </c>
    </row>
    <row r="1447" spans="1:12" x14ac:dyDescent="0.25">
      <c r="A1447">
        <f>80335361*0.00001</f>
        <v>803.35361000000012</v>
      </c>
      <c r="B1447">
        <v>3493</v>
      </c>
      <c r="C1447">
        <v>173</v>
      </c>
      <c r="D1447">
        <v>252.4</v>
      </c>
      <c r="E1447">
        <v>4549</v>
      </c>
      <c r="F1447">
        <v>1608</v>
      </c>
      <c r="G1447">
        <v>1</v>
      </c>
      <c r="H1447" s="1">
        <f>0.2</f>
        <v>0.2</v>
      </c>
      <c r="I1447">
        <v>0</v>
      </c>
      <c r="J1447">
        <v>-53.277999999999999</v>
      </c>
      <c r="K1447">
        <v>520.24400000000003</v>
      </c>
      <c r="L1447">
        <v>0</v>
      </c>
    </row>
    <row r="1448" spans="1:12" x14ac:dyDescent="0.25">
      <c r="A1448">
        <f>80335493*0.00001</f>
        <v>803.35493000000008</v>
      </c>
      <c r="B1448">
        <v>3493</v>
      </c>
      <c r="C1448">
        <v>174</v>
      </c>
      <c r="D1448">
        <v>252.4</v>
      </c>
      <c r="E1448">
        <v>4549</v>
      </c>
      <c r="F1448">
        <v>1608</v>
      </c>
      <c r="G1448">
        <v>1</v>
      </c>
      <c r="H1448">
        <v>0.2</v>
      </c>
      <c r="I1448">
        <v>0</v>
      </c>
      <c r="J1448" s="1">
        <f>-52.7484</f>
        <v>-52.748399999999997</v>
      </c>
      <c r="K1448">
        <v>520.24400000000003</v>
      </c>
      <c r="L1448">
        <v>0</v>
      </c>
    </row>
    <row r="1449" spans="1:12" x14ac:dyDescent="0.25">
      <c r="A1449">
        <f>80335625*0.00001</f>
        <v>803.35625000000005</v>
      </c>
      <c r="B1449">
        <v>3493</v>
      </c>
      <c r="C1449">
        <v>175</v>
      </c>
      <c r="D1449">
        <v>252.4</v>
      </c>
      <c r="E1449">
        <v>4549</v>
      </c>
      <c r="F1449">
        <v>1608</v>
      </c>
      <c r="G1449">
        <v>1</v>
      </c>
      <c r="H1449">
        <v>0.2</v>
      </c>
      <c r="I1449">
        <v>0</v>
      </c>
      <c r="J1449">
        <v>-52.748399999999997</v>
      </c>
      <c r="K1449" s="1">
        <f>520.202</f>
        <v>520.202</v>
      </c>
      <c r="L1449" s="1">
        <f>0</f>
        <v>0</v>
      </c>
    </row>
    <row r="1450" spans="1:12" x14ac:dyDescent="0.25">
      <c r="A1450">
        <f>80335757*0.00001</f>
        <v>803.35757000000001</v>
      </c>
      <c r="B1450">
        <v>3493</v>
      </c>
      <c r="C1450">
        <v>176</v>
      </c>
      <c r="D1450" s="1">
        <f>252.224</f>
        <v>252.22399999999999</v>
      </c>
      <c r="E1450" s="1">
        <f>4557</f>
        <v>4557</v>
      </c>
      <c r="F1450">
        <v>1608</v>
      </c>
      <c r="G1450">
        <v>1</v>
      </c>
      <c r="H1450">
        <v>0.2</v>
      </c>
      <c r="I1450">
        <v>0</v>
      </c>
      <c r="J1450">
        <v>-52.748399999999997</v>
      </c>
      <c r="K1450">
        <v>520.202</v>
      </c>
      <c r="L1450">
        <v>0</v>
      </c>
    </row>
    <row r="1451" spans="1:12" x14ac:dyDescent="0.25">
      <c r="A1451">
        <f>80335889*0.00001</f>
        <v>803.35889000000009</v>
      </c>
      <c r="B1451">
        <v>3493</v>
      </c>
      <c r="C1451">
        <v>177</v>
      </c>
      <c r="D1451">
        <v>252.22399999999999</v>
      </c>
      <c r="E1451">
        <v>4557</v>
      </c>
      <c r="F1451" s="1">
        <f>1608</f>
        <v>1608</v>
      </c>
      <c r="G1451" s="1">
        <f>1</f>
        <v>1</v>
      </c>
      <c r="H1451">
        <v>0.2</v>
      </c>
      <c r="I1451">
        <v>0</v>
      </c>
      <c r="J1451">
        <v>-52.748399999999997</v>
      </c>
      <c r="K1451">
        <v>520.202</v>
      </c>
      <c r="L1451">
        <v>0</v>
      </c>
    </row>
    <row r="1452" spans="1:12" x14ac:dyDescent="0.25">
      <c r="A1452">
        <f>80336021*0.00001</f>
        <v>803.36021000000005</v>
      </c>
      <c r="B1452">
        <v>3493</v>
      </c>
      <c r="C1452">
        <v>178</v>
      </c>
      <c r="D1452">
        <v>252.22399999999999</v>
      </c>
      <c r="E1452">
        <v>4557</v>
      </c>
      <c r="F1452">
        <v>1608</v>
      </c>
      <c r="G1452">
        <v>1</v>
      </c>
      <c r="H1452" s="1">
        <f>0.2</f>
        <v>0.2</v>
      </c>
      <c r="I1452" s="1">
        <f>0</f>
        <v>0</v>
      </c>
      <c r="J1452" s="1">
        <f>-52.4746</f>
        <v>-52.474600000000002</v>
      </c>
      <c r="K1452" s="1">
        <f>520.177</f>
        <v>520.17700000000002</v>
      </c>
      <c r="L1452">
        <v>0</v>
      </c>
    </row>
    <row r="1453" spans="1:12" s="2" customFormat="1" x14ac:dyDescent="0.25">
      <c r="A1453" s="2">
        <f>80336285*0.00001</f>
        <v>803.36285000000009</v>
      </c>
      <c r="B1453" s="2">
        <v>3494</v>
      </c>
      <c r="C1453" s="2">
        <v>0</v>
      </c>
      <c r="D1453" s="1">
        <f>252.165</f>
        <v>252.16499999999999</v>
      </c>
      <c r="E1453" s="2">
        <v>4557</v>
      </c>
      <c r="F1453" s="2">
        <v>1608</v>
      </c>
      <c r="G1453" s="2">
        <v>1</v>
      </c>
      <c r="H1453" s="2">
        <v>0.2</v>
      </c>
      <c r="I1453" s="2">
        <v>0</v>
      </c>
      <c r="J1453" s="2">
        <v>-52.474600000000002</v>
      </c>
      <c r="K1453" s="2">
        <v>520.17700000000002</v>
      </c>
      <c r="L1453" s="1">
        <f>0</f>
        <v>0</v>
      </c>
    </row>
    <row r="1454" spans="1:12" x14ac:dyDescent="0.25">
      <c r="A1454">
        <f>80336418*0.00001</f>
        <v>803.36418000000003</v>
      </c>
      <c r="B1454">
        <v>3494</v>
      </c>
      <c r="C1454">
        <v>1</v>
      </c>
      <c r="D1454">
        <v>252.16499999999999</v>
      </c>
      <c r="E1454" s="1">
        <f>4558</f>
        <v>4558</v>
      </c>
      <c r="F1454" s="1">
        <f>1608</f>
        <v>1608</v>
      </c>
      <c r="G1454">
        <v>1</v>
      </c>
      <c r="H1454">
        <v>0.2</v>
      </c>
      <c r="I1454">
        <v>0</v>
      </c>
      <c r="J1454">
        <v>-52.474600000000002</v>
      </c>
      <c r="K1454">
        <v>520.17700000000002</v>
      </c>
      <c r="L1454">
        <v>0</v>
      </c>
    </row>
    <row r="1455" spans="1:12" x14ac:dyDescent="0.25">
      <c r="A1455">
        <f>80336550*0.00001</f>
        <v>803.36550000000011</v>
      </c>
      <c r="B1455">
        <v>3494</v>
      </c>
      <c r="C1455">
        <v>2</v>
      </c>
      <c r="D1455">
        <v>252.16499999999999</v>
      </c>
      <c r="E1455">
        <v>4558</v>
      </c>
      <c r="F1455">
        <v>1608</v>
      </c>
      <c r="G1455" s="1">
        <f>1</f>
        <v>1</v>
      </c>
      <c r="H1455" s="1">
        <f>0.2</f>
        <v>0.2</v>
      </c>
      <c r="I1455">
        <v>0</v>
      </c>
      <c r="J1455">
        <v>-52.474600000000002</v>
      </c>
      <c r="K1455">
        <v>520.17700000000002</v>
      </c>
      <c r="L1455">
        <v>0</v>
      </c>
    </row>
    <row r="1456" spans="1:12" x14ac:dyDescent="0.25">
      <c r="A1456">
        <f>80336682*0.00001</f>
        <v>803.36682000000008</v>
      </c>
      <c r="B1456">
        <v>3494</v>
      </c>
      <c r="C1456">
        <v>3</v>
      </c>
      <c r="D1456">
        <v>252.16499999999999</v>
      </c>
      <c r="E1456">
        <v>4558</v>
      </c>
      <c r="F1456">
        <v>1608</v>
      </c>
      <c r="G1456">
        <v>1</v>
      </c>
      <c r="H1456">
        <v>0.2</v>
      </c>
      <c r="I1456" s="1">
        <f>0</f>
        <v>0</v>
      </c>
      <c r="J1456" s="1">
        <f>-52.247</f>
        <v>-52.247</v>
      </c>
      <c r="K1456">
        <v>520.17700000000002</v>
      </c>
      <c r="L1456">
        <v>0</v>
      </c>
    </row>
    <row r="1457" spans="1:12" x14ac:dyDescent="0.25">
      <c r="A1457">
        <f>80336814*0.00001</f>
        <v>803.36814000000004</v>
      </c>
      <c r="B1457">
        <v>3494</v>
      </c>
      <c r="C1457">
        <v>4</v>
      </c>
      <c r="D1457">
        <v>252.16499999999999</v>
      </c>
      <c r="E1457">
        <v>4558</v>
      </c>
      <c r="F1457">
        <v>1608</v>
      </c>
      <c r="G1457">
        <v>1</v>
      </c>
      <c r="H1457">
        <v>0.2</v>
      </c>
      <c r="I1457">
        <v>0</v>
      </c>
      <c r="J1457">
        <v>-52.247</v>
      </c>
      <c r="K1457" s="1">
        <f>520.144</f>
        <v>520.14400000000001</v>
      </c>
      <c r="L1457" s="1">
        <f>0</f>
        <v>0</v>
      </c>
    </row>
    <row r="1458" spans="1:12" x14ac:dyDescent="0.25">
      <c r="A1458">
        <f>80336946*0.00001</f>
        <v>803.36946000000012</v>
      </c>
      <c r="B1458">
        <v>3494</v>
      </c>
      <c r="C1458">
        <v>5</v>
      </c>
      <c r="D1458" s="1">
        <f>252.042</f>
        <v>252.042</v>
      </c>
      <c r="E1458" s="1">
        <f>4562</f>
        <v>4562</v>
      </c>
      <c r="F1458">
        <v>1608</v>
      </c>
      <c r="G1458">
        <v>1</v>
      </c>
      <c r="H1458">
        <v>0.2</v>
      </c>
      <c r="I1458">
        <v>0</v>
      </c>
      <c r="J1458">
        <v>-52.247</v>
      </c>
      <c r="K1458">
        <v>520.14400000000001</v>
      </c>
      <c r="L1458">
        <v>0</v>
      </c>
    </row>
    <row r="1459" spans="1:12" x14ac:dyDescent="0.25">
      <c r="A1459">
        <f>80337078*0.00001</f>
        <v>803.37078000000008</v>
      </c>
      <c r="B1459">
        <v>3494</v>
      </c>
      <c r="C1459">
        <v>6</v>
      </c>
      <c r="D1459">
        <v>252.042</v>
      </c>
      <c r="E1459">
        <v>4562</v>
      </c>
      <c r="F1459" s="1">
        <f>1608</f>
        <v>1608</v>
      </c>
      <c r="G1459" s="1">
        <f>1</f>
        <v>1</v>
      </c>
      <c r="H1459">
        <v>0.2</v>
      </c>
      <c r="I1459">
        <v>0</v>
      </c>
      <c r="J1459">
        <v>-52.247</v>
      </c>
      <c r="K1459">
        <v>520.14400000000001</v>
      </c>
      <c r="L1459">
        <v>0</v>
      </c>
    </row>
    <row r="1460" spans="1:12" x14ac:dyDescent="0.25">
      <c r="A1460">
        <f>80337210*0.00001</f>
        <v>803.37210000000005</v>
      </c>
      <c r="B1460">
        <v>3494</v>
      </c>
      <c r="C1460">
        <v>7</v>
      </c>
      <c r="D1460">
        <v>252.042</v>
      </c>
      <c r="E1460">
        <v>4562</v>
      </c>
      <c r="F1460">
        <v>1608</v>
      </c>
      <c r="G1460">
        <v>1</v>
      </c>
      <c r="H1460" s="1">
        <f>0.2</f>
        <v>0.2</v>
      </c>
      <c r="I1460" s="1">
        <f>0</f>
        <v>0</v>
      </c>
      <c r="J1460">
        <v>-52.247</v>
      </c>
      <c r="K1460">
        <v>520.14400000000001</v>
      </c>
      <c r="L1460">
        <v>0</v>
      </c>
    </row>
    <row r="1461" spans="1:12" x14ac:dyDescent="0.25">
      <c r="A1461">
        <f>80337342*0.00001</f>
        <v>803.37342000000001</v>
      </c>
      <c r="B1461">
        <v>3494</v>
      </c>
      <c r="C1461">
        <v>8</v>
      </c>
      <c r="D1461">
        <v>252.042</v>
      </c>
      <c r="E1461">
        <v>4562</v>
      </c>
      <c r="F1461">
        <v>1608</v>
      </c>
      <c r="G1461">
        <v>1</v>
      </c>
      <c r="H1461">
        <v>0.2</v>
      </c>
      <c r="I1461">
        <v>0</v>
      </c>
      <c r="J1461" s="1">
        <f>-51.9661</f>
        <v>-51.966099999999997</v>
      </c>
      <c r="K1461" s="1">
        <f>520.111</f>
        <v>520.11099999999999</v>
      </c>
      <c r="L1461">
        <v>0</v>
      </c>
    </row>
    <row r="1462" spans="1:12" x14ac:dyDescent="0.25">
      <c r="A1462">
        <f>80337474*0.00001</f>
        <v>803.37474000000009</v>
      </c>
      <c r="B1462">
        <v>3494</v>
      </c>
      <c r="C1462">
        <v>9</v>
      </c>
      <c r="D1462" s="1">
        <f>251.964</f>
        <v>251.964</v>
      </c>
      <c r="E1462">
        <v>4562</v>
      </c>
      <c r="F1462">
        <v>1608</v>
      </c>
      <c r="G1462">
        <v>1</v>
      </c>
      <c r="H1462">
        <v>0.2</v>
      </c>
      <c r="I1462">
        <v>0</v>
      </c>
      <c r="J1462">
        <v>-51.966099999999997</v>
      </c>
      <c r="K1462">
        <v>520.11099999999999</v>
      </c>
      <c r="L1462" s="1">
        <f>0</f>
        <v>0</v>
      </c>
    </row>
    <row r="1463" spans="1:12" x14ac:dyDescent="0.25">
      <c r="A1463">
        <f>80337606*0.00001</f>
        <v>803.37606000000005</v>
      </c>
      <c r="B1463">
        <v>3494</v>
      </c>
      <c r="C1463">
        <v>10</v>
      </c>
      <c r="D1463">
        <v>251.964</v>
      </c>
      <c r="E1463" s="1">
        <f>4565</f>
        <v>4565</v>
      </c>
      <c r="F1463" s="1">
        <f>1608</f>
        <v>1608</v>
      </c>
      <c r="G1463">
        <v>1</v>
      </c>
      <c r="H1463">
        <v>0.2</v>
      </c>
      <c r="I1463">
        <v>0</v>
      </c>
      <c r="J1463">
        <v>-51.966099999999997</v>
      </c>
      <c r="K1463">
        <v>520.11099999999999</v>
      </c>
      <c r="L1463">
        <v>0</v>
      </c>
    </row>
    <row r="1464" spans="1:12" x14ac:dyDescent="0.25">
      <c r="A1464">
        <f>80337738*0.00001</f>
        <v>803.37738000000002</v>
      </c>
      <c r="B1464">
        <v>3494</v>
      </c>
      <c r="C1464">
        <v>11</v>
      </c>
      <c r="D1464">
        <v>251.964</v>
      </c>
      <c r="E1464">
        <v>4565</v>
      </c>
      <c r="F1464">
        <v>1608</v>
      </c>
      <c r="G1464" s="1">
        <f>1</f>
        <v>1</v>
      </c>
      <c r="H1464" s="1">
        <f>0.2</f>
        <v>0.2</v>
      </c>
      <c r="I1464">
        <v>0</v>
      </c>
      <c r="J1464">
        <v>-51.966099999999997</v>
      </c>
      <c r="K1464">
        <v>520.11099999999999</v>
      </c>
      <c r="L1464">
        <v>0</v>
      </c>
    </row>
    <row r="1465" spans="1:12" x14ac:dyDescent="0.25">
      <c r="A1465">
        <f>80337870*0.00001</f>
        <v>803.37870000000009</v>
      </c>
      <c r="B1465">
        <v>3494</v>
      </c>
      <c r="C1465">
        <v>12</v>
      </c>
      <c r="D1465">
        <v>251.964</v>
      </c>
      <c r="E1465">
        <v>4565</v>
      </c>
      <c r="F1465">
        <v>1608</v>
      </c>
      <c r="G1465">
        <v>1</v>
      </c>
      <c r="H1465">
        <v>0.2</v>
      </c>
      <c r="I1465" s="1">
        <f>0</f>
        <v>0</v>
      </c>
      <c r="J1465" s="1">
        <f>-51.7292</f>
        <v>-51.729199999999999</v>
      </c>
      <c r="K1465">
        <v>520.11099999999999</v>
      </c>
      <c r="L1465">
        <v>0</v>
      </c>
    </row>
    <row r="1466" spans="1:12" x14ac:dyDescent="0.25">
      <c r="A1466">
        <f>80338002*0.00001</f>
        <v>803.38002000000006</v>
      </c>
      <c r="B1466">
        <v>3494</v>
      </c>
      <c r="C1466">
        <v>13</v>
      </c>
      <c r="D1466">
        <v>251.964</v>
      </c>
      <c r="E1466">
        <v>4565</v>
      </c>
      <c r="F1466">
        <v>1608</v>
      </c>
      <c r="G1466">
        <v>1</v>
      </c>
      <c r="H1466">
        <v>0.2</v>
      </c>
      <c r="I1466">
        <v>0</v>
      </c>
      <c r="J1466">
        <v>-51.729199999999999</v>
      </c>
      <c r="K1466" s="1">
        <f>520.069</f>
        <v>520.06899999999996</v>
      </c>
      <c r="L1466" s="1">
        <f>0</f>
        <v>0</v>
      </c>
    </row>
    <row r="1467" spans="1:12" x14ac:dyDescent="0.25">
      <c r="A1467">
        <f>80338135*0.00001</f>
        <v>803.38135000000011</v>
      </c>
      <c r="B1467">
        <v>3494</v>
      </c>
      <c r="C1467">
        <v>14</v>
      </c>
      <c r="D1467" s="1">
        <f>251.809</f>
        <v>251.809</v>
      </c>
      <c r="E1467" s="1">
        <f>4569</f>
        <v>4569</v>
      </c>
      <c r="F1467">
        <v>1608</v>
      </c>
      <c r="G1467">
        <v>1</v>
      </c>
      <c r="H1467">
        <v>0.2</v>
      </c>
      <c r="I1467">
        <v>0</v>
      </c>
      <c r="J1467">
        <v>-51.729199999999999</v>
      </c>
      <c r="K1467">
        <v>520.06899999999996</v>
      </c>
      <c r="L1467">
        <v>0</v>
      </c>
    </row>
    <row r="1468" spans="1:12" x14ac:dyDescent="0.25">
      <c r="A1468">
        <f>80338267*0.00001</f>
        <v>803.38267000000008</v>
      </c>
      <c r="B1468">
        <v>3494</v>
      </c>
      <c r="C1468">
        <v>15</v>
      </c>
      <c r="D1468">
        <v>251.809</v>
      </c>
      <c r="E1468">
        <v>4569</v>
      </c>
      <c r="F1468" s="1">
        <f>1608</f>
        <v>1608</v>
      </c>
      <c r="G1468" s="1">
        <f>1</f>
        <v>1</v>
      </c>
      <c r="H1468">
        <v>0.2</v>
      </c>
      <c r="I1468">
        <v>0</v>
      </c>
      <c r="J1468">
        <v>-51.729199999999999</v>
      </c>
      <c r="K1468">
        <v>520.06899999999996</v>
      </c>
      <c r="L1468">
        <v>0</v>
      </c>
    </row>
    <row r="1469" spans="1:12" x14ac:dyDescent="0.25">
      <c r="A1469">
        <f>80338399*0.00001</f>
        <v>803.38399000000004</v>
      </c>
      <c r="B1469">
        <v>3494</v>
      </c>
      <c r="C1469">
        <v>16</v>
      </c>
      <c r="D1469">
        <v>251.809</v>
      </c>
      <c r="E1469">
        <v>4569</v>
      </c>
      <c r="F1469">
        <v>1608</v>
      </c>
      <c r="G1469">
        <v>1</v>
      </c>
      <c r="H1469" s="1">
        <f>0.2</f>
        <v>0.2</v>
      </c>
      <c r="I1469" s="1">
        <f>0</f>
        <v>0</v>
      </c>
      <c r="J1469">
        <v>-51.729199999999999</v>
      </c>
      <c r="K1469">
        <v>520.06899999999996</v>
      </c>
      <c r="L1469">
        <v>0</v>
      </c>
    </row>
    <row r="1470" spans="1:12" x14ac:dyDescent="0.25">
      <c r="A1470">
        <f>80338531*0.00001</f>
        <v>803.38531000000012</v>
      </c>
      <c r="B1470">
        <v>3494</v>
      </c>
      <c r="C1470">
        <v>17</v>
      </c>
      <c r="D1470">
        <v>251.809</v>
      </c>
      <c r="E1470">
        <v>4569</v>
      </c>
      <c r="F1470">
        <v>1608</v>
      </c>
      <c r="G1470">
        <v>1</v>
      </c>
      <c r="H1470">
        <v>0.2</v>
      </c>
      <c r="I1470">
        <v>0</v>
      </c>
      <c r="J1470" s="1">
        <f>-51.4122</f>
        <v>-51.412199999999999</v>
      </c>
      <c r="K1470" s="1">
        <f>520.037</f>
        <v>520.03700000000003</v>
      </c>
      <c r="L1470">
        <v>0</v>
      </c>
    </row>
    <row r="1471" spans="1:12" x14ac:dyDescent="0.25">
      <c r="A1471">
        <f>80338664*0.00001</f>
        <v>803.38664000000006</v>
      </c>
      <c r="B1471">
        <v>3494</v>
      </c>
      <c r="C1471">
        <v>18</v>
      </c>
      <c r="D1471" s="1">
        <f>251.704</f>
        <v>251.70400000000001</v>
      </c>
      <c r="E1471">
        <v>4569</v>
      </c>
      <c r="F1471">
        <v>1608</v>
      </c>
      <c r="G1471">
        <v>1</v>
      </c>
      <c r="H1471">
        <v>0.2</v>
      </c>
      <c r="I1471">
        <v>0</v>
      </c>
      <c r="J1471">
        <v>-51.412199999999999</v>
      </c>
      <c r="K1471">
        <v>520.03700000000003</v>
      </c>
      <c r="L1471" s="1">
        <f>0</f>
        <v>0</v>
      </c>
    </row>
    <row r="1472" spans="1:12" x14ac:dyDescent="0.25">
      <c r="A1472">
        <f>80338796*0.00001</f>
        <v>803.38796000000002</v>
      </c>
      <c r="B1472">
        <v>3494</v>
      </c>
      <c r="C1472">
        <v>19</v>
      </c>
      <c r="D1472">
        <v>251.70400000000001</v>
      </c>
      <c r="E1472" s="1">
        <f>4572</f>
        <v>4572</v>
      </c>
      <c r="F1472" s="1">
        <f>1608</f>
        <v>1608</v>
      </c>
      <c r="G1472">
        <v>1</v>
      </c>
      <c r="H1472">
        <v>0.2</v>
      </c>
      <c r="I1472">
        <v>0</v>
      </c>
      <c r="J1472">
        <v>-51.412199999999999</v>
      </c>
      <c r="K1472">
        <v>520.03700000000003</v>
      </c>
      <c r="L1472">
        <v>0</v>
      </c>
    </row>
    <row r="1473" spans="1:12" x14ac:dyDescent="0.25">
      <c r="A1473">
        <f>80338928*0.00001</f>
        <v>803.3892800000001</v>
      </c>
      <c r="B1473">
        <v>3494</v>
      </c>
      <c r="C1473">
        <v>20</v>
      </c>
      <c r="D1473">
        <v>251.70400000000001</v>
      </c>
      <c r="E1473">
        <v>4572</v>
      </c>
      <c r="F1473">
        <v>1608</v>
      </c>
      <c r="G1473" s="1">
        <f>1</f>
        <v>1</v>
      </c>
      <c r="H1473" s="1">
        <f>0.2</f>
        <v>0.2</v>
      </c>
      <c r="I1473">
        <v>0</v>
      </c>
      <c r="J1473">
        <v>-51.412199999999999</v>
      </c>
      <c r="K1473">
        <v>520.03700000000003</v>
      </c>
      <c r="L1473">
        <v>0</v>
      </c>
    </row>
    <row r="1474" spans="1:12" x14ac:dyDescent="0.25">
      <c r="A1474">
        <f>80339060*0.00001</f>
        <v>803.39060000000006</v>
      </c>
      <c r="B1474">
        <v>3494</v>
      </c>
      <c r="C1474">
        <v>21</v>
      </c>
      <c r="D1474">
        <v>251.70400000000001</v>
      </c>
      <c r="E1474">
        <v>4572</v>
      </c>
      <c r="F1474">
        <v>1608</v>
      </c>
      <c r="G1474">
        <v>1</v>
      </c>
      <c r="H1474">
        <v>0.2</v>
      </c>
      <c r="I1474" s="1">
        <f>0</f>
        <v>0</v>
      </c>
      <c r="J1474" s="1">
        <f>-51.1971</f>
        <v>-51.197099999999999</v>
      </c>
      <c r="K1474">
        <v>520.03700000000003</v>
      </c>
      <c r="L1474">
        <v>0</v>
      </c>
    </row>
    <row r="1475" spans="1:12" x14ac:dyDescent="0.25">
      <c r="A1475">
        <f>80339193*0.00001</f>
        <v>803.39193000000012</v>
      </c>
      <c r="B1475">
        <v>3494</v>
      </c>
      <c r="C1475">
        <v>22</v>
      </c>
      <c r="D1475">
        <v>251.70400000000001</v>
      </c>
      <c r="E1475">
        <v>4572</v>
      </c>
      <c r="F1475">
        <v>1608</v>
      </c>
      <c r="G1475">
        <v>1</v>
      </c>
      <c r="H1475">
        <v>0.2</v>
      </c>
      <c r="I1475">
        <v>0</v>
      </c>
      <c r="J1475">
        <v>-51.197099999999999</v>
      </c>
      <c r="K1475" s="1">
        <f>519.996</f>
        <v>519.99599999999998</v>
      </c>
      <c r="L1475" s="1">
        <f>0</f>
        <v>0</v>
      </c>
    </row>
    <row r="1476" spans="1:12" x14ac:dyDescent="0.25">
      <c r="A1476">
        <f>80339325*0.00001</f>
        <v>803.39325000000008</v>
      </c>
      <c r="B1476">
        <v>3494</v>
      </c>
      <c r="C1476">
        <v>23</v>
      </c>
      <c r="D1476" s="1">
        <f>251.599</f>
        <v>251.59899999999999</v>
      </c>
      <c r="E1476" s="1">
        <f>4575</f>
        <v>4575</v>
      </c>
      <c r="F1476">
        <v>1608</v>
      </c>
      <c r="G1476">
        <v>1</v>
      </c>
      <c r="H1476">
        <v>0.2</v>
      </c>
      <c r="I1476">
        <v>0</v>
      </c>
      <c r="J1476">
        <v>-51.197099999999999</v>
      </c>
      <c r="K1476">
        <v>519.99599999999998</v>
      </c>
      <c r="L1476">
        <v>0</v>
      </c>
    </row>
    <row r="1477" spans="1:12" x14ac:dyDescent="0.25">
      <c r="A1477">
        <f>80339457*0.00001</f>
        <v>803.39457000000004</v>
      </c>
      <c r="B1477">
        <v>3494</v>
      </c>
      <c r="C1477">
        <v>24</v>
      </c>
      <c r="D1477">
        <v>251.59899999999999</v>
      </c>
      <c r="E1477">
        <v>4575</v>
      </c>
      <c r="F1477" s="1">
        <f>1608</f>
        <v>1608</v>
      </c>
      <c r="G1477" s="1">
        <f>1</f>
        <v>1</v>
      </c>
      <c r="H1477">
        <v>0.2</v>
      </c>
      <c r="I1477">
        <v>0</v>
      </c>
      <c r="J1477">
        <v>-51.197099999999999</v>
      </c>
      <c r="K1477">
        <v>519.99599999999998</v>
      </c>
      <c r="L1477">
        <v>0</v>
      </c>
    </row>
    <row r="1478" spans="1:12" x14ac:dyDescent="0.25">
      <c r="A1478">
        <f>80339589*0.00001</f>
        <v>803.39589000000012</v>
      </c>
      <c r="B1478">
        <v>3494</v>
      </c>
      <c r="C1478">
        <v>25</v>
      </c>
      <c r="D1478">
        <v>251.59899999999999</v>
      </c>
      <c r="E1478">
        <v>4575</v>
      </c>
      <c r="F1478">
        <v>1608</v>
      </c>
      <c r="G1478">
        <v>1</v>
      </c>
      <c r="H1478" s="1">
        <f>0.2</f>
        <v>0.2</v>
      </c>
      <c r="I1478" s="1">
        <f>0</f>
        <v>0</v>
      </c>
      <c r="J1478">
        <v>-51.197099999999999</v>
      </c>
      <c r="K1478">
        <v>519.99599999999998</v>
      </c>
      <c r="L1478">
        <v>0</v>
      </c>
    </row>
    <row r="1479" spans="1:12" x14ac:dyDescent="0.25">
      <c r="A1479">
        <f>80339721*0.00001</f>
        <v>803.39721000000009</v>
      </c>
      <c r="B1479">
        <v>3494</v>
      </c>
      <c r="C1479">
        <v>26</v>
      </c>
      <c r="D1479">
        <v>251.59899999999999</v>
      </c>
      <c r="E1479">
        <v>4575</v>
      </c>
      <c r="F1479">
        <v>1608</v>
      </c>
      <c r="G1479">
        <v>1</v>
      </c>
      <c r="H1479">
        <v>0.2</v>
      </c>
      <c r="I1479">
        <v>0</v>
      </c>
      <c r="J1479" s="1">
        <f>-50.9329</f>
        <v>-50.932899999999997</v>
      </c>
      <c r="K1479" s="1">
        <f>519.963</f>
        <v>519.96299999999997</v>
      </c>
      <c r="L1479">
        <v>0</v>
      </c>
    </row>
    <row r="1480" spans="1:12" x14ac:dyDescent="0.25">
      <c r="A1480">
        <f>80339853*0.00001</f>
        <v>803.39853000000005</v>
      </c>
      <c r="B1480">
        <v>3494</v>
      </c>
      <c r="C1480">
        <v>27</v>
      </c>
      <c r="D1480" s="1">
        <f>251.533</f>
        <v>251.53299999999999</v>
      </c>
      <c r="E1480">
        <v>4575</v>
      </c>
      <c r="F1480">
        <v>1608</v>
      </c>
      <c r="G1480">
        <v>1</v>
      </c>
      <c r="H1480">
        <v>0.2</v>
      </c>
      <c r="I1480">
        <v>0</v>
      </c>
      <c r="J1480">
        <v>-50.932899999999997</v>
      </c>
      <c r="K1480">
        <v>519.96299999999997</v>
      </c>
      <c r="L1480" s="1">
        <f>0</f>
        <v>0</v>
      </c>
    </row>
    <row r="1481" spans="1:12" x14ac:dyDescent="0.25">
      <c r="A1481">
        <f>80339985*0.00001</f>
        <v>803.39985000000001</v>
      </c>
      <c r="B1481">
        <v>3494</v>
      </c>
      <c r="C1481">
        <v>28</v>
      </c>
      <c r="D1481">
        <v>251.53299999999999</v>
      </c>
      <c r="E1481" s="1">
        <f>4577</f>
        <v>4577</v>
      </c>
      <c r="F1481" s="1">
        <f>1608</f>
        <v>1608</v>
      </c>
      <c r="G1481">
        <v>1</v>
      </c>
      <c r="H1481">
        <v>0.2</v>
      </c>
      <c r="I1481">
        <v>0</v>
      </c>
      <c r="J1481">
        <v>-50.932899999999997</v>
      </c>
      <c r="K1481">
        <v>519.96299999999997</v>
      </c>
      <c r="L1481">
        <v>0</v>
      </c>
    </row>
    <row r="1482" spans="1:12" x14ac:dyDescent="0.25">
      <c r="A1482">
        <f>80340118*0.00001</f>
        <v>803.40118000000007</v>
      </c>
      <c r="B1482">
        <v>3494</v>
      </c>
      <c r="C1482">
        <v>29</v>
      </c>
      <c r="D1482">
        <v>251.53299999999999</v>
      </c>
      <c r="E1482">
        <v>4577</v>
      </c>
      <c r="F1482">
        <v>1608</v>
      </c>
      <c r="G1482" s="1">
        <f>1</f>
        <v>1</v>
      </c>
      <c r="H1482" s="1">
        <f>0.2</f>
        <v>0.2</v>
      </c>
      <c r="I1482">
        <v>0</v>
      </c>
      <c r="J1482">
        <v>-50.932899999999997</v>
      </c>
      <c r="K1482">
        <v>519.96299999999997</v>
      </c>
      <c r="L1482">
        <v>0</v>
      </c>
    </row>
    <row r="1483" spans="1:12" x14ac:dyDescent="0.25">
      <c r="A1483">
        <f>80340251*0.00001</f>
        <v>803.40251000000012</v>
      </c>
      <c r="B1483">
        <v>3494</v>
      </c>
      <c r="C1483">
        <v>30</v>
      </c>
      <c r="D1483">
        <v>251.53299999999999</v>
      </c>
      <c r="E1483">
        <v>4577</v>
      </c>
      <c r="F1483">
        <v>1608</v>
      </c>
      <c r="G1483">
        <v>1</v>
      </c>
      <c r="H1483">
        <v>0.2</v>
      </c>
      <c r="I1483" s="1">
        <f>0</f>
        <v>0</v>
      </c>
      <c r="J1483" s="1">
        <f>-50.7232</f>
        <v>-50.723199999999999</v>
      </c>
      <c r="K1483">
        <v>519.96299999999997</v>
      </c>
      <c r="L1483">
        <v>0</v>
      </c>
    </row>
    <row r="1484" spans="1:12" x14ac:dyDescent="0.25">
      <c r="A1484">
        <f>80340384*0.00001</f>
        <v>803.40384000000006</v>
      </c>
      <c r="B1484">
        <v>3494</v>
      </c>
      <c r="C1484">
        <v>31</v>
      </c>
      <c r="D1484">
        <v>251.53299999999999</v>
      </c>
      <c r="E1484">
        <v>4577</v>
      </c>
      <c r="F1484">
        <v>1608</v>
      </c>
      <c r="G1484">
        <v>1</v>
      </c>
      <c r="H1484">
        <v>0.2</v>
      </c>
      <c r="I1484">
        <v>0</v>
      </c>
      <c r="J1484">
        <v>-50.723199999999999</v>
      </c>
      <c r="K1484" s="1">
        <f>519.923</f>
        <v>519.923</v>
      </c>
      <c r="L1484" s="1">
        <f>0</f>
        <v>0</v>
      </c>
    </row>
    <row r="1485" spans="1:12" x14ac:dyDescent="0.25">
      <c r="A1485">
        <f>80340517*0.00001</f>
        <v>803.40517000000011</v>
      </c>
      <c r="B1485">
        <v>3494</v>
      </c>
      <c r="C1485">
        <v>32</v>
      </c>
      <c r="D1485" s="1">
        <f>251.403</f>
        <v>251.40299999999999</v>
      </c>
      <c r="E1485" s="1">
        <f>4581</f>
        <v>4581</v>
      </c>
      <c r="F1485">
        <v>1608</v>
      </c>
      <c r="G1485">
        <v>1</v>
      </c>
      <c r="H1485">
        <v>0.2</v>
      </c>
      <c r="I1485">
        <v>0</v>
      </c>
      <c r="J1485">
        <v>-50.723199999999999</v>
      </c>
      <c r="K1485">
        <v>519.923</v>
      </c>
      <c r="L1485">
        <v>0</v>
      </c>
    </row>
    <row r="1486" spans="1:12" x14ac:dyDescent="0.25">
      <c r="A1486">
        <f>80340649*0.00001</f>
        <v>803.40649000000008</v>
      </c>
      <c r="B1486">
        <v>3494</v>
      </c>
      <c r="C1486">
        <v>33</v>
      </c>
      <c r="D1486">
        <v>251.40299999999999</v>
      </c>
      <c r="E1486">
        <v>4581</v>
      </c>
      <c r="F1486" s="1">
        <f>1608</f>
        <v>1608</v>
      </c>
      <c r="G1486" s="1">
        <f>1</f>
        <v>1</v>
      </c>
      <c r="H1486">
        <v>0.2</v>
      </c>
      <c r="I1486">
        <v>0</v>
      </c>
      <c r="J1486">
        <v>-50.723199999999999</v>
      </c>
      <c r="K1486">
        <v>519.923</v>
      </c>
      <c r="L1486">
        <v>0</v>
      </c>
    </row>
    <row r="1487" spans="1:12" x14ac:dyDescent="0.25">
      <c r="A1487">
        <f>80340781*0.00001</f>
        <v>803.40781000000004</v>
      </c>
      <c r="B1487">
        <v>3494</v>
      </c>
      <c r="C1487">
        <v>34</v>
      </c>
      <c r="D1487">
        <v>251.40299999999999</v>
      </c>
      <c r="E1487">
        <v>4581</v>
      </c>
      <c r="F1487">
        <v>1608</v>
      </c>
      <c r="G1487">
        <v>1</v>
      </c>
      <c r="H1487" s="1">
        <f>0.2</f>
        <v>0.2</v>
      </c>
      <c r="I1487" s="1">
        <f>0</f>
        <v>0</v>
      </c>
      <c r="J1487">
        <v>-50.723199999999999</v>
      </c>
      <c r="K1487">
        <v>519.923</v>
      </c>
      <c r="L1487">
        <v>0</v>
      </c>
    </row>
    <row r="1488" spans="1:12" x14ac:dyDescent="0.25">
      <c r="A1488">
        <f>80340913*0.00001</f>
        <v>803.40913000000012</v>
      </c>
      <c r="B1488">
        <v>3494</v>
      </c>
      <c r="C1488">
        <v>35</v>
      </c>
      <c r="D1488">
        <v>251.40299999999999</v>
      </c>
      <c r="E1488">
        <v>4581</v>
      </c>
      <c r="F1488">
        <v>1608</v>
      </c>
      <c r="G1488">
        <v>1</v>
      </c>
      <c r="H1488">
        <v>0.2</v>
      </c>
      <c r="I1488">
        <v>0</v>
      </c>
      <c r="J1488" s="1">
        <f>-50.4127</f>
        <v>-50.412700000000001</v>
      </c>
      <c r="K1488" s="1">
        <f>519.891</f>
        <v>519.89099999999996</v>
      </c>
      <c r="L1488">
        <v>0</v>
      </c>
    </row>
    <row r="1489" spans="1:12" x14ac:dyDescent="0.25">
      <c r="A1489">
        <f>80341045*0.00001</f>
        <v>803.41045000000008</v>
      </c>
      <c r="B1489">
        <v>3494</v>
      </c>
      <c r="C1489">
        <v>36</v>
      </c>
      <c r="D1489" s="1">
        <f>251.305</f>
        <v>251.30500000000001</v>
      </c>
      <c r="E1489">
        <v>4581</v>
      </c>
      <c r="F1489">
        <v>1608</v>
      </c>
      <c r="G1489">
        <v>1</v>
      </c>
      <c r="H1489">
        <v>0.2</v>
      </c>
      <c r="I1489">
        <v>0</v>
      </c>
      <c r="J1489">
        <v>-50.412700000000001</v>
      </c>
      <c r="K1489">
        <v>519.89099999999996</v>
      </c>
      <c r="L1489" s="1">
        <f>0</f>
        <v>0</v>
      </c>
    </row>
    <row r="1490" spans="1:12" x14ac:dyDescent="0.25">
      <c r="A1490">
        <f>80341177*0.00001</f>
        <v>803.41177000000005</v>
      </c>
      <c r="B1490">
        <v>3494</v>
      </c>
      <c r="C1490">
        <v>37</v>
      </c>
      <c r="D1490">
        <v>251.30500000000001</v>
      </c>
      <c r="E1490" s="1">
        <f>4584</f>
        <v>4584</v>
      </c>
      <c r="F1490" s="1">
        <f>1608</f>
        <v>1608</v>
      </c>
      <c r="G1490">
        <v>1</v>
      </c>
      <c r="H1490">
        <v>0.2</v>
      </c>
      <c r="I1490">
        <v>0</v>
      </c>
      <c r="J1490">
        <v>-50.412700000000001</v>
      </c>
      <c r="K1490">
        <v>519.89099999999996</v>
      </c>
      <c r="L1490">
        <v>0</v>
      </c>
    </row>
    <row r="1491" spans="1:12" x14ac:dyDescent="0.25">
      <c r="A1491">
        <f>80341309*0.00001</f>
        <v>803.41309000000001</v>
      </c>
      <c r="B1491">
        <v>3494</v>
      </c>
      <c r="C1491">
        <v>38</v>
      </c>
      <c r="D1491">
        <v>251.30500000000001</v>
      </c>
      <c r="E1491">
        <v>4584</v>
      </c>
      <c r="F1491">
        <v>1608</v>
      </c>
      <c r="G1491" s="1">
        <f>1</f>
        <v>1</v>
      </c>
      <c r="H1491" s="1">
        <f>0.2</f>
        <v>0.2</v>
      </c>
      <c r="I1491">
        <v>0</v>
      </c>
      <c r="J1491">
        <v>-50.412700000000001</v>
      </c>
      <c r="K1491">
        <v>519.89099999999996</v>
      </c>
      <c r="L1491">
        <v>0</v>
      </c>
    </row>
    <row r="1492" spans="1:12" x14ac:dyDescent="0.25">
      <c r="A1492">
        <f>80341441*0.00001</f>
        <v>803.41441000000009</v>
      </c>
      <c r="B1492">
        <v>3494</v>
      </c>
      <c r="C1492">
        <v>39</v>
      </c>
      <c r="D1492">
        <v>251.30500000000001</v>
      </c>
      <c r="E1492">
        <v>4584</v>
      </c>
      <c r="F1492">
        <v>1608</v>
      </c>
      <c r="G1492">
        <v>1</v>
      </c>
      <c r="H1492">
        <v>0.2</v>
      </c>
      <c r="I1492" s="1">
        <f>0</f>
        <v>0</v>
      </c>
      <c r="J1492" s="1">
        <f>-50.2017</f>
        <v>-50.201700000000002</v>
      </c>
      <c r="K1492">
        <v>519.89099999999996</v>
      </c>
      <c r="L1492">
        <v>0</v>
      </c>
    </row>
    <row r="1493" spans="1:12" x14ac:dyDescent="0.25">
      <c r="A1493">
        <f>80341573*0.00001</f>
        <v>803.41573000000005</v>
      </c>
      <c r="B1493">
        <v>3494</v>
      </c>
      <c r="C1493">
        <v>40</v>
      </c>
      <c r="D1493">
        <v>251.30500000000001</v>
      </c>
      <c r="E1493">
        <v>4584</v>
      </c>
      <c r="F1493">
        <v>1608</v>
      </c>
      <c r="G1493">
        <v>1</v>
      </c>
      <c r="H1493">
        <v>0.2</v>
      </c>
      <c r="I1493">
        <v>0</v>
      </c>
      <c r="J1493">
        <v>-50.201700000000002</v>
      </c>
      <c r="K1493" s="1">
        <f>519.851</f>
        <v>519.851</v>
      </c>
      <c r="L1493" s="1">
        <f>0</f>
        <v>0</v>
      </c>
    </row>
    <row r="1494" spans="1:12" x14ac:dyDescent="0.25">
      <c r="A1494">
        <f>80341705*0.00001</f>
        <v>803.41705000000002</v>
      </c>
      <c r="B1494">
        <v>3494</v>
      </c>
      <c r="C1494">
        <v>41</v>
      </c>
      <c r="D1494" s="1">
        <f>251.205</f>
        <v>251.20500000000001</v>
      </c>
      <c r="E1494" s="1">
        <f>4587</f>
        <v>4587</v>
      </c>
      <c r="F1494">
        <v>1608</v>
      </c>
      <c r="G1494">
        <v>1</v>
      </c>
      <c r="H1494">
        <v>0.2</v>
      </c>
      <c r="I1494">
        <v>0</v>
      </c>
      <c r="J1494">
        <v>-50.201700000000002</v>
      </c>
      <c r="K1494">
        <v>519.851</v>
      </c>
      <c r="L1494">
        <v>0</v>
      </c>
    </row>
    <row r="1495" spans="1:12" x14ac:dyDescent="0.25">
      <c r="A1495">
        <f>80341838*0.00001</f>
        <v>803.41838000000007</v>
      </c>
      <c r="B1495">
        <v>3494</v>
      </c>
      <c r="C1495">
        <v>42</v>
      </c>
      <c r="D1495">
        <v>251.20500000000001</v>
      </c>
      <c r="E1495">
        <v>4587</v>
      </c>
      <c r="F1495" s="1">
        <f>1608</f>
        <v>1608</v>
      </c>
      <c r="G1495" s="1">
        <f>1</f>
        <v>1</v>
      </c>
      <c r="H1495">
        <v>0.2</v>
      </c>
      <c r="I1495">
        <v>0</v>
      </c>
      <c r="J1495">
        <v>-50.201700000000002</v>
      </c>
      <c r="K1495">
        <v>519.851</v>
      </c>
      <c r="L1495">
        <v>0</v>
      </c>
    </row>
    <row r="1496" spans="1:12" x14ac:dyDescent="0.25">
      <c r="A1496">
        <f>80341971*0.00001</f>
        <v>803.41971000000001</v>
      </c>
      <c r="B1496">
        <v>3494</v>
      </c>
      <c r="C1496">
        <v>43</v>
      </c>
      <c r="D1496">
        <v>251.20500000000001</v>
      </c>
      <c r="E1496">
        <v>4587</v>
      </c>
      <c r="F1496">
        <v>1608</v>
      </c>
      <c r="G1496">
        <v>1</v>
      </c>
      <c r="H1496" s="1">
        <f>0.2</f>
        <v>0.2</v>
      </c>
      <c r="I1496" s="1">
        <f>0</f>
        <v>0</v>
      </c>
      <c r="J1496">
        <v>-50.201700000000002</v>
      </c>
      <c r="K1496">
        <v>519.851</v>
      </c>
      <c r="L1496">
        <v>0</v>
      </c>
    </row>
    <row r="1497" spans="1:12" x14ac:dyDescent="0.25">
      <c r="A1497">
        <f>80342103*0.00001</f>
        <v>803.42103000000009</v>
      </c>
      <c r="B1497">
        <v>3494</v>
      </c>
      <c r="C1497">
        <v>44</v>
      </c>
      <c r="D1497">
        <v>251.20500000000001</v>
      </c>
      <c r="E1497">
        <v>4587</v>
      </c>
      <c r="F1497">
        <v>1608</v>
      </c>
      <c r="G1497">
        <v>1</v>
      </c>
      <c r="H1497">
        <v>0.2</v>
      </c>
      <c r="I1497">
        <v>0</v>
      </c>
      <c r="J1497" s="1">
        <f>-49.9412</f>
        <v>-49.941200000000002</v>
      </c>
      <c r="K1497" s="1">
        <f>519.819</f>
        <v>519.81899999999996</v>
      </c>
      <c r="L1497">
        <v>0</v>
      </c>
    </row>
    <row r="1498" spans="1:12" x14ac:dyDescent="0.25">
      <c r="A1498">
        <f>80342236*0.00001</f>
        <v>803.42236000000003</v>
      </c>
      <c r="B1498">
        <v>3494</v>
      </c>
      <c r="C1498">
        <v>45</v>
      </c>
      <c r="D1498" s="1">
        <f>251.142</f>
        <v>251.142</v>
      </c>
      <c r="E1498">
        <v>4587</v>
      </c>
      <c r="F1498">
        <v>1608</v>
      </c>
      <c r="G1498">
        <v>1</v>
      </c>
      <c r="H1498">
        <v>0.2</v>
      </c>
      <c r="I1498">
        <v>0</v>
      </c>
      <c r="J1498">
        <v>-49.941200000000002</v>
      </c>
      <c r="K1498">
        <v>519.81899999999996</v>
      </c>
      <c r="L1498" s="1">
        <f>0</f>
        <v>0</v>
      </c>
    </row>
    <row r="1499" spans="1:12" x14ac:dyDescent="0.25">
      <c r="A1499">
        <f>80342369*0.00001</f>
        <v>803.42369000000008</v>
      </c>
      <c r="B1499">
        <v>3494</v>
      </c>
      <c r="C1499">
        <v>46</v>
      </c>
      <c r="D1499">
        <v>251.142</v>
      </c>
      <c r="E1499" s="1">
        <f>4589</f>
        <v>4589</v>
      </c>
      <c r="F1499" s="1">
        <f>1608</f>
        <v>1608</v>
      </c>
      <c r="G1499">
        <v>1</v>
      </c>
      <c r="H1499">
        <v>0.2</v>
      </c>
      <c r="I1499">
        <v>0</v>
      </c>
      <c r="J1499">
        <v>-49.941200000000002</v>
      </c>
      <c r="K1499">
        <v>519.81899999999996</v>
      </c>
      <c r="L1499">
        <v>0</v>
      </c>
    </row>
    <row r="1500" spans="1:12" x14ac:dyDescent="0.25">
      <c r="A1500">
        <f>80342502*0.00001</f>
        <v>803.42502000000002</v>
      </c>
      <c r="B1500">
        <v>3494</v>
      </c>
      <c r="C1500">
        <v>47</v>
      </c>
      <c r="D1500">
        <v>251.142</v>
      </c>
      <c r="E1500">
        <v>4589</v>
      </c>
      <c r="F1500">
        <v>1608</v>
      </c>
      <c r="G1500" s="1">
        <f>1</f>
        <v>1</v>
      </c>
      <c r="H1500" s="1">
        <f>0.2</f>
        <v>0.2</v>
      </c>
      <c r="I1500">
        <v>0</v>
      </c>
      <c r="J1500">
        <v>-49.941200000000002</v>
      </c>
      <c r="K1500">
        <v>519.81899999999996</v>
      </c>
      <c r="L1500">
        <v>0</v>
      </c>
    </row>
    <row r="1501" spans="1:12" x14ac:dyDescent="0.25">
      <c r="A1501">
        <f>80342634*0.00001</f>
        <v>803.4263400000001</v>
      </c>
      <c r="B1501">
        <v>3494</v>
      </c>
      <c r="C1501">
        <v>48</v>
      </c>
      <c r="D1501">
        <v>251.142</v>
      </c>
      <c r="E1501">
        <v>4589</v>
      </c>
      <c r="F1501">
        <v>1608</v>
      </c>
      <c r="G1501">
        <v>1</v>
      </c>
      <c r="H1501">
        <v>0.2</v>
      </c>
      <c r="I1501" s="1">
        <f>0</f>
        <v>0</v>
      </c>
      <c r="J1501" s="1">
        <f>-49.7619</f>
        <v>-49.761899999999997</v>
      </c>
      <c r="K1501">
        <v>519.81899999999996</v>
      </c>
      <c r="L1501">
        <v>0</v>
      </c>
    </row>
    <row r="1502" spans="1:12" x14ac:dyDescent="0.25">
      <c r="A1502">
        <f>80342766*0.00001</f>
        <v>803.42766000000006</v>
      </c>
      <c r="B1502">
        <v>3494</v>
      </c>
      <c r="C1502">
        <v>49</v>
      </c>
      <c r="D1502">
        <v>251.142</v>
      </c>
      <c r="E1502">
        <v>4589</v>
      </c>
      <c r="F1502">
        <v>1608</v>
      </c>
      <c r="G1502">
        <v>1</v>
      </c>
      <c r="H1502">
        <v>0.2</v>
      </c>
      <c r="I1502">
        <v>0</v>
      </c>
      <c r="J1502">
        <v>-49.761899999999997</v>
      </c>
      <c r="K1502" s="1">
        <f>519.779</f>
        <v>519.779</v>
      </c>
      <c r="L1502" s="1">
        <f>0</f>
        <v>0</v>
      </c>
    </row>
    <row r="1503" spans="1:12" x14ac:dyDescent="0.25">
      <c r="A1503">
        <f>80342899*0.00001</f>
        <v>803.42899000000011</v>
      </c>
      <c r="B1503">
        <v>3494</v>
      </c>
      <c r="C1503">
        <v>50</v>
      </c>
      <c r="D1503" s="1">
        <f>251.051</f>
        <v>251.05099999999999</v>
      </c>
      <c r="E1503" s="1">
        <f>4592</f>
        <v>4592</v>
      </c>
      <c r="F1503">
        <v>1608</v>
      </c>
      <c r="G1503">
        <v>1</v>
      </c>
      <c r="H1503">
        <v>0.2</v>
      </c>
      <c r="I1503">
        <v>0</v>
      </c>
      <c r="J1503">
        <v>-49.761899999999997</v>
      </c>
      <c r="K1503">
        <v>519.779</v>
      </c>
      <c r="L1503">
        <v>0</v>
      </c>
    </row>
    <row r="1504" spans="1:12" x14ac:dyDescent="0.25">
      <c r="A1504">
        <f>80343032*0.00001</f>
        <v>803.43032000000005</v>
      </c>
      <c r="B1504">
        <v>3494</v>
      </c>
      <c r="C1504">
        <v>51</v>
      </c>
      <c r="D1504">
        <v>251.05099999999999</v>
      </c>
      <c r="E1504">
        <v>4592</v>
      </c>
      <c r="F1504" s="1">
        <f>1608</f>
        <v>1608</v>
      </c>
      <c r="G1504" s="1">
        <f>1</f>
        <v>1</v>
      </c>
      <c r="H1504">
        <v>0.2</v>
      </c>
      <c r="I1504">
        <v>0</v>
      </c>
      <c r="J1504">
        <v>-49.761899999999997</v>
      </c>
      <c r="K1504">
        <v>519.779</v>
      </c>
      <c r="L1504">
        <v>0</v>
      </c>
    </row>
    <row r="1505" spans="1:12" x14ac:dyDescent="0.25">
      <c r="A1505">
        <f>80343165*0.00001</f>
        <v>803.4316500000001</v>
      </c>
      <c r="B1505">
        <v>3494</v>
      </c>
      <c r="C1505">
        <v>52</v>
      </c>
      <c r="D1505">
        <v>251.05099999999999</v>
      </c>
      <c r="E1505">
        <v>4592</v>
      </c>
      <c r="F1505">
        <v>1608</v>
      </c>
      <c r="G1505">
        <v>1</v>
      </c>
      <c r="H1505" s="1">
        <f>0.2</f>
        <v>0.2</v>
      </c>
      <c r="I1505" s="1">
        <f>0</f>
        <v>0</v>
      </c>
      <c r="J1505">
        <v>-49.761899999999997</v>
      </c>
      <c r="K1505">
        <v>519.779</v>
      </c>
      <c r="L1505">
        <v>0</v>
      </c>
    </row>
    <row r="1506" spans="1:12" x14ac:dyDescent="0.25">
      <c r="A1506">
        <f>80343298*0.00001</f>
        <v>803.43298000000004</v>
      </c>
      <c r="B1506">
        <v>3494</v>
      </c>
      <c r="C1506">
        <v>53</v>
      </c>
      <c r="D1506">
        <v>251.05099999999999</v>
      </c>
      <c r="E1506">
        <v>4592</v>
      </c>
      <c r="F1506">
        <v>1608</v>
      </c>
      <c r="G1506">
        <v>1</v>
      </c>
      <c r="H1506">
        <v>0.2</v>
      </c>
      <c r="I1506">
        <v>0</v>
      </c>
      <c r="J1506" s="1">
        <f>-49.4805</f>
        <v>-49.480499999999999</v>
      </c>
      <c r="K1506" s="1">
        <f>519.747</f>
        <v>519.74699999999996</v>
      </c>
      <c r="L1506">
        <v>0</v>
      </c>
    </row>
    <row r="1507" spans="1:12" x14ac:dyDescent="0.25">
      <c r="A1507">
        <f>80343430*0.00001</f>
        <v>803.43430000000012</v>
      </c>
      <c r="B1507">
        <v>3494</v>
      </c>
      <c r="C1507">
        <v>54</v>
      </c>
      <c r="D1507" s="1">
        <f>250.947</f>
        <v>250.947</v>
      </c>
      <c r="E1507">
        <v>4592</v>
      </c>
      <c r="F1507">
        <v>1608</v>
      </c>
      <c r="G1507">
        <v>1</v>
      </c>
      <c r="H1507">
        <v>0.2</v>
      </c>
      <c r="I1507">
        <v>0</v>
      </c>
      <c r="J1507">
        <v>-49.480499999999999</v>
      </c>
      <c r="K1507">
        <v>519.74699999999996</v>
      </c>
      <c r="L1507" s="1">
        <f>0</f>
        <v>0</v>
      </c>
    </row>
    <row r="1508" spans="1:12" x14ac:dyDescent="0.25">
      <c r="A1508">
        <f>80343562*0.00001</f>
        <v>803.43562000000009</v>
      </c>
      <c r="B1508">
        <v>3494</v>
      </c>
      <c r="C1508">
        <v>55</v>
      </c>
      <c r="D1508">
        <v>250.947</v>
      </c>
      <c r="E1508" s="1">
        <f>4595</f>
        <v>4595</v>
      </c>
      <c r="F1508" s="1">
        <f>1608</f>
        <v>1608</v>
      </c>
      <c r="G1508">
        <v>1</v>
      </c>
      <c r="H1508">
        <v>0.2</v>
      </c>
      <c r="I1508">
        <v>0</v>
      </c>
      <c r="J1508">
        <v>-49.480499999999999</v>
      </c>
      <c r="K1508">
        <v>519.74699999999996</v>
      </c>
      <c r="L1508">
        <v>0</v>
      </c>
    </row>
    <row r="1509" spans="1:12" x14ac:dyDescent="0.25">
      <c r="A1509">
        <f>80343694*0.00001</f>
        <v>803.43694000000005</v>
      </c>
      <c r="B1509">
        <v>3494</v>
      </c>
      <c r="C1509">
        <v>56</v>
      </c>
      <c r="D1509">
        <v>250.947</v>
      </c>
      <c r="E1509">
        <v>4595</v>
      </c>
      <c r="F1509">
        <v>1608</v>
      </c>
      <c r="G1509" s="1">
        <f>1</f>
        <v>1</v>
      </c>
      <c r="H1509" s="1">
        <f>0.2</f>
        <v>0.2</v>
      </c>
      <c r="I1509">
        <v>0</v>
      </c>
      <c r="J1509">
        <v>-49.480499999999999</v>
      </c>
      <c r="K1509">
        <v>519.74699999999996</v>
      </c>
      <c r="L1509">
        <v>0</v>
      </c>
    </row>
    <row r="1510" spans="1:12" x14ac:dyDescent="0.25">
      <c r="A1510">
        <f>80343827*0.00001</f>
        <v>803.4382700000001</v>
      </c>
      <c r="B1510">
        <v>3494</v>
      </c>
      <c r="C1510">
        <v>57</v>
      </c>
      <c r="D1510">
        <v>250.947</v>
      </c>
      <c r="E1510">
        <v>4595</v>
      </c>
      <c r="F1510">
        <v>1608</v>
      </c>
      <c r="G1510">
        <v>1</v>
      </c>
      <c r="H1510">
        <v>0.2</v>
      </c>
      <c r="I1510" s="1">
        <f>0</f>
        <v>0</v>
      </c>
      <c r="J1510" s="1">
        <f>-49.2404</f>
        <v>-49.240400000000001</v>
      </c>
      <c r="K1510">
        <v>519.74699999999996</v>
      </c>
      <c r="L1510">
        <v>0</v>
      </c>
    </row>
    <row r="1511" spans="1:12" x14ac:dyDescent="0.25">
      <c r="A1511">
        <f>80343960*0.00001</f>
        <v>803.43960000000004</v>
      </c>
      <c r="B1511">
        <v>3494</v>
      </c>
      <c r="C1511">
        <v>58</v>
      </c>
      <c r="D1511">
        <v>250.947</v>
      </c>
      <c r="E1511">
        <v>4595</v>
      </c>
      <c r="F1511">
        <v>1608</v>
      </c>
      <c r="G1511">
        <v>1</v>
      </c>
      <c r="H1511">
        <v>0.2</v>
      </c>
      <c r="I1511">
        <v>0</v>
      </c>
      <c r="J1511">
        <v>-49.240400000000001</v>
      </c>
      <c r="K1511" s="1">
        <f>519.708</f>
        <v>519.70799999999997</v>
      </c>
      <c r="L1511" s="1">
        <f>0</f>
        <v>0</v>
      </c>
    </row>
    <row r="1512" spans="1:12" x14ac:dyDescent="0.25">
      <c r="A1512">
        <f>80344093*0.00001</f>
        <v>803.44093000000009</v>
      </c>
      <c r="B1512">
        <v>3494</v>
      </c>
      <c r="C1512">
        <v>59</v>
      </c>
      <c r="D1512" s="1">
        <f>250.843</f>
        <v>250.84299999999999</v>
      </c>
      <c r="E1512" s="1">
        <f>4598</f>
        <v>4598</v>
      </c>
      <c r="F1512">
        <v>1608</v>
      </c>
      <c r="G1512">
        <v>1</v>
      </c>
      <c r="H1512">
        <v>0.2</v>
      </c>
      <c r="I1512">
        <v>0</v>
      </c>
      <c r="J1512">
        <v>-49.240400000000001</v>
      </c>
      <c r="K1512">
        <v>519.70799999999997</v>
      </c>
      <c r="L1512">
        <v>0</v>
      </c>
    </row>
    <row r="1513" spans="1:12" x14ac:dyDescent="0.25">
      <c r="A1513">
        <f>80344225*0.00001</f>
        <v>803.44225000000006</v>
      </c>
      <c r="B1513">
        <v>3494</v>
      </c>
      <c r="C1513">
        <v>60</v>
      </c>
      <c r="D1513">
        <v>250.84299999999999</v>
      </c>
      <c r="E1513">
        <v>4598</v>
      </c>
      <c r="F1513" s="1">
        <f>1608</f>
        <v>1608</v>
      </c>
      <c r="G1513" s="1">
        <f>1</f>
        <v>1</v>
      </c>
      <c r="H1513">
        <v>0.2</v>
      </c>
      <c r="I1513">
        <v>0</v>
      </c>
      <c r="J1513">
        <v>-49.240400000000001</v>
      </c>
      <c r="K1513">
        <v>519.70799999999997</v>
      </c>
      <c r="L1513">
        <v>0</v>
      </c>
    </row>
    <row r="1514" spans="1:12" x14ac:dyDescent="0.25">
      <c r="A1514">
        <f>80344358*0.00001</f>
        <v>803.44358000000011</v>
      </c>
      <c r="B1514">
        <v>3494</v>
      </c>
      <c r="C1514">
        <v>61</v>
      </c>
      <c r="D1514">
        <v>250.84299999999999</v>
      </c>
      <c r="E1514">
        <v>4598</v>
      </c>
      <c r="F1514">
        <v>1608</v>
      </c>
      <c r="G1514">
        <v>1</v>
      </c>
      <c r="H1514" s="1">
        <f>0.2</f>
        <v>0.2</v>
      </c>
      <c r="I1514" s="1">
        <f>0</f>
        <v>0</v>
      </c>
      <c r="J1514">
        <v>-49.240400000000001</v>
      </c>
      <c r="K1514">
        <v>519.70799999999997</v>
      </c>
      <c r="L1514">
        <v>0</v>
      </c>
    </row>
    <row r="1515" spans="1:12" x14ac:dyDescent="0.25">
      <c r="A1515">
        <f>80344490*0.00001</f>
        <v>803.44490000000008</v>
      </c>
      <c r="B1515">
        <v>3494</v>
      </c>
      <c r="C1515">
        <v>62</v>
      </c>
      <c r="D1515">
        <v>250.84299999999999</v>
      </c>
      <c r="E1515">
        <v>4598</v>
      </c>
      <c r="F1515">
        <v>1608</v>
      </c>
      <c r="G1515">
        <v>1</v>
      </c>
      <c r="H1515">
        <v>0.2</v>
      </c>
      <c r="I1515">
        <v>0</v>
      </c>
      <c r="J1515" s="1">
        <f>-49.0017</f>
        <v>-49.0017</v>
      </c>
      <c r="K1515" s="1">
        <f>519.677</f>
        <v>519.67700000000002</v>
      </c>
      <c r="L1515">
        <v>0</v>
      </c>
    </row>
    <row r="1516" spans="1:12" x14ac:dyDescent="0.25">
      <c r="A1516">
        <f>80344622*0.00001</f>
        <v>803.44622000000004</v>
      </c>
      <c r="B1516">
        <v>3494</v>
      </c>
      <c r="C1516">
        <v>63</v>
      </c>
      <c r="D1516" s="1">
        <f>250.777</f>
        <v>250.77699999999999</v>
      </c>
      <c r="E1516">
        <v>4598</v>
      </c>
      <c r="F1516">
        <v>1608</v>
      </c>
      <c r="G1516">
        <v>1</v>
      </c>
      <c r="H1516">
        <v>0.2</v>
      </c>
      <c r="I1516">
        <v>0</v>
      </c>
      <c r="J1516">
        <v>-49.0017</v>
      </c>
      <c r="K1516">
        <v>519.67700000000002</v>
      </c>
      <c r="L1516" s="1">
        <f>0</f>
        <v>0</v>
      </c>
    </row>
    <row r="1517" spans="1:12" x14ac:dyDescent="0.25">
      <c r="A1517">
        <f>80344754*0.00001</f>
        <v>803.44754000000012</v>
      </c>
      <c r="B1517">
        <v>3494</v>
      </c>
      <c r="C1517">
        <v>64</v>
      </c>
      <c r="D1517">
        <v>250.77699999999999</v>
      </c>
      <c r="E1517" s="1">
        <f>4600</f>
        <v>4600</v>
      </c>
      <c r="F1517" s="1">
        <f>1608</f>
        <v>1608</v>
      </c>
      <c r="G1517">
        <v>1</v>
      </c>
      <c r="H1517">
        <v>0.2</v>
      </c>
      <c r="I1517">
        <v>0</v>
      </c>
      <c r="J1517">
        <v>-49.0017</v>
      </c>
      <c r="K1517">
        <v>519.67700000000002</v>
      </c>
      <c r="L1517">
        <v>0</v>
      </c>
    </row>
    <row r="1518" spans="1:12" x14ac:dyDescent="0.25">
      <c r="A1518">
        <f>80344887*0.00001</f>
        <v>803.44887000000006</v>
      </c>
      <c r="B1518">
        <v>3494</v>
      </c>
      <c r="C1518">
        <v>65</v>
      </c>
      <c r="D1518">
        <v>250.77699999999999</v>
      </c>
      <c r="E1518">
        <v>4600</v>
      </c>
      <c r="F1518">
        <v>1608</v>
      </c>
      <c r="G1518" s="1">
        <f>1</f>
        <v>1</v>
      </c>
      <c r="H1518" s="1">
        <f>0.2</f>
        <v>0.2</v>
      </c>
      <c r="I1518">
        <v>0</v>
      </c>
      <c r="J1518">
        <v>-49.0017</v>
      </c>
      <c r="K1518">
        <v>519.67700000000002</v>
      </c>
      <c r="L1518">
        <v>0</v>
      </c>
    </row>
    <row r="1519" spans="1:12" x14ac:dyDescent="0.25">
      <c r="A1519">
        <f>80345020*0.00001</f>
        <v>803.45020000000011</v>
      </c>
      <c r="B1519">
        <v>3494</v>
      </c>
      <c r="C1519">
        <v>66</v>
      </c>
      <c r="D1519">
        <v>250.77699999999999</v>
      </c>
      <c r="E1519">
        <v>4600</v>
      </c>
      <c r="F1519">
        <v>1608</v>
      </c>
      <c r="G1519">
        <v>1</v>
      </c>
      <c r="H1519">
        <v>0.2</v>
      </c>
      <c r="I1519" s="1">
        <f>0</f>
        <v>0</v>
      </c>
      <c r="J1519" s="1">
        <f>-48.7953</f>
        <v>-48.795299999999997</v>
      </c>
      <c r="K1519">
        <v>519.67700000000002</v>
      </c>
      <c r="L1519">
        <v>0</v>
      </c>
    </row>
    <row r="1520" spans="1:12" x14ac:dyDescent="0.25">
      <c r="A1520">
        <f>80345153*0.00001</f>
        <v>803.45153000000005</v>
      </c>
      <c r="B1520">
        <v>3494</v>
      </c>
      <c r="C1520">
        <v>67</v>
      </c>
      <c r="D1520">
        <v>250.77699999999999</v>
      </c>
      <c r="E1520">
        <v>4600</v>
      </c>
      <c r="F1520">
        <v>1608</v>
      </c>
      <c r="G1520">
        <v>1</v>
      </c>
      <c r="H1520">
        <v>0.2</v>
      </c>
      <c r="I1520">
        <v>0</v>
      </c>
      <c r="J1520">
        <v>-48.795299999999997</v>
      </c>
      <c r="K1520" s="1">
        <f>519.638</f>
        <v>519.63800000000003</v>
      </c>
      <c r="L1520" s="1">
        <f>0</f>
        <v>0</v>
      </c>
    </row>
    <row r="1521" spans="1:12" x14ac:dyDescent="0.25">
      <c r="A1521">
        <f>80345286*0.00001</f>
        <v>803.4528600000001</v>
      </c>
      <c r="B1521">
        <v>3494</v>
      </c>
      <c r="C1521">
        <v>68</v>
      </c>
      <c r="D1521" s="1">
        <f>250.711</f>
        <v>250.71100000000001</v>
      </c>
      <c r="E1521" s="1">
        <f>4603</f>
        <v>4603</v>
      </c>
      <c r="F1521">
        <v>1608</v>
      </c>
      <c r="G1521">
        <v>1</v>
      </c>
      <c r="H1521">
        <v>0.2</v>
      </c>
      <c r="I1521">
        <v>0</v>
      </c>
      <c r="J1521">
        <v>-48.795299999999997</v>
      </c>
      <c r="K1521">
        <v>519.63800000000003</v>
      </c>
      <c r="L1521">
        <v>0</v>
      </c>
    </row>
    <row r="1522" spans="1:12" x14ac:dyDescent="0.25">
      <c r="A1522">
        <f>80345418*0.00001</f>
        <v>803.45418000000006</v>
      </c>
      <c r="B1522">
        <v>3494</v>
      </c>
      <c r="C1522">
        <v>69</v>
      </c>
      <c r="D1522">
        <v>250.71100000000001</v>
      </c>
      <c r="E1522">
        <v>4603</v>
      </c>
      <c r="F1522" s="1">
        <f>1608</f>
        <v>1608</v>
      </c>
      <c r="G1522" s="1">
        <f>1</f>
        <v>1</v>
      </c>
      <c r="H1522">
        <v>0.2</v>
      </c>
      <c r="I1522">
        <v>0</v>
      </c>
      <c r="J1522">
        <v>-48.795299999999997</v>
      </c>
      <c r="K1522">
        <v>519.63800000000003</v>
      </c>
      <c r="L1522">
        <v>0</v>
      </c>
    </row>
    <row r="1523" spans="1:12" x14ac:dyDescent="0.25">
      <c r="A1523">
        <f>80345551*0.00001</f>
        <v>803.45551000000012</v>
      </c>
      <c r="B1523">
        <v>3494</v>
      </c>
      <c r="C1523">
        <v>70</v>
      </c>
      <c r="D1523">
        <v>250.71100000000001</v>
      </c>
      <c r="E1523">
        <v>4603</v>
      </c>
      <c r="F1523">
        <v>1608</v>
      </c>
      <c r="G1523">
        <v>1</v>
      </c>
      <c r="H1523" s="1">
        <f>0.2</f>
        <v>0.2</v>
      </c>
      <c r="I1523" s="1">
        <f>0</f>
        <v>0</v>
      </c>
      <c r="J1523">
        <v>-48.795299999999997</v>
      </c>
      <c r="K1523">
        <v>519.63800000000003</v>
      </c>
      <c r="L1523">
        <v>0</v>
      </c>
    </row>
    <row r="1524" spans="1:12" x14ac:dyDescent="0.25">
      <c r="A1524">
        <f>80345684*0.00001</f>
        <v>803.45684000000006</v>
      </c>
      <c r="B1524">
        <v>3494</v>
      </c>
      <c r="C1524">
        <v>71</v>
      </c>
      <c r="D1524">
        <v>250.71100000000001</v>
      </c>
      <c r="E1524">
        <v>4603</v>
      </c>
      <c r="F1524">
        <v>1608</v>
      </c>
      <c r="G1524">
        <v>1</v>
      </c>
      <c r="H1524">
        <v>0.2</v>
      </c>
      <c r="I1524">
        <v>0</v>
      </c>
      <c r="J1524" s="1">
        <f>-48.5355</f>
        <v>-48.535499999999999</v>
      </c>
      <c r="K1524" s="1">
        <f>519.607</f>
        <v>519.60699999999997</v>
      </c>
      <c r="L1524">
        <v>0</v>
      </c>
    </row>
    <row r="1525" spans="1:12" x14ac:dyDescent="0.25">
      <c r="A1525">
        <f>80345816*0.00001</f>
        <v>803.45816000000002</v>
      </c>
      <c r="B1525">
        <v>3494</v>
      </c>
      <c r="C1525">
        <v>72</v>
      </c>
      <c r="D1525" s="1">
        <f>250.6</f>
        <v>250.6</v>
      </c>
      <c r="E1525">
        <v>4603</v>
      </c>
      <c r="F1525">
        <v>1608</v>
      </c>
      <c r="G1525">
        <v>1</v>
      </c>
      <c r="H1525">
        <v>0.2</v>
      </c>
      <c r="I1525">
        <v>0</v>
      </c>
      <c r="J1525">
        <v>-48.535499999999999</v>
      </c>
      <c r="K1525">
        <v>519.60699999999997</v>
      </c>
      <c r="L1525" s="1">
        <f>0</f>
        <v>0</v>
      </c>
    </row>
    <row r="1526" spans="1:12" x14ac:dyDescent="0.25">
      <c r="A1526">
        <f>80345949*0.00001</f>
        <v>803.45949000000007</v>
      </c>
      <c r="B1526">
        <v>3494</v>
      </c>
      <c r="C1526">
        <v>73</v>
      </c>
      <c r="D1526">
        <v>250.6</v>
      </c>
      <c r="E1526" s="1">
        <f>4606</f>
        <v>4606</v>
      </c>
      <c r="F1526" s="1">
        <f>1608</f>
        <v>1608</v>
      </c>
      <c r="G1526">
        <v>1</v>
      </c>
      <c r="H1526">
        <v>0.2</v>
      </c>
      <c r="I1526">
        <v>0</v>
      </c>
      <c r="J1526">
        <v>-48.535499999999999</v>
      </c>
      <c r="K1526">
        <v>519.60699999999997</v>
      </c>
      <c r="L1526">
        <v>0</v>
      </c>
    </row>
    <row r="1527" spans="1:12" x14ac:dyDescent="0.25">
      <c r="A1527">
        <f>80346082*0.00001</f>
        <v>803.46082000000001</v>
      </c>
      <c r="B1527">
        <v>3494</v>
      </c>
      <c r="C1527">
        <v>74</v>
      </c>
      <c r="D1527">
        <v>250.6</v>
      </c>
      <c r="E1527">
        <v>4606</v>
      </c>
      <c r="F1527">
        <v>1608</v>
      </c>
      <c r="G1527" s="1">
        <f>1</f>
        <v>1</v>
      </c>
      <c r="H1527" s="1">
        <f>0.2</f>
        <v>0.2</v>
      </c>
      <c r="I1527">
        <v>0</v>
      </c>
      <c r="J1527">
        <v>-48.535499999999999</v>
      </c>
      <c r="K1527">
        <v>519.60699999999997</v>
      </c>
      <c r="L1527">
        <v>0</v>
      </c>
    </row>
    <row r="1528" spans="1:12" x14ac:dyDescent="0.25">
      <c r="A1528">
        <f>80346214*0.00001</f>
        <v>803.46214000000009</v>
      </c>
      <c r="B1528">
        <v>3494</v>
      </c>
      <c r="C1528">
        <v>75</v>
      </c>
      <c r="D1528">
        <v>250.6</v>
      </c>
      <c r="E1528">
        <v>4606</v>
      </c>
      <c r="F1528">
        <v>1608</v>
      </c>
      <c r="G1528">
        <v>1</v>
      </c>
      <c r="H1528">
        <v>0.2</v>
      </c>
      <c r="I1528" s="1">
        <f>0</f>
        <v>0</v>
      </c>
      <c r="J1528" s="1">
        <f>-48.2901</f>
        <v>-48.290100000000002</v>
      </c>
      <c r="K1528">
        <v>519.60699999999997</v>
      </c>
      <c r="L1528">
        <v>0</v>
      </c>
    </row>
    <row r="1529" spans="1:12" x14ac:dyDescent="0.25">
      <c r="A1529">
        <f>80346347*0.00001</f>
        <v>803.46347000000003</v>
      </c>
      <c r="B1529">
        <v>3494</v>
      </c>
      <c r="C1529">
        <v>76</v>
      </c>
      <c r="D1529">
        <v>250.6</v>
      </c>
      <c r="E1529">
        <v>4606</v>
      </c>
      <c r="F1529">
        <v>1608</v>
      </c>
      <c r="G1529">
        <v>1</v>
      </c>
      <c r="H1529">
        <v>0.2</v>
      </c>
      <c r="I1529">
        <v>0</v>
      </c>
      <c r="J1529">
        <v>-48.290100000000002</v>
      </c>
      <c r="K1529" s="1">
        <f>519.568</f>
        <v>519.56799999999998</v>
      </c>
      <c r="L1529" s="1">
        <f>0</f>
        <v>0</v>
      </c>
    </row>
    <row r="1530" spans="1:12" x14ac:dyDescent="0.25">
      <c r="A1530">
        <f>80346480*0.00001</f>
        <v>803.46480000000008</v>
      </c>
      <c r="B1530">
        <v>3494</v>
      </c>
      <c r="C1530">
        <v>77</v>
      </c>
      <c r="D1530" s="1">
        <f>250.489</f>
        <v>250.489</v>
      </c>
      <c r="E1530" s="1">
        <f>4609</f>
        <v>4609</v>
      </c>
      <c r="F1530">
        <v>1608</v>
      </c>
      <c r="G1530">
        <v>1</v>
      </c>
      <c r="H1530">
        <v>0.2</v>
      </c>
      <c r="I1530">
        <v>0</v>
      </c>
      <c r="J1530">
        <v>-48.290100000000002</v>
      </c>
      <c r="K1530">
        <v>519.56799999999998</v>
      </c>
      <c r="L1530">
        <v>0</v>
      </c>
    </row>
    <row r="1531" spans="1:12" x14ac:dyDescent="0.25">
      <c r="A1531">
        <f>80346612*0.00001</f>
        <v>803.46612000000005</v>
      </c>
      <c r="B1531">
        <v>3494</v>
      </c>
      <c r="C1531">
        <v>78</v>
      </c>
      <c r="D1531">
        <v>250.489</v>
      </c>
      <c r="E1531">
        <v>4609</v>
      </c>
      <c r="F1531" s="1">
        <f>1608</f>
        <v>1608</v>
      </c>
      <c r="G1531" s="1">
        <f>1</f>
        <v>1</v>
      </c>
      <c r="H1531">
        <v>0.2</v>
      </c>
      <c r="I1531">
        <v>0</v>
      </c>
      <c r="J1531">
        <v>-48.290100000000002</v>
      </c>
      <c r="K1531">
        <v>519.56799999999998</v>
      </c>
      <c r="L1531">
        <v>0</v>
      </c>
    </row>
    <row r="1532" spans="1:12" x14ac:dyDescent="0.25">
      <c r="A1532">
        <f>80346745*0.00001</f>
        <v>803.4674500000001</v>
      </c>
      <c r="B1532">
        <v>3494</v>
      </c>
      <c r="C1532">
        <v>79</v>
      </c>
      <c r="D1532">
        <v>250.489</v>
      </c>
      <c r="E1532">
        <v>4609</v>
      </c>
      <c r="F1532">
        <v>1608</v>
      </c>
      <c r="G1532">
        <v>1</v>
      </c>
      <c r="H1532" s="1">
        <f>0.2</f>
        <v>0.2</v>
      </c>
      <c r="I1532" s="1">
        <f>0</f>
        <v>0</v>
      </c>
      <c r="J1532">
        <v>-48.290100000000002</v>
      </c>
      <c r="K1532">
        <v>519.56799999999998</v>
      </c>
      <c r="L1532">
        <v>0</v>
      </c>
    </row>
    <row r="1533" spans="1:12" x14ac:dyDescent="0.25">
      <c r="A1533">
        <f>80346878*0.00001</f>
        <v>803.46878000000004</v>
      </c>
      <c r="B1533">
        <v>3494</v>
      </c>
      <c r="C1533">
        <v>80</v>
      </c>
      <c r="D1533">
        <v>250.489</v>
      </c>
      <c r="E1533">
        <v>4609</v>
      </c>
      <c r="F1533">
        <v>1608</v>
      </c>
      <c r="G1533">
        <v>1</v>
      </c>
      <c r="H1533">
        <v>0.2</v>
      </c>
      <c r="I1533">
        <v>0</v>
      </c>
      <c r="J1533" s="1">
        <f>-48.0453</f>
        <v>-48.045299999999997</v>
      </c>
      <c r="K1533" s="1">
        <f>519.537</f>
        <v>519.53700000000003</v>
      </c>
      <c r="L1533">
        <v>0</v>
      </c>
    </row>
    <row r="1534" spans="1:12" x14ac:dyDescent="0.25">
      <c r="A1534">
        <f>80347010*0.00001</f>
        <v>803.47010000000012</v>
      </c>
      <c r="B1534">
        <v>3494</v>
      </c>
      <c r="C1534">
        <v>81</v>
      </c>
      <c r="D1534" s="1">
        <f>250.419</f>
        <v>250.41900000000001</v>
      </c>
      <c r="E1534">
        <v>4609</v>
      </c>
      <c r="F1534">
        <v>1608</v>
      </c>
      <c r="G1534">
        <v>1</v>
      </c>
      <c r="H1534">
        <v>0.2</v>
      </c>
      <c r="I1534">
        <v>0</v>
      </c>
      <c r="J1534">
        <v>-48.045299999999997</v>
      </c>
      <c r="K1534">
        <v>519.53700000000003</v>
      </c>
      <c r="L1534" s="1">
        <f>0</f>
        <v>0</v>
      </c>
    </row>
    <row r="1535" spans="1:12" x14ac:dyDescent="0.25">
      <c r="A1535">
        <f>80347143*0.00001</f>
        <v>803.47143000000005</v>
      </c>
      <c r="B1535">
        <v>3494</v>
      </c>
      <c r="C1535">
        <v>82</v>
      </c>
      <c r="D1535">
        <v>250.41900000000001</v>
      </c>
      <c r="E1535" s="1">
        <f>4611</f>
        <v>4611</v>
      </c>
      <c r="F1535" s="1">
        <f>1608</f>
        <v>1608</v>
      </c>
      <c r="G1535">
        <v>1</v>
      </c>
      <c r="H1535">
        <v>0.2</v>
      </c>
      <c r="I1535">
        <v>0</v>
      </c>
      <c r="J1535">
        <v>-48.045299999999997</v>
      </c>
      <c r="K1535">
        <v>519.53700000000003</v>
      </c>
      <c r="L1535">
        <v>0</v>
      </c>
    </row>
    <row r="1536" spans="1:12" x14ac:dyDescent="0.25">
      <c r="A1536">
        <f>80347276*0.00001</f>
        <v>803.47276000000011</v>
      </c>
      <c r="B1536">
        <v>3494</v>
      </c>
      <c r="C1536">
        <v>83</v>
      </c>
      <c r="D1536">
        <v>250.41900000000001</v>
      </c>
      <c r="E1536">
        <v>4611</v>
      </c>
      <c r="F1536">
        <v>1608</v>
      </c>
      <c r="G1536" s="1">
        <f>1</f>
        <v>1</v>
      </c>
      <c r="H1536" s="1">
        <f>0.2</f>
        <v>0.2</v>
      </c>
      <c r="I1536">
        <v>0</v>
      </c>
      <c r="J1536">
        <v>-48.045299999999997</v>
      </c>
      <c r="K1536">
        <v>519.53700000000003</v>
      </c>
      <c r="L1536">
        <v>0</v>
      </c>
    </row>
    <row r="1537" spans="1:12" x14ac:dyDescent="0.25">
      <c r="A1537">
        <f>80347408*0.00001</f>
        <v>803.47408000000007</v>
      </c>
      <c r="B1537">
        <v>3494</v>
      </c>
      <c r="C1537">
        <v>84</v>
      </c>
      <c r="D1537">
        <v>250.41900000000001</v>
      </c>
      <c r="E1537">
        <v>4611</v>
      </c>
      <c r="F1537">
        <v>1608</v>
      </c>
      <c r="G1537">
        <v>1</v>
      </c>
      <c r="H1537">
        <v>0.2</v>
      </c>
      <c r="I1537" s="1">
        <f>0</f>
        <v>0</v>
      </c>
      <c r="J1537" s="1">
        <f>-47.8352</f>
        <v>-47.8352</v>
      </c>
      <c r="K1537">
        <v>519.53700000000003</v>
      </c>
      <c r="L1537">
        <v>0</v>
      </c>
    </row>
    <row r="1538" spans="1:12" x14ac:dyDescent="0.25">
      <c r="A1538">
        <f>80347541*0.00001</f>
        <v>803.47541000000001</v>
      </c>
      <c r="B1538">
        <v>3494</v>
      </c>
      <c r="C1538">
        <v>85</v>
      </c>
      <c r="D1538">
        <v>250.41900000000001</v>
      </c>
      <c r="E1538">
        <v>4611</v>
      </c>
      <c r="F1538">
        <v>1608</v>
      </c>
      <c r="G1538">
        <v>1</v>
      </c>
      <c r="H1538">
        <v>0.2</v>
      </c>
      <c r="I1538">
        <v>0</v>
      </c>
      <c r="J1538">
        <v>-47.8352</v>
      </c>
      <c r="K1538" s="1">
        <f>519.499</f>
        <v>519.49900000000002</v>
      </c>
      <c r="L1538" s="1">
        <f>0</f>
        <v>0</v>
      </c>
    </row>
    <row r="1539" spans="1:12" x14ac:dyDescent="0.25">
      <c r="A1539">
        <f>80347674*0.00001</f>
        <v>803.47674000000006</v>
      </c>
      <c r="B1539">
        <v>3494</v>
      </c>
      <c r="C1539">
        <v>86</v>
      </c>
      <c r="D1539" s="1">
        <f>250.35</f>
        <v>250.35</v>
      </c>
      <c r="E1539" s="1">
        <f>4614</f>
        <v>4614</v>
      </c>
      <c r="F1539">
        <v>1608</v>
      </c>
      <c r="G1539">
        <v>1</v>
      </c>
      <c r="H1539">
        <v>0.2</v>
      </c>
      <c r="I1539">
        <v>0</v>
      </c>
      <c r="J1539">
        <v>-47.8352</v>
      </c>
      <c r="K1539">
        <v>519.49900000000002</v>
      </c>
      <c r="L1539">
        <v>0</v>
      </c>
    </row>
    <row r="1540" spans="1:12" x14ac:dyDescent="0.25">
      <c r="A1540">
        <f>80347806*0.00001</f>
        <v>803.47806000000003</v>
      </c>
      <c r="B1540">
        <v>3494</v>
      </c>
      <c r="C1540">
        <v>87</v>
      </c>
      <c r="D1540">
        <v>250.35</v>
      </c>
      <c r="E1540">
        <v>4614</v>
      </c>
      <c r="F1540" s="1">
        <f>1608</f>
        <v>1608</v>
      </c>
      <c r="G1540" s="1">
        <f>1</f>
        <v>1</v>
      </c>
      <c r="H1540">
        <v>0.2</v>
      </c>
      <c r="I1540">
        <v>0</v>
      </c>
      <c r="J1540">
        <v>-47.8352</v>
      </c>
      <c r="K1540">
        <v>519.49900000000002</v>
      </c>
      <c r="L1540">
        <v>0</v>
      </c>
    </row>
    <row r="1541" spans="1:12" x14ac:dyDescent="0.25">
      <c r="A1541">
        <f>80347939*0.00001</f>
        <v>803.47939000000008</v>
      </c>
      <c r="B1541">
        <v>3494</v>
      </c>
      <c r="C1541">
        <v>88</v>
      </c>
      <c r="D1541">
        <v>250.35</v>
      </c>
      <c r="E1541">
        <v>4614</v>
      </c>
      <c r="F1541">
        <v>1608</v>
      </c>
      <c r="G1541">
        <v>1</v>
      </c>
      <c r="H1541" s="1">
        <f>0.2</f>
        <v>0.2</v>
      </c>
      <c r="I1541" s="1">
        <f>0</f>
        <v>0</v>
      </c>
      <c r="J1541">
        <v>-47.8352</v>
      </c>
      <c r="K1541">
        <v>519.49900000000002</v>
      </c>
      <c r="L1541">
        <v>0</v>
      </c>
    </row>
    <row r="1542" spans="1:12" x14ac:dyDescent="0.25">
      <c r="A1542">
        <f>80348072*0.00001</f>
        <v>803.48072000000002</v>
      </c>
      <c r="B1542">
        <v>3494</v>
      </c>
      <c r="C1542">
        <v>89</v>
      </c>
      <c r="D1542">
        <v>250.35</v>
      </c>
      <c r="E1542">
        <v>4614</v>
      </c>
      <c r="F1542">
        <v>1608</v>
      </c>
      <c r="G1542">
        <v>1</v>
      </c>
      <c r="H1542">
        <v>0.2</v>
      </c>
      <c r="I1542">
        <v>0</v>
      </c>
      <c r="J1542" s="1">
        <f>-47.6067</f>
        <v>-47.606699999999996</v>
      </c>
      <c r="K1542" s="1">
        <f>519.468</f>
        <v>519.46799999999996</v>
      </c>
      <c r="L1542">
        <v>0</v>
      </c>
    </row>
    <row r="1543" spans="1:12" x14ac:dyDescent="0.25">
      <c r="A1543">
        <f>80348205*0.00001</f>
        <v>803.48205000000007</v>
      </c>
      <c r="B1543">
        <v>3494</v>
      </c>
      <c r="C1543">
        <v>90</v>
      </c>
      <c r="D1543" s="1">
        <f>250.269</f>
        <v>250.26900000000001</v>
      </c>
      <c r="E1543">
        <v>4614</v>
      </c>
      <c r="F1543">
        <v>1608</v>
      </c>
      <c r="G1543">
        <v>1</v>
      </c>
      <c r="H1543">
        <v>0.2</v>
      </c>
      <c r="I1543">
        <v>0</v>
      </c>
      <c r="J1543">
        <v>-47.606699999999996</v>
      </c>
      <c r="K1543">
        <v>519.46799999999996</v>
      </c>
      <c r="L1543" s="1">
        <f>0</f>
        <v>0</v>
      </c>
    </row>
    <row r="1544" spans="1:12" x14ac:dyDescent="0.25">
      <c r="A1544">
        <f>80348338*0.00001</f>
        <v>803.48338000000001</v>
      </c>
      <c r="B1544">
        <v>3494</v>
      </c>
      <c r="C1544">
        <v>91</v>
      </c>
      <c r="D1544">
        <v>250.26900000000001</v>
      </c>
      <c r="E1544" s="1">
        <f>4616</f>
        <v>4616</v>
      </c>
      <c r="F1544" s="1">
        <f>1608</f>
        <v>1608</v>
      </c>
      <c r="G1544">
        <v>1</v>
      </c>
      <c r="H1544">
        <v>0.2</v>
      </c>
      <c r="I1544">
        <v>0</v>
      </c>
      <c r="J1544">
        <v>-47.606699999999996</v>
      </c>
      <c r="K1544">
        <v>519.46799999999996</v>
      </c>
      <c r="L1544">
        <v>0</v>
      </c>
    </row>
    <row r="1545" spans="1:12" x14ac:dyDescent="0.25">
      <c r="A1545">
        <f>80348471*0.00001</f>
        <v>803.48471000000006</v>
      </c>
      <c r="B1545">
        <v>3494</v>
      </c>
      <c r="C1545">
        <v>92</v>
      </c>
      <c r="D1545">
        <v>250.26900000000001</v>
      </c>
      <c r="E1545">
        <v>4616</v>
      </c>
      <c r="F1545">
        <v>1608</v>
      </c>
      <c r="G1545" s="1">
        <f>1</f>
        <v>1</v>
      </c>
      <c r="H1545" s="1">
        <f>0.2</f>
        <v>0.2</v>
      </c>
      <c r="I1545">
        <v>0</v>
      </c>
      <c r="J1545">
        <v>-47.606699999999996</v>
      </c>
      <c r="K1545">
        <v>519.46799999999996</v>
      </c>
      <c r="L1545">
        <v>0</v>
      </c>
    </row>
    <row r="1546" spans="1:12" x14ac:dyDescent="0.25">
      <c r="A1546">
        <f>80348604*0.00001</f>
        <v>803.48604000000012</v>
      </c>
      <c r="B1546">
        <v>3494</v>
      </c>
      <c r="C1546">
        <v>93</v>
      </c>
      <c r="D1546">
        <v>250.26900000000001</v>
      </c>
      <c r="E1546">
        <v>4616</v>
      </c>
      <c r="F1546">
        <v>1608</v>
      </c>
      <c r="G1546">
        <v>1</v>
      </c>
      <c r="H1546">
        <v>0.2</v>
      </c>
      <c r="I1546" s="1">
        <f>0</f>
        <v>0</v>
      </c>
      <c r="J1546" s="1">
        <f>-47.3528</f>
        <v>-47.352800000000002</v>
      </c>
      <c r="K1546">
        <v>519.46799999999996</v>
      </c>
      <c r="L1546">
        <v>0</v>
      </c>
    </row>
    <row r="1547" spans="1:12" x14ac:dyDescent="0.25">
      <c r="A1547">
        <f>80348737*0.00001</f>
        <v>803.48737000000006</v>
      </c>
      <c r="B1547">
        <v>3494</v>
      </c>
      <c r="C1547">
        <v>94</v>
      </c>
      <c r="D1547">
        <v>250.26900000000001</v>
      </c>
      <c r="E1547">
        <v>4616</v>
      </c>
      <c r="F1547">
        <v>1608</v>
      </c>
      <c r="G1547">
        <v>1</v>
      </c>
      <c r="H1547">
        <v>0.2</v>
      </c>
      <c r="I1547">
        <v>0</v>
      </c>
      <c r="J1547">
        <v>-47.352800000000002</v>
      </c>
      <c r="K1547" s="1">
        <f>519.43</f>
        <v>519.42999999999995</v>
      </c>
      <c r="L1547" s="1">
        <f>0</f>
        <v>0</v>
      </c>
    </row>
    <row r="1548" spans="1:12" x14ac:dyDescent="0.25">
      <c r="A1548">
        <f>80348870*0.00001</f>
        <v>803.48870000000011</v>
      </c>
      <c r="B1548">
        <v>3494</v>
      </c>
      <c r="C1548">
        <v>95</v>
      </c>
      <c r="D1548" s="1">
        <f>250.148</f>
        <v>250.148</v>
      </c>
      <c r="E1548" s="1">
        <f>4620</f>
        <v>4620</v>
      </c>
      <c r="F1548">
        <v>1608</v>
      </c>
      <c r="G1548">
        <v>1</v>
      </c>
      <c r="H1548">
        <v>0.2</v>
      </c>
      <c r="I1548">
        <v>0</v>
      </c>
      <c r="J1548">
        <v>-47.352800000000002</v>
      </c>
      <c r="K1548">
        <v>519.42999999999995</v>
      </c>
      <c r="L1548">
        <v>0</v>
      </c>
    </row>
    <row r="1549" spans="1:12" x14ac:dyDescent="0.25">
      <c r="A1549">
        <f>80349003*0.00001</f>
        <v>803.49003000000005</v>
      </c>
      <c r="B1549">
        <v>3494</v>
      </c>
      <c r="C1549">
        <v>96</v>
      </c>
      <c r="D1549">
        <v>250.148</v>
      </c>
      <c r="E1549">
        <v>4620</v>
      </c>
      <c r="F1549" s="1">
        <f>1608</f>
        <v>1608</v>
      </c>
      <c r="G1549" s="1">
        <f>1</f>
        <v>1</v>
      </c>
      <c r="H1549">
        <v>0.2</v>
      </c>
      <c r="I1549">
        <v>0</v>
      </c>
      <c r="J1549">
        <v>-47.352800000000002</v>
      </c>
      <c r="K1549">
        <v>519.42999999999995</v>
      </c>
      <c r="L1549">
        <v>0</v>
      </c>
    </row>
    <row r="1550" spans="1:12" x14ac:dyDescent="0.25">
      <c r="A1550">
        <f>80349136*0.00001</f>
        <v>803.4913600000001</v>
      </c>
      <c r="B1550">
        <v>3494</v>
      </c>
      <c r="C1550">
        <v>97</v>
      </c>
      <c r="D1550">
        <v>250.148</v>
      </c>
      <c r="E1550">
        <v>4620</v>
      </c>
      <c r="F1550">
        <v>1608</v>
      </c>
      <c r="G1550">
        <v>1</v>
      </c>
      <c r="H1550" s="1">
        <f>0.2</f>
        <v>0.2</v>
      </c>
      <c r="I1550" s="1">
        <f>0</f>
        <v>0</v>
      </c>
      <c r="J1550">
        <v>-47.352800000000002</v>
      </c>
      <c r="K1550">
        <v>519.42999999999995</v>
      </c>
      <c r="L1550">
        <v>0</v>
      </c>
    </row>
    <row r="1551" spans="1:12" x14ac:dyDescent="0.25">
      <c r="A1551">
        <f>80349269*0.00001</f>
        <v>803.49269000000004</v>
      </c>
      <c r="B1551">
        <v>3494</v>
      </c>
      <c r="C1551">
        <v>98</v>
      </c>
      <c r="D1551">
        <v>250.148</v>
      </c>
      <c r="E1551">
        <v>4620</v>
      </c>
      <c r="F1551">
        <v>1608</v>
      </c>
      <c r="G1551">
        <v>1</v>
      </c>
      <c r="H1551">
        <v>0.2</v>
      </c>
      <c r="I1551">
        <v>0</v>
      </c>
      <c r="J1551" s="1">
        <f>-47.0996</f>
        <v>-47.099600000000002</v>
      </c>
      <c r="K1551" s="1">
        <f>519.4</f>
        <v>519.4</v>
      </c>
      <c r="L1551">
        <v>0</v>
      </c>
    </row>
    <row r="1552" spans="1:12" x14ac:dyDescent="0.25">
      <c r="A1552">
        <f>80349402*0.00001</f>
        <v>803.49402000000009</v>
      </c>
      <c r="B1552">
        <v>3494</v>
      </c>
      <c r="C1552">
        <v>99</v>
      </c>
      <c r="D1552" s="1">
        <f>250.068</f>
        <v>250.06800000000001</v>
      </c>
      <c r="E1552">
        <v>4620</v>
      </c>
      <c r="F1552">
        <v>1608</v>
      </c>
      <c r="G1552">
        <v>1</v>
      </c>
      <c r="H1552">
        <v>0.2</v>
      </c>
      <c r="I1552">
        <v>0</v>
      </c>
      <c r="J1552">
        <v>-47.099600000000002</v>
      </c>
      <c r="K1552">
        <v>519.4</v>
      </c>
      <c r="L1552" s="1">
        <f>0</f>
        <v>0</v>
      </c>
    </row>
    <row r="1553" spans="1:12" x14ac:dyDescent="0.25">
      <c r="A1553">
        <f>80349535*0.00001</f>
        <v>803.49535000000003</v>
      </c>
      <c r="B1553">
        <v>3494</v>
      </c>
      <c r="C1553">
        <v>100</v>
      </c>
      <c r="D1553">
        <v>250.06800000000001</v>
      </c>
      <c r="E1553" s="1">
        <f>4622</f>
        <v>4622</v>
      </c>
      <c r="F1553" s="1">
        <f>1608</f>
        <v>1608</v>
      </c>
      <c r="G1553">
        <v>1</v>
      </c>
      <c r="H1553">
        <v>0.2</v>
      </c>
      <c r="I1553">
        <v>0</v>
      </c>
      <c r="J1553">
        <v>-47.099600000000002</v>
      </c>
      <c r="K1553">
        <v>519.4</v>
      </c>
      <c r="L1553">
        <v>0</v>
      </c>
    </row>
    <row r="1554" spans="1:12" x14ac:dyDescent="0.25">
      <c r="A1554">
        <f>80349668*0.00001</f>
        <v>803.49668000000008</v>
      </c>
      <c r="B1554">
        <v>3494</v>
      </c>
      <c r="C1554">
        <v>101</v>
      </c>
      <c r="D1554">
        <v>250.06800000000001</v>
      </c>
      <c r="E1554">
        <v>4622</v>
      </c>
      <c r="F1554">
        <v>1608</v>
      </c>
      <c r="G1554" s="1">
        <f>1</f>
        <v>1</v>
      </c>
      <c r="H1554" s="1">
        <f>0.2</f>
        <v>0.2</v>
      </c>
      <c r="I1554">
        <v>0</v>
      </c>
      <c r="J1554">
        <v>-47.099600000000002</v>
      </c>
      <c r="K1554">
        <v>519.4</v>
      </c>
      <c r="L1554">
        <v>0</v>
      </c>
    </row>
    <row r="1555" spans="1:12" x14ac:dyDescent="0.25">
      <c r="A1555">
        <f>80349801*0.00001</f>
        <v>803.49801000000002</v>
      </c>
      <c r="B1555">
        <v>3494</v>
      </c>
      <c r="C1555">
        <v>102</v>
      </c>
      <c r="D1555">
        <v>250.06800000000001</v>
      </c>
      <c r="E1555">
        <v>4622</v>
      </c>
      <c r="F1555">
        <v>1608</v>
      </c>
      <c r="G1555">
        <v>1</v>
      </c>
      <c r="H1555">
        <v>0.2</v>
      </c>
      <c r="I1555" s="1">
        <f>0</f>
        <v>0</v>
      </c>
      <c r="J1555" s="1">
        <f>-46.8843</f>
        <v>-46.884300000000003</v>
      </c>
      <c r="K1555">
        <v>519.4</v>
      </c>
      <c r="L1555">
        <v>0</v>
      </c>
    </row>
    <row r="1556" spans="1:12" x14ac:dyDescent="0.25">
      <c r="A1556">
        <f>80349934*0.00001</f>
        <v>803.49934000000007</v>
      </c>
      <c r="B1556">
        <v>3494</v>
      </c>
      <c r="C1556">
        <v>103</v>
      </c>
      <c r="D1556">
        <v>250.06800000000001</v>
      </c>
      <c r="E1556">
        <v>4622</v>
      </c>
      <c r="F1556">
        <v>1608</v>
      </c>
      <c r="G1556">
        <v>1</v>
      </c>
      <c r="H1556">
        <v>0.2</v>
      </c>
      <c r="I1556">
        <v>0</v>
      </c>
      <c r="J1556">
        <v>-46.884300000000003</v>
      </c>
      <c r="K1556" s="1">
        <f>519.363</f>
        <v>519.36300000000006</v>
      </c>
      <c r="L1556" s="1">
        <f>0</f>
        <v>0</v>
      </c>
    </row>
    <row r="1557" spans="1:12" x14ac:dyDescent="0.25">
      <c r="A1557">
        <f>80350067*0.00001</f>
        <v>803.50067000000001</v>
      </c>
      <c r="B1557">
        <v>3494</v>
      </c>
      <c r="C1557">
        <v>104</v>
      </c>
      <c r="D1557" s="1">
        <f>249.996</f>
        <v>249.99600000000001</v>
      </c>
      <c r="E1557" s="1">
        <f>4625</f>
        <v>4625</v>
      </c>
      <c r="F1557">
        <v>1608</v>
      </c>
      <c r="G1557">
        <v>1</v>
      </c>
      <c r="H1557">
        <v>0.2</v>
      </c>
      <c r="I1557">
        <v>0</v>
      </c>
      <c r="J1557">
        <v>-46.884300000000003</v>
      </c>
      <c r="K1557">
        <v>519.36300000000006</v>
      </c>
      <c r="L1557">
        <v>0</v>
      </c>
    </row>
    <row r="1558" spans="1:12" x14ac:dyDescent="0.25">
      <c r="A1558">
        <f>80350200*0.00001</f>
        <v>803.50200000000007</v>
      </c>
      <c r="B1558">
        <v>3494</v>
      </c>
      <c r="C1558">
        <v>105</v>
      </c>
      <c r="D1558">
        <v>249.99600000000001</v>
      </c>
      <c r="E1558">
        <v>4625</v>
      </c>
      <c r="F1558" s="1">
        <f>1608</f>
        <v>1608</v>
      </c>
      <c r="G1558" s="1">
        <f>1</f>
        <v>1</v>
      </c>
      <c r="H1558">
        <v>0.2</v>
      </c>
      <c r="I1558">
        <v>0</v>
      </c>
      <c r="J1558">
        <v>-46.884300000000003</v>
      </c>
      <c r="K1558">
        <v>519.36300000000006</v>
      </c>
      <c r="L1558">
        <v>0</v>
      </c>
    </row>
    <row r="1559" spans="1:12" x14ac:dyDescent="0.25">
      <c r="A1559">
        <f>80350333*0.00001</f>
        <v>803.50333000000012</v>
      </c>
      <c r="B1559">
        <v>3494</v>
      </c>
      <c r="C1559">
        <v>106</v>
      </c>
      <c r="D1559">
        <v>249.99600000000001</v>
      </c>
      <c r="E1559">
        <v>4625</v>
      </c>
      <c r="F1559">
        <v>1608</v>
      </c>
      <c r="G1559">
        <v>1</v>
      </c>
      <c r="H1559" s="1">
        <f>0.2</f>
        <v>0.2</v>
      </c>
      <c r="I1559" s="1">
        <f>0</f>
        <v>0</v>
      </c>
      <c r="J1559">
        <v>-46.884300000000003</v>
      </c>
      <c r="K1559">
        <v>519.36300000000006</v>
      </c>
      <c r="L1559">
        <v>0</v>
      </c>
    </row>
    <row r="1560" spans="1:12" x14ac:dyDescent="0.25">
      <c r="A1560">
        <f>80350466*0.00001</f>
        <v>803.50466000000006</v>
      </c>
      <c r="B1560">
        <v>3494</v>
      </c>
      <c r="C1560">
        <v>107</v>
      </c>
      <c r="D1560">
        <v>249.99600000000001</v>
      </c>
      <c r="E1560">
        <v>4625</v>
      </c>
      <c r="F1560">
        <v>1608</v>
      </c>
      <c r="G1560">
        <v>1</v>
      </c>
      <c r="H1560">
        <v>0.2</v>
      </c>
      <c r="I1560">
        <v>0</v>
      </c>
      <c r="J1560" s="1">
        <f>-46.6692</f>
        <v>-46.669199999999996</v>
      </c>
      <c r="K1560" s="1">
        <f>519.333</f>
        <v>519.33299999999997</v>
      </c>
      <c r="L1560">
        <v>0</v>
      </c>
    </row>
    <row r="1561" spans="1:12" x14ac:dyDescent="0.25">
      <c r="A1561">
        <f>80350599*0.00001</f>
        <v>803.50599000000011</v>
      </c>
      <c r="B1561">
        <v>3494</v>
      </c>
      <c r="C1561">
        <v>108</v>
      </c>
      <c r="D1561" s="1">
        <f>249.948</f>
        <v>249.94800000000001</v>
      </c>
      <c r="E1561">
        <v>4625</v>
      </c>
      <c r="F1561">
        <v>1608</v>
      </c>
      <c r="G1561">
        <v>1</v>
      </c>
      <c r="H1561">
        <v>0.2</v>
      </c>
      <c r="I1561">
        <v>0</v>
      </c>
      <c r="J1561">
        <v>-46.669199999999996</v>
      </c>
      <c r="K1561">
        <v>519.33299999999997</v>
      </c>
      <c r="L1561" s="1">
        <f>0</f>
        <v>0</v>
      </c>
    </row>
    <row r="1562" spans="1:12" x14ac:dyDescent="0.25">
      <c r="A1562">
        <f>80350732*0.00001</f>
        <v>803.50732000000005</v>
      </c>
      <c r="B1562">
        <v>3494</v>
      </c>
      <c r="C1562">
        <v>109</v>
      </c>
      <c r="D1562">
        <v>249.94800000000001</v>
      </c>
      <c r="E1562" s="1">
        <f>4627</f>
        <v>4627</v>
      </c>
      <c r="F1562" s="1">
        <f>1608</f>
        <v>1608</v>
      </c>
      <c r="G1562">
        <v>1</v>
      </c>
      <c r="H1562">
        <v>0.2</v>
      </c>
      <c r="I1562">
        <v>0</v>
      </c>
      <c r="J1562">
        <v>-46.669199999999996</v>
      </c>
      <c r="K1562">
        <v>519.33299999999997</v>
      </c>
      <c r="L1562">
        <v>0</v>
      </c>
    </row>
    <row r="1563" spans="1:12" x14ac:dyDescent="0.25">
      <c r="A1563">
        <f>80350865*0.00001</f>
        <v>803.5086500000001</v>
      </c>
      <c r="B1563">
        <v>3494</v>
      </c>
      <c r="C1563">
        <v>110</v>
      </c>
      <c r="D1563">
        <v>249.94800000000001</v>
      </c>
      <c r="E1563">
        <v>4627</v>
      </c>
      <c r="F1563">
        <v>1608</v>
      </c>
      <c r="G1563" s="1">
        <f>1</f>
        <v>1</v>
      </c>
      <c r="H1563" s="1">
        <f>0.2</f>
        <v>0.2</v>
      </c>
      <c r="I1563">
        <v>0</v>
      </c>
      <c r="J1563">
        <v>-46.669199999999996</v>
      </c>
      <c r="K1563">
        <v>519.33299999999997</v>
      </c>
      <c r="L1563">
        <v>0</v>
      </c>
    </row>
    <row r="1564" spans="1:12" x14ac:dyDescent="0.25">
      <c r="A1564">
        <f>80350999*0.00001</f>
        <v>803.50999000000002</v>
      </c>
      <c r="B1564">
        <v>3494</v>
      </c>
      <c r="C1564">
        <v>111</v>
      </c>
      <c r="D1564">
        <v>249.94800000000001</v>
      </c>
      <c r="E1564">
        <v>4627</v>
      </c>
      <c r="F1564">
        <v>1608</v>
      </c>
      <c r="G1564">
        <v>1</v>
      </c>
      <c r="H1564">
        <v>0.2</v>
      </c>
      <c r="I1564" s="1">
        <f>0</f>
        <v>0</v>
      </c>
      <c r="J1564" s="1">
        <f>-46.4445</f>
        <v>-46.444499999999998</v>
      </c>
      <c r="K1564">
        <v>519.33299999999997</v>
      </c>
      <c r="L1564">
        <v>0</v>
      </c>
    </row>
    <row r="1565" spans="1:12" x14ac:dyDescent="0.25">
      <c r="A1565">
        <f>80351132*0.00001</f>
        <v>803.51132000000007</v>
      </c>
      <c r="B1565">
        <v>3494</v>
      </c>
      <c r="C1565">
        <v>112</v>
      </c>
      <c r="D1565">
        <v>249.94800000000001</v>
      </c>
      <c r="E1565">
        <v>4627</v>
      </c>
      <c r="F1565">
        <v>1608</v>
      </c>
      <c r="G1565">
        <v>1</v>
      </c>
      <c r="H1565">
        <v>0.2</v>
      </c>
      <c r="I1565">
        <v>0</v>
      </c>
      <c r="J1565">
        <v>-46.444499999999998</v>
      </c>
      <c r="K1565" s="1">
        <f>519.295</f>
        <v>519.29499999999996</v>
      </c>
      <c r="L1565" s="1">
        <f>0</f>
        <v>0</v>
      </c>
    </row>
    <row r="1566" spans="1:12" x14ac:dyDescent="0.25">
      <c r="A1566">
        <f>80351265*0.00001</f>
        <v>803.51265000000012</v>
      </c>
      <c r="B1566">
        <v>3494</v>
      </c>
      <c r="C1566">
        <v>113</v>
      </c>
      <c r="D1566" s="1">
        <f>249.816</f>
        <v>249.816</v>
      </c>
      <c r="E1566" s="1">
        <f>4630</f>
        <v>4630</v>
      </c>
      <c r="F1566">
        <v>1608</v>
      </c>
      <c r="G1566">
        <v>1</v>
      </c>
      <c r="H1566">
        <v>0.2</v>
      </c>
      <c r="I1566">
        <v>0</v>
      </c>
      <c r="J1566">
        <v>-46.444499999999998</v>
      </c>
      <c r="K1566">
        <v>519.29499999999996</v>
      </c>
      <c r="L1566">
        <v>0</v>
      </c>
    </row>
    <row r="1567" spans="1:12" x14ac:dyDescent="0.25">
      <c r="A1567">
        <f>80351399*0.00001</f>
        <v>803.51399000000004</v>
      </c>
      <c r="B1567">
        <v>3494</v>
      </c>
      <c r="C1567">
        <v>114</v>
      </c>
      <c r="D1567">
        <v>249.816</v>
      </c>
      <c r="E1567">
        <v>4630</v>
      </c>
      <c r="F1567" s="1">
        <f>1608</f>
        <v>1608</v>
      </c>
      <c r="G1567" s="1">
        <f>1</f>
        <v>1</v>
      </c>
      <c r="H1567">
        <v>0.2</v>
      </c>
      <c r="I1567">
        <v>0</v>
      </c>
      <c r="J1567">
        <v>-46.444499999999998</v>
      </c>
      <c r="K1567">
        <v>519.29499999999996</v>
      </c>
      <c r="L1567">
        <v>0</v>
      </c>
    </row>
    <row r="1568" spans="1:12" x14ac:dyDescent="0.25">
      <c r="A1568">
        <f>80351532*0.00001</f>
        <v>803.51532000000009</v>
      </c>
      <c r="B1568">
        <v>3494</v>
      </c>
      <c r="C1568">
        <v>115</v>
      </c>
      <c r="D1568">
        <v>249.816</v>
      </c>
      <c r="E1568">
        <v>4630</v>
      </c>
      <c r="F1568">
        <v>1608</v>
      </c>
      <c r="G1568">
        <v>1</v>
      </c>
      <c r="H1568" s="1">
        <f>0.2</f>
        <v>0.2</v>
      </c>
      <c r="I1568" s="1">
        <f>0</f>
        <v>0</v>
      </c>
      <c r="J1568">
        <v>-46.444499999999998</v>
      </c>
      <c r="K1568">
        <v>519.29499999999996</v>
      </c>
      <c r="L1568">
        <v>0</v>
      </c>
    </row>
    <row r="1569" spans="1:12" x14ac:dyDescent="0.25">
      <c r="A1569">
        <f>80351665*0.00001</f>
        <v>803.51665000000003</v>
      </c>
      <c r="B1569">
        <v>3494</v>
      </c>
      <c r="C1569">
        <v>116</v>
      </c>
      <c r="D1569">
        <v>249.816</v>
      </c>
      <c r="E1569">
        <v>4630</v>
      </c>
      <c r="F1569">
        <v>1608</v>
      </c>
      <c r="G1569">
        <v>1</v>
      </c>
      <c r="H1569">
        <v>0.2</v>
      </c>
      <c r="I1569">
        <v>0</v>
      </c>
      <c r="J1569" s="1">
        <f>-46.1614</f>
        <v>-46.1614</v>
      </c>
      <c r="K1569" s="1">
        <f>519.266</f>
        <v>519.26599999999996</v>
      </c>
      <c r="L1569">
        <v>0</v>
      </c>
    </row>
    <row r="1570" spans="1:12" x14ac:dyDescent="0.25">
      <c r="A1570">
        <f>80351798*0.00001</f>
        <v>803.51798000000008</v>
      </c>
      <c r="B1570">
        <v>3494</v>
      </c>
      <c r="C1570">
        <v>117</v>
      </c>
      <c r="D1570" s="1">
        <f>249.732</f>
        <v>249.732</v>
      </c>
      <c r="E1570">
        <v>4630</v>
      </c>
      <c r="F1570">
        <v>1608</v>
      </c>
      <c r="G1570">
        <v>1</v>
      </c>
      <c r="H1570">
        <v>0.2</v>
      </c>
      <c r="I1570">
        <v>0</v>
      </c>
      <c r="J1570">
        <v>-46.1614</v>
      </c>
      <c r="K1570">
        <v>519.26599999999996</v>
      </c>
      <c r="L1570" s="1">
        <f>0</f>
        <v>0</v>
      </c>
    </row>
    <row r="1571" spans="1:12" x14ac:dyDescent="0.25">
      <c r="A1571">
        <f>80351932*0.00001</f>
        <v>803.51932000000011</v>
      </c>
      <c r="B1571">
        <v>3494</v>
      </c>
      <c r="C1571">
        <v>118</v>
      </c>
      <c r="D1571">
        <v>249.732</v>
      </c>
      <c r="E1571" s="1">
        <f>4633</f>
        <v>4633</v>
      </c>
      <c r="F1571" s="1">
        <f>1608</f>
        <v>1608</v>
      </c>
      <c r="G1571">
        <v>1</v>
      </c>
      <c r="H1571">
        <v>0.2</v>
      </c>
      <c r="I1571">
        <v>0</v>
      </c>
      <c r="J1571">
        <v>-46.1614</v>
      </c>
      <c r="K1571">
        <v>519.26599999999996</v>
      </c>
      <c r="L1571">
        <v>0</v>
      </c>
    </row>
    <row r="1572" spans="1:12" x14ac:dyDescent="0.25">
      <c r="A1572">
        <f>80352065*0.00001</f>
        <v>803.52065000000005</v>
      </c>
      <c r="B1572">
        <v>3494</v>
      </c>
      <c r="C1572">
        <v>119</v>
      </c>
      <c r="D1572">
        <v>249.732</v>
      </c>
      <c r="E1572">
        <v>4633</v>
      </c>
      <c r="F1572">
        <v>1608</v>
      </c>
      <c r="G1572" s="1">
        <f>1</f>
        <v>1</v>
      </c>
      <c r="H1572" s="1">
        <f>0.2</f>
        <v>0.2</v>
      </c>
      <c r="I1572">
        <v>0</v>
      </c>
      <c r="J1572">
        <v>-46.1614</v>
      </c>
      <c r="K1572">
        <v>519.26599999999996</v>
      </c>
      <c r="L1572">
        <v>0</v>
      </c>
    </row>
    <row r="1573" spans="1:12" x14ac:dyDescent="0.25">
      <c r="A1573">
        <f>80352198*0.00001</f>
        <v>803.5219800000001</v>
      </c>
      <c r="B1573">
        <v>3494</v>
      </c>
      <c r="C1573">
        <v>120</v>
      </c>
      <c r="D1573">
        <v>249.732</v>
      </c>
      <c r="E1573">
        <v>4633</v>
      </c>
      <c r="F1573">
        <v>1608</v>
      </c>
      <c r="G1573">
        <v>1</v>
      </c>
      <c r="H1573">
        <v>0.2</v>
      </c>
      <c r="I1573" s="1">
        <f>0</f>
        <v>0</v>
      </c>
      <c r="J1573" s="1">
        <f>-45.9642</f>
        <v>-45.964199999999998</v>
      </c>
      <c r="K1573">
        <v>519.26599999999996</v>
      </c>
      <c r="L1573">
        <v>0</v>
      </c>
    </row>
    <row r="1574" spans="1:12" x14ac:dyDescent="0.25">
      <c r="A1574">
        <f>80352331*0.00001</f>
        <v>803.52331000000004</v>
      </c>
      <c r="B1574">
        <v>3494</v>
      </c>
      <c r="C1574">
        <v>121</v>
      </c>
      <c r="D1574">
        <v>249.732</v>
      </c>
      <c r="E1574">
        <v>4633</v>
      </c>
      <c r="F1574">
        <v>1608</v>
      </c>
      <c r="G1574">
        <v>1</v>
      </c>
      <c r="H1574">
        <v>0.2</v>
      </c>
      <c r="I1574">
        <v>0</v>
      </c>
      <c r="J1574">
        <v>-45.964199999999998</v>
      </c>
      <c r="K1574" s="1">
        <f>519.229</f>
        <v>519.22900000000004</v>
      </c>
      <c r="L1574" s="1">
        <f>0</f>
        <v>0</v>
      </c>
    </row>
    <row r="1575" spans="1:12" x14ac:dyDescent="0.25">
      <c r="A1575">
        <f>80352465*0.00001</f>
        <v>803.52465000000007</v>
      </c>
      <c r="B1575">
        <v>3494</v>
      </c>
      <c r="C1575">
        <v>122</v>
      </c>
      <c r="D1575" s="1">
        <f>249.648</f>
        <v>249.648</v>
      </c>
      <c r="E1575" s="1">
        <f>4636</f>
        <v>4636</v>
      </c>
      <c r="F1575">
        <v>1608</v>
      </c>
      <c r="G1575">
        <v>1</v>
      </c>
      <c r="H1575">
        <v>0.2</v>
      </c>
      <c r="I1575">
        <v>0</v>
      </c>
      <c r="J1575">
        <v>-45.964199999999998</v>
      </c>
      <c r="K1575">
        <v>519.22900000000004</v>
      </c>
      <c r="L1575">
        <v>0</v>
      </c>
    </row>
    <row r="1576" spans="1:12" x14ac:dyDescent="0.25">
      <c r="A1576">
        <f>80352598*0.00001</f>
        <v>803.52598000000012</v>
      </c>
      <c r="B1576">
        <v>3494</v>
      </c>
      <c r="C1576">
        <v>123</v>
      </c>
      <c r="D1576">
        <v>249.648</v>
      </c>
      <c r="E1576">
        <v>4636</v>
      </c>
      <c r="F1576" s="1">
        <f>1608</f>
        <v>1608</v>
      </c>
      <c r="G1576" s="1">
        <f>1</f>
        <v>1</v>
      </c>
      <c r="H1576">
        <v>0.2</v>
      </c>
      <c r="I1576">
        <v>0</v>
      </c>
      <c r="J1576">
        <v>-45.964199999999998</v>
      </c>
      <c r="K1576">
        <v>519.22900000000004</v>
      </c>
      <c r="L1576">
        <v>0</v>
      </c>
    </row>
    <row r="1577" spans="1:12" x14ac:dyDescent="0.25">
      <c r="A1577">
        <f>80352731*0.00001</f>
        <v>803.52731000000006</v>
      </c>
      <c r="B1577">
        <v>3494</v>
      </c>
      <c r="C1577">
        <v>124</v>
      </c>
      <c r="D1577">
        <v>249.648</v>
      </c>
      <c r="E1577">
        <v>4636</v>
      </c>
      <c r="F1577">
        <v>1608</v>
      </c>
      <c r="G1577">
        <v>1</v>
      </c>
      <c r="H1577" s="1">
        <f>0.2</f>
        <v>0.2</v>
      </c>
      <c r="I1577" s="1">
        <f>0</f>
        <v>0</v>
      </c>
      <c r="J1577">
        <v>-45.964199999999998</v>
      </c>
      <c r="K1577">
        <v>519.22900000000004</v>
      </c>
      <c r="L1577">
        <v>0</v>
      </c>
    </row>
    <row r="1578" spans="1:12" x14ac:dyDescent="0.25">
      <c r="A1578">
        <f>80352864*0.00001</f>
        <v>803.52864000000011</v>
      </c>
      <c r="B1578">
        <v>3494</v>
      </c>
      <c r="C1578">
        <v>125</v>
      </c>
      <c r="D1578">
        <v>249.648</v>
      </c>
      <c r="E1578">
        <v>4636</v>
      </c>
      <c r="F1578">
        <v>1608</v>
      </c>
      <c r="G1578">
        <v>1</v>
      </c>
      <c r="H1578">
        <v>0.2</v>
      </c>
      <c r="I1578">
        <v>0</v>
      </c>
      <c r="J1578" s="1">
        <f>-45.7178</f>
        <v>-45.717799999999997</v>
      </c>
      <c r="K1578" s="1">
        <f>519.199</f>
        <v>519.19899999999996</v>
      </c>
      <c r="L1578">
        <v>0</v>
      </c>
    </row>
    <row r="1579" spans="1:12" x14ac:dyDescent="0.25">
      <c r="A1579">
        <f>80352997*0.00001</f>
        <v>803.52997000000005</v>
      </c>
      <c r="B1579">
        <v>3494</v>
      </c>
      <c r="C1579">
        <v>126</v>
      </c>
      <c r="D1579" s="1">
        <f>249.595</f>
        <v>249.595</v>
      </c>
      <c r="E1579">
        <v>4636</v>
      </c>
      <c r="F1579">
        <v>1608</v>
      </c>
      <c r="G1579">
        <v>1</v>
      </c>
      <c r="H1579">
        <v>0.2</v>
      </c>
      <c r="I1579">
        <v>0</v>
      </c>
      <c r="J1579">
        <v>-45.717799999999997</v>
      </c>
      <c r="K1579">
        <v>519.19899999999996</v>
      </c>
      <c r="L1579" s="1">
        <f>0</f>
        <v>0</v>
      </c>
    </row>
    <row r="1580" spans="1:12" x14ac:dyDescent="0.25">
      <c r="A1580">
        <f>80353130*0.00001</f>
        <v>803.5313000000001</v>
      </c>
      <c r="B1580">
        <v>3494</v>
      </c>
      <c r="C1580">
        <v>127</v>
      </c>
      <c r="D1580">
        <v>249.595</v>
      </c>
      <c r="E1580" s="1">
        <f>4638</f>
        <v>4638</v>
      </c>
      <c r="F1580" s="1">
        <f>1608</f>
        <v>1608</v>
      </c>
      <c r="G1580">
        <v>1</v>
      </c>
      <c r="H1580">
        <v>0.2</v>
      </c>
      <c r="I1580">
        <v>0</v>
      </c>
      <c r="J1580">
        <v>-45.717799999999997</v>
      </c>
      <c r="K1580">
        <v>519.19899999999996</v>
      </c>
      <c r="L1580">
        <v>0</v>
      </c>
    </row>
    <row r="1581" spans="1:12" x14ac:dyDescent="0.25">
      <c r="A1581">
        <f>80353263*0.00001</f>
        <v>803.53263000000004</v>
      </c>
      <c r="B1581">
        <v>3494</v>
      </c>
      <c r="C1581">
        <v>128</v>
      </c>
      <c r="D1581">
        <v>249.595</v>
      </c>
      <c r="E1581">
        <v>4638</v>
      </c>
      <c r="F1581">
        <v>1608</v>
      </c>
      <c r="G1581" s="1">
        <f>1</f>
        <v>1</v>
      </c>
      <c r="H1581" s="1">
        <f>0.2</f>
        <v>0.2</v>
      </c>
      <c r="I1581">
        <v>0</v>
      </c>
      <c r="J1581">
        <v>-45.717799999999997</v>
      </c>
      <c r="K1581">
        <v>519.19899999999996</v>
      </c>
      <c r="L1581">
        <v>0</v>
      </c>
    </row>
    <row r="1582" spans="1:12" x14ac:dyDescent="0.25">
      <c r="A1582">
        <f>80353397*0.00001</f>
        <v>803.53397000000007</v>
      </c>
      <c r="B1582">
        <v>3494</v>
      </c>
      <c r="C1582">
        <v>129</v>
      </c>
      <c r="D1582">
        <v>249.595</v>
      </c>
      <c r="E1582">
        <v>4638</v>
      </c>
      <c r="F1582">
        <v>1608</v>
      </c>
      <c r="G1582">
        <v>1</v>
      </c>
      <c r="H1582">
        <v>0.2</v>
      </c>
      <c r="I1582" s="1">
        <f>0</f>
        <v>0</v>
      </c>
      <c r="J1582" s="1">
        <f>-45.5287</f>
        <v>-45.528700000000001</v>
      </c>
      <c r="K1582">
        <v>519.19899999999996</v>
      </c>
      <c r="L1582">
        <v>0</v>
      </c>
    </row>
    <row r="1583" spans="1:12" x14ac:dyDescent="0.25">
      <c r="A1583">
        <f>80353531*0.00001</f>
        <v>803.53531000000009</v>
      </c>
      <c r="B1583">
        <v>3494</v>
      </c>
      <c r="C1583">
        <v>130</v>
      </c>
      <c r="D1583">
        <v>249.595</v>
      </c>
      <c r="E1583">
        <v>4638</v>
      </c>
      <c r="F1583">
        <v>1608</v>
      </c>
      <c r="G1583">
        <v>1</v>
      </c>
      <c r="H1583">
        <v>0.2</v>
      </c>
      <c r="I1583">
        <v>0</v>
      </c>
      <c r="J1583">
        <v>-45.528700000000001</v>
      </c>
      <c r="K1583" s="1">
        <f>519.163</f>
        <v>519.16300000000001</v>
      </c>
      <c r="L1583" s="1">
        <f>0</f>
        <v>0</v>
      </c>
    </row>
    <row r="1584" spans="1:12" x14ac:dyDescent="0.25">
      <c r="A1584">
        <f>80353665*0.00001</f>
        <v>803.53665000000012</v>
      </c>
      <c r="B1584">
        <v>3494</v>
      </c>
      <c r="C1584">
        <v>131</v>
      </c>
      <c r="D1584" s="1">
        <f>249.49</f>
        <v>249.49</v>
      </c>
      <c r="E1584" s="1">
        <f>4641</f>
        <v>4641</v>
      </c>
      <c r="F1584">
        <v>1608</v>
      </c>
      <c r="G1584">
        <v>1</v>
      </c>
      <c r="H1584">
        <v>0.2</v>
      </c>
      <c r="I1584">
        <v>0</v>
      </c>
      <c r="J1584">
        <v>-45.528700000000001</v>
      </c>
      <c r="K1584">
        <v>519.16300000000001</v>
      </c>
      <c r="L1584">
        <v>0</v>
      </c>
    </row>
    <row r="1585" spans="1:12" x14ac:dyDescent="0.25">
      <c r="A1585">
        <f>80353799*0.00001</f>
        <v>803.53799000000004</v>
      </c>
      <c r="B1585">
        <v>3494</v>
      </c>
      <c r="C1585">
        <v>132</v>
      </c>
      <c r="D1585">
        <v>249.49</v>
      </c>
      <c r="E1585">
        <v>4641</v>
      </c>
      <c r="F1585" s="1">
        <f>1608</f>
        <v>1608</v>
      </c>
      <c r="G1585" s="1">
        <f>1</f>
        <v>1</v>
      </c>
      <c r="H1585">
        <v>0.2</v>
      </c>
      <c r="I1585">
        <v>0</v>
      </c>
      <c r="J1585">
        <v>-45.528700000000001</v>
      </c>
      <c r="K1585">
        <v>519.16300000000001</v>
      </c>
      <c r="L1585">
        <v>0</v>
      </c>
    </row>
    <row r="1586" spans="1:12" x14ac:dyDescent="0.25">
      <c r="A1586">
        <f>80353933*0.00001</f>
        <v>803.53933000000006</v>
      </c>
      <c r="B1586">
        <v>3494</v>
      </c>
      <c r="C1586">
        <v>133</v>
      </c>
      <c r="D1586">
        <v>249.49</v>
      </c>
      <c r="E1586">
        <v>4641</v>
      </c>
      <c r="F1586">
        <v>1608</v>
      </c>
      <c r="G1586">
        <v>1</v>
      </c>
      <c r="H1586" s="1">
        <f>0.2</f>
        <v>0.2</v>
      </c>
      <c r="I1586" s="1">
        <f>0</f>
        <v>0</v>
      </c>
      <c r="J1586">
        <v>-45.528700000000001</v>
      </c>
      <c r="K1586">
        <v>519.16300000000001</v>
      </c>
      <c r="L1586">
        <v>0</v>
      </c>
    </row>
    <row r="1587" spans="1:12" x14ac:dyDescent="0.25">
      <c r="A1587">
        <f>80354067*0.00001</f>
        <v>803.54067000000009</v>
      </c>
      <c r="B1587">
        <v>3494</v>
      </c>
      <c r="C1587">
        <v>134</v>
      </c>
      <c r="D1587">
        <v>249.49</v>
      </c>
      <c r="E1587">
        <v>4641</v>
      </c>
      <c r="F1587">
        <v>1608</v>
      </c>
      <c r="G1587">
        <v>1</v>
      </c>
      <c r="H1587">
        <v>0.2</v>
      </c>
      <c r="I1587">
        <v>0</v>
      </c>
      <c r="J1587" s="1">
        <f>-45.2278</f>
        <v>-45.227800000000002</v>
      </c>
      <c r="K1587" s="1">
        <f>519.134</f>
        <v>519.13400000000001</v>
      </c>
      <c r="L1587">
        <v>0</v>
      </c>
    </row>
    <row r="1588" spans="1:12" x14ac:dyDescent="0.25">
      <c r="A1588">
        <f>80354200*0.00001</f>
        <v>803.54200000000003</v>
      </c>
      <c r="B1588">
        <v>3494</v>
      </c>
      <c r="C1588">
        <v>135</v>
      </c>
      <c r="D1588" s="1">
        <f>249.398</f>
        <v>249.398</v>
      </c>
      <c r="E1588">
        <v>4641</v>
      </c>
      <c r="F1588">
        <v>1608</v>
      </c>
      <c r="G1588">
        <v>1</v>
      </c>
      <c r="H1588">
        <v>0.2</v>
      </c>
      <c r="I1588">
        <v>0</v>
      </c>
      <c r="J1588">
        <v>-45.227800000000002</v>
      </c>
      <c r="K1588">
        <v>519.13400000000001</v>
      </c>
      <c r="L1588" s="1">
        <f>0</f>
        <v>0</v>
      </c>
    </row>
    <row r="1589" spans="1:12" x14ac:dyDescent="0.25">
      <c r="A1589">
        <f>80354333*0.00001</f>
        <v>803.54333000000008</v>
      </c>
      <c r="B1589">
        <v>3494</v>
      </c>
      <c r="C1589">
        <v>136</v>
      </c>
      <c r="D1589">
        <v>249.398</v>
      </c>
      <c r="E1589" s="1">
        <f>4644</f>
        <v>4644</v>
      </c>
      <c r="F1589" s="1">
        <f>1608</f>
        <v>1608</v>
      </c>
      <c r="G1589">
        <v>1</v>
      </c>
      <c r="H1589">
        <v>0.2</v>
      </c>
      <c r="I1589">
        <v>0</v>
      </c>
      <c r="J1589">
        <v>-45.227800000000002</v>
      </c>
      <c r="K1589">
        <v>519.13400000000001</v>
      </c>
      <c r="L1589">
        <v>0</v>
      </c>
    </row>
    <row r="1590" spans="1:12" x14ac:dyDescent="0.25">
      <c r="A1590">
        <f>80354466*0.00001</f>
        <v>803.54466000000002</v>
      </c>
      <c r="B1590">
        <v>3494</v>
      </c>
      <c r="C1590">
        <v>137</v>
      </c>
      <c r="D1590">
        <v>249.398</v>
      </c>
      <c r="E1590">
        <v>4644</v>
      </c>
      <c r="F1590">
        <v>1608</v>
      </c>
      <c r="G1590" s="1">
        <f>1</f>
        <v>1</v>
      </c>
      <c r="H1590" s="1">
        <f>0.2</f>
        <v>0.2</v>
      </c>
      <c r="I1590">
        <v>0</v>
      </c>
      <c r="J1590">
        <v>-45.227800000000002</v>
      </c>
      <c r="K1590">
        <v>519.13400000000001</v>
      </c>
      <c r="L1590">
        <v>0</v>
      </c>
    </row>
    <row r="1591" spans="1:12" x14ac:dyDescent="0.25">
      <c r="A1591">
        <f>80354599*0.00001</f>
        <v>803.54599000000007</v>
      </c>
      <c r="B1591">
        <v>3494</v>
      </c>
      <c r="C1591">
        <v>138</v>
      </c>
      <c r="D1591">
        <v>249.398</v>
      </c>
      <c r="E1591">
        <v>4644</v>
      </c>
      <c r="F1591">
        <v>1608</v>
      </c>
      <c r="G1591">
        <v>1</v>
      </c>
      <c r="H1591">
        <v>0.2</v>
      </c>
      <c r="I1591" s="1">
        <f>0</f>
        <v>0</v>
      </c>
      <c r="J1591" s="1">
        <f>-45.0248</f>
        <v>-45.024799999999999</v>
      </c>
      <c r="K1591">
        <v>519.13400000000001</v>
      </c>
      <c r="L1591">
        <v>0</v>
      </c>
    </row>
    <row r="1592" spans="1:12" x14ac:dyDescent="0.25">
      <c r="A1592">
        <f>80354732*0.00001</f>
        <v>803.54732000000001</v>
      </c>
      <c r="B1592">
        <v>3494</v>
      </c>
      <c r="C1592">
        <v>139</v>
      </c>
      <c r="D1592">
        <v>249.398</v>
      </c>
      <c r="E1592">
        <v>4644</v>
      </c>
      <c r="F1592">
        <v>1608</v>
      </c>
      <c r="G1592">
        <v>1</v>
      </c>
      <c r="H1592">
        <v>0.2</v>
      </c>
      <c r="I1592">
        <v>0</v>
      </c>
      <c r="J1592">
        <v>-45.024799999999999</v>
      </c>
      <c r="K1592" s="1">
        <f>519.097</f>
        <v>519.09699999999998</v>
      </c>
      <c r="L1592" s="1">
        <f>0</f>
        <v>0</v>
      </c>
    </row>
    <row r="1593" spans="1:12" x14ac:dyDescent="0.25">
      <c r="A1593">
        <f>80354865*0.00001</f>
        <v>803.54865000000007</v>
      </c>
      <c r="B1593">
        <v>3494</v>
      </c>
      <c r="C1593">
        <v>140</v>
      </c>
      <c r="D1593" s="1">
        <f>249.305</f>
        <v>249.30500000000001</v>
      </c>
      <c r="E1593" s="1">
        <f>4647</f>
        <v>4647</v>
      </c>
      <c r="F1593">
        <v>1608</v>
      </c>
      <c r="G1593">
        <v>1</v>
      </c>
      <c r="H1593">
        <v>0.2</v>
      </c>
      <c r="I1593">
        <v>0</v>
      </c>
      <c r="J1593">
        <v>-45.024799999999999</v>
      </c>
      <c r="K1593">
        <v>519.09699999999998</v>
      </c>
      <c r="L1593">
        <v>0</v>
      </c>
    </row>
    <row r="1594" spans="1:12" x14ac:dyDescent="0.25">
      <c r="A1594">
        <f>80354998*0.00001</f>
        <v>803.54998000000012</v>
      </c>
      <c r="B1594">
        <v>3494</v>
      </c>
      <c r="C1594">
        <v>141</v>
      </c>
      <c r="D1594">
        <v>249.30500000000001</v>
      </c>
      <c r="E1594">
        <v>4647</v>
      </c>
      <c r="F1594" s="1">
        <f>1608</f>
        <v>1608</v>
      </c>
      <c r="G1594" s="1">
        <f>1</f>
        <v>1</v>
      </c>
      <c r="H1594">
        <v>0.2</v>
      </c>
      <c r="I1594">
        <v>0</v>
      </c>
      <c r="J1594">
        <v>-45.024799999999999</v>
      </c>
      <c r="K1594">
        <v>519.09699999999998</v>
      </c>
      <c r="L1594">
        <v>0</v>
      </c>
    </row>
    <row r="1595" spans="1:12" x14ac:dyDescent="0.25">
      <c r="A1595">
        <f>80355131*0.00001</f>
        <v>803.55131000000006</v>
      </c>
      <c r="B1595">
        <v>3494</v>
      </c>
      <c r="C1595">
        <v>142</v>
      </c>
      <c r="D1595">
        <v>249.30500000000001</v>
      </c>
      <c r="E1595">
        <v>4647</v>
      </c>
      <c r="F1595">
        <v>1608</v>
      </c>
      <c r="G1595">
        <v>1</v>
      </c>
      <c r="H1595" s="1">
        <f>0.2</f>
        <v>0.2</v>
      </c>
      <c r="I1595" s="1">
        <f>0</f>
        <v>0</v>
      </c>
      <c r="J1595">
        <v>-45.024799999999999</v>
      </c>
      <c r="K1595">
        <v>519.09699999999998</v>
      </c>
      <c r="L1595">
        <v>0</v>
      </c>
    </row>
    <row r="1596" spans="1:12" x14ac:dyDescent="0.25">
      <c r="A1596">
        <f>80355264*0.00001</f>
        <v>803.55264000000011</v>
      </c>
      <c r="B1596">
        <v>3494</v>
      </c>
      <c r="C1596">
        <v>143</v>
      </c>
      <c r="D1596">
        <v>249.30500000000001</v>
      </c>
      <c r="E1596">
        <v>4647</v>
      </c>
      <c r="F1596">
        <v>1608</v>
      </c>
      <c r="G1596">
        <v>1</v>
      </c>
      <c r="H1596">
        <v>0.2</v>
      </c>
      <c r="I1596">
        <v>0</v>
      </c>
      <c r="J1596" s="1">
        <f>-44.7708</f>
        <v>-44.770800000000001</v>
      </c>
      <c r="K1596" s="1">
        <f>519.069</f>
        <v>519.06899999999996</v>
      </c>
      <c r="L1596">
        <v>0</v>
      </c>
    </row>
    <row r="1597" spans="1:12" x14ac:dyDescent="0.25">
      <c r="A1597">
        <f>80355398*0.00001</f>
        <v>803.55398000000002</v>
      </c>
      <c r="B1597">
        <v>3494</v>
      </c>
      <c r="C1597">
        <v>144</v>
      </c>
      <c r="D1597" s="1">
        <f>249.247</f>
        <v>249.24700000000001</v>
      </c>
      <c r="E1597">
        <v>4647</v>
      </c>
      <c r="F1597">
        <v>1608</v>
      </c>
      <c r="G1597">
        <v>1</v>
      </c>
      <c r="H1597">
        <v>0.2</v>
      </c>
      <c r="I1597">
        <v>0</v>
      </c>
      <c r="J1597">
        <v>-44.770800000000001</v>
      </c>
      <c r="K1597">
        <v>519.06899999999996</v>
      </c>
      <c r="L1597" s="1">
        <f>0</f>
        <v>0</v>
      </c>
    </row>
    <row r="1598" spans="1:12" x14ac:dyDescent="0.25">
      <c r="A1598">
        <f>80355532*0.00001</f>
        <v>803.55532000000005</v>
      </c>
      <c r="B1598">
        <v>3494</v>
      </c>
      <c r="C1598">
        <v>145</v>
      </c>
      <c r="D1598">
        <v>249.24700000000001</v>
      </c>
      <c r="E1598" s="1">
        <f>4649</f>
        <v>4649</v>
      </c>
      <c r="F1598" s="1">
        <f>1608</f>
        <v>1608</v>
      </c>
      <c r="G1598">
        <v>1</v>
      </c>
      <c r="H1598">
        <v>0.2</v>
      </c>
      <c r="I1598">
        <v>0</v>
      </c>
      <c r="J1598">
        <v>-44.770800000000001</v>
      </c>
      <c r="K1598">
        <v>519.06899999999996</v>
      </c>
      <c r="L1598">
        <v>0</v>
      </c>
    </row>
    <row r="1599" spans="1:12" x14ac:dyDescent="0.25">
      <c r="A1599">
        <f>80355666*0.00001</f>
        <v>803.55666000000008</v>
      </c>
      <c r="B1599">
        <v>3494</v>
      </c>
      <c r="C1599">
        <v>146</v>
      </c>
      <c r="D1599">
        <v>249.24700000000001</v>
      </c>
      <c r="E1599">
        <v>4649</v>
      </c>
      <c r="F1599">
        <v>1608</v>
      </c>
      <c r="G1599" s="1">
        <f>1</f>
        <v>1</v>
      </c>
      <c r="H1599" s="1">
        <f>0.2</f>
        <v>0.2</v>
      </c>
      <c r="I1599">
        <v>0</v>
      </c>
      <c r="J1599">
        <v>-44.770800000000001</v>
      </c>
      <c r="K1599">
        <v>519.06899999999996</v>
      </c>
      <c r="L1599">
        <v>0</v>
      </c>
    </row>
    <row r="1600" spans="1:12" x14ac:dyDescent="0.25">
      <c r="A1600">
        <f>80355800*0.00001</f>
        <v>803.55800000000011</v>
      </c>
      <c r="B1600">
        <v>3494</v>
      </c>
      <c r="C1600">
        <v>147</v>
      </c>
      <c r="D1600">
        <v>249.24700000000001</v>
      </c>
      <c r="E1600">
        <v>4649</v>
      </c>
      <c r="F1600">
        <v>1608</v>
      </c>
      <c r="G1600">
        <v>1</v>
      </c>
      <c r="H1600">
        <v>0.2</v>
      </c>
      <c r="I1600" s="1">
        <f>0</f>
        <v>0</v>
      </c>
      <c r="J1600" s="1">
        <f>-44.5707</f>
        <v>-44.570700000000002</v>
      </c>
      <c r="K1600">
        <v>519.06899999999996</v>
      </c>
      <c r="L1600">
        <v>0</v>
      </c>
    </row>
    <row r="1601" spans="1:12" x14ac:dyDescent="0.25">
      <c r="A1601">
        <f>80355934*0.00001</f>
        <v>803.55934000000002</v>
      </c>
      <c r="B1601">
        <v>3494</v>
      </c>
      <c r="C1601">
        <v>148</v>
      </c>
      <c r="D1601">
        <v>249.24700000000001</v>
      </c>
      <c r="E1601">
        <v>4649</v>
      </c>
      <c r="F1601">
        <v>1608</v>
      </c>
      <c r="G1601">
        <v>1</v>
      </c>
      <c r="H1601">
        <v>0.2</v>
      </c>
      <c r="I1601">
        <v>0</v>
      </c>
      <c r="J1601">
        <v>-44.570700000000002</v>
      </c>
      <c r="K1601" s="1">
        <f>519.033</f>
        <v>519.03300000000002</v>
      </c>
      <c r="L1601" s="1">
        <f>0</f>
        <v>0</v>
      </c>
    </row>
    <row r="1602" spans="1:12" x14ac:dyDescent="0.25">
      <c r="A1602">
        <f>80356068*0.00001</f>
        <v>803.56068000000005</v>
      </c>
      <c r="B1602">
        <v>3494</v>
      </c>
      <c r="C1602">
        <v>149</v>
      </c>
      <c r="D1602" s="1">
        <f>249.17</f>
        <v>249.17</v>
      </c>
      <c r="E1602" s="1">
        <f>4651</f>
        <v>4651</v>
      </c>
      <c r="F1602">
        <v>1608</v>
      </c>
      <c r="G1602">
        <v>1</v>
      </c>
      <c r="H1602">
        <v>0.2</v>
      </c>
      <c r="I1602">
        <v>0</v>
      </c>
      <c r="J1602">
        <v>-44.570700000000002</v>
      </c>
      <c r="K1602">
        <v>519.03300000000002</v>
      </c>
      <c r="L1602">
        <v>0</v>
      </c>
    </row>
    <row r="1603" spans="1:12" x14ac:dyDescent="0.25">
      <c r="A1603">
        <f>80356202*0.00001</f>
        <v>803.56202000000008</v>
      </c>
      <c r="B1603">
        <v>3494</v>
      </c>
      <c r="C1603">
        <v>150</v>
      </c>
      <c r="D1603">
        <v>249.17</v>
      </c>
      <c r="E1603">
        <v>4651</v>
      </c>
      <c r="F1603" s="1">
        <f>1608</f>
        <v>1608</v>
      </c>
      <c r="G1603" s="1">
        <f>1</f>
        <v>1</v>
      </c>
      <c r="H1603">
        <v>0.2</v>
      </c>
      <c r="I1603">
        <v>0</v>
      </c>
      <c r="J1603">
        <v>-44.570700000000002</v>
      </c>
      <c r="K1603">
        <v>519.03300000000002</v>
      </c>
      <c r="L1603">
        <v>0</v>
      </c>
    </row>
    <row r="1604" spans="1:12" x14ac:dyDescent="0.25">
      <c r="A1604">
        <f>80356336*0.00001</f>
        <v>803.5633600000001</v>
      </c>
      <c r="B1604">
        <v>3494</v>
      </c>
      <c r="C1604">
        <v>151</v>
      </c>
      <c r="D1604">
        <v>249.17</v>
      </c>
      <c r="E1604">
        <v>4651</v>
      </c>
      <c r="F1604">
        <v>1608</v>
      </c>
      <c r="G1604">
        <v>1</v>
      </c>
      <c r="H1604" s="1">
        <f>0.2</f>
        <v>0.2</v>
      </c>
      <c r="I1604" s="1">
        <f>0</f>
        <v>0</v>
      </c>
      <c r="J1604">
        <v>-44.570700000000002</v>
      </c>
      <c r="K1604">
        <v>519.03300000000002</v>
      </c>
      <c r="L1604">
        <v>0</v>
      </c>
    </row>
    <row r="1605" spans="1:12" x14ac:dyDescent="0.25">
      <c r="A1605">
        <f>80356469*0.00001</f>
        <v>803.56469000000004</v>
      </c>
      <c r="B1605">
        <v>3494</v>
      </c>
      <c r="C1605">
        <v>152</v>
      </c>
      <c r="D1605">
        <v>249.17</v>
      </c>
      <c r="E1605">
        <v>4651</v>
      </c>
      <c r="F1605">
        <v>1608</v>
      </c>
      <c r="G1605">
        <v>1</v>
      </c>
      <c r="H1605">
        <v>0.2</v>
      </c>
      <c r="I1605">
        <v>0</v>
      </c>
      <c r="J1605" s="1">
        <f>-44.3021</f>
        <v>-44.302100000000003</v>
      </c>
      <c r="K1605" s="1">
        <f>519.004</f>
        <v>519.00400000000002</v>
      </c>
      <c r="L1605">
        <v>0</v>
      </c>
    </row>
    <row r="1606" spans="1:12" x14ac:dyDescent="0.25">
      <c r="A1606">
        <f>80356602*0.00001</f>
        <v>803.56602000000009</v>
      </c>
      <c r="B1606">
        <v>3494</v>
      </c>
      <c r="C1606">
        <v>153</v>
      </c>
      <c r="D1606" s="1">
        <f>249.068</f>
        <v>249.06800000000001</v>
      </c>
      <c r="E1606">
        <v>4651</v>
      </c>
      <c r="F1606">
        <v>1608</v>
      </c>
      <c r="G1606">
        <v>1</v>
      </c>
      <c r="H1606">
        <v>0.2</v>
      </c>
      <c r="I1606">
        <v>0</v>
      </c>
      <c r="J1606">
        <v>-44.302100000000003</v>
      </c>
      <c r="K1606">
        <v>519.00400000000002</v>
      </c>
      <c r="L1606" s="1">
        <f>0</f>
        <v>0</v>
      </c>
    </row>
    <row r="1607" spans="1:12" x14ac:dyDescent="0.25">
      <c r="A1607">
        <f>80356735*0.00001</f>
        <v>803.56735000000003</v>
      </c>
      <c r="B1607">
        <v>3494</v>
      </c>
      <c r="C1607">
        <v>154</v>
      </c>
      <c r="D1607">
        <v>249.06800000000001</v>
      </c>
      <c r="E1607" s="1">
        <f>4654</f>
        <v>4654</v>
      </c>
      <c r="F1607" s="1">
        <f>1608</f>
        <v>1608</v>
      </c>
      <c r="G1607">
        <v>1</v>
      </c>
      <c r="H1607">
        <v>0.2</v>
      </c>
      <c r="I1607">
        <v>0</v>
      </c>
      <c r="J1607">
        <v>-44.302100000000003</v>
      </c>
      <c r="K1607">
        <v>519.00400000000002</v>
      </c>
      <c r="L1607">
        <v>0</v>
      </c>
    </row>
    <row r="1608" spans="1:12" x14ac:dyDescent="0.25">
      <c r="A1608">
        <f>80356869*0.00001</f>
        <v>803.56869000000006</v>
      </c>
      <c r="B1608">
        <v>3494</v>
      </c>
      <c r="C1608">
        <v>155</v>
      </c>
      <c r="D1608">
        <v>249.06800000000001</v>
      </c>
      <c r="E1608">
        <v>4654</v>
      </c>
      <c r="F1608">
        <v>1608</v>
      </c>
      <c r="G1608" s="1">
        <f>1</f>
        <v>1</v>
      </c>
      <c r="H1608" s="1">
        <f>0.2</f>
        <v>0.2</v>
      </c>
      <c r="I1608">
        <v>0</v>
      </c>
      <c r="J1608">
        <v>-44.302100000000003</v>
      </c>
      <c r="K1608">
        <v>519.00400000000002</v>
      </c>
      <c r="L1608">
        <v>0</v>
      </c>
    </row>
    <row r="1609" spans="1:12" x14ac:dyDescent="0.25">
      <c r="A1609">
        <f>80357003*0.00001</f>
        <v>803.57003000000009</v>
      </c>
      <c r="B1609">
        <v>3494</v>
      </c>
      <c r="C1609">
        <v>156</v>
      </c>
      <c r="D1609">
        <v>249.06800000000001</v>
      </c>
      <c r="E1609">
        <v>4654</v>
      </c>
      <c r="F1609">
        <v>1608</v>
      </c>
      <c r="G1609">
        <v>1</v>
      </c>
      <c r="H1609">
        <v>0.2</v>
      </c>
      <c r="I1609" s="1">
        <f>0</f>
        <v>0</v>
      </c>
      <c r="J1609" s="1">
        <f>-44.0645</f>
        <v>-44.064500000000002</v>
      </c>
      <c r="K1609">
        <v>519.00400000000002</v>
      </c>
      <c r="L1609">
        <v>0</v>
      </c>
    </row>
    <row r="1610" spans="1:12" x14ac:dyDescent="0.25">
      <c r="A1610">
        <f>80357137*0.00001</f>
        <v>803.57137000000012</v>
      </c>
      <c r="B1610">
        <v>3494</v>
      </c>
      <c r="C1610">
        <v>157</v>
      </c>
      <c r="D1610">
        <v>249.06800000000001</v>
      </c>
      <c r="E1610">
        <v>4654</v>
      </c>
      <c r="F1610">
        <v>1608</v>
      </c>
      <c r="G1610">
        <v>1</v>
      </c>
      <c r="H1610">
        <v>0.2</v>
      </c>
      <c r="I1610">
        <v>0</v>
      </c>
      <c r="J1610">
        <v>-44.064500000000002</v>
      </c>
      <c r="K1610" s="1">
        <f>518.969</f>
        <v>518.96900000000005</v>
      </c>
      <c r="L1610" s="1">
        <f>0</f>
        <v>0</v>
      </c>
    </row>
    <row r="1611" spans="1:12" x14ac:dyDescent="0.25">
      <c r="A1611">
        <f>80357271*0.00001</f>
        <v>803.57271000000003</v>
      </c>
      <c r="B1611">
        <v>3494</v>
      </c>
      <c r="C1611">
        <v>158</v>
      </c>
      <c r="D1611" s="1">
        <f>248.966</f>
        <v>248.96600000000001</v>
      </c>
      <c r="E1611" s="1">
        <f>4658</f>
        <v>4658</v>
      </c>
      <c r="F1611">
        <v>1608</v>
      </c>
      <c r="G1611">
        <v>1</v>
      </c>
      <c r="H1611">
        <v>0.2</v>
      </c>
      <c r="I1611">
        <v>0</v>
      </c>
      <c r="J1611">
        <v>-44.064500000000002</v>
      </c>
      <c r="K1611">
        <v>518.96900000000005</v>
      </c>
      <c r="L1611">
        <v>0</v>
      </c>
    </row>
    <row r="1612" spans="1:12" x14ac:dyDescent="0.25">
      <c r="A1612">
        <f>80357405*0.00001</f>
        <v>803.57405000000006</v>
      </c>
      <c r="B1612">
        <v>3494</v>
      </c>
      <c r="C1612">
        <v>159</v>
      </c>
      <c r="D1612">
        <v>248.96600000000001</v>
      </c>
      <c r="E1612">
        <v>4658</v>
      </c>
      <c r="F1612" s="1">
        <f>1608</f>
        <v>1608</v>
      </c>
      <c r="G1612" s="1">
        <f>1</f>
        <v>1</v>
      </c>
      <c r="H1612">
        <v>0.2</v>
      </c>
      <c r="I1612">
        <v>0</v>
      </c>
      <c r="J1612">
        <v>-44.064500000000002</v>
      </c>
      <c r="K1612">
        <v>518.96900000000005</v>
      </c>
      <c r="L1612">
        <v>0</v>
      </c>
    </row>
    <row r="1613" spans="1:12" x14ac:dyDescent="0.25">
      <c r="A1613">
        <f>80357538*0.00001</f>
        <v>803.57538000000011</v>
      </c>
      <c r="B1613">
        <v>3494</v>
      </c>
      <c r="C1613">
        <v>160</v>
      </c>
      <c r="D1613">
        <v>248.96600000000001</v>
      </c>
      <c r="E1613">
        <v>4658</v>
      </c>
      <c r="F1613">
        <v>1608</v>
      </c>
      <c r="G1613">
        <v>1</v>
      </c>
      <c r="H1613" s="1">
        <f>0.2</f>
        <v>0.2</v>
      </c>
      <c r="I1613" s="1">
        <f>0</f>
        <v>0</v>
      </c>
      <c r="J1613">
        <v>-44.064500000000002</v>
      </c>
      <c r="K1613">
        <v>518.96900000000005</v>
      </c>
      <c r="L1613">
        <v>0</v>
      </c>
    </row>
    <row r="1614" spans="1:12" x14ac:dyDescent="0.25">
      <c r="A1614">
        <f>80357671*0.00001</f>
        <v>803.57671000000005</v>
      </c>
      <c r="B1614">
        <v>3494</v>
      </c>
      <c r="C1614">
        <v>161</v>
      </c>
      <c r="D1614">
        <v>248.96600000000001</v>
      </c>
      <c r="E1614">
        <v>4658</v>
      </c>
      <c r="F1614">
        <v>1608</v>
      </c>
      <c r="G1614">
        <v>1</v>
      </c>
      <c r="H1614">
        <v>0.2</v>
      </c>
      <c r="I1614">
        <v>0</v>
      </c>
      <c r="J1614" s="1">
        <f>-43.8281</f>
        <v>-43.828099999999999</v>
      </c>
      <c r="K1614" s="1">
        <f>518.94</f>
        <v>518.94000000000005</v>
      </c>
      <c r="L1614">
        <v>0</v>
      </c>
    </row>
    <row r="1615" spans="1:12" x14ac:dyDescent="0.25">
      <c r="A1615">
        <f>80357804*0.00001</f>
        <v>803.5780400000001</v>
      </c>
      <c r="B1615">
        <v>3494</v>
      </c>
      <c r="C1615">
        <v>162</v>
      </c>
      <c r="D1615" s="1">
        <f>248.903</f>
        <v>248.90299999999999</v>
      </c>
      <c r="E1615">
        <v>4658</v>
      </c>
      <c r="F1615">
        <v>1608</v>
      </c>
      <c r="G1615">
        <v>1</v>
      </c>
      <c r="H1615">
        <v>0.2</v>
      </c>
      <c r="I1615">
        <v>0</v>
      </c>
      <c r="J1615">
        <v>-43.828099999999999</v>
      </c>
      <c r="K1615">
        <v>518.94000000000005</v>
      </c>
      <c r="L1615" s="1">
        <f>0</f>
        <v>0</v>
      </c>
    </row>
    <row r="1616" spans="1:12" x14ac:dyDescent="0.25">
      <c r="A1616">
        <f>80357938*0.00001</f>
        <v>803.57938000000001</v>
      </c>
      <c r="B1616">
        <v>3494</v>
      </c>
      <c r="C1616">
        <v>163</v>
      </c>
      <c r="D1616">
        <v>248.90299999999999</v>
      </c>
      <c r="E1616" s="1">
        <f>4660</f>
        <v>4660</v>
      </c>
      <c r="F1616" s="1">
        <f>1608</f>
        <v>1608</v>
      </c>
      <c r="G1616">
        <v>1</v>
      </c>
      <c r="H1616">
        <v>0.2</v>
      </c>
      <c r="I1616">
        <v>0</v>
      </c>
      <c r="J1616">
        <v>-43.828099999999999</v>
      </c>
      <c r="K1616">
        <v>518.94000000000005</v>
      </c>
      <c r="L1616">
        <v>0</v>
      </c>
    </row>
    <row r="1617" spans="1:12" x14ac:dyDescent="0.25">
      <c r="A1617">
        <f>80358072*0.00001</f>
        <v>803.58072000000004</v>
      </c>
      <c r="B1617">
        <v>3494</v>
      </c>
      <c r="C1617">
        <v>164</v>
      </c>
      <c r="D1617">
        <v>248.90299999999999</v>
      </c>
      <c r="E1617">
        <v>4660</v>
      </c>
      <c r="F1617">
        <v>1608</v>
      </c>
      <c r="G1617" s="1">
        <f>1</f>
        <v>1</v>
      </c>
      <c r="H1617" s="1">
        <f>0.2</f>
        <v>0.2</v>
      </c>
      <c r="I1617">
        <v>0</v>
      </c>
      <c r="J1617">
        <v>-43.828099999999999</v>
      </c>
      <c r="K1617">
        <v>518.94000000000005</v>
      </c>
      <c r="L1617">
        <v>0</v>
      </c>
    </row>
    <row r="1618" spans="1:12" x14ac:dyDescent="0.25">
      <c r="A1618">
        <f>80358206*0.00001</f>
        <v>803.58206000000007</v>
      </c>
      <c r="B1618">
        <v>3494</v>
      </c>
      <c r="C1618">
        <v>165</v>
      </c>
      <c r="D1618">
        <v>248.90299999999999</v>
      </c>
      <c r="E1618">
        <v>4660</v>
      </c>
      <c r="F1618">
        <v>1608</v>
      </c>
      <c r="G1618">
        <v>1</v>
      </c>
      <c r="H1618">
        <v>0.2</v>
      </c>
      <c r="I1618" s="1">
        <f>0</f>
        <v>0</v>
      </c>
      <c r="J1618" s="1">
        <f>-43.6226</f>
        <v>-43.622599999999998</v>
      </c>
      <c r="K1618">
        <v>518.94000000000005</v>
      </c>
      <c r="L1618">
        <v>0</v>
      </c>
    </row>
    <row r="1619" spans="1:12" x14ac:dyDescent="0.25">
      <c r="A1619">
        <f>80358340*0.00001</f>
        <v>803.5834000000001</v>
      </c>
      <c r="B1619">
        <v>3494</v>
      </c>
      <c r="C1619">
        <v>166</v>
      </c>
      <c r="D1619">
        <v>248.90299999999999</v>
      </c>
      <c r="E1619">
        <v>4660</v>
      </c>
      <c r="F1619">
        <v>1608</v>
      </c>
      <c r="G1619">
        <v>1</v>
      </c>
      <c r="H1619">
        <v>0.2</v>
      </c>
      <c r="I1619">
        <v>0</v>
      </c>
      <c r="J1619">
        <v>-43.622599999999998</v>
      </c>
      <c r="K1619" s="1">
        <f>518.905</f>
        <v>518.90499999999997</v>
      </c>
      <c r="L1619" s="1">
        <f>0</f>
        <v>0</v>
      </c>
    </row>
    <row r="1620" spans="1:12" x14ac:dyDescent="0.25">
      <c r="A1620">
        <f>80358473*0.00001</f>
        <v>803.58473000000004</v>
      </c>
      <c r="B1620">
        <v>3494</v>
      </c>
      <c r="C1620">
        <v>167</v>
      </c>
      <c r="D1620" s="1">
        <f>248.838</f>
        <v>248.83799999999999</v>
      </c>
      <c r="E1620" s="1">
        <f>4662</f>
        <v>4662</v>
      </c>
      <c r="F1620">
        <v>1608</v>
      </c>
      <c r="G1620">
        <v>1</v>
      </c>
      <c r="H1620">
        <v>0.2</v>
      </c>
      <c r="I1620">
        <v>0</v>
      </c>
      <c r="J1620">
        <v>-43.622599999999998</v>
      </c>
      <c r="K1620">
        <v>518.90499999999997</v>
      </c>
      <c r="L1620">
        <v>0</v>
      </c>
    </row>
    <row r="1621" spans="1:12" x14ac:dyDescent="0.25">
      <c r="A1621">
        <f>80358606*0.00001</f>
        <v>803.58606000000009</v>
      </c>
      <c r="B1621">
        <v>3494</v>
      </c>
      <c r="C1621">
        <v>168</v>
      </c>
      <c r="D1621">
        <v>248.83799999999999</v>
      </c>
      <c r="E1621">
        <v>4662</v>
      </c>
      <c r="F1621" s="1">
        <f>1608</f>
        <v>1608</v>
      </c>
      <c r="G1621" s="1">
        <f>1</f>
        <v>1</v>
      </c>
      <c r="H1621">
        <v>0.2</v>
      </c>
      <c r="I1621">
        <v>0</v>
      </c>
      <c r="J1621">
        <v>-43.622599999999998</v>
      </c>
      <c r="K1621">
        <v>518.90499999999997</v>
      </c>
      <c r="L1621">
        <v>0</v>
      </c>
    </row>
    <row r="1622" spans="1:12" x14ac:dyDescent="0.25">
      <c r="A1622">
        <f>80358739*0.00001</f>
        <v>803.58739000000003</v>
      </c>
      <c r="B1622">
        <v>3494</v>
      </c>
      <c r="C1622">
        <v>169</v>
      </c>
      <c r="D1622">
        <v>248.83799999999999</v>
      </c>
      <c r="E1622">
        <v>4662</v>
      </c>
      <c r="F1622">
        <v>1608</v>
      </c>
      <c r="G1622">
        <v>1</v>
      </c>
      <c r="H1622" s="1">
        <f>0.2</f>
        <v>0.2</v>
      </c>
      <c r="I1622" s="1">
        <f>0</f>
        <v>0</v>
      </c>
      <c r="J1622">
        <v>-43.622599999999998</v>
      </c>
      <c r="K1622">
        <v>518.90499999999997</v>
      </c>
      <c r="L1622">
        <v>0</v>
      </c>
    </row>
    <row r="1623" spans="1:12" x14ac:dyDescent="0.25">
      <c r="A1623">
        <f>80358873*0.00001</f>
        <v>803.58873000000006</v>
      </c>
      <c r="B1623">
        <v>3494</v>
      </c>
      <c r="C1623">
        <v>170</v>
      </c>
      <c r="D1623">
        <v>248.83799999999999</v>
      </c>
      <c r="E1623">
        <v>4662</v>
      </c>
      <c r="F1623">
        <v>1608</v>
      </c>
      <c r="G1623">
        <v>1</v>
      </c>
      <c r="H1623">
        <v>0.2</v>
      </c>
      <c r="I1623">
        <v>0</v>
      </c>
      <c r="J1623" s="1">
        <f>-43.3904</f>
        <v>-43.3904</v>
      </c>
      <c r="K1623" s="1">
        <f>518.877</f>
        <v>518.87699999999995</v>
      </c>
      <c r="L1623">
        <v>0</v>
      </c>
    </row>
    <row r="1624" spans="1:12" x14ac:dyDescent="0.25">
      <c r="A1624">
        <f>80359007*0.00001</f>
        <v>803.59007000000008</v>
      </c>
      <c r="B1624">
        <v>3494</v>
      </c>
      <c r="C1624">
        <v>171</v>
      </c>
      <c r="D1624" s="1">
        <f>248.753</f>
        <v>248.75299999999999</v>
      </c>
      <c r="E1624">
        <v>4662</v>
      </c>
      <c r="F1624">
        <v>1608</v>
      </c>
      <c r="G1624">
        <v>1</v>
      </c>
      <c r="H1624">
        <v>0.2</v>
      </c>
      <c r="I1624">
        <v>0</v>
      </c>
      <c r="J1624">
        <v>-43.3904</v>
      </c>
      <c r="K1624">
        <v>518.87699999999995</v>
      </c>
      <c r="L1624" s="1">
        <f>0</f>
        <v>0</v>
      </c>
    </row>
    <row r="1625" spans="1:12" x14ac:dyDescent="0.25">
      <c r="A1625">
        <f>80359140*0.00001</f>
        <v>803.59140000000002</v>
      </c>
      <c r="B1625">
        <v>3494</v>
      </c>
      <c r="C1625">
        <v>172</v>
      </c>
      <c r="D1625">
        <v>248.75299999999999</v>
      </c>
      <c r="E1625" s="1">
        <f>4665</f>
        <v>4665</v>
      </c>
      <c r="F1625" s="1">
        <f>1608</f>
        <v>1608</v>
      </c>
      <c r="G1625">
        <v>1</v>
      </c>
      <c r="H1625">
        <v>0.2</v>
      </c>
      <c r="I1625">
        <v>0</v>
      </c>
      <c r="J1625">
        <v>-43.3904</v>
      </c>
      <c r="K1625">
        <v>518.87699999999995</v>
      </c>
      <c r="L1625">
        <v>0</v>
      </c>
    </row>
    <row r="1626" spans="1:12" x14ac:dyDescent="0.25">
      <c r="A1626">
        <f>80359274*0.00001</f>
        <v>803.59274000000005</v>
      </c>
      <c r="B1626">
        <v>3494</v>
      </c>
      <c r="C1626">
        <v>173</v>
      </c>
      <c r="D1626">
        <v>248.75299999999999</v>
      </c>
      <c r="E1626">
        <v>4665</v>
      </c>
      <c r="F1626">
        <v>1608</v>
      </c>
      <c r="G1626" s="1">
        <f>1</f>
        <v>1</v>
      </c>
      <c r="H1626" s="1">
        <f>0.2</f>
        <v>0.2</v>
      </c>
      <c r="I1626">
        <v>0</v>
      </c>
      <c r="J1626">
        <v>-43.3904</v>
      </c>
      <c r="K1626">
        <v>518.87699999999995</v>
      </c>
      <c r="L1626">
        <v>0</v>
      </c>
    </row>
    <row r="1627" spans="1:12" x14ac:dyDescent="0.25">
      <c r="A1627">
        <f>80359408*0.00001</f>
        <v>803.59408000000008</v>
      </c>
      <c r="B1627">
        <v>3494</v>
      </c>
      <c r="C1627">
        <v>174</v>
      </c>
      <c r="D1627">
        <v>248.75299999999999</v>
      </c>
      <c r="E1627">
        <v>4665</v>
      </c>
      <c r="F1627">
        <v>1608</v>
      </c>
      <c r="G1627">
        <v>1</v>
      </c>
      <c r="H1627">
        <v>0.2</v>
      </c>
      <c r="I1627" s="1">
        <f>0</f>
        <v>0</v>
      </c>
      <c r="J1627" s="1">
        <f>-43.1419</f>
        <v>-43.1419</v>
      </c>
      <c r="K1627">
        <v>518.87699999999995</v>
      </c>
      <c r="L1627">
        <v>0</v>
      </c>
    </row>
    <row r="1628" spans="1:12" x14ac:dyDescent="0.25">
      <c r="A1628">
        <f>80359541*0.00001</f>
        <v>803.59541000000002</v>
      </c>
      <c r="B1628">
        <v>3494</v>
      </c>
      <c r="C1628">
        <v>175</v>
      </c>
      <c r="D1628">
        <v>248.75299999999999</v>
      </c>
      <c r="E1628">
        <v>4665</v>
      </c>
      <c r="F1628">
        <v>1608</v>
      </c>
      <c r="G1628">
        <v>1</v>
      </c>
      <c r="H1628">
        <v>0.2</v>
      </c>
      <c r="I1628">
        <v>0</v>
      </c>
      <c r="J1628">
        <v>-43.1419</v>
      </c>
      <c r="K1628" s="1">
        <f>518.843</f>
        <v>518.84299999999996</v>
      </c>
      <c r="L1628" s="1">
        <f>0</f>
        <v>0</v>
      </c>
    </row>
    <row r="1629" spans="1:12" x14ac:dyDescent="0.25">
      <c r="A1629">
        <f>80359675*0.00001</f>
        <v>803.59675000000004</v>
      </c>
      <c r="B1629">
        <v>3494</v>
      </c>
      <c r="C1629">
        <v>176</v>
      </c>
      <c r="D1629" s="1">
        <f>248.639</f>
        <v>248.63900000000001</v>
      </c>
      <c r="E1629" s="1">
        <f>4668</f>
        <v>4668</v>
      </c>
      <c r="F1629">
        <v>1608</v>
      </c>
      <c r="G1629">
        <v>1</v>
      </c>
      <c r="H1629">
        <v>0.2</v>
      </c>
      <c r="I1629">
        <v>0</v>
      </c>
      <c r="J1629">
        <v>-43.1419</v>
      </c>
      <c r="K1629">
        <v>518.84299999999996</v>
      </c>
      <c r="L1629">
        <v>0</v>
      </c>
    </row>
    <row r="1630" spans="1:12" x14ac:dyDescent="0.25">
      <c r="A1630">
        <f>80359809*0.00001</f>
        <v>803.59809000000007</v>
      </c>
      <c r="B1630">
        <v>3494</v>
      </c>
      <c r="C1630">
        <v>177</v>
      </c>
      <c r="D1630">
        <v>248.63900000000001</v>
      </c>
      <c r="E1630">
        <v>4668</v>
      </c>
      <c r="F1630" s="1">
        <f>1608</f>
        <v>1608</v>
      </c>
      <c r="G1630" s="1">
        <f>1</f>
        <v>1</v>
      </c>
      <c r="H1630">
        <v>0.2</v>
      </c>
      <c r="I1630">
        <v>0</v>
      </c>
      <c r="J1630">
        <v>-43.1419</v>
      </c>
      <c r="K1630">
        <v>518.84299999999996</v>
      </c>
      <c r="L1630">
        <v>0</v>
      </c>
    </row>
    <row r="1631" spans="1:12" x14ac:dyDescent="0.25">
      <c r="A1631">
        <f>80359942*0.00001</f>
        <v>803.59942000000001</v>
      </c>
      <c r="B1631">
        <v>3494</v>
      </c>
      <c r="C1631">
        <v>178</v>
      </c>
      <c r="D1631">
        <v>248.63900000000001</v>
      </c>
      <c r="E1631">
        <v>4668</v>
      </c>
      <c r="F1631">
        <v>1608</v>
      </c>
      <c r="G1631">
        <v>1</v>
      </c>
      <c r="H1631" s="1">
        <f>0.2</f>
        <v>0.2</v>
      </c>
      <c r="I1631" s="1">
        <f>0</f>
        <v>0</v>
      </c>
      <c r="J1631" s="1">
        <f>-42.9367</f>
        <v>-42.936700000000002</v>
      </c>
      <c r="K1631" s="1">
        <f>518.822</f>
        <v>518.822</v>
      </c>
      <c r="L1631">
        <v>0</v>
      </c>
    </row>
    <row r="1632" spans="1:12" s="2" customFormat="1" x14ac:dyDescent="0.25">
      <c r="A1632" s="2">
        <f>80360210*0.00001</f>
        <v>803.60210000000006</v>
      </c>
      <c r="B1632" s="2">
        <v>3495</v>
      </c>
      <c r="C1632" s="2">
        <v>0</v>
      </c>
      <c r="D1632" s="1">
        <f>248.601</f>
        <v>248.601</v>
      </c>
      <c r="E1632" s="2">
        <v>4668</v>
      </c>
      <c r="F1632" s="2">
        <v>1608</v>
      </c>
      <c r="G1632" s="2">
        <v>1</v>
      </c>
      <c r="H1632" s="2">
        <v>0.2</v>
      </c>
      <c r="I1632" s="2">
        <v>0</v>
      </c>
      <c r="J1632" s="2">
        <v>-42.936700000000002</v>
      </c>
      <c r="K1632" s="2">
        <v>518.822</v>
      </c>
      <c r="L1632" s="1">
        <f>0</f>
        <v>0</v>
      </c>
    </row>
    <row r="1633" spans="1:12" x14ac:dyDescent="0.25">
      <c r="A1633">
        <f>80360344*0.00001</f>
        <v>803.60344000000009</v>
      </c>
      <c r="B1633">
        <v>3495</v>
      </c>
      <c r="C1633">
        <v>1</v>
      </c>
      <c r="D1633">
        <v>248.601</v>
      </c>
      <c r="E1633" s="1">
        <f>4669</f>
        <v>4669</v>
      </c>
      <c r="F1633" s="1">
        <f>1608</f>
        <v>1608</v>
      </c>
      <c r="G1633">
        <v>1</v>
      </c>
      <c r="H1633">
        <v>0.2</v>
      </c>
      <c r="I1633">
        <v>0</v>
      </c>
      <c r="J1633">
        <v>-42.936700000000002</v>
      </c>
      <c r="K1633">
        <v>518.822</v>
      </c>
      <c r="L1633">
        <v>0</v>
      </c>
    </row>
    <row r="1634" spans="1:12" x14ac:dyDescent="0.25">
      <c r="A1634">
        <f>80360478*0.00001</f>
        <v>803.60478000000012</v>
      </c>
      <c r="B1634">
        <v>3495</v>
      </c>
      <c r="C1634">
        <v>2</v>
      </c>
      <c r="D1634">
        <v>248.601</v>
      </c>
      <c r="E1634">
        <v>4669</v>
      </c>
      <c r="F1634">
        <v>1608</v>
      </c>
      <c r="G1634" s="1">
        <f>1</f>
        <v>1</v>
      </c>
      <c r="H1634" s="1">
        <f>0.2</f>
        <v>0.2</v>
      </c>
      <c r="I1634">
        <v>0</v>
      </c>
      <c r="J1634">
        <v>-42.936700000000002</v>
      </c>
      <c r="K1634">
        <v>518.822</v>
      </c>
      <c r="L1634">
        <v>0</v>
      </c>
    </row>
    <row r="1635" spans="1:12" x14ac:dyDescent="0.25">
      <c r="A1635">
        <f>80360612*0.00001</f>
        <v>803.60612000000003</v>
      </c>
      <c r="B1635">
        <v>3495</v>
      </c>
      <c r="C1635">
        <v>3</v>
      </c>
      <c r="D1635">
        <v>248.601</v>
      </c>
      <c r="E1635">
        <v>4669</v>
      </c>
      <c r="F1635">
        <v>1608</v>
      </c>
      <c r="G1635">
        <v>1</v>
      </c>
      <c r="H1635">
        <v>0.2</v>
      </c>
      <c r="I1635" s="1">
        <f>0</f>
        <v>0</v>
      </c>
      <c r="J1635" s="1">
        <f>-42.7114</f>
        <v>-42.711399999999998</v>
      </c>
      <c r="K1635">
        <v>518.822</v>
      </c>
      <c r="L1635">
        <v>0</v>
      </c>
    </row>
    <row r="1636" spans="1:12" x14ac:dyDescent="0.25">
      <c r="A1636">
        <f>80360745*0.00001</f>
        <v>803.60745000000009</v>
      </c>
      <c r="B1636">
        <v>3495</v>
      </c>
      <c r="C1636">
        <v>4</v>
      </c>
      <c r="D1636">
        <v>248.601</v>
      </c>
      <c r="E1636">
        <v>4669</v>
      </c>
      <c r="F1636">
        <v>1608</v>
      </c>
      <c r="G1636">
        <v>1</v>
      </c>
      <c r="H1636">
        <v>0.2</v>
      </c>
      <c r="I1636">
        <v>0</v>
      </c>
      <c r="J1636">
        <v>-42.711399999999998</v>
      </c>
      <c r="K1636">
        <v>518.822</v>
      </c>
      <c r="L1636" s="1">
        <f>0</f>
        <v>0</v>
      </c>
    </row>
    <row r="1637" spans="1:12" x14ac:dyDescent="0.25">
      <c r="A1637">
        <f>80360879*0.00001</f>
        <v>803.60879000000011</v>
      </c>
      <c r="B1637">
        <v>3495</v>
      </c>
      <c r="C1637">
        <v>5</v>
      </c>
      <c r="D1637">
        <v>248.601</v>
      </c>
      <c r="E1637" s="1">
        <f>4672</f>
        <v>4672</v>
      </c>
      <c r="F1637">
        <v>1608</v>
      </c>
      <c r="G1637">
        <v>1</v>
      </c>
      <c r="H1637">
        <v>0.2</v>
      </c>
      <c r="I1637">
        <v>0</v>
      </c>
      <c r="J1637">
        <v>-42.711399999999998</v>
      </c>
      <c r="K1637">
        <v>518.822</v>
      </c>
      <c r="L1637">
        <v>0</v>
      </c>
    </row>
    <row r="1638" spans="1:12" x14ac:dyDescent="0.25">
      <c r="A1638">
        <f>80361013*0.00001</f>
        <v>803.61013000000003</v>
      </c>
      <c r="B1638">
        <v>3495</v>
      </c>
      <c r="C1638">
        <v>6</v>
      </c>
      <c r="D1638">
        <v>248.601</v>
      </c>
      <c r="E1638">
        <v>4672</v>
      </c>
      <c r="F1638">
        <v>1608</v>
      </c>
      <c r="G1638" s="1">
        <f>1</f>
        <v>1</v>
      </c>
      <c r="H1638">
        <v>0.2</v>
      </c>
      <c r="I1638">
        <v>0</v>
      </c>
      <c r="J1638">
        <v>-42.711399999999998</v>
      </c>
      <c r="K1638">
        <v>518.822</v>
      </c>
      <c r="L1638">
        <v>0</v>
      </c>
    </row>
    <row r="1639" spans="1:12" x14ac:dyDescent="0.25">
      <c r="A1639">
        <f>80361146*0.00001</f>
        <v>803.61146000000008</v>
      </c>
      <c r="B1639">
        <v>3495</v>
      </c>
      <c r="C1639">
        <v>7</v>
      </c>
      <c r="D1639">
        <v>248.601</v>
      </c>
      <c r="E1639">
        <v>4672</v>
      </c>
      <c r="F1639">
        <v>1608</v>
      </c>
      <c r="G1639">
        <v>1</v>
      </c>
      <c r="H1639">
        <v>0.2</v>
      </c>
      <c r="I1639" s="1">
        <f>0</f>
        <v>0</v>
      </c>
      <c r="J1639">
        <v>-42.711399999999998</v>
      </c>
      <c r="K1639">
        <v>518.822</v>
      </c>
      <c r="L1639">
        <v>0</v>
      </c>
    </row>
    <row r="1640" spans="1:12" x14ac:dyDescent="0.25">
      <c r="A1640">
        <f>80361280*0.00001</f>
        <v>803.61280000000011</v>
      </c>
      <c r="B1640">
        <v>3495</v>
      </c>
      <c r="C1640">
        <v>8</v>
      </c>
      <c r="D1640">
        <v>248.601</v>
      </c>
      <c r="E1640">
        <v>4672</v>
      </c>
      <c r="F1640">
        <v>1608</v>
      </c>
      <c r="G1640">
        <v>1</v>
      </c>
      <c r="H1640">
        <v>0.2</v>
      </c>
      <c r="I1640">
        <v>0</v>
      </c>
      <c r="J1640">
        <v>-42.711399999999998</v>
      </c>
      <c r="K1640" s="1">
        <f>518.767</f>
        <v>518.76700000000005</v>
      </c>
      <c r="L1640">
        <v>0</v>
      </c>
    </row>
    <row r="1641" spans="1:12" x14ac:dyDescent="0.25">
      <c r="A1641">
        <f>80361414*0.00001</f>
        <v>803.61414000000002</v>
      </c>
      <c r="B1641">
        <v>3495</v>
      </c>
      <c r="C1641">
        <v>9</v>
      </c>
      <c r="D1641" s="1">
        <f>248.471</f>
        <v>248.471</v>
      </c>
      <c r="E1641">
        <v>4672</v>
      </c>
      <c r="F1641">
        <v>1608</v>
      </c>
      <c r="G1641">
        <v>1</v>
      </c>
      <c r="H1641">
        <v>0.2</v>
      </c>
      <c r="I1641">
        <v>0</v>
      </c>
      <c r="J1641">
        <v>-42.711399999999998</v>
      </c>
      <c r="K1641">
        <v>518.76700000000005</v>
      </c>
      <c r="L1641">
        <v>0</v>
      </c>
    </row>
    <row r="1642" spans="1:12" x14ac:dyDescent="0.25">
      <c r="A1642">
        <f>80361548*0.00001</f>
        <v>803.61548000000005</v>
      </c>
      <c r="B1642">
        <v>3495</v>
      </c>
      <c r="C1642">
        <v>10</v>
      </c>
      <c r="D1642">
        <v>248.471</v>
      </c>
      <c r="E1642">
        <v>4672</v>
      </c>
      <c r="F1642" s="1">
        <f>1608</f>
        <v>1608</v>
      </c>
      <c r="G1642">
        <v>1</v>
      </c>
      <c r="H1642">
        <v>0.2</v>
      </c>
      <c r="I1642">
        <v>0</v>
      </c>
      <c r="J1642">
        <v>-42.711399999999998</v>
      </c>
      <c r="K1642">
        <v>518.76700000000005</v>
      </c>
      <c r="L1642">
        <v>0</v>
      </c>
    </row>
    <row r="1643" spans="1:12" x14ac:dyDescent="0.25">
      <c r="A1643">
        <f>80361682*0.00001</f>
        <v>803.61682000000008</v>
      </c>
      <c r="B1643">
        <v>3495</v>
      </c>
      <c r="C1643">
        <v>11</v>
      </c>
      <c r="D1643">
        <v>248.471</v>
      </c>
      <c r="E1643">
        <v>4672</v>
      </c>
      <c r="F1643">
        <v>1608</v>
      </c>
      <c r="G1643">
        <v>1</v>
      </c>
      <c r="H1643" s="1">
        <f>0.2</f>
        <v>0.2</v>
      </c>
      <c r="I1643">
        <v>0</v>
      </c>
      <c r="J1643">
        <v>-42.711399999999998</v>
      </c>
      <c r="K1643">
        <v>518.76700000000005</v>
      </c>
      <c r="L1643">
        <v>0</v>
      </c>
    </row>
    <row r="1644" spans="1:12" x14ac:dyDescent="0.25">
      <c r="A1644">
        <f>80361816*0.00001</f>
        <v>803.6181600000001</v>
      </c>
      <c r="B1644">
        <v>3495</v>
      </c>
      <c r="C1644">
        <v>12</v>
      </c>
      <c r="D1644">
        <v>248.471</v>
      </c>
      <c r="E1644">
        <v>4672</v>
      </c>
      <c r="F1644">
        <v>1608</v>
      </c>
      <c r="G1644">
        <v>1</v>
      </c>
      <c r="H1644">
        <v>0.2</v>
      </c>
      <c r="I1644">
        <v>0</v>
      </c>
      <c r="J1644" s="1">
        <f>-42.2555</f>
        <v>-42.255499999999998</v>
      </c>
      <c r="K1644">
        <v>518.76700000000005</v>
      </c>
      <c r="L1644">
        <v>0</v>
      </c>
    </row>
    <row r="1645" spans="1:12" x14ac:dyDescent="0.25">
      <c r="A1645">
        <f>80361950*0.00001</f>
        <v>803.61950000000002</v>
      </c>
      <c r="B1645">
        <v>3495</v>
      </c>
      <c r="C1645">
        <v>13</v>
      </c>
      <c r="D1645">
        <v>248.471</v>
      </c>
      <c r="E1645">
        <v>4672</v>
      </c>
      <c r="F1645">
        <v>1608</v>
      </c>
      <c r="G1645">
        <v>1</v>
      </c>
      <c r="H1645">
        <v>0.2</v>
      </c>
      <c r="I1645">
        <v>0</v>
      </c>
      <c r="J1645">
        <v>-42.255499999999998</v>
      </c>
      <c r="K1645">
        <v>518.76700000000005</v>
      </c>
      <c r="L1645" s="1">
        <f>0</f>
        <v>0</v>
      </c>
    </row>
    <row r="1646" spans="1:12" x14ac:dyDescent="0.25">
      <c r="A1646">
        <f>80362084*0.00001</f>
        <v>803.62084000000004</v>
      </c>
      <c r="B1646">
        <v>3495</v>
      </c>
      <c r="C1646">
        <v>14</v>
      </c>
      <c r="D1646">
        <v>248.471</v>
      </c>
      <c r="E1646" s="1">
        <f>4678</f>
        <v>4678</v>
      </c>
      <c r="F1646">
        <v>1608</v>
      </c>
      <c r="G1646">
        <v>1</v>
      </c>
      <c r="H1646">
        <v>0.2</v>
      </c>
      <c r="I1646">
        <v>0</v>
      </c>
      <c r="J1646">
        <v>-42.255499999999998</v>
      </c>
      <c r="K1646">
        <v>518.76700000000005</v>
      </c>
      <c r="L1646">
        <v>0</v>
      </c>
    </row>
    <row r="1647" spans="1:12" x14ac:dyDescent="0.25">
      <c r="A1647">
        <f>80362218*0.00001</f>
        <v>803.62218000000007</v>
      </c>
      <c r="B1647">
        <v>3495</v>
      </c>
      <c r="C1647">
        <v>15</v>
      </c>
      <c r="D1647">
        <v>248.471</v>
      </c>
      <c r="E1647">
        <v>4678</v>
      </c>
      <c r="F1647">
        <v>1608</v>
      </c>
      <c r="G1647" s="1">
        <f>1</f>
        <v>1</v>
      </c>
      <c r="H1647">
        <v>0.2</v>
      </c>
      <c r="I1647">
        <v>0</v>
      </c>
      <c r="J1647">
        <v>-42.255499999999998</v>
      </c>
      <c r="K1647">
        <v>518.76700000000005</v>
      </c>
      <c r="L1647">
        <v>0</v>
      </c>
    </row>
    <row r="1648" spans="1:12" x14ac:dyDescent="0.25">
      <c r="A1648">
        <f>80362352*0.00001</f>
        <v>803.6235200000001</v>
      </c>
      <c r="B1648">
        <v>3495</v>
      </c>
      <c r="C1648">
        <v>16</v>
      </c>
      <c r="D1648">
        <v>248.471</v>
      </c>
      <c r="E1648">
        <v>4678</v>
      </c>
      <c r="F1648">
        <v>1608</v>
      </c>
      <c r="G1648">
        <v>1</v>
      </c>
      <c r="H1648">
        <v>0.2</v>
      </c>
      <c r="I1648" s="1">
        <f>0</f>
        <v>0</v>
      </c>
      <c r="J1648">
        <v>-42.255499999999998</v>
      </c>
      <c r="K1648">
        <v>518.76700000000005</v>
      </c>
      <c r="L1648">
        <v>0</v>
      </c>
    </row>
    <row r="1649" spans="1:12" x14ac:dyDescent="0.25">
      <c r="A1649">
        <f>80362486*0.00001</f>
        <v>803.62486000000001</v>
      </c>
      <c r="B1649">
        <v>3495</v>
      </c>
      <c r="C1649">
        <v>17</v>
      </c>
      <c r="D1649">
        <v>248.471</v>
      </c>
      <c r="E1649">
        <v>4678</v>
      </c>
      <c r="F1649">
        <v>1608</v>
      </c>
      <c r="G1649">
        <v>1</v>
      </c>
      <c r="H1649">
        <v>0.2</v>
      </c>
      <c r="I1649">
        <v>0</v>
      </c>
      <c r="J1649">
        <v>-42.255499999999998</v>
      </c>
      <c r="K1649" s="1">
        <f>518.706</f>
        <v>518.70600000000002</v>
      </c>
      <c r="L1649">
        <v>0</v>
      </c>
    </row>
    <row r="1650" spans="1:12" x14ac:dyDescent="0.25">
      <c r="A1650">
        <f>80362620*0.00001</f>
        <v>803.62620000000004</v>
      </c>
      <c r="B1650">
        <v>3495</v>
      </c>
      <c r="C1650">
        <v>18</v>
      </c>
      <c r="D1650" s="1">
        <f>248.258</f>
        <v>248.25800000000001</v>
      </c>
      <c r="E1650">
        <v>4678</v>
      </c>
      <c r="F1650">
        <v>1608</v>
      </c>
      <c r="G1650">
        <v>1</v>
      </c>
      <c r="H1650">
        <v>0.2</v>
      </c>
      <c r="I1650">
        <v>0</v>
      </c>
      <c r="J1650">
        <v>-42.255499999999998</v>
      </c>
      <c r="K1650">
        <v>518.70600000000002</v>
      </c>
      <c r="L1650">
        <v>0</v>
      </c>
    </row>
    <row r="1651" spans="1:12" x14ac:dyDescent="0.25">
      <c r="A1651">
        <f>80362754*0.00001</f>
        <v>803.62754000000007</v>
      </c>
      <c r="B1651">
        <v>3495</v>
      </c>
      <c r="C1651">
        <v>19</v>
      </c>
      <c r="D1651">
        <v>248.25800000000001</v>
      </c>
      <c r="E1651">
        <v>4678</v>
      </c>
      <c r="F1651" s="1">
        <f>1608</f>
        <v>1608</v>
      </c>
      <c r="G1651">
        <v>1</v>
      </c>
      <c r="H1651">
        <v>0.2</v>
      </c>
      <c r="I1651">
        <v>0</v>
      </c>
      <c r="J1651">
        <v>-42.255499999999998</v>
      </c>
      <c r="K1651">
        <v>518.70600000000002</v>
      </c>
      <c r="L1651">
        <v>0</v>
      </c>
    </row>
    <row r="1652" spans="1:12" x14ac:dyDescent="0.25">
      <c r="A1652">
        <f>80362888*0.00001</f>
        <v>803.62888000000009</v>
      </c>
      <c r="B1652">
        <v>3495</v>
      </c>
      <c r="C1652">
        <v>20</v>
      </c>
      <c r="D1652">
        <v>248.25800000000001</v>
      </c>
      <c r="E1652">
        <v>4678</v>
      </c>
      <c r="F1652">
        <v>1608</v>
      </c>
      <c r="G1652">
        <v>1</v>
      </c>
      <c r="H1652" s="1">
        <f>0.2</f>
        <v>0.2</v>
      </c>
      <c r="I1652">
        <v>0</v>
      </c>
      <c r="J1652">
        <v>-42.255499999999998</v>
      </c>
      <c r="K1652">
        <v>518.70600000000002</v>
      </c>
      <c r="L1652">
        <v>0</v>
      </c>
    </row>
    <row r="1653" spans="1:12" x14ac:dyDescent="0.25">
      <c r="A1653">
        <f>80363022*0.00001</f>
        <v>803.63022000000012</v>
      </c>
      <c r="B1653">
        <v>3495</v>
      </c>
      <c r="C1653">
        <v>21</v>
      </c>
      <c r="D1653">
        <v>248.25800000000001</v>
      </c>
      <c r="E1653">
        <v>4678</v>
      </c>
      <c r="F1653">
        <v>1608</v>
      </c>
      <c r="G1653">
        <v>1</v>
      </c>
      <c r="H1653">
        <v>0.2</v>
      </c>
      <c r="I1653">
        <v>0</v>
      </c>
      <c r="J1653" s="1">
        <f>-41.765</f>
        <v>-41.765000000000001</v>
      </c>
      <c r="K1653">
        <v>518.70600000000002</v>
      </c>
      <c r="L1653">
        <v>0</v>
      </c>
    </row>
    <row r="1654" spans="1:12" x14ac:dyDescent="0.25">
      <c r="A1654">
        <f>80363156*0.00001</f>
        <v>803.63156000000004</v>
      </c>
      <c r="B1654">
        <v>3495</v>
      </c>
      <c r="C1654">
        <v>22</v>
      </c>
      <c r="D1654">
        <v>248.25800000000001</v>
      </c>
      <c r="E1654">
        <v>4678</v>
      </c>
      <c r="F1654">
        <v>1608</v>
      </c>
      <c r="G1654">
        <v>1</v>
      </c>
      <c r="H1654">
        <v>0.2</v>
      </c>
      <c r="I1654">
        <v>0</v>
      </c>
      <c r="J1654">
        <v>-41.765000000000001</v>
      </c>
      <c r="K1654">
        <v>518.70600000000002</v>
      </c>
      <c r="L1654" s="1">
        <f>0</f>
        <v>0</v>
      </c>
    </row>
    <row r="1655" spans="1:12" x14ac:dyDescent="0.25">
      <c r="A1655">
        <f>80363289*0.00001</f>
        <v>803.63289000000009</v>
      </c>
      <c r="B1655">
        <v>3495</v>
      </c>
      <c r="C1655">
        <v>23</v>
      </c>
      <c r="D1655">
        <v>248.25800000000001</v>
      </c>
      <c r="E1655" s="1">
        <f>4684</f>
        <v>4684</v>
      </c>
      <c r="F1655">
        <v>1608</v>
      </c>
      <c r="G1655">
        <v>1</v>
      </c>
      <c r="H1655">
        <v>0.2</v>
      </c>
      <c r="I1655">
        <v>0</v>
      </c>
      <c r="J1655">
        <v>-41.765000000000001</v>
      </c>
      <c r="K1655">
        <v>518.70600000000002</v>
      </c>
      <c r="L1655">
        <v>0</v>
      </c>
    </row>
    <row r="1656" spans="1:12" x14ac:dyDescent="0.25">
      <c r="A1656">
        <f>80363423*0.00001</f>
        <v>803.63423000000012</v>
      </c>
      <c r="B1656">
        <v>3495</v>
      </c>
      <c r="C1656">
        <v>24</v>
      </c>
      <c r="D1656">
        <v>248.25800000000001</v>
      </c>
      <c r="E1656">
        <v>4684</v>
      </c>
      <c r="F1656">
        <v>1608</v>
      </c>
      <c r="G1656" s="1">
        <f>1</f>
        <v>1</v>
      </c>
      <c r="H1656">
        <v>0.2</v>
      </c>
      <c r="I1656">
        <v>0</v>
      </c>
      <c r="J1656">
        <v>-41.765000000000001</v>
      </c>
      <c r="K1656">
        <v>518.70600000000002</v>
      </c>
      <c r="L1656">
        <v>0</v>
      </c>
    </row>
    <row r="1657" spans="1:12" x14ac:dyDescent="0.25">
      <c r="A1657">
        <f>80363557*0.00001</f>
        <v>803.63557000000003</v>
      </c>
      <c r="B1657">
        <v>3495</v>
      </c>
      <c r="C1657">
        <v>25</v>
      </c>
      <c r="D1657">
        <v>248.25800000000001</v>
      </c>
      <c r="E1657">
        <v>4684</v>
      </c>
      <c r="F1657">
        <v>1608</v>
      </c>
      <c r="G1657">
        <v>1</v>
      </c>
      <c r="H1657">
        <v>0.2</v>
      </c>
      <c r="I1657" s="1">
        <f>0</f>
        <v>0</v>
      </c>
      <c r="J1657">
        <v>-41.765000000000001</v>
      </c>
      <c r="K1657">
        <v>518.70600000000002</v>
      </c>
      <c r="L1657">
        <v>0</v>
      </c>
    </row>
    <row r="1658" spans="1:12" x14ac:dyDescent="0.25">
      <c r="A1658">
        <f>80363691*0.00001</f>
        <v>803.63691000000006</v>
      </c>
      <c r="B1658">
        <v>3495</v>
      </c>
      <c r="C1658">
        <v>26</v>
      </c>
      <c r="D1658">
        <v>248.25800000000001</v>
      </c>
      <c r="E1658">
        <v>4684</v>
      </c>
      <c r="F1658">
        <v>1608</v>
      </c>
      <c r="G1658">
        <v>1</v>
      </c>
      <c r="H1658">
        <v>0.2</v>
      </c>
      <c r="I1658">
        <v>0</v>
      </c>
      <c r="J1658">
        <v>-41.765000000000001</v>
      </c>
      <c r="K1658" s="1">
        <f>518.645</f>
        <v>518.64499999999998</v>
      </c>
      <c r="L1658">
        <v>0</v>
      </c>
    </row>
    <row r="1659" spans="1:12" x14ac:dyDescent="0.25">
      <c r="A1659">
        <f>80363825*0.00001</f>
        <v>803.63825000000008</v>
      </c>
      <c r="B1659">
        <v>3495</v>
      </c>
      <c r="C1659">
        <v>27</v>
      </c>
      <c r="D1659" s="1">
        <f>248.118</f>
        <v>248.11799999999999</v>
      </c>
      <c r="E1659">
        <v>4684</v>
      </c>
      <c r="F1659">
        <v>1608</v>
      </c>
      <c r="G1659">
        <v>1</v>
      </c>
      <c r="H1659">
        <v>0.2</v>
      </c>
      <c r="I1659">
        <v>0</v>
      </c>
      <c r="J1659">
        <v>-41.765000000000001</v>
      </c>
      <c r="K1659">
        <v>518.64499999999998</v>
      </c>
      <c r="L1659">
        <v>0</v>
      </c>
    </row>
    <row r="1660" spans="1:12" x14ac:dyDescent="0.25">
      <c r="A1660">
        <f>80363959*0.00001</f>
        <v>803.63959000000011</v>
      </c>
      <c r="B1660">
        <v>3495</v>
      </c>
      <c r="C1660">
        <v>28</v>
      </c>
      <c r="D1660">
        <v>248.11799999999999</v>
      </c>
      <c r="E1660">
        <v>4684</v>
      </c>
      <c r="F1660" s="1">
        <f>1608</f>
        <v>1608</v>
      </c>
      <c r="G1660">
        <v>1</v>
      </c>
      <c r="H1660">
        <v>0.2</v>
      </c>
      <c r="I1660">
        <v>0</v>
      </c>
      <c r="J1660">
        <v>-41.765000000000001</v>
      </c>
      <c r="K1660">
        <v>518.64499999999998</v>
      </c>
      <c r="L1660">
        <v>0</v>
      </c>
    </row>
    <row r="1661" spans="1:12" x14ac:dyDescent="0.25">
      <c r="A1661">
        <f>80364093*0.00001</f>
        <v>803.64093000000003</v>
      </c>
      <c r="B1661">
        <v>3495</v>
      </c>
      <c r="C1661">
        <v>29</v>
      </c>
      <c r="D1661">
        <v>248.11799999999999</v>
      </c>
      <c r="E1661">
        <v>4684</v>
      </c>
      <c r="F1661">
        <v>1608</v>
      </c>
      <c r="G1661">
        <v>1</v>
      </c>
      <c r="H1661" s="1">
        <f>0.2</f>
        <v>0.2</v>
      </c>
      <c r="I1661">
        <v>0</v>
      </c>
      <c r="J1661">
        <v>-41.765000000000001</v>
      </c>
      <c r="K1661">
        <v>518.64499999999998</v>
      </c>
      <c r="L1661">
        <v>0</v>
      </c>
    </row>
    <row r="1662" spans="1:12" x14ac:dyDescent="0.25">
      <c r="A1662">
        <f>80364227*0.00001</f>
        <v>803.64227000000005</v>
      </c>
      <c r="B1662">
        <v>3495</v>
      </c>
      <c r="C1662">
        <v>30</v>
      </c>
      <c r="D1662">
        <v>248.11799999999999</v>
      </c>
      <c r="E1662">
        <v>4684</v>
      </c>
      <c r="F1662">
        <v>1608</v>
      </c>
      <c r="G1662">
        <v>1</v>
      </c>
      <c r="H1662">
        <v>0.2</v>
      </c>
      <c r="I1662">
        <v>0</v>
      </c>
      <c r="J1662" s="1">
        <f>-41.3451</f>
        <v>-41.345100000000002</v>
      </c>
      <c r="K1662">
        <v>518.64499999999998</v>
      </c>
      <c r="L1662">
        <v>0</v>
      </c>
    </row>
    <row r="1663" spans="1:12" x14ac:dyDescent="0.25">
      <c r="A1663">
        <f>80364361*0.00001</f>
        <v>803.64361000000008</v>
      </c>
      <c r="B1663">
        <v>3495</v>
      </c>
      <c r="C1663">
        <v>31</v>
      </c>
      <c r="D1663">
        <v>248.11799999999999</v>
      </c>
      <c r="E1663">
        <v>4684</v>
      </c>
      <c r="F1663">
        <v>1608</v>
      </c>
      <c r="G1663">
        <v>1</v>
      </c>
      <c r="H1663">
        <v>0.2</v>
      </c>
      <c r="I1663">
        <v>0</v>
      </c>
      <c r="J1663">
        <v>-41.345100000000002</v>
      </c>
      <c r="K1663">
        <v>518.64499999999998</v>
      </c>
      <c r="L1663" s="1">
        <f>0</f>
        <v>0</v>
      </c>
    </row>
    <row r="1664" spans="1:12" x14ac:dyDescent="0.25">
      <c r="A1664">
        <f>80364496*0.00001</f>
        <v>803.64496000000008</v>
      </c>
      <c r="B1664">
        <v>3495</v>
      </c>
      <c r="C1664">
        <v>32</v>
      </c>
      <c r="D1664">
        <v>248.11799999999999</v>
      </c>
      <c r="E1664" s="1">
        <f>4688</f>
        <v>4688</v>
      </c>
      <c r="F1664">
        <v>1608</v>
      </c>
      <c r="G1664">
        <v>1</v>
      </c>
      <c r="H1664">
        <v>0.2</v>
      </c>
      <c r="I1664">
        <v>0</v>
      </c>
      <c r="J1664">
        <v>-41.345100000000002</v>
      </c>
      <c r="K1664">
        <v>518.64499999999998</v>
      </c>
      <c r="L1664">
        <v>0</v>
      </c>
    </row>
    <row r="1665" spans="1:12" x14ac:dyDescent="0.25">
      <c r="A1665">
        <f>80364630*0.00001</f>
        <v>803.64630000000011</v>
      </c>
      <c r="B1665">
        <v>3495</v>
      </c>
      <c r="C1665">
        <v>33</v>
      </c>
      <c r="D1665">
        <v>248.11799999999999</v>
      </c>
      <c r="E1665">
        <v>4688</v>
      </c>
      <c r="F1665">
        <v>1608</v>
      </c>
      <c r="G1665" s="1">
        <f>1</f>
        <v>1</v>
      </c>
      <c r="H1665">
        <v>0.2</v>
      </c>
      <c r="I1665">
        <v>0</v>
      </c>
      <c r="J1665">
        <v>-41.345100000000002</v>
      </c>
      <c r="K1665">
        <v>518.64499999999998</v>
      </c>
      <c r="L1665">
        <v>0</v>
      </c>
    </row>
    <row r="1666" spans="1:12" x14ac:dyDescent="0.25">
      <c r="A1666">
        <f>80364764*0.00001</f>
        <v>803.64764000000002</v>
      </c>
      <c r="B1666">
        <v>3495</v>
      </c>
      <c r="C1666">
        <v>34</v>
      </c>
      <c r="D1666" s="1">
        <f>247.526</f>
        <v>247.52600000000001</v>
      </c>
      <c r="E1666" s="1">
        <f>4705</f>
        <v>4705</v>
      </c>
      <c r="F1666" s="1">
        <f>1608</f>
        <v>1608</v>
      </c>
      <c r="G1666" s="1">
        <f>1</f>
        <v>1</v>
      </c>
      <c r="H1666" s="1">
        <f>0.2</f>
        <v>0.2</v>
      </c>
      <c r="I1666" s="1">
        <f>0</f>
        <v>0</v>
      </c>
      <c r="J1666" s="1">
        <f>-39.6578</f>
        <v>-39.657800000000002</v>
      </c>
      <c r="K1666" s="1">
        <f>518.409</f>
        <v>518.40899999999999</v>
      </c>
      <c r="L1666" s="1">
        <f>0</f>
        <v>0</v>
      </c>
    </row>
    <row r="1667" spans="1:12" x14ac:dyDescent="0.25">
      <c r="A1667">
        <f>80368659*0.00001</f>
        <v>803.68659000000002</v>
      </c>
      <c r="B1667">
        <v>3495</v>
      </c>
      <c r="C1667">
        <v>63</v>
      </c>
      <c r="D1667" s="1">
        <f>247.454</f>
        <v>247.45400000000001</v>
      </c>
      <c r="E1667">
        <v>4705</v>
      </c>
      <c r="F1667">
        <v>1608</v>
      </c>
      <c r="G1667">
        <v>1</v>
      </c>
      <c r="H1667">
        <v>0.2</v>
      </c>
      <c r="I1667">
        <v>0</v>
      </c>
      <c r="J1667">
        <v>-39.657800000000002</v>
      </c>
      <c r="K1667">
        <v>518.40899999999999</v>
      </c>
      <c r="L1667" s="1">
        <f>0</f>
        <v>0</v>
      </c>
    </row>
    <row r="1668" spans="1:12" x14ac:dyDescent="0.25">
      <c r="A1668">
        <f>80368793*0.00001</f>
        <v>803.68793000000005</v>
      </c>
      <c r="B1668">
        <v>3495</v>
      </c>
      <c r="C1668">
        <v>64</v>
      </c>
      <c r="D1668">
        <v>247.45400000000001</v>
      </c>
      <c r="E1668" s="1">
        <f>4707</f>
        <v>4707</v>
      </c>
      <c r="F1668" s="1">
        <f>1608</f>
        <v>1608</v>
      </c>
      <c r="G1668">
        <v>1</v>
      </c>
      <c r="H1668">
        <v>0.2</v>
      </c>
      <c r="I1668">
        <v>0</v>
      </c>
      <c r="J1668">
        <v>-39.657800000000002</v>
      </c>
      <c r="K1668">
        <v>518.40899999999999</v>
      </c>
      <c r="L1668">
        <v>0</v>
      </c>
    </row>
    <row r="1669" spans="1:12" x14ac:dyDescent="0.25">
      <c r="A1669">
        <f>80368927*0.00001</f>
        <v>803.68927000000008</v>
      </c>
      <c r="B1669">
        <v>3495</v>
      </c>
      <c r="C1669">
        <v>65</v>
      </c>
      <c r="D1669">
        <v>247.45400000000001</v>
      </c>
      <c r="E1669">
        <v>4707</v>
      </c>
      <c r="F1669">
        <v>1608</v>
      </c>
      <c r="G1669" s="1">
        <f>1</f>
        <v>1</v>
      </c>
      <c r="H1669" s="1">
        <f>0.2</f>
        <v>0.2</v>
      </c>
      <c r="I1669">
        <v>0</v>
      </c>
      <c r="J1669">
        <v>-39.657800000000002</v>
      </c>
      <c r="K1669">
        <v>518.40899999999999</v>
      </c>
      <c r="L1669">
        <v>0</v>
      </c>
    </row>
    <row r="1670" spans="1:12" x14ac:dyDescent="0.25">
      <c r="A1670">
        <f>80369061*0.00001</f>
        <v>803.69061000000011</v>
      </c>
      <c r="B1670">
        <v>3495</v>
      </c>
      <c r="C1670">
        <v>66</v>
      </c>
      <c r="D1670">
        <v>247.45400000000001</v>
      </c>
      <c r="E1670">
        <v>4707</v>
      </c>
      <c r="F1670">
        <v>1608</v>
      </c>
      <c r="G1670">
        <v>1</v>
      </c>
      <c r="H1670">
        <v>0.2</v>
      </c>
      <c r="I1670" s="1">
        <f>0</f>
        <v>0</v>
      </c>
      <c r="J1670" s="1">
        <f>-39.4721</f>
        <v>-39.472099999999998</v>
      </c>
      <c r="K1670">
        <v>518.40899999999999</v>
      </c>
      <c r="L1670">
        <v>0</v>
      </c>
    </row>
    <row r="1671" spans="1:12" x14ac:dyDescent="0.25">
      <c r="A1671">
        <f>80369195*0.00001</f>
        <v>803.69195000000002</v>
      </c>
      <c r="B1671">
        <v>3495</v>
      </c>
      <c r="C1671">
        <v>67</v>
      </c>
      <c r="D1671">
        <v>247.45400000000001</v>
      </c>
      <c r="E1671">
        <v>4707</v>
      </c>
      <c r="F1671">
        <v>1608</v>
      </c>
      <c r="G1671">
        <v>1</v>
      </c>
      <c r="H1671">
        <v>0.2</v>
      </c>
      <c r="I1671">
        <v>0</v>
      </c>
      <c r="J1671">
        <v>-39.472099999999998</v>
      </c>
      <c r="K1671" s="1">
        <f>518.377</f>
        <v>518.37699999999995</v>
      </c>
      <c r="L1671" s="1">
        <f>0</f>
        <v>0</v>
      </c>
    </row>
    <row r="1672" spans="1:12" x14ac:dyDescent="0.25">
      <c r="A1672">
        <f>80369329*0.00001</f>
        <v>803.69329000000005</v>
      </c>
      <c r="B1672">
        <v>3495</v>
      </c>
      <c r="C1672">
        <v>68</v>
      </c>
      <c r="D1672" s="1">
        <f>247.385</f>
        <v>247.38499999999999</v>
      </c>
      <c r="E1672" s="1">
        <f>4710</f>
        <v>4710</v>
      </c>
      <c r="F1672">
        <v>1608</v>
      </c>
      <c r="G1672">
        <v>1</v>
      </c>
      <c r="H1672">
        <v>0.2</v>
      </c>
      <c r="I1672">
        <v>0</v>
      </c>
      <c r="J1672">
        <v>-39.472099999999998</v>
      </c>
      <c r="K1672">
        <v>518.37699999999995</v>
      </c>
      <c r="L1672">
        <v>0</v>
      </c>
    </row>
    <row r="1673" spans="1:12" x14ac:dyDescent="0.25">
      <c r="A1673">
        <f>80369463*0.00001</f>
        <v>803.69463000000007</v>
      </c>
      <c r="B1673">
        <v>3495</v>
      </c>
      <c r="C1673">
        <v>69</v>
      </c>
      <c r="D1673">
        <v>247.38499999999999</v>
      </c>
      <c r="E1673">
        <v>4710</v>
      </c>
      <c r="F1673" s="1">
        <f>1608</f>
        <v>1608</v>
      </c>
      <c r="G1673" s="1">
        <f>1</f>
        <v>1</v>
      </c>
      <c r="H1673">
        <v>0.2</v>
      </c>
      <c r="I1673">
        <v>0</v>
      </c>
      <c r="J1673">
        <v>-39.472099999999998</v>
      </c>
      <c r="K1673">
        <v>518.37699999999995</v>
      </c>
      <c r="L1673">
        <v>0</v>
      </c>
    </row>
    <row r="1674" spans="1:12" x14ac:dyDescent="0.25">
      <c r="A1674">
        <f>80369597*0.00001</f>
        <v>803.6959700000001</v>
      </c>
      <c r="B1674">
        <v>3495</v>
      </c>
      <c r="C1674">
        <v>70</v>
      </c>
      <c r="D1674">
        <v>247.38499999999999</v>
      </c>
      <c r="E1674">
        <v>4710</v>
      </c>
      <c r="F1674">
        <v>1608</v>
      </c>
      <c r="G1674">
        <v>1</v>
      </c>
      <c r="H1674" s="1">
        <f>0.2</f>
        <v>0.2</v>
      </c>
      <c r="I1674" s="1">
        <f>0</f>
        <v>0</v>
      </c>
      <c r="J1674">
        <v>-39.472099999999998</v>
      </c>
      <c r="K1674">
        <v>518.37699999999995</v>
      </c>
      <c r="L1674">
        <v>0</v>
      </c>
    </row>
    <row r="1675" spans="1:12" x14ac:dyDescent="0.25">
      <c r="A1675">
        <f>80369731*0.00001</f>
        <v>803.69731000000002</v>
      </c>
      <c r="B1675">
        <v>3495</v>
      </c>
      <c r="C1675">
        <v>71</v>
      </c>
      <c r="D1675">
        <v>247.38499999999999</v>
      </c>
      <c r="E1675">
        <v>4710</v>
      </c>
      <c r="F1675">
        <v>1608</v>
      </c>
      <c r="G1675">
        <v>1</v>
      </c>
      <c r="H1675">
        <v>0.2</v>
      </c>
      <c r="I1675">
        <v>0</v>
      </c>
      <c r="J1675" s="1">
        <f>-39.2369</f>
        <v>-39.236899999999999</v>
      </c>
      <c r="K1675" s="1">
        <f>518.351</f>
        <v>518.351</v>
      </c>
      <c r="L1675">
        <v>0</v>
      </c>
    </row>
    <row r="1676" spans="1:12" x14ac:dyDescent="0.25">
      <c r="A1676">
        <f>80369865*0.00001</f>
        <v>803.69865000000004</v>
      </c>
      <c r="B1676">
        <v>3495</v>
      </c>
      <c r="C1676">
        <v>72</v>
      </c>
      <c r="D1676" s="1">
        <f>247.34</f>
        <v>247.34</v>
      </c>
      <c r="E1676">
        <v>4710</v>
      </c>
      <c r="F1676">
        <v>1608</v>
      </c>
      <c r="G1676">
        <v>1</v>
      </c>
      <c r="H1676">
        <v>0.2</v>
      </c>
      <c r="I1676">
        <v>0</v>
      </c>
      <c r="J1676">
        <v>-39.236899999999999</v>
      </c>
      <c r="K1676">
        <v>518.351</v>
      </c>
      <c r="L1676" s="1">
        <f>0</f>
        <v>0</v>
      </c>
    </row>
    <row r="1677" spans="1:12" x14ac:dyDescent="0.25">
      <c r="A1677">
        <f>80370000*0.00001</f>
        <v>803.7</v>
      </c>
      <c r="B1677">
        <v>3495</v>
      </c>
      <c r="C1677">
        <v>73</v>
      </c>
      <c r="D1677">
        <v>247.34</v>
      </c>
      <c r="E1677" s="1">
        <f>4712</f>
        <v>4712</v>
      </c>
      <c r="F1677" s="1">
        <f>1608</f>
        <v>1608</v>
      </c>
      <c r="G1677">
        <v>1</v>
      </c>
      <c r="H1677">
        <v>0.2</v>
      </c>
      <c r="I1677">
        <v>0</v>
      </c>
      <c r="J1677">
        <v>-39.236899999999999</v>
      </c>
      <c r="K1677">
        <v>518.351</v>
      </c>
      <c r="L1677">
        <v>0</v>
      </c>
    </row>
    <row r="1678" spans="1:12" x14ac:dyDescent="0.25">
      <c r="A1678">
        <f>80370135*0.00001</f>
        <v>803.70135000000005</v>
      </c>
      <c r="B1678">
        <v>3495</v>
      </c>
      <c r="C1678">
        <v>74</v>
      </c>
      <c r="D1678">
        <v>247.34</v>
      </c>
      <c r="E1678">
        <v>4712</v>
      </c>
      <c r="F1678">
        <v>1608</v>
      </c>
      <c r="G1678" s="1">
        <f>1</f>
        <v>1</v>
      </c>
      <c r="H1678" s="1">
        <f>0.2</f>
        <v>0.2</v>
      </c>
      <c r="I1678">
        <v>0</v>
      </c>
      <c r="J1678">
        <v>-39.236899999999999</v>
      </c>
      <c r="K1678">
        <v>518.351</v>
      </c>
      <c r="L1678">
        <v>0</v>
      </c>
    </row>
    <row r="1679" spans="1:12" x14ac:dyDescent="0.25">
      <c r="A1679">
        <f>80370269*0.00001</f>
        <v>803.70269000000008</v>
      </c>
      <c r="B1679">
        <v>3495</v>
      </c>
      <c r="C1679">
        <v>75</v>
      </c>
      <c r="D1679">
        <v>247.34</v>
      </c>
      <c r="E1679">
        <v>4712</v>
      </c>
      <c r="F1679">
        <v>1608</v>
      </c>
      <c r="G1679">
        <v>1</v>
      </c>
      <c r="H1679">
        <v>0.2</v>
      </c>
      <c r="I1679" s="1">
        <f>0</f>
        <v>0</v>
      </c>
      <c r="J1679" s="1">
        <f>-39.0296</f>
        <v>-39.029600000000002</v>
      </c>
      <c r="K1679">
        <v>518.351</v>
      </c>
      <c r="L1679">
        <v>0</v>
      </c>
    </row>
    <row r="1680" spans="1:12" x14ac:dyDescent="0.25">
      <c r="A1680">
        <f>80370403*0.00001</f>
        <v>803.7040300000001</v>
      </c>
      <c r="B1680">
        <v>3495</v>
      </c>
      <c r="C1680">
        <v>76</v>
      </c>
      <c r="D1680">
        <v>247.34</v>
      </c>
      <c r="E1680">
        <v>4712</v>
      </c>
      <c r="F1680">
        <v>1608</v>
      </c>
      <c r="G1680">
        <v>1</v>
      </c>
      <c r="H1680">
        <v>0.2</v>
      </c>
      <c r="I1680">
        <v>0</v>
      </c>
      <c r="J1680">
        <v>-39.029600000000002</v>
      </c>
      <c r="K1680" s="1">
        <f>518.32</f>
        <v>518.32000000000005</v>
      </c>
      <c r="L1680" s="1">
        <f>0</f>
        <v>0</v>
      </c>
    </row>
    <row r="1681" spans="1:12" x14ac:dyDescent="0.25">
      <c r="A1681">
        <f>80370537*0.00001</f>
        <v>803.70537000000002</v>
      </c>
      <c r="B1681">
        <v>3495</v>
      </c>
      <c r="C1681">
        <v>77</v>
      </c>
      <c r="D1681">
        <v>247.34</v>
      </c>
      <c r="E1681" s="1">
        <f>4715</f>
        <v>4715</v>
      </c>
      <c r="F1681">
        <v>1608</v>
      </c>
      <c r="G1681">
        <v>1</v>
      </c>
      <c r="H1681">
        <v>0.2</v>
      </c>
      <c r="I1681">
        <v>0</v>
      </c>
      <c r="J1681">
        <v>-39.029600000000002</v>
      </c>
      <c r="K1681">
        <v>518.32000000000005</v>
      </c>
      <c r="L1681">
        <v>0</v>
      </c>
    </row>
    <row r="1682" spans="1:12" x14ac:dyDescent="0.25">
      <c r="A1682">
        <f>80370672*0.00001</f>
        <v>803.70672000000002</v>
      </c>
      <c r="B1682">
        <v>3495</v>
      </c>
      <c r="C1682">
        <v>78</v>
      </c>
      <c r="D1682">
        <v>247.34</v>
      </c>
      <c r="E1682">
        <v>4715</v>
      </c>
      <c r="F1682">
        <v>1608</v>
      </c>
      <c r="G1682" s="1">
        <f>1</f>
        <v>1</v>
      </c>
      <c r="H1682">
        <v>0.2</v>
      </c>
      <c r="I1682">
        <v>0</v>
      </c>
      <c r="J1682">
        <v>-39.029600000000002</v>
      </c>
      <c r="K1682">
        <v>518.32000000000005</v>
      </c>
      <c r="L1682">
        <v>0</v>
      </c>
    </row>
    <row r="1683" spans="1:12" x14ac:dyDescent="0.25">
      <c r="A1683">
        <f>80370807*0.00001</f>
        <v>803.70807000000002</v>
      </c>
      <c r="B1683">
        <v>3495</v>
      </c>
      <c r="C1683">
        <v>79</v>
      </c>
      <c r="D1683">
        <v>247.34</v>
      </c>
      <c r="E1683">
        <v>4715</v>
      </c>
      <c r="F1683">
        <v>1608</v>
      </c>
      <c r="G1683">
        <v>1</v>
      </c>
      <c r="H1683">
        <v>0.2</v>
      </c>
      <c r="I1683" s="1">
        <f>0</f>
        <v>0</v>
      </c>
      <c r="J1683">
        <v>-39.029600000000002</v>
      </c>
      <c r="K1683">
        <v>518.32000000000005</v>
      </c>
      <c r="L1683">
        <v>0</v>
      </c>
    </row>
    <row r="1684" spans="1:12" x14ac:dyDescent="0.25">
      <c r="A1684">
        <f>80370942*0.00001</f>
        <v>803.70942000000002</v>
      </c>
      <c r="B1684">
        <v>3495</v>
      </c>
      <c r="C1684">
        <v>80</v>
      </c>
      <c r="D1684">
        <v>247.34</v>
      </c>
      <c r="E1684">
        <v>4715</v>
      </c>
      <c r="F1684">
        <v>1608</v>
      </c>
      <c r="G1684">
        <v>1</v>
      </c>
      <c r="H1684">
        <v>0.2</v>
      </c>
      <c r="I1684">
        <v>0</v>
      </c>
      <c r="J1684">
        <v>-39.029600000000002</v>
      </c>
      <c r="K1684" s="1">
        <f>518.294</f>
        <v>518.29399999999998</v>
      </c>
      <c r="L1684">
        <v>0</v>
      </c>
    </row>
    <row r="1685" spans="1:12" x14ac:dyDescent="0.25">
      <c r="A1685">
        <f>80371077*0.00001</f>
        <v>803.71077000000002</v>
      </c>
      <c r="B1685">
        <v>3495</v>
      </c>
      <c r="C1685">
        <v>81</v>
      </c>
      <c r="D1685" s="1">
        <f>247.138</f>
        <v>247.13800000000001</v>
      </c>
      <c r="E1685">
        <v>4715</v>
      </c>
      <c r="F1685">
        <v>1608</v>
      </c>
      <c r="G1685">
        <v>1</v>
      </c>
      <c r="H1685">
        <v>0.2</v>
      </c>
      <c r="I1685">
        <v>0</v>
      </c>
      <c r="J1685">
        <v>-39.029600000000002</v>
      </c>
      <c r="K1685">
        <v>518.29399999999998</v>
      </c>
      <c r="L1685">
        <v>0</v>
      </c>
    </row>
    <row r="1686" spans="1:12" x14ac:dyDescent="0.25">
      <c r="A1686">
        <f>80371211*0.00001</f>
        <v>803.71211000000005</v>
      </c>
      <c r="B1686">
        <v>3495</v>
      </c>
      <c r="C1686">
        <v>82</v>
      </c>
      <c r="D1686">
        <v>247.13800000000001</v>
      </c>
      <c r="E1686">
        <v>4715</v>
      </c>
      <c r="F1686" s="1">
        <f>1608</f>
        <v>1608</v>
      </c>
      <c r="G1686">
        <v>1</v>
      </c>
      <c r="H1686">
        <v>0.2</v>
      </c>
      <c r="I1686">
        <v>0</v>
      </c>
      <c r="J1686">
        <v>-39.029600000000002</v>
      </c>
      <c r="K1686">
        <v>518.29399999999998</v>
      </c>
      <c r="L1686">
        <v>0</v>
      </c>
    </row>
    <row r="1687" spans="1:12" x14ac:dyDescent="0.25">
      <c r="A1687">
        <f>80371345*0.00001</f>
        <v>803.71345000000008</v>
      </c>
      <c r="B1687">
        <v>3495</v>
      </c>
      <c r="C1687">
        <v>83</v>
      </c>
      <c r="D1687">
        <v>247.13800000000001</v>
      </c>
      <c r="E1687">
        <v>4715</v>
      </c>
      <c r="F1687">
        <v>1608</v>
      </c>
      <c r="G1687">
        <v>1</v>
      </c>
      <c r="H1687" s="1">
        <f>0.2</f>
        <v>0.2</v>
      </c>
      <c r="I1687">
        <v>0</v>
      </c>
      <c r="J1687">
        <v>-39.029600000000002</v>
      </c>
      <c r="K1687">
        <v>518.29399999999998</v>
      </c>
      <c r="L1687">
        <v>0</v>
      </c>
    </row>
    <row r="1688" spans="1:12" x14ac:dyDescent="0.25">
      <c r="A1688">
        <f>80371479*0.00001</f>
        <v>803.71479000000011</v>
      </c>
      <c r="B1688">
        <v>3495</v>
      </c>
      <c r="C1688">
        <v>84</v>
      </c>
      <c r="D1688">
        <v>247.13800000000001</v>
      </c>
      <c r="E1688">
        <v>4715</v>
      </c>
      <c r="F1688">
        <v>1608</v>
      </c>
      <c r="G1688">
        <v>1</v>
      </c>
      <c r="H1688">
        <v>0.2</v>
      </c>
      <c r="I1688">
        <v>0</v>
      </c>
      <c r="J1688" s="1">
        <f>-38.5485</f>
        <v>-38.548499999999997</v>
      </c>
      <c r="K1688">
        <v>518.29399999999998</v>
      </c>
      <c r="L1688">
        <v>0</v>
      </c>
    </row>
    <row r="1689" spans="1:12" x14ac:dyDescent="0.25">
      <c r="A1689">
        <f>80371614*0.00001</f>
        <v>803.71614000000011</v>
      </c>
      <c r="B1689">
        <v>3495</v>
      </c>
      <c r="C1689">
        <v>85</v>
      </c>
      <c r="D1689">
        <v>247.13800000000001</v>
      </c>
      <c r="E1689">
        <v>4715</v>
      </c>
      <c r="F1689">
        <v>1608</v>
      </c>
      <c r="G1689">
        <v>1</v>
      </c>
      <c r="H1689">
        <v>0.2</v>
      </c>
      <c r="I1689">
        <v>0</v>
      </c>
      <c r="J1689">
        <v>-38.548499999999997</v>
      </c>
      <c r="K1689">
        <v>518.29399999999998</v>
      </c>
      <c r="L1689" s="1">
        <f>0</f>
        <v>0</v>
      </c>
    </row>
    <row r="1690" spans="1:12" x14ac:dyDescent="0.25">
      <c r="A1690">
        <f>80371749*0.00001</f>
        <v>803.71749000000011</v>
      </c>
      <c r="B1690">
        <v>3495</v>
      </c>
      <c r="C1690">
        <v>86</v>
      </c>
      <c r="D1690">
        <v>247.13800000000001</v>
      </c>
      <c r="E1690" s="1">
        <f>4721</f>
        <v>4721</v>
      </c>
      <c r="F1690">
        <v>1608</v>
      </c>
      <c r="G1690">
        <v>1</v>
      </c>
      <c r="H1690">
        <v>0.2</v>
      </c>
      <c r="I1690">
        <v>0</v>
      </c>
      <c r="J1690">
        <v>-38.548499999999997</v>
      </c>
      <c r="K1690">
        <v>518.29399999999998</v>
      </c>
      <c r="L1690">
        <v>0</v>
      </c>
    </row>
    <row r="1691" spans="1:12" x14ac:dyDescent="0.25">
      <c r="A1691">
        <f>80371884*0.00001</f>
        <v>803.71884000000011</v>
      </c>
      <c r="B1691">
        <v>3495</v>
      </c>
      <c r="C1691">
        <v>87</v>
      </c>
      <c r="D1691">
        <v>247.13800000000001</v>
      </c>
      <c r="E1691">
        <v>4721</v>
      </c>
      <c r="F1691">
        <v>1608</v>
      </c>
      <c r="G1691" s="1">
        <f>1</f>
        <v>1</v>
      </c>
      <c r="H1691">
        <v>0.2</v>
      </c>
      <c r="I1691">
        <v>0</v>
      </c>
      <c r="J1691">
        <v>-38.548499999999997</v>
      </c>
      <c r="K1691">
        <v>518.29399999999998</v>
      </c>
      <c r="L1691">
        <v>0</v>
      </c>
    </row>
    <row r="1692" spans="1:12" x14ac:dyDescent="0.25">
      <c r="A1692">
        <f>80372019*0.00001</f>
        <v>803.72019000000012</v>
      </c>
      <c r="B1692">
        <v>3495</v>
      </c>
      <c r="C1692">
        <v>88</v>
      </c>
      <c r="D1692">
        <v>247.13800000000001</v>
      </c>
      <c r="E1692">
        <v>4721</v>
      </c>
      <c r="F1692">
        <v>1608</v>
      </c>
      <c r="G1692">
        <v>1</v>
      </c>
      <c r="H1692">
        <v>0.2</v>
      </c>
      <c r="I1692" s="1">
        <f>0</f>
        <v>0</v>
      </c>
      <c r="J1692">
        <v>-38.548499999999997</v>
      </c>
      <c r="K1692">
        <v>518.29399999999998</v>
      </c>
      <c r="L1692">
        <v>0</v>
      </c>
    </row>
    <row r="1693" spans="1:12" x14ac:dyDescent="0.25">
      <c r="A1693">
        <f>80372154*0.00001</f>
        <v>803.72154000000012</v>
      </c>
      <c r="B1693">
        <v>3495</v>
      </c>
      <c r="C1693">
        <v>89</v>
      </c>
      <c r="D1693">
        <v>247.13800000000001</v>
      </c>
      <c r="E1693">
        <v>4721</v>
      </c>
      <c r="F1693">
        <v>1608</v>
      </c>
      <c r="G1693">
        <v>1</v>
      </c>
      <c r="H1693">
        <v>0.2</v>
      </c>
      <c r="I1693">
        <v>0</v>
      </c>
      <c r="J1693">
        <v>-38.548499999999997</v>
      </c>
      <c r="K1693" s="1">
        <f>518.238</f>
        <v>518.23800000000006</v>
      </c>
      <c r="L1693">
        <v>0</v>
      </c>
    </row>
    <row r="1694" spans="1:12" x14ac:dyDescent="0.25">
      <c r="A1694">
        <f>80372288*0.00001</f>
        <v>803.72288000000003</v>
      </c>
      <c r="B1694">
        <v>3495</v>
      </c>
      <c r="C1694">
        <v>90</v>
      </c>
      <c r="D1694" s="1">
        <f>247.006</f>
        <v>247.006</v>
      </c>
      <c r="E1694">
        <v>4721</v>
      </c>
      <c r="F1694">
        <v>1608</v>
      </c>
      <c r="G1694">
        <v>1</v>
      </c>
      <c r="H1694">
        <v>0.2</v>
      </c>
      <c r="I1694">
        <v>0</v>
      </c>
      <c r="J1694">
        <v>-38.548499999999997</v>
      </c>
      <c r="K1694">
        <v>518.23800000000006</v>
      </c>
      <c r="L1694">
        <v>0</v>
      </c>
    </row>
    <row r="1695" spans="1:12" x14ac:dyDescent="0.25">
      <c r="A1695">
        <f>80372422*0.00001</f>
        <v>803.72422000000006</v>
      </c>
      <c r="B1695">
        <v>3495</v>
      </c>
      <c r="C1695">
        <v>91</v>
      </c>
      <c r="D1695" s="1">
        <f>246.682</f>
        <v>246.68199999999999</v>
      </c>
      <c r="E1695" s="1">
        <f>4731</f>
        <v>4731</v>
      </c>
      <c r="F1695" s="1">
        <f>1608</f>
        <v>1608</v>
      </c>
      <c r="G1695" s="1">
        <f>1</f>
        <v>1</v>
      </c>
      <c r="H1695" s="1">
        <f>0.2</f>
        <v>0.2</v>
      </c>
      <c r="I1695" s="1">
        <f>0</f>
        <v>0</v>
      </c>
      <c r="J1695" s="1">
        <f>-37.3824</f>
        <v>-37.382399999999997</v>
      </c>
      <c r="K1695" s="1">
        <f>518.128</f>
        <v>518.12800000000004</v>
      </c>
      <c r="L1695" s="1">
        <f>0</f>
        <v>0</v>
      </c>
    </row>
    <row r="1696" spans="1:12" x14ac:dyDescent="0.25">
      <c r="A1696">
        <f>80374847*0.00001</f>
        <v>803.74847000000011</v>
      </c>
      <c r="B1696">
        <v>3495</v>
      </c>
      <c r="C1696">
        <v>109</v>
      </c>
      <c r="D1696">
        <v>246.68199999999999</v>
      </c>
      <c r="E1696" s="1">
        <f>4733</f>
        <v>4733</v>
      </c>
      <c r="F1696" s="1">
        <f>1608</f>
        <v>1608</v>
      </c>
      <c r="G1696">
        <v>1</v>
      </c>
      <c r="H1696">
        <v>0.2</v>
      </c>
      <c r="I1696">
        <v>0</v>
      </c>
      <c r="J1696">
        <v>-37.382399999999997</v>
      </c>
      <c r="K1696">
        <v>518.12800000000004</v>
      </c>
      <c r="L1696">
        <v>0</v>
      </c>
    </row>
    <row r="1697" spans="1:12" x14ac:dyDescent="0.25">
      <c r="A1697">
        <f>80374982*0.00001</f>
        <v>803.74982000000011</v>
      </c>
      <c r="B1697">
        <v>3495</v>
      </c>
      <c r="C1697">
        <v>110</v>
      </c>
      <c r="D1697">
        <v>246.68199999999999</v>
      </c>
      <c r="E1697">
        <v>4733</v>
      </c>
      <c r="F1697">
        <v>1608</v>
      </c>
      <c r="G1697" s="1">
        <f>1</f>
        <v>1</v>
      </c>
      <c r="H1697" s="1">
        <f>0.2</f>
        <v>0.2</v>
      </c>
      <c r="I1697">
        <v>0</v>
      </c>
      <c r="J1697">
        <v>-37.382399999999997</v>
      </c>
      <c r="K1697">
        <v>518.12800000000004</v>
      </c>
      <c r="L1697">
        <v>0</v>
      </c>
    </row>
    <row r="1698" spans="1:12" x14ac:dyDescent="0.25">
      <c r="A1698">
        <f>80375116*0.00001</f>
        <v>803.75116000000003</v>
      </c>
      <c r="B1698">
        <v>3495</v>
      </c>
      <c r="C1698">
        <v>111</v>
      </c>
      <c r="D1698">
        <v>246.68199999999999</v>
      </c>
      <c r="E1698">
        <v>4733</v>
      </c>
      <c r="F1698">
        <v>1608</v>
      </c>
      <c r="G1698">
        <v>1</v>
      </c>
      <c r="H1698">
        <v>0.2</v>
      </c>
      <c r="I1698" s="1">
        <f>0</f>
        <v>0</v>
      </c>
      <c r="J1698" s="1">
        <f>-37.1801</f>
        <v>-37.180100000000003</v>
      </c>
      <c r="K1698">
        <v>518.12800000000004</v>
      </c>
      <c r="L1698">
        <v>0</v>
      </c>
    </row>
    <row r="1699" spans="1:12" x14ac:dyDescent="0.25">
      <c r="A1699">
        <f>80375251*0.00001</f>
        <v>803.75251000000003</v>
      </c>
      <c r="B1699">
        <v>3495</v>
      </c>
      <c r="C1699">
        <v>112</v>
      </c>
      <c r="D1699">
        <v>246.68199999999999</v>
      </c>
      <c r="E1699">
        <v>4733</v>
      </c>
      <c r="F1699">
        <v>1608</v>
      </c>
      <c r="G1699">
        <v>1</v>
      </c>
      <c r="H1699">
        <v>0.2</v>
      </c>
      <c r="I1699">
        <v>0</v>
      </c>
      <c r="J1699">
        <v>-37.180100000000003</v>
      </c>
      <c r="K1699" s="1">
        <f>518.098</f>
        <v>518.09799999999996</v>
      </c>
      <c r="L1699" s="1">
        <f>0</f>
        <v>0</v>
      </c>
    </row>
    <row r="1700" spans="1:12" x14ac:dyDescent="0.25">
      <c r="A1700">
        <f>80375386*0.00001</f>
        <v>803.75386000000003</v>
      </c>
      <c r="B1700">
        <v>3495</v>
      </c>
      <c r="C1700">
        <v>113</v>
      </c>
      <c r="D1700" s="1">
        <f>246.621</f>
        <v>246.62100000000001</v>
      </c>
      <c r="E1700" s="1">
        <f>4736</f>
        <v>4736</v>
      </c>
      <c r="F1700">
        <v>1608</v>
      </c>
      <c r="G1700">
        <v>1</v>
      </c>
      <c r="H1700">
        <v>0.2</v>
      </c>
      <c r="I1700">
        <v>0</v>
      </c>
      <c r="J1700">
        <v>-37.180100000000003</v>
      </c>
      <c r="K1700">
        <v>518.09799999999996</v>
      </c>
      <c r="L1700">
        <v>0</v>
      </c>
    </row>
    <row r="1701" spans="1:12" x14ac:dyDescent="0.25">
      <c r="A1701">
        <f>80375520*0.00001</f>
        <v>803.75520000000006</v>
      </c>
      <c r="B1701">
        <v>3495</v>
      </c>
      <c r="C1701">
        <v>114</v>
      </c>
      <c r="D1701">
        <v>246.62100000000001</v>
      </c>
      <c r="E1701">
        <v>4736</v>
      </c>
      <c r="F1701" s="1">
        <f>1608</f>
        <v>1608</v>
      </c>
      <c r="G1701" s="1">
        <f>1</f>
        <v>1</v>
      </c>
      <c r="H1701">
        <v>0.2</v>
      </c>
      <c r="I1701">
        <v>0</v>
      </c>
      <c r="J1701">
        <v>-37.180100000000003</v>
      </c>
      <c r="K1701">
        <v>518.09799999999996</v>
      </c>
      <c r="L1701">
        <v>0</v>
      </c>
    </row>
    <row r="1702" spans="1:12" x14ac:dyDescent="0.25">
      <c r="A1702">
        <f>80375655*0.00001</f>
        <v>803.75655000000006</v>
      </c>
      <c r="B1702">
        <v>3495</v>
      </c>
      <c r="C1702">
        <v>115</v>
      </c>
      <c r="D1702">
        <v>246.62100000000001</v>
      </c>
      <c r="E1702">
        <v>4736</v>
      </c>
      <c r="F1702">
        <v>1608</v>
      </c>
      <c r="G1702">
        <v>1</v>
      </c>
      <c r="H1702" s="1">
        <f>0.2</f>
        <v>0.2</v>
      </c>
      <c r="I1702" s="1">
        <f>0</f>
        <v>0</v>
      </c>
      <c r="J1702">
        <v>-37.180100000000003</v>
      </c>
      <c r="K1702">
        <v>518.09799999999996</v>
      </c>
      <c r="L1702">
        <v>0</v>
      </c>
    </row>
    <row r="1703" spans="1:12" x14ac:dyDescent="0.25">
      <c r="A1703">
        <f>80375790*0.00001</f>
        <v>803.75790000000006</v>
      </c>
      <c r="B1703">
        <v>3495</v>
      </c>
      <c r="C1703">
        <v>116</v>
      </c>
      <c r="D1703">
        <v>246.62100000000001</v>
      </c>
      <c r="E1703">
        <v>4736</v>
      </c>
      <c r="F1703">
        <v>1608</v>
      </c>
      <c r="G1703">
        <v>1</v>
      </c>
      <c r="H1703">
        <v>0.2</v>
      </c>
      <c r="I1703">
        <v>0</v>
      </c>
      <c r="J1703" s="1">
        <f>-36.9689</f>
        <v>-36.968899999999998</v>
      </c>
      <c r="K1703" s="1">
        <f>518.074</f>
        <v>518.07399999999996</v>
      </c>
      <c r="L1703">
        <v>0</v>
      </c>
    </row>
    <row r="1704" spans="1:12" x14ac:dyDescent="0.25">
      <c r="A1704">
        <f>80375925*0.00001</f>
        <v>803.75925000000007</v>
      </c>
      <c r="B1704">
        <v>3495</v>
      </c>
      <c r="C1704">
        <v>117</v>
      </c>
      <c r="D1704" s="1">
        <f>246.556</f>
        <v>246.55600000000001</v>
      </c>
      <c r="E1704">
        <v>4736</v>
      </c>
      <c r="F1704">
        <v>1608</v>
      </c>
      <c r="G1704">
        <v>1</v>
      </c>
      <c r="H1704">
        <v>0.2</v>
      </c>
      <c r="I1704">
        <v>0</v>
      </c>
      <c r="J1704">
        <v>-36.968899999999998</v>
      </c>
      <c r="K1704">
        <v>518.07399999999996</v>
      </c>
      <c r="L1704" s="1">
        <f>0</f>
        <v>0</v>
      </c>
    </row>
    <row r="1705" spans="1:12" x14ac:dyDescent="0.25">
      <c r="A1705">
        <f>80376060*0.00001</f>
        <v>803.76060000000007</v>
      </c>
      <c r="B1705">
        <v>3495</v>
      </c>
      <c r="C1705">
        <v>118</v>
      </c>
      <c r="D1705">
        <v>246.55600000000001</v>
      </c>
      <c r="E1705" s="1">
        <f>4738</f>
        <v>4738</v>
      </c>
      <c r="F1705" s="1">
        <f>1608</f>
        <v>1608</v>
      </c>
      <c r="G1705">
        <v>1</v>
      </c>
      <c r="H1705">
        <v>0.2</v>
      </c>
      <c r="I1705">
        <v>0</v>
      </c>
      <c r="J1705">
        <v>-36.968899999999998</v>
      </c>
      <c r="K1705">
        <v>518.07399999999996</v>
      </c>
      <c r="L1705">
        <v>0</v>
      </c>
    </row>
    <row r="1706" spans="1:12" x14ac:dyDescent="0.25">
      <c r="A1706">
        <f>80376195*0.00001</f>
        <v>803.76195000000007</v>
      </c>
      <c r="B1706">
        <v>3495</v>
      </c>
      <c r="C1706">
        <v>119</v>
      </c>
      <c r="D1706">
        <v>246.55600000000001</v>
      </c>
      <c r="E1706">
        <v>4738</v>
      </c>
      <c r="F1706">
        <v>1608</v>
      </c>
      <c r="G1706" s="1">
        <f>1</f>
        <v>1</v>
      </c>
      <c r="H1706" s="1">
        <f>0.2</f>
        <v>0.2</v>
      </c>
      <c r="I1706">
        <v>0</v>
      </c>
      <c r="J1706">
        <v>-36.968899999999998</v>
      </c>
      <c r="K1706">
        <v>518.07399999999996</v>
      </c>
      <c r="L1706">
        <v>0</v>
      </c>
    </row>
    <row r="1707" spans="1:12" x14ac:dyDescent="0.25">
      <c r="A1707">
        <f>80376330*0.00001</f>
        <v>803.76330000000007</v>
      </c>
      <c r="B1707">
        <v>3495</v>
      </c>
      <c r="C1707">
        <v>120</v>
      </c>
      <c r="D1707">
        <v>246.55600000000001</v>
      </c>
      <c r="E1707">
        <v>4738</v>
      </c>
      <c r="F1707">
        <v>1608</v>
      </c>
      <c r="G1707">
        <v>1</v>
      </c>
      <c r="H1707">
        <v>0.2</v>
      </c>
      <c r="I1707" s="1">
        <f>0</f>
        <v>0</v>
      </c>
      <c r="J1707" s="1">
        <f>-36.7202</f>
        <v>-36.720199999999998</v>
      </c>
      <c r="K1707">
        <v>518.07399999999996</v>
      </c>
      <c r="L1707">
        <v>0</v>
      </c>
    </row>
    <row r="1708" spans="1:12" x14ac:dyDescent="0.25">
      <c r="A1708">
        <f>80376465*0.00001</f>
        <v>803.76465000000007</v>
      </c>
      <c r="B1708">
        <v>3495</v>
      </c>
      <c r="C1708">
        <v>121</v>
      </c>
      <c r="D1708">
        <v>246.55600000000001</v>
      </c>
      <c r="E1708">
        <v>4738</v>
      </c>
      <c r="F1708">
        <v>1608</v>
      </c>
      <c r="G1708">
        <v>1</v>
      </c>
      <c r="H1708">
        <v>0.2</v>
      </c>
      <c r="I1708">
        <v>0</v>
      </c>
      <c r="J1708">
        <v>-36.720199999999998</v>
      </c>
      <c r="K1708">
        <v>518.07399999999996</v>
      </c>
      <c r="L1708" s="1">
        <f>0</f>
        <v>0</v>
      </c>
    </row>
    <row r="1709" spans="1:12" x14ac:dyDescent="0.25">
      <c r="A1709">
        <f>80376600*0.00001</f>
        <v>803.76600000000008</v>
      </c>
      <c r="B1709">
        <v>3495</v>
      </c>
      <c r="C1709">
        <v>122</v>
      </c>
      <c r="D1709">
        <v>246.55600000000001</v>
      </c>
      <c r="E1709" s="1">
        <f>4742</f>
        <v>4742</v>
      </c>
      <c r="F1709">
        <v>1608</v>
      </c>
      <c r="G1709">
        <v>1</v>
      </c>
      <c r="H1709">
        <v>0.2</v>
      </c>
      <c r="I1709">
        <v>0</v>
      </c>
      <c r="J1709">
        <v>-36.720199999999998</v>
      </c>
      <c r="K1709">
        <v>518.07399999999996</v>
      </c>
      <c r="L1709">
        <v>0</v>
      </c>
    </row>
    <row r="1710" spans="1:12" x14ac:dyDescent="0.25">
      <c r="A1710">
        <f>80376735*0.00001</f>
        <v>803.76735000000008</v>
      </c>
      <c r="B1710">
        <v>3495</v>
      </c>
      <c r="C1710">
        <v>123</v>
      </c>
      <c r="D1710">
        <v>246.55600000000001</v>
      </c>
      <c r="E1710">
        <v>4742</v>
      </c>
      <c r="F1710">
        <v>1608</v>
      </c>
      <c r="G1710" s="1">
        <f>1</f>
        <v>1</v>
      </c>
      <c r="H1710">
        <v>0.2</v>
      </c>
      <c r="I1710">
        <v>0</v>
      </c>
      <c r="J1710">
        <v>-36.720199999999998</v>
      </c>
      <c r="K1710">
        <v>518.07399999999996</v>
      </c>
      <c r="L1710">
        <v>0</v>
      </c>
    </row>
    <row r="1711" spans="1:12" x14ac:dyDescent="0.25">
      <c r="A1711">
        <f>80376870*0.00001</f>
        <v>803.76870000000008</v>
      </c>
      <c r="B1711">
        <v>3495</v>
      </c>
      <c r="C1711">
        <v>124</v>
      </c>
      <c r="D1711">
        <v>246.55600000000001</v>
      </c>
      <c r="E1711">
        <v>4742</v>
      </c>
      <c r="F1711">
        <v>1608</v>
      </c>
      <c r="G1711">
        <v>1</v>
      </c>
      <c r="H1711">
        <v>0.2</v>
      </c>
      <c r="I1711" s="1">
        <f>0</f>
        <v>0</v>
      </c>
      <c r="J1711">
        <v>-36.720199999999998</v>
      </c>
      <c r="K1711">
        <v>518.07399999999996</v>
      </c>
      <c r="L1711">
        <v>0</v>
      </c>
    </row>
    <row r="1712" spans="1:12" x14ac:dyDescent="0.25">
      <c r="A1712">
        <f>80377005*0.00001</f>
        <v>803.77005000000008</v>
      </c>
      <c r="B1712">
        <v>3495</v>
      </c>
      <c r="C1712">
        <v>125</v>
      </c>
      <c r="D1712">
        <v>246.55600000000001</v>
      </c>
      <c r="E1712">
        <v>4742</v>
      </c>
      <c r="F1712">
        <v>1608</v>
      </c>
      <c r="G1712">
        <v>1</v>
      </c>
      <c r="H1712">
        <v>0.2</v>
      </c>
      <c r="I1712">
        <v>0</v>
      </c>
      <c r="J1712">
        <v>-36.720199999999998</v>
      </c>
      <c r="K1712" s="1">
        <f>518.02</f>
        <v>518.02</v>
      </c>
      <c r="L1712">
        <v>0</v>
      </c>
    </row>
    <row r="1713" spans="1:12" x14ac:dyDescent="0.25">
      <c r="A1713">
        <f>80377140*0.00001</f>
        <v>803.77140000000009</v>
      </c>
      <c r="B1713">
        <v>3495</v>
      </c>
      <c r="C1713">
        <v>126</v>
      </c>
      <c r="D1713" s="1">
        <f>246.369</f>
        <v>246.369</v>
      </c>
      <c r="E1713">
        <v>4742</v>
      </c>
      <c r="F1713">
        <v>1608</v>
      </c>
      <c r="G1713">
        <v>1</v>
      </c>
      <c r="H1713">
        <v>0.2</v>
      </c>
      <c r="I1713">
        <v>0</v>
      </c>
      <c r="J1713">
        <v>-36.720199999999998</v>
      </c>
      <c r="K1713">
        <v>518.02</v>
      </c>
      <c r="L1713">
        <v>0</v>
      </c>
    </row>
    <row r="1714" spans="1:12" x14ac:dyDescent="0.25">
      <c r="A1714">
        <f>80377275*0.00001</f>
        <v>803.77275000000009</v>
      </c>
      <c r="B1714">
        <v>3495</v>
      </c>
      <c r="C1714">
        <v>127</v>
      </c>
      <c r="D1714">
        <v>246.369</v>
      </c>
      <c r="E1714">
        <v>4742</v>
      </c>
      <c r="F1714" s="1">
        <f>1608</f>
        <v>1608</v>
      </c>
      <c r="G1714">
        <v>1</v>
      </c>
      <c r="H1714">
        <v>0.2</v>
      </c>
      <c r="I1714">
        <v>0</v>
      </c>
      <c r="J1714">
        <v>-36.720199999999998</v>
      </c>
      <c r="K1714">
        <v>518.02</v>
      </c>
      <c r="L1714">
        <v>0</v>
      </c>
    </row>
    <row r="1715" spans="1:12" x14ac:dyDescent="0.25">
      <c r="A1715">
        <f>80377410*0.00001</f>
        <v>803.77410000000009</v>
      </c>
      <c r="B1715">
        <v>3495</v>
      </c>
      <c r="C1715">
        <v>128</v>
      </c>
      <c r="D1715">
        <v>246.369</v>
      </c>
      <c r="E1715">
        <v>4742</v>
      </c>
      <c r="F1715">
        <v>1608</v>
      </c>
      <c r="G1715">
        <v>1</v>
      </c>
      <c r="H1715" s="1">
        <f>0.2</f>
        <v>0.2</v>
      </c>
      <c r="I1715">
        <v>0</v>
      </c>
      <c r="J1715">
        <v>-36.720199999999998</v>
      </c>
      <c r="K1715">
        <v>518.02</v>
      </c>
      <c r="L1715">
        <v>0</v>
      </c>
    </row>
    <row r="1716" spans="1:12" x14ac:dyDescent="0.25">
      <c r="A1716">
        <f>80377545*0.00001</f>
        <v>803.77545000000009</v>
      </c>
      <c r="B1716">
        <v>3495</v>
      </c>
      <c r="C1716">
        <v>129</v>
      </c>
      <c r="D1716">
        <v>246.369</v>
      </c>
      <c r="E1716">
        <v>4742</v>
      </c>
      <c r="F1716">
        <v>1608</v>
      </c>
      <c r="G1716">
        <v>1</v>
      </c>
      <c r="H1716">
        <v>0.2</v>
      </c>
      <c r="I1716">
        <v>0</v>
      </c>
      <c r="J1716" s="1">
        <f>-36.2597</f>
        <v>-36.259700000000002</v>
      </c>
      <c r="K1716">
        <v>518.02</v>
      </c>
      <c r="L1716">
        <v>0</v>
      </c>
    </row>
    <row r="1717" spans="1:12" x14ac:dyDescent="0.25">
      <c r="A1717">
        <f>80377680*0.00001</f>
        <v>803.77680000000009</v>
      </c>
      <c r="B1717">
        <v>3495</v>
      </c>
      <c r="C1717">
        <v>130</v>
      </c>
      <c r="D1717">
        <v>246.369</v>
      </c>
      <c r="E1717">
        <v>4742</v>
      </c>
      <c r="F1717">
        <v>1608</v>
      </c>
      <c r="G1717">
        <v>1</v>
      </c>
      <c r="H1717">
        <v>0.2</v>
      </c>
      <c r="I1717">
        <v>0</v>
      </c>
      <c r="J1717">
        <v>-36.259700000000002</v>
      </c>
      <c r="K1717">
        <v>518.02</v>
      </c>
      <c r="L1717" s="1">
        <f>0</f>
        <v>0</v>
      </c>
    </row>
    <row r="1718" spans="1:12" x14ac:dyDescent="0.25">
      <c r="A1718">
        <f>80377815*0.00001</f>
        <v>803.7781500000001</v>
      </c>
      <c r="B1718">
        <v>3495</v>
      </c>
      <c r="C1718">
        <v>131</v>
      </c>
      <c r="D1718" s="1">
        <f>246.067</f>
        <v>246.06700000000001</v>
      </c>
      <c r="E1718" s="1">
        <f>4754</f>
        <v>4754</v>
      </c>
      <c r="F1718" s="1">
        <f>1608</f>
        <v>1608</v>
      </c>
      <c r="G1718" s="1">
        <f>1</f>
        <v>1</v>
      </c>
      <c r="H1718" s="1">
        <f>0.2</f>
        <v>0.2</v>
      </c>
      <c r="I1718" s="1">
        <f>0</f>
        <v>0</v>
      </c>
      <c r="J1718" s="1">
        <f>-35.5948</f>
        <v>-35.594799999999999</v>
      </c>
      <c r="K1718" s="1">
        <f>517.914</f>
        <v>517.91399999999999</v>
      </c>
      <c r="L1718" s="1">
        <f>0</f>
        <v>0</v>
      </c>
    </row>
    <row r="1719" spans="1:12" x14ac:dyDescent="0.25">
      <c r="A1719">
        <f>80379841*0.00001</f>
        <v>803.7984100000001</v>
      </c>
      <c r="B1719">
        <v>3495</v>
      </c>
      <c r="C1719">
        <v>146</v>
      </c>
      <c r="D1719">
        <v>246.06700000000001</v>
      </c>
      <c r="E1719">
        <v>4754</v>
      </c>
      <c r="F1719">
        <v>1608</v>
      </c>
      <c r="G1719">
        <v>1</v>
      </c>
      <c r="H1719" s="1">
        <f>0.2</f>
        <v>0.2</v>
      </c>
      <c r="I1719" s="1">
        <f>0</f>
        <v>0</v>
      </c>
      <c r="J1719">
        <v>-35.594799999999999</v>
      </c>
      <c r="K1719">
        <v>517.91399999999999</v>
      </c>
      <c r="L1719">
        <v>0</v>
      </c>
    </row>
    <row r="1720" spans="1:12" x14ac:dyDescent="0.25">
      <c r="A1720">
        <f>80379977*0.00001</f>
        <v>803.79977000000008</v>
      </c>
      <c r="B1720">
        <v>3495</v>
      </c>
      <c r="C1720">
        <v>147</v>
      </c>
      <c r="D1720">
        <v>246.06700000000001</v>
      </c>
      <c r="E1720">
        <v>4754</v>
      </c>
      <c r="F1720">
        <v>1608</v>
      </c>
      <c r="G1720">
        <v>1</v>
      </c>
      <c r="H1720">
        <v>0.2</v>
      </c>
      <c r="I1720">
        <v>0</v>
      </c>
      <c r="J1720" s="1">
        <f>-35.3495</f>
        <v>-35.349499999999999</v>
      </c>
      <c r="K1720" s="1">
        <f>517.891</f>
        <v>517.89099999999996</v>
      </c>
      <c r="L1720">
        <v>0</v>
      </c>
    </row>
    <row r="1721" spans="1:12" x14ac:dyDescent="0.25">
      <c r="A1721">
        <f>80380112*0.00001</f>
        <v>803.80112000000008</v>
      </c>
      <c r="B1721">
        <v>3495</v>
      </c>
      <c r="C1721">
        <v>148</v>
      </c>
      <c r="D1721" s="1">
        <f>245.996</f>
        <v>245.99600000000001</v>
      </c>
      <c r="E1721">
        <v>4754</v>
      </c>
      <c r="F1721">
        <v>1608</v>
      </c>
      <c r="G1721">
        <v>1</v>
      </c>
      <c r="H1721">
        <v>0.2</v>
      </c>
      <c r="I1721">
        <v>0</v>
      </c>
      <c r="J1721">
        <v>-35.349499999999999</v>
      </c>
      <c r="K1721">
        <v>517.89099999999996</v>
      </c>
      <c r="L1721" s="1">
        <f>0</f>
        <v>0</v>
      </c>
    </row>
    <row r="1722" spans="1:12" x14ac:dyDescent="0.25">
      <c r="A1722">
        <f>80380247*0.00001</f>
        <v>803.80247000000008</v>
      </c>
      <c r="B1722">
        <v>3495</v>
      </c>
      <c r="C1722">
        <v>149</v>
      </c>
      <c r="D1722">
        <v>245.99600000000001</v>
      </c>
      <c r="E1722" s="1">
        <f>4757</f>
        <v>4757</v>
      </c>
      <c r="F1722" s="1">
        <f>1608</f>
        <v>1608</v>
      </c>
      <c r="G1722">
        <v>1</v>
      </c>
      <c r="H1722">
        <v>0.2</v>
      </c>
      <c r="I1722">
        <v>0</v>
      </c>
      <c r="J1722">
        <v>-35.349499999999999</v>
      </c>
      <c r="K1722">
        <v>517.89099999999996</v>
      </c>
      <c r="L1722">
        <v>0</v>
      </c>
    </row>
    <row r="1723" spans="1:12" x14ac:dyDescent="0.25">
      <c r="A1723">
        <f>80380382*0.00001</f>
        <v>803.80382000000009</v>
      </c>
      <c r="B1723">
        <v>3495</v>
      </c>
      <c r="C1723">
        <v>150</v>
      </c>
      <c r="D1723">
        <v>245.99600000000001</v>
      </c>
      <c r="E1723">
        <v>4757</v>
      </c>
      <c r="F1723">
        <v>1608</v>
      </c>
      <c r="G1723" s="1">
        <f>1</f>
        <v>1</v>
      </c>
      <c r="H1723" s="1">
        <f>0.2</f>
        <v>0.2</v>
      </c>
      <c r="I1723">
        <v>0</v>
      </c>
      <c r="J1723">
        <v>-35.349499999999999</v>
      </c>
      <c r="K1723">
        <v>517.89099999999996</v>
      </c>
      <c r="L1723">
        <v>0</v>
      </c>
    </row>
    <row r="1724" spans="1:12" x14ac:dyDescent="0.25">
      <c r="A1724">
        <f>80380517*0.00001</f>
        <v>803.80517000000009</v>
      </c>
      <c r="B1724">
        <v>3495</v>
      </c>
      <c r="C1724">
        <v>151</v>
      </c>
      <c r="D1724">
        <v>245.99600000000001</v>
      </c>
      <c r="E1724">
        <v>4757</v>
      </c>
      <c r="F1724">
        <v>1608</v>
      </c>
      <c r="G1724">
        <v>1</v>
      </c>
      <c r="H1724">
        <v>0.2</v>
      </c>
      <c r="I1724" s="1">
        <f>0</f>
        <v>0</v>
      </c>
      <c r="J1724" s="1">
        <f>-35.1391</f>
        <v>-35.139099999999999</v>
      </c>
      <c r="K1724">
        <v>517.89099999999996</v>
      </c>
      <c r="L1724">
        <v>0</v>
      </c>
    </row>
    <row r="1725" spans="1:12" x14ac:dyDescent="0.25">
      <c r="A1725">
        <f>80380652*0.00001</f>
        <v>803.80652000000009</v>
      </c>
      <c r="B1725">
        <v>3495</v>
      </c>
      <c r="C1725">
        <v>152</v>
      </c>
      <c r="D1725">
        <v>245.99600000000001</v>
      </c>
      <c r="E1725">
        <v>4757</v>
      </c>
      <c r="F1725">
        <v>1608</v>
      </c>
      <c r="G1725">
        <v>1</v>
      </c>
      <c r="H1725">
        <v>0.2</v>
      </c>
      <c r="I1725">
        <v>0</v>
      </c>
      <c r="J1725">
        <v>-35.139099999999999</v>
      </c>
      <c r="K1725" s="1">
        <f>517.863</f>
        <v>517.86300000000006</v>
      </c>
      <c r="L1725" s="1">
        <f>0</f>
        <v>0</v>
      </c>
    </row>
    <row r="1726" spans="1:12" x14ac:dyDescent="0.25">
      <c r="A1726">
        <f>80380787*0.00001</f>
        <v>803.80787000000009</v>
      </c>
      <c r="B1726">
        <v>3495</v>
      </c>
      <c r="C1726">
        <v>153</v>
      </c>
      <c r="D1726" s="1">
        <f>245.926</f>
        <v>245.92599999999999</v>
      </c>
      <c r="E1726" s="1">
        <f>4759</f>
        <v>4759</v>
      </c>
      <c r="F1726">
        <v>1608</v>
      </c>
      <c r="G1726">
        <v>1</v>
      </c>
      <c r="H1726">
        <v>0.2</v>
      </c>
      <c r="I1726">
        <v>0</v>
      </c>
      <c r="J1726">
        <v>-35.139099999999999</v>
      </c>
      <c r="K1726">
        <v>517.86300000000006</v>
      </c>
      <c r="L1726">
        <v>0</v>
      </c>
    </row>
    <row r="1727" spans="1:12" x14ac:dyDescent="0.25">
      <c r="A1727">
        <f>80380923*0.00001</f>
        <v>803.80923000000007</v>
      </c>
      <c r="B1727">
        <v>3495</v>
      </c>
      <c r="C1727">
        <v>154</v>
      </c>
      <c r="D1727">
        <v>245.92599999999999</v>
      </c>
      <c r="E1727">
        <v>4759</v>
      </c>
      <c r="F1727" s="1">
        <f>1608</f>
        <v>1608</v>
      </c>
      <c r="G1727" s="1">
        <f>1</f>
        <v>1</v>
      </c>
      <c r="H1727">
        <v>0.2</v>
      </c>
      <c r="I1727">
        <v>0</v>
      </c>
      <c r="J1727">
        <v>-35.139099999999999</v>
      </c>
      <c r="K1727">
        <v>517.86300000000006</v>
      </c>
      <c r="L1727">
        <v>0</v>
      </c>
    </row>
    <row r="1728" spans="1:12" x14ac:dyDescent="0.25">
      <c r="A1728">
        <f>80381058*0.00001</f>
        <v>803.81058000000007</v>
      </c>
      <c r="B1728">
        <v>3495</v>
      </c>
      <c r="C1728">
        <v>155</v>
      </c>
      <c r="D1728">
        <v>245.92599999999999</v>
      </c>
      <c r="E1728">
        <v>4759</v>
      </c>
      <c r="F1728">
        <v>1608</v>
      </c>
      <c r="G1728">
        <v>1</v>
      </c>
      <c r="H1728" s="1">
        <f>0.2</f>
        <v>0.2</v>
      </c>
      <c r="I1728" s="1">
        <f>0</f>
        <v>0</v>
      </c>
      <c r="J1728">
        <v>-35.139099999999999</v>
      </c>
      <c r="K1728">
        <v>517.86300000000006</v>
      </c>
      <c r="L1728">
        <v>0</v>
      </c>
    </row>
    <row r="1729" spans="1:12" x14ac:dyDescent="0.25">
      <c r="A1729">
        <f>80381193*0.00001</f>
        <v>803.81193000000007</v>
      </c>
      <c r="B1729">
        <v>3495</v>
      </c>
      <c r="C1729">
        <v>156</v>
      </c>
      <c r="D1729">
        <v>245.92599999999999</v>
      </c>
      <c r="E1729">
        <v>4759</v>
      </c>
      <c r="F1729">
        <v>1608</v>
      </c>
      <c r="G1729">
        <v>1</v>
      </c>
      <c r="H1729">
        <v>0.2</v>
      </c>
      <c r="I1729">
        <v>0</v>
      </c>
      <c r="J1729">
        <v>-35.139099999999999</v>
      </c>
      <c r="K1729" s="1">
        <f>517.84</f>
        <v>517.84</v>
      </c>
      <c r="L1729">
        <v>0</v>
      </c>
    </row>
    <row r="1730" spans="1:12" x14ac:dyDescent="0.25">
      <c r="A1730">
        <f>80381328*0.00001</f>
        <v>803.81328000000008</v>
      </c>
      <c r="B1730">
        <v>3495</v>
      </c>
      <c r="C1730">
        <v>157</v>
      </c>
      <c r="D1730" s="1">
        <f>245.882</f>
        <v>245.88200000000001</v>
      </c>
      <c r="E1730">
        <v>4759</v>
      </c>
      <c r="F1730">
        <v>1608</v>
      </c>
      <c r="G1730">
        <v>1</v>
      </c>
      <c r="H1730">
        <v>0.2</v>
      </c>
      <c r="I1730">
        <v>0</v>
      </c>
      <c r="J1730">
        <v>-35.139099999999999</v>
      </c>
      <c r="K1730">
        <v>517.84</v>
      </c>
      <c r="L1730">
        <v>0</v>
      </c>
    </row>
    <row r="1731" spans="1:12" x14ac:dyDescent="0.25">
      <c r="A1731">
        <f>80381464*0.00001</f>
        <v>803.81464000000005</v>
      </c>
      <c r="B1731">
        <v>3495</v>
      </c>
      <c r="C1731">
        <v>158</v>
      </c>
      <c r="D1731">
        <v>245.88200000000001</v>
      </c>
      <c r="E1731">
        <v>4759</v>
      </c>
      <c r="F1731" s="1">
        <f>1608</f>
        <v>1608</v>
      </c>
      <c r="G1731">
        <v>1</v>
      </c>
      <c r="H1731">
        <v>0.2</v>
      </c>
      <c r="I1731">
        <v>0</v>
      </c>
      <c r="J1731">
        <v>-35.139099999999999</v>
      </c>
      <c r="K1731">
        <v>517.84</v>
      </c>
      <c r="L1731">
        <v>0</v>
      </c>
    </row>
    <row r="1732" spans="1:12" x14ac:dyDescent="0.25">
      <c r="A1732">
        <f>80381599*0.00001</f>
        <v>803.81599000000006</v>
      </c>
      <c r="B1732">
        <v>3495</v>
      </c>
      <c r="C1732">
        <v>159</v>
      </c>
      <c r="D1732">
        <v>245.88200000000001</v>
      </c>
      <c r="E1732">
        <v>4759</v>
      </c>
      <c r="F1732">
        <v>1608</v>
      </c>
      <c r="G1732">
        <v>1</v>
      </c>
      <c r="H1732" s="1">
        <f>0.2</f>
        <v>0.2</v>
      </c>
      <c r="I1732">
        <v>0</v>
      </c>
      <c r="J1732">
        <v>-35.139099999999999</v>
      </c>
      <c r="K1732">
        <v>517.84</v>
      </c>
      <c r="L1732">
        <v>0</v>
      </c>
    </row>
    <row r="1733" spans="1:12" x14ac:dyDescent="0.25">
      <c r="A1733">
        <f>80381734*0.00001</f>
        <v>803.81734000000006</v>
      </c>
      <c r="B1733">
        <v>3495</v>
      </c>
      <c r="C1733">
        <v>160</v>
      </c>
      <c r="D1733">
        <v>245.88200000000001</v>
      </c>
      <c r="E1733">
        <v>4759</v>
      </c>
      <c r="F1733">
        <v>1608</v>
      </c>
      <c r="G1733">
        <v>1</v>
      </c>
      <c r="H1733">
        <v>0.2</v>
      </c>
      <c r="I1733">
        <v>0</v>
      </c>
      <c r="J1733" s="1">
        <f>-34.732</f>
        <v>-34.731999999999999</v>
      </c>
      <c r="K1733">
        <v>517.84</v>
      </c>
      <c r="L1733">
        <v>0</v>
      </c>
    </row>
    <row r="1734" spans="1:12" x14ac:dyDescent="0.25">
      <c r="A1734">
        <f>80381869*0.00001</f>
        <v>803.81869000000006</v>
      </c>
      <c r="B1734">
        <v>3495</v>
      </c>
      <c r="C1734">
        <v>161</v>
      </c>
      <c r="D1734">
        <v>245.88200000000001</v>
      </c>
      <c r="E1734">
        <v>4759</v>
      </c>
      <c r="F1734">
        <v>1608</v>
      </c>
      <c r="G1734">
        <v>1</v>
      </c>
      <c r="H1734">
        <v>0.2</v>
      </c>
      <c r="I1734">
        <v>0</v>
      </c>
      <c r="J1734">
        <v>-34.731999999999999</v>
      </c>
      <c r="K1734">
        <v>517.84</v>
      </c>
      <c r="L1734" s="1">
        <f>0</f>
        <v>0</v>
      </c>
    </row>
    <row r="1735" spans="1:12" x14ac:dyDescent="0.25">
      <c r="A1735">
        <f>80382004*0.00001</f>
        <v>803.82004000000006</v>
      </c>
      <c r="B1735">
        <v>3495</v>
      </c>
      <c r="C1735">
        <v>162</v>
      </c>
      <c r="D1735">
        <v>245.88200000000001</v>
      </c>
      <c r="E1735" s="1">
        <f>4764</f>
        <v>4764</v>
      </c>
      <c r="F1735">
        <v>1608</v>
      </c>
      <c r="G1735">
        <v>1</v>
      </c>
      <c r="H1735">
        <v>0.2</v>
      </c>
      <c r="I1735">
        <v>0</v>
      </c>
      <c r="J1735">
        <v>-34.731999999999999</v>
      </c>
      <c r="K1735">
        <v>517.84</v>
      </c>
      <c r="L1735">
        <v>0</v>
      </c>
    </row>
    <row r="1736" spans="1:12" x14ac:dyDescent="0.25">
      <c r="A1736">
        <f>80382139*0.00001</f>
        <v>803.82139000000006</v>
      </c>
      <c r="B1736">
        <v>3495</v>
      </c>
      <c r="C1736">
        <v>163</v>
      </c>
      <c r="D1736">
        <v>245.88200000000001</v>
      </c>
      <c r="E1736">
        <v>4764</v>
      </c>
      <c r="F1736">
        <v>1608</v>
      </c>
      <c r="G1736" s="1">
        <f>1</f>
        <v>1</v>
      </c>
      <c r="H1736">
        <v>0.2</v>
      </c>
      <c r="I1736">
        <v>0</v>
      </c>
      <c r="J1736">
        <v>-34.731999999999999</v>
      </c>
      <c r="K1736">
        <v>517.84</v>
      </c>
      <c r="L1736">
        <v>0</v>
      </c>
    </row>
    <row r="1737" spans="1:12" x14ac:dyDescent="0.25">
      <c r="A1737">
        <f>80382275*0.00001</f>
        <v>803.82275000000004</v>
      </c>
      <c r="B1737">
        <v>3495</v>
      </c>
      <c r="C1737">
        <v>164</v>
      </c>
      <c r="D1737">
        <v>245.88200000000001</v>
      </c>
      <c r="E1737">
        <v>4764</v>
      </c>
      <c r="F1737">
        <v>1608</v>
      </c>
      <c r="G1737">
        <v>1</v>
      </c>
      <c r="H1737">
        <v>0.2</v>
      </c>
      <c r="I1737" s="1">
        <f>0</f>
        <v>0</v>
      </c>
      <c r="J1737">
        <v>-34.731999999999999</v>
      </c>
      <c r="K1737">
        <v>517.84</v>
      </c>
      <c r="L1737">
        <v>0</v>
      </c>
    </row>
    <row r="1738" spans="1:12" x14ac:dyDescent="0.25">
      <c r="A1738">
        <f>80382410*0.00001</f>
        <v>803.82410000000004</v>
      </c>
      <c r="B1738">
        <v>3495</v>
      </c>
      <c r="C1738">
        <v>165</v>
      </c>
      <c r="D1738" s="1">
        <f>245.566</f>
        <v>245.566</v>
      </c>
      <c r="E1738" s="1">
        <f>4772</f>
        <v>4772</v>
      </c>
      <c r="F1738" s="1">
        <f>1609</f>
        <v>1609</v>
      </c>
      <c r="G1738" s="1">
        <f>1</f>
        <v>1</v>
      </c>
      <c r="H1738" s="1">
        <f>0.2</f>
        <v>0.2</v>
      </c>
      <c r="I1738" s="1">
        <f>0</f>
        <v>0</v>
      </c>
      <c r="J1738" s="1">
        <f>-33.9908</f>
        <v>-33.9908</v>
      </c>
      <c r="K1738" s="1">
        <f>517.739</f>
        <v>517.73900000000003</v>
      </c>
      <c r="L1738" s="1">
        <f>0</f>
        <v>0</v>
      </c>
    </row>
    <row r="1739" spans="1:12" x14ac:dyDescent="0.25">
      <c r="A1739">
        <f>80384034*0.00001</f>
        <v>803.84034000000008</v>
      </c>
      <c r="B1739">
        <v>3495</v>
      </c>
      <c r="C1739">
        <v>177</v>
      </c>
      <c r="D1739">
        <v>245.566</v>
      </c>
      <c r="E1739">
        <v>4772</v>
      </c>
      <c r="F1739">
        <v>1609</v>
      </c>
      <c r="G1739" s="1">
        <f>1</f>
        <v>1</v>
      </c>
      <c r="H1739" s="1">
        <f>0.2</f>
        <v>0.2</v>
      </c>
      <c r="I1739">
        <v>0</v>
      </c>
      <c r="J1739">
        <v>-33.9908</v>
      </c>
      <c r="K1739">
        <v>517.73900000000003</v>
      </c>
      <c r="L1739">
        <v>0</v>
      </c>
    </row>
    <row r="1740" spans="1:12" x14ac:dyDescent="0.25">
      <c r="A1740">
        <f>80384169*0.00001</f>
        <v>803.84169000000009</v>
      </c>
      <c r="B1740">
        <v>3495</v>
      </c>
      <c r="C1740">
        <v>178</v>
      </c>
      <c r="D1740">
        <v>245.566</v>
      </c>
      <c r="E1740">
        <v>4772</v>
      </c>
      <c r="F1740">
        <v>1609</v>
      </c>
      <c r="G1740">
        <v>1</v>
      </c>
      <c r="H1740">
        <v>0.2</v>
      </c>
      <c r="I1740" s="1">
        <f>0</f>
        <v>0</v>
      </c>
      <c r="J1740" s="1">
        <f>-33.8189</f>
        <v>-33.818899999999999</v>
      </c>
      <c r="K1740" s="1">
        <f>517.717</f>
        <v>517.71699999999998</v>
      </c>
      <c r="L1740" s="1">
        <f>0</f>
        <v>0</v>
      </c>
    </row>
    <row r="1741" spans="1:12" s="2" customFormat="1" x14ac:dyDescent="0.25">
      <c r="A1741" s="2">
        <f>80384441*0.00001</f>
        <v>803.84441000000004</v>
      </c>
      <c r="B1741" s="2">
        <v>3496</v>
      </c>
      <c r="C1741" s="2">
        <v>0</v>
      </c>
      <c r="D1741" s="1">
        <f>245.532</f>
        <v>245.53200000000001</v>
      </c>
      <c r="E1741" s="1">
        <f>4773</f>
        <v>4773</v>
      </c>
      <c r="F1741" s="2">
        <v>1609</v>
      </c>
      <c r="G1741" s="2">
        <v>1</v>
      </c>
      <c r="H1741" s="2">
        <v>0.2</v>
      </c>
      <c r="I1741" s="2">
        <v>0</v>
      </c>
      <c r="J1741" s="2">
        <v>-33.818899999999999</v>
      </c>
      <c r="K1741" s="2">
        <v>517.71699999999998</v>
      </c>
      <c r="L1741" s="2">
        <v>0</v>
      </c>
    </row>
    <row r="1742" spans="1:12" x14ac:dyDescent="0.25">
      <c r="A1742">
        <f>80384577*0.00001</f>
        <v>803.84577000000002</v>
      </c>
      <c r="B1742">
        <v>3496</v>
      </c>
      <c r="C1742">
        <v>1</v>
      </c>
      <c r="D1742">
        <v>245.53200000000001</v>
      </c>
      <c r="E1742">
        <v>4773</v>
      </c>
      <c r="F1742" s="1">
        <f>1609</f>
        <v>1609</v>
      </c>
      <c r="G1742" s="1">
        <f>1</f>
        <v>1</v>
      </c>
      <c r="H1742">
        <v>0.2</v>
      </c>
      <c r="I1742">
        <v>0</v>
      </c>
      <c r="J1742">
        <v>-33.818899999999999</v>
      </c>
      <c r="K1742">
        <v>517.71699999999998</v>
      </c>
      <c r="L1742">
        <v>0</v>
      </c>
    </row>
    <row r="1743" spans="1:12" x14ac:dyDescent="0.25">
      <c r="A1743">
        <f>80384713*0.00001</f>
        <v>803.84713000000011</v>
      </c>
      <c r="B1743">
        <v>3496</v>
      </c>
      <c r="C1743">
        <v>2</v>
      </c>
      <c r="D1743">
        <v>245.53200000000001</v>
      </c>
      <c r="E1743">
        <v>4773</v>
      </c>
      <c r="F1743">
        <v>1609</v>
      </c>
      <c r="G1743">
        <v>1</v>
      </c>
      <c r="H1743" s="1">
        <f>0.2</f>
        <v>0.2</v>
      </c>
      <c r="I1743" s="1">
        <f>0</f>
        <v>0</v>
      </c>
      <c r="J1743">
        <v>-33.818899999999999</v>
      </c>
      <c r="K1743">
        <v>517.71699999999998</v>
      </c>
      <c r="L1743">
        <v>0</v>
      </c>
    </row>
    <row r="1744" spans="1:12" x14ac:dyDescent="0.25">
      <c r="A1744">
        <f>80384849*0.00001</f>
        <v>803.84849000000008</v>
      </c>
      <c r="B1744">
        <v>3496</v>
      </c>
      <c r="C1744">
        <v>3</v>
      </c>
      <c r="D1744">
        <v>245.53200000000001</v>
      </c>
      <c r="E1744">
        <v>4773</v>
      </c>
      <c r="F1744">
        <v>1609</v>
      </c>
      <c r="G1744">
        <v>1</v>
      </c>
      <c r="H1744">
        <v>0.2</v>
      </c>
      <c r="I1744">
        <v>0</v>
      </c>
      <c r="J1744" s="1">
        <f>-33.6143</f>
        <v>-33.6143</v>
      </c>
      <c r="K1744" s="1">
        <f>517.7</f>
        <v>517.70000000000005</v>
      </c>
      <c r="L1744">
        <v>0</v>
      </c>
    </row>
    <row r="1745" spans="1:12" x14ac:dyDescent="0.25">
      <c r="A1745">
        <f>80384985*0.00001</f>
        <v>803.84985000000006</v>
      </c>
      <c r="B1745">
        <v>3496</v>
      </c>
      <c r="C1745">
        <v>4</v>
      </c>
      <c r="D1745" s="1">
        <f>245.489</f>
        <v>245.489</v>
      </c>
      <c r="E1745">
        <v>4773</v>
      </c>
      <c r="F1745">
        <v>1609</v>
      </c>
      <c r="G1745">
        <v>1</v>
      </c>
      <c r="H1745">
        <v>0.2</v>
      </c>
      <c r="I1745">
        <v>0</v>
      </c>
      <c r="J1745">
        <v>-33.6143</v>
      </c>
      <c r="K1745">
        <v>517.70000000000005</v>
      </c>
      <c r="L1745" s="1">
        <f>0</f>
        <v>0</v>
      </c>
    </row>
    <row r="1746" spans="1:12" x14ac:dyDescent="0.25">
      <c r="A1746">
        <f>80385120*0.00001</f>
        <v>803.85120000000006</v>
      </c>
      <c r="B1746">
        <v>3496</v>
      </c>
      <c r="C1746">
        <v>5</v>
      </c>
      <c r="D1746">
        <v>245.489</v>
      </c>
      <c r="E1746" s="1">
        <f>4775</f>
        <v>4775</v>
      </c>
      <c r="F1746" s="1">
        <f>1609</f>
        <v>1609</v>
      </c>
      <c r="G1746">
        <v>1</v>
      </c>
      <c r="H1746">
        <v>0.2</v>
      </c>
      <c r="I1746">
        <v>0</v>
      </c>
      <c r="J1746">
        <v>-33.6143</v>
      </c>
      <c r="K1746">
        <v>517.70000000000005</v>
      </c>
      <c r="L1746">
        <v>0</v>
      </c>
    </row>
    <row r="1747" spans="1:12" x14ac:dyDescent="0.25">
      <c r="A1747">
        <f>80385255*0.00001</f>
        <v>803.85255000000006</v>
      </c>
      <c r="B1747">
        <v>3496</v>
      </c>
      <c r="C1747">
        <v>6</v>
      </c>
      <c r="D1747">
        <v>245.489</v>
      </c>
      <c r="E1747">
        <v>4775</v>
      </c>
      <c r="F1747">
        <v>1609</v>
      </c>
      <c r="G1747" s="1">
        <f>1</f>
        <v>1</v>
      </c>
      <c r="H1747" s="1">
        <f>0.2</f>
        <v>0.2</v>
      </c>
      <c r="I1747">
        <v>0</v>
      </c>
      <c r="J1747">
        <v>-33.6143</v>
      </c>
      <c r="K1747">
        <v>517.70000000000005</v>
      </c>
      <c r="L1747">
        <v>0</v>
      </c>
    </row>
    <row r="1748" spans="1:12" x14ac:dyDescent="0.25">
      <c r="A1748">
        <f>80385390*0.00001</f>
        <v>803.85390000000007</v>
      </c>
      <c r="B1748">
        <v>3496</v>
      </c>
      <c r="C1748">
        <v>7</v>
      </c>
      <c r="D1748">
        <v>245.489</v>
      </c>
      <c r="E1748">
        <v>4775</v>
      </c>
      <c r="F1748">
        <v>1609</v>
      </c>
      <c r="G1748">
        <v>1</v>
      </c>
      <c r="H1748">
        <v>0.2</v>
      </c>
      <c r="I1748">
        <v>0</v>
      </c>
      <c r="J1748" s="1">
        <f>-33.4569</f>
        <v>-33.456899999999997</v>
      </c>
      <c r="K1748">
        <v>517.70000000000005</v>
      </c>
      <c r="L1748">
        <v>0</v>
      </c>
    </row>
    <row r="1749" spans="1:12" x14ac:dyDescent="0.25">
      <c r="A1749">
        <f>80385525*0.00001</f>
        <v>803.85525000000007</v>
      </c>
      <c r="B1749">
        <v>3496</v>
      </c>
      <c r="C1749">
        <v>8</v>
      </c>
      <c r="D1749">
        <v>245.489</v>
      </c>
      <c r="E1749">
        <v>4775</v>
      </c>
      <c r="F1749">
        <v>1609</v>
      </c>
      <c r="G1749">
        <v>1</v>
      </c>
      <c r="H1749">
        <v>0.2</v>
      </c>
      <c r="I1749">
        <v>0</v>
      </c>
      <c r="J1749">
        <v>-33.456899999999997</v>
      </c>
      <c r="K1749">
        <v>517.70000000000005</v>
      </c>
      <c r="L1749" s="1">
        <f>0</f>
        <v>0</v>
      </c>
    </row>
    <row r="1750" spans="1:12" x14ac:dyDescent="0.25">
      <c r="A1750">
        <f>80385661*0.00001</f>
        <v>803.85661000000005</v>
      </c>
      <c r="B1750">
        <v>3496</v>
      </c>
      <c r="C1750">
        <v>9</v>
      </c>
      <c r="D1750">
        <v>245.489</v>
      </c>
      <c r="E1750" s="1">
        <f>4778</f>
        <v>4778</v>
      </c>
      <c r="F1750">
        <v>1609</v>
      </c>
      <c r="G1750">
        <v>1</v>
      </c>
      <c r="H1750">
        <v>0.2</v>
      </c>
      <c r="I1750">
        <v>0</v>
      </c>
      <c r="J1750">
        <v>-33.456899999999997</v>
      </c>
      <c r="K1750">
        <v>517.70000000000005</v>
      </c>
      <c r="L1750">
        <v>0</v>
      </c>
    </row>
    <row r="1751" spans="1:12" x14ac:dyDescent="0.25">
      <c r="A1751">
        <f>80385797*0.00001</f>
        <v>803.85797000000002</v>
      </c>
      <c r="B1751">
        <v>3496</v>
      </c>
      <c r="C1751">
        <v>10</v>
      </c>
      <c r="D1751">
        <v>245.489</v>
      </c>
      <c r="E1751">
        <v>4778</v>
      </c>
      <c r="F1751">
        <v>1609</v>
      </c>
      <c r="G1751" s="1">
        <f>1</f>
        <v>1</v>
      </c>
      <c r="H1751">
        <v>0.2</v>
      </c>
      <c r="I1751">
        <v>0</v>
      </c>
      <c r="J1751">
        <v>-33.456899999999997</v>
      </c>
      <c r="K1751">
        <v>517.70000000000005</v>
      </c>
      <c r="L1751">
        <v>0</v>
      </c>
    </row>
    <row r="1752" spans="1:12" x14ac:dyDescent="0.25">
      <c r="A1752">
        <f>80385933*0.00001</f>
        <v>803.85933000000011</v>
      </c>
      <c r="B1752">
        <v>3496</v>
      </c>
      <c r="C1752">
        <v>11</v>
      </c>
      <c r="D1752">
        <v>245.489</v>
      </c>
      <c r="E1752">
        <v>4778</v>
      </c>
      <c r="F1752">
        <v>1609</v>
      </c>
      <c r="G1752">
        <v>1</v>
      </c>
      <c r="H1752">
        <v>0.2</v>
      </c>
      <c r="I1752" s="1">
        <f>0</f>
        <v>0</v>
      </c>
      <c r="J1752">
        <v>-33.456899999999997</v>
      </c>
      <c r="K1752">
        <v>517.70000000000005</v>
      </c>
      <c r="L1752">
        <v>0</v>
      </c>
    </row>
    <row r="1753" spans="1:12" x14ac:dyDescent="0.25">
      <c r="A1753">
        <f>80386069*0.00001</f>
        <v>803.86069000000009</v>
      </c>
      <c r="B1753">
        <v>3496</v>
      </c>
      <c r="C1753">
        <v>12</v>
      </c>
      <c r="D1753">
        <v>245.489</v>
      </c>
      <c r="E1753">
        <v>4778</v>
      </c>
      <c r="F1753">
        <v>1609</v>
      </c>
      <c r="G1753">
        <v>1</v>
      </c>
      <c r="H1753">
        <v>0.2</v>
      </c>
      <c r="I1753">
        <v>0</v>
      </c>
      <c r="J1753">
        <v>-33.456899999999997</v>
      </c>
      <c r="K1753" s="1">
        <f>517.651</f>
        <v>517.65099999999995</v>
      </c>
      <c r="L1753">
        <v>0</v>
      </c>
    </row>
    <row r="1754" spans="1:12" x14ac:dyDescent="0.25">
      <c r="A1754">
        <f>80386205*0.00001</f>
        <v>803.86205000000007</v>
      </c>
      <c r="B1754">
        <v>3496</v>
      </c>
      <c r="C1754">
        <v>13</v>
      </c>
      <c r="D1754" s="1">
        <f>245.336</f>
        <v>245.33600000000001</v>
      </c>
      <c r="E1754">
        <v>4778</v>
      </c>
      <c r="F1754">
        <v>1609</v>
      </c>
      <c r="G1754">
        <v>1</v>
      </c>
      <c r="H1754">
        <v>0.2</v>
      </c>
      <c r="I1754">
        <v>0</v>
      </c>
      <c r="J1754">
        <v>-33.456899999999997</v>
      </c>
      <c r="K1754">
        <v>517.65099999999995</v>
      </c>
      <c r="L1754">
        <v>0</v>
      </c>
    </row>
    <row r="1755" spans="1:12" x14ac:dyDescent="0.25">
      <c r="A1755">
        <f>80386340*0.00001</f>
        <v>803.86340000000007</v>
      </c>
      <c r="B1755">
        <v>3496</v>
      </c>
      <c r="C1755">
        <v>14</v>
      </c>
      <c r="D1755">
        <v>245.33600000000001</v>
      </c>
      <c r="E1755">
        <v>4778</v>
      </c>
      <c r="F1755" s="1">
        <f>1609</f>
        <v>1609</v>
      </c>
      <c r="G1755">
        <v>1</v>
      </c>
      <c r="H1755">
        <v>0.2</v>
      </c>
      <c r="I1755">
        <v>0</v>
      </c>
      <c r="J1755">
        <v>-33.456899999999997</v>
      </c>
      <c r="K1755">
        <v>517.65099999999995</v>
      </c>
      <c r="L1755">
        <v>0</v>
      </c>
    </row>
    <row r="1756" spans="1:12" x14ac:dyDescent="0.25">
      <c r="A1756">
        <f>80386475*0.00001</f>
        <v>803.86475000000007</v>
      </c>
      <c r="B1756">
        <v>3496</v>
      </c>
      <c r="C1756">
        <v>15</v>
      </c>
      <c r="D1756">
        <v>245.33600000000001</v>
      </c>
      <c r="E1756">
        <v>4778</v>
      </c>
      <c r="F1756">
        <v>1609</v>
      </c>
      <c r="G1756">
        <v>1</v>
      </c>
      <c r="H1756" s="1">
        <f>0.2</f>
        <v>0.2</v>
      </c>
      <c r="I1756">
        <v>0</v>
      </c>
      <c r="J1756">
        <v>-33.456899999999997</v>
      </c>
      <c r="K1756">
        <v>517.65099999999995</v>
      </c>
      <c r="L1756">
        <v>0</v>
      </c>
    </row>
    <row r="1757" spans="1:12" x14ac:dyDescent="0.25">
      <c r="A1757">
        <f>80386610*0.00001</f>
        <v>803.86610000000007</v>
      </c>
      <c r="B1757">
        <v>3496</v>
      </c>
      <c r="C1757">
        <v>16</v>
      </c>
      <c r="D1757" s="1">
        <f>245.146</f>
        <v>245.14599999999999</v>
      </c>
      <c r="E1757" s="1">
        <f>4788</f>
        <v>4788</v>
      </c>
      <c r="F1757" s="1">
        <f>1609</f>
        <v>1609</v>
      </c>
      <c r="G1757" s="1">
        <f>1</f>
        <v>1</v>
      </c>
      <c r="H1757" s="1">
        <f>0.2</f>
        <v>0.2</v>
      </c>
      <c r="I1757" s="1">
        <f>0</f>
        <v>0</v>
      </c>
      <c r="J1757" s="1">
        <f>-32.5278</f>
        <v>-32.527799999999999</v>
      </c>
      <c r="K1757" s="1">
        <f>517.576</f>
        <v>517.57600000000002</v>
      </c>
      <c r="L1757" s="1">
        <f>0</f>
        <v>0</v>
      </c>
    </row>
    <row r="1758" spans="1:12" x14ac:dyDescent="0.25">
      <c r="A1758">
        <f>80388239*0.00001</f>
        <v>803.8823900000001</v>
      </c>
      <c r="B1758">
        <v>3496</v>
      </c>
      <c r="C1758">
        <v>28</v>
      </c>
      <c r="D1758">
        <v>245.14599999999999</v>
      </c>
      <c r="E1758">
        <v>4788</v>
      </c>
      <c r="F1758" s="1">
        <f>1609</f>
        <v>1609</v>
      </c>
      <c r="G1758" s="1">
        <f>1</f>
        <v>1</v>
      </c>
      <c r="H1758">
        <v>0.2</v>
      </c>
      <c r="I1758">
        <v>0</v>
      </c>
      <c r="J1758">
        <v>-32.527799999999999</v>
      </c>
      <c r="K1758">
        <v>517.57600000000002</v>
      </c>
      <c r="L1758">
        <v>0</v>
      </c>
    </row>
    <row r="1759" spans="1:12" x14ac:dyDescent="0.25">
      <c r="A1759">
        <f>80388374*0.00001</f>
        <v>803.8837400000001</v>
      </c>
      <c r="B1759">
        <v>3496</v>
      </c>
      <c r="C1759">
        <v>29</v>
      </c>
      <c r="D1759">
        <v>245.14599999999999</v>
      </c>
      <c r="E1759">
        <v>4788</v>
      </c>
      <c r="F1759">
        <v>1609</v>
      </c>
      <c r="G1759">
        <v>1</v>
      </c>
      <c r="H1759" s="1">
        <f>0.2</f>
        <v>0.2</v>
      </c>
      <c r="I1759" s="1">
        <f>0</f>
        <v>0</v>
      </c>
      <c r="J1759">
        <v>-32.527799999999999</v>
      </c>
      <c r="K1759">
        <v>517.57600000000002</v>
      </c>
      <c r="L1759">
        <v>0</v>
      </c>
    </row>
    <row r="1760" spans="1:12" x14ac:dyDescent="0.25">
      <c r="A1760">
        <f>80388509*0.00001</f>
        <v>803.8850900000001</v>
      </c>
      <c r="B1760">
        <v>3496</v>
      </c>
      <c r="C1760">
        <v>30</v>
      </c>
      <c r="D1760">
        <v>245.14599999999999</v>
      </c>
      <c r="E1760">
        <v>4788</v>
      </c>
      <c r="F1760">
        <v>1609</v>
      </c>
      <c r="G1760">
        <v>1</v>
      </c>
      <c r="H1760">
        <v>0.2</v>
      </c>
      <c r="I1760">
        <v>0</v>
      </c>
      <c r="J1760" s="1">
        <f>-32.3074</f>
        <v>-32.307400000000001</v>
      </c>
      <c r="K1760" s="1">
        <f>517.555</f>
        <v>517.55499999999995</v>
      </c>
      <c r="L1760">
        <v>0</v>
      </c>
    </row>
    <row r="1761" spans="1:12" x14ac:dyDescent="0.25">
      <c r="A1761">
        <f>80388644*0.00001</f>
        <v>803.88644000000011</v>
      </c>
      <c r="B1761">
        <v>3496</v>
      </c>
      <c r="C1761">
        <v>31</v>
      </c>
      <c r="D1761" s="1">
        <f>245.112</f>
        <v>245.11199999999999</v>
      </c>
      <c r="E1761">
        <v>4788</v>
      </c>
      <c r="F1761">
        <v>1609</v>
      </c>
      <c r="G1761">
        <v>1</v>
      </c>
      <c r="H1761">
        <v>0.2</v>
      </c>
      <c r="I1761">
        <v>0</v>
      </c>
      <c r="J1761">
        <v>-32.307400000000001</v>
      </c>
      <c r="K1761">
        <v>517.55499999999995</v>
      </c>
      <c r="L1761" s="1">
        <f>0</f>
        <v>0</v>
      </c>
    </row>
    <row r="1762" spans="1:12" x14ac:dyDescent="0.25">
      <c r="A1762">
        <f>80388780*0.00001</f>
        <v>803.88780000000008</v>
      </c>
      <c r="B1762">
        <v>3496</v>
      </c>
      <c r="C1762">
        <v>32</v>
      </c>
      <c r="D1762">
        <v>245.11199999999999</v>
      </c>
      <c r="E1762" s="1">
        <f>4789</f>
        <v>4789</v>
      </c>
      <c r="F1762" s="1">
        <f>1609</f>
        <v>1609</v>
      </c>
      <c r="G1762">
        <v>1</v>
      </c>
      <c r="H1762">
        <v>0.2</v>
      </c>
      <c r="I1762">
        <v>0</v>
      </c>
      <c r="J1762">
        <v>-32.307400000000001</v>
      </c>
      <c r="K1762">
        <v>517.55499999999995</v>
      </c>
      <c r="L1762">
        <v>0</v>
      </c>
    </row>
    <row r="1763" spans="1:12" x14ac:dyDescent="0.25">
      <c r="A1763">
        <f>80388916*0.00001</f>
        <v>803.88916000000006</v>
      </c>
      <c r="B1763">
        <v>3496</v>
      </c>
      <c r="C1763">
        <v>33</v>
      </c>
      <c r="D1763">
        <v>245.11199999999999</v>
      </c>
      <c r="E1763">
        <v>4789</v>
      </c>
      <c r="F1763">
        <v>1609</v>
      </c>
      <c r="G1763" s="1">
        <f>1</f>
        <v>1</v>
      </c>
      <c r="H1763" s="1">
        <f>0.2</f>
        <v>0.2</v>
      </c>
      <c r="I1763">
        <v>0</v>
      </c>
      <c r="J1763">
        <v>-32.307400000000001</v>
      </c>
      <c r="K1763">
        <v>517.55499999999995</v>
      </c>
      <c r="L1763">
        <v>0</v>
      </c>
    </row>
    <row r="1764" spans="1:12" x14ac:dyDescent="0.25">
      <c r="A1764">
        <f>80389052*0.00001</f>
        <v>803.89052000000004</v>
      </c>
      <c r="B1764">
        <v>3496</v>
      </c>
      <c r="C1764">
        <v>34</v>
      </c>
      <c r="D1764">
        <v>245.11199999999999</v>
      </c>
      <c r="E1764">
        <v>4789</v>
      </c>
      <c r="F1764">
        <v>1609</v>
      </c>
      <c r="G1764">
        <v>1</v>
      </c>
      <c r="H1764">
        <v>0.2</v>
      </c>
      <c r="I1764" s="1">
        <f>0</f>
        <v>0</v>
      </c>
      <c r="J1764" s="1">
        <f>-32.15</f>
        <v>-32.15</v>
      </c>
      <c r="K1764">
        <v>517.55499999999995</v>
      </c>
      <c r="L1764">
        <v>0</v>
      </c>
    </row>
    <row r="1765" spans="1:12" x14ac:dyDescent="0.25">
      <c r="A1765">
        <f>80389188*0.00001</f>
        <v>803.89188000000001</v>
      </c>
      <c r="B1765">
        <v>3496</v>
      </c>
      <c r="C1765">
        <v>35</v>
      </c>
      <c r="D1765">
        <v>245.11199999999999</v>
      </c>
      <c r="E1765">
        <v>4789</v>
      </c>
      <c r="F1765">
        <v>1609</v>
      </c>
      <c r="G1765">
        <v>1</v>
      </c>
      <c r="H1765">
        <v>0.2</v>
      </c>
      <c r="I1765">
        <v>0</v>
      </c>
      <c r="J1765">
        <v>-32.15</v>
      </c>
      <c r="K1765" s="1">
        <f>517.529</f>
        <v>517.529</v>
      </c>
      <c r="L1765" s="1">
        <f>0</f>
        <v>0</v>
      </c>
    </row>
    <row r="1766" spans="1:12" x14ac:dyDescent="0.25">
      <c r="A1766">
        <f>80389323*0.00001</f>
        <v>803.89323000000002</v>
      </c>
      <c r="B1766">
        <v>3496</v>
      </c>
      <c r="C1766">
        <v>36</v>
      </c>
      <c r="D1766" s="1">
        <f>245.079</f>
        <v>245.07900000000001</v>
      </c>
      <c r="E1766" s="1">
        <f>4791</f>
        <v>4791</v>
      </c>
      <c r="F1766">
        <v>1609</v>
      </c>
      <c r="G1766">
        <v>1</v>
      </c>
      <c r="H1766">
        <v>0.2</v>
      </c>
      <c r="I1766">
        <v>0</v>
      </c>
      <c r="J1766">
        <v>-32.15</v>
      </c>
      <c r="K1766">
        <v>517.529</v>
      </c>
      <c r="L1766">
        <v>0</v>
      </c>
    </row>
    <row r="1767" spans="1:12" x14ac:dyDescent="0.25">
      <c r="A1767">
        <f>80389458*0.00001</f>
        <v>803.89458000000002</v>
      </c>
      <c r="B1767">
        <v>3496</v>
      </c>
      <c r="C1767">
        <v>37</v>
      </c>
      <c r="D1767">
        <v>245.07900000000001</v>
      </c>
      <c r="E1767">
        <v>4791</v>
      </c>
      <c r="F1767">
        <v>1609</v>
      </c>
      <c r="G1767" s="1">
        <f>1</f>
        <v>1</v>
      </c>
      <c r="H1767">
        <v>0.2</v>
      </c>
      <c r="I1767">
        <v>0</v>
      </c>
      <c r="J1767">
        <v>-32.15</v>
      </c>
      <c r="K1767">
        <v>517.529</v>
      </c>
      <c r="L1767">
        <v>0</v>
      </c>
    </row>
    <row r="1768" spans="1:12" x14ac:dyDescent="0.25">
      <c r="A1768">
        <f>80389593*0.00001</f>
        <v>803.89593000000002</v>
      </c>
      <c r="B1768">
        <v>3496</v>
      </c>
      <c r="C1768">
        <v>38</v>
      </c>
      <c r="D1768">
        <v>245.07900000000001</v>
      </c>
      <c r="E1768">
        <v>4791</v>
      </c>
      <c r="F1768">
        <v>1609</v>
      </c>
      <c r="G1768">
        <v>1</v>
      </c>
      <c r="H1768">
        <v>0.2</v>
      </c>
      <c r="I1768" s="1">
        <f>0</f>
        <v>0</v>
      </c>
      <c r="J1768">
        <v>-32.15</v>
      </c>
      <c r="K1768">
        <v>517.529</v>
      </c>
      <c r="L1768">
        <v>0</v>
      </c>
    </row>
    <row r="1769" spans="1:12" x14ac:dyDescent="0.25">
      <c r="A1769">
        <f>80389728*0.00001</f>
        <v>803.89728000000002</v>
      </c>
      <c r="B1769">
        <v>3496</v>
      </c>
      <c r="C1769">
        <v>39</v>
      </c>
      <c r="D1769">
        <v>245.07900000000001</v>
      </c>
      <c r="E1769">
        <v>4791</v>
      </c>
      <c r="F1769">
        <v>1609</v>
      </c>
      <c r="G1769">
        <v>1</v>
      </c>
      <c r="H1769">
        <v>0.2</v>
      </c>
      <c r="I1769">
        <v>0</v>
      </c>
      <c r="J1769">
        <v>-32.15</v>
      </c>
      <c r="K1769" s="1">
        <f>517.508</f>
        <v>517.50800000000004</v>
      </c>
      <c r="L1769">
        <v>0</v>
      </c>
    </row>
    <row r="1770" spans="1:12" x14ac:dyDescent="0.25">
      <c r="A1770">
        <f>80389864*0.00001</f>
        <v>803.89864000000011</v>
      </c>
      <c r="B1770">
        <v>3496</v>
      </c>
      <c r="C1770">
        <v>40</v>
      </c>
      <c r="D1770" s="1">
        <f>245.058</f>
        <v>245.05799999999999</v>
      </c>
      <c r="E1770">
        <v>4791</v>
      </c>
      <c r="F1770">
        <v>1609</v>
      </c>
      <c r="G1770">
        <v>1</v>
      </c>
      <c r="H1770">
        <v>0.2</v>
      </c>
      <c r="I1770">
        <v>0</v>
      </c>
      <c r="J1770">
        <v>-32.15</v>
      </c>
      <c r="K1770">
        <v>517.50800000000004</v>
      </c>
      <c r="L1770">
        <v>0</v>
      </c>
    </row>
    <row r="1771" spans="1:12" x14ac:dyDescent="0.25">
      <c r="A1771">
        <f>80390000*0.00001</f>
        <v>803.90000000000009</v>
      </c>
      <c r="B1771">
        <v>3496</v>
      </c>
      <c r="C1771">
        <v>41</v>
      </c>
      <c r="D1771">
        <v>245.05799999999999</v>
      </c>
      <c r="E1771">
        <v>4791</v>
      </c>
      <c r="F1771" s="1">
        <f>1609</f>
        <v>1609</v>
      </c>
      <c r="G1771">
        <v>1</v>
      </c>
      <c r="H1771">
        <v>0.2</v>
      </c>
      <c r="I1771">
        <v>0</v>
      </c>
      <c r="J1771">
        <v>-32.15</v>
      </c>
      <c r="K1771">
        <v>517.50800000000004</v>
      </c>
      <c r="L1771">
        <v>0</v>
      </c>
    </row>
    <row r="1772" spans="1:12" x14ac:dyDescent="0.25">
      <c r="A1772">
        <f>80390136*0.00001</f>
        <v>803.90136000000007</v>
      </c>
      <c r="B1772">
        <v>3496</v>
      </c>
      <c r="C1772">
        <v>42</v>
      </c>
      <c r="D1772">
        <v>245.05799999999999</v>
      </c>
      <c r="E1772">
        <v>4791</v>
      </c>
      <c r="F1772">
        <v>1609</v>
      </c>
      <c r="G1772">
        <v>1</v>
      </c>
      <c r="H1772" s="1">
        <f>0.2</f>
        <v>0.2</v>
      </c>
      <c r="I1772">
        <v>0</v>
      </c>
      <c r="J1772">
        <v>-32.15</v>
      </c>
      <c r="K1772">
        <v>517.50800000000004</v>
      </c>
      <c r="L1772">
        <v>0</v>
      </c>
    </row>
    <row r="1773" spans="1:12" x14ac:dyDescent="0.25">
      <c r="A1773">
        <f>80390272*0.00001</f>
        <v>803.90272000000004</v>
      </c>
      <c r="B1773">
        <v>3496</v>
      </c>
      <c r="C1773">
        <v>43</v>
      </c>
      <c r="D1773">
        <v>245.05799999999999</v>
      </c>
      <c r="E1773">
        <v>4791</v>
      </c>
      <c r="F1773">
        <v>1609</v>
      </c>
      <c r="G1773">
        <v>1</v>
      </c>
      <c r="H1773">
        <v>0.2</v>
      </c>
      <c r="I1773">
        <v>0</v>
      </c>
      <c r="J1773" s="1">
        <f>-31.8069</f>
        <v>-31.806899999999999</v>
      </c>
      <c r="K1773">
        <v>517.50800000000004</v>
      </c>
      <c r="L1773">
        <v>0</v>
      </c>
    </row>
    <row r="1774" spans="1:12" x14ac:dyDescent="0.25">
      <c r="A1774">
        <f>80390407*0.00001</f>
        <v>803.90407000000005</v>
      </c>
      <c r="B1774">
        <v>3496</v>
      </c>
      <c r="C1774">
        <v>44</v>
      </c>
      <c r="D1774">
        <v>245.05799999999999</v>
      </c>
      <c r="E1774">
        <v>4791</v>
      </c>
      <c r="F1774">
        <v>1609</v>
      </c>
      <c r="G1774">
        <v>1</v>
      </c>
      <c r="H1774">
        <v>0.2</v>
      </c>
      <c r="I1774">
        <v>0</v>
      </c>
      <c r="J1774">
        <v>-31.806899999999999</v>
      </c>
      <c r="K1774">
        <v>517.50800000000004</v>
      </c>
      <c r="L1774" s="1">
        <f>0</f>
        <v>0</v>
      </c>
    </row>
    <row r="1775" spans="1:12" x14ac:dyDescent="0.25">
      <c r="A1775">
        <f>80390542*0.00001</f>
        <v>803.90542000000005</v>
      </c>
      <c r="B1775">
        <v>3496</v>
      </c>
      <c r="C1775">
        <v>45</v>
      </c>
      <c r="D1775" s="1">
        <f>244.877</f>
        <v>244.87700000000001</v>
      </c>
      <c r="E1775" s="1">
        <f>4799</f>
        <v>4799</v>
      </c>
      <c r="F1775" s="1">
        <f>1609</f>
        <v>1609</v>
      </c>
      <c r="G1775" s="1">
        <f>1</f>
        <v>1</v>
      </c>
      <c r="H1775" s="1">
        <f>0.2</f>
        <v>0.2</v>
      </c>
      <c r="I1775" s="1">
        <f>0</f>
        <v>0</v>
      </c>
      <c r="J1775" s="1">
        <f>-31.3691</f>
        <v>-31.3691</v>
      </c>
      <c r="K1775" s="1">
        <f>517.436</f>
        <v>517.43600000000004</v>
      </c>
      <c r="L1775" s="1">
        <f>0</f>
        <v>0</v>
      </c>
    </row>
    <row r="1776" spans="1:12" x14ac:dyDescent="0.25">
      <c r="A1776">
        <f>80391902*0.00001</f>
        <v>803.91902000000005</v>
      </c>
      <c r="B1776">
        <v>3496</v>
      </c>
      <c r="C1776">
        <v>55</v>
      </c>
      <c r="D1776">
        <v>244.87700000000001</v>
      </c>
      <c r="E1776">
        <v>4799</v>
      </c>
      <c r="F1776" s="1">
        <f>1609</f>
        <v>1609</v>
      </c>
      <c r="G1776" s="1">
        <f>1</f>
        <v>1</v>
      </c>
      <c r="H1776">
        <v>0.2</v>
      </c>
      <c r="I1776">
        <v>0</v>
      </c>
      <c r="J1776">
        <v>-31.3691</v>
      </c>
      <c r="K1776">
        <v>517.43600000000004</v>
      </c>
      <c r="L1776">
        <v>0</v>
      </c>
    </row>
    <row r="1777" spans="1:12" x14ac:dyDescent="0.25">
      <c r="A1777">
        <f>80392038*0.00001</f>
        <v>803.92038000000002</v>
      </c>
      <c r="B1777">
        <v>3496</v>
      </c>
      <c r="C1777">
        <v>56</v>
      </c>
      <c r="D1777">
        <v>244.87700000000001</v>
      </c>
      <c r="E1777">
        <v>4799</v>
      </c>
      <c r="F1777">
        <v>1609</v>
      </c>
      <c r="G1777">
        <v>1</v>
      </c>
      <c r="H1777" s="1">
        <f>0.2</f>
        <v>0.2</v>
      </c>
      <c r="I1777" s="1">
        <f>0</f>
        <v>0</v>
      </c>
      <c r="J1777">
        <v>-31.3691</v>
      </c>
      <c r="K1777">
        <v>517.43600000000004</v>
      </c>
      <c r="L1777">
        <v>0</v>
      </c>
    </row>
    <row r="1778" spans="1:12" x14ac:dyDescent="0.25">
      <c r="A1778">
        <f>80392174*0.00001</f>
        <v>803.92174000000011</v>
      </c>
      <c r="B1778">
        <v>3496</v>
      </c>
      <c r="C1778">
        <v>57</v>
      </c>
      <c r="D1778">
        <v>244.87700000000001</v>
      </c>
      <c r="E1778">
        <v>4799</v>
      </c>
      <c r="F1778">
        <v>1609</v>
      </c>
      <c r="G1778">
        <v>1</v>
      </c>
      <c r="H1778">
        <v>0.2</v>
      </c>
      <c r="I1778">
        <v>0</v>
      </c>
      <c r="J1778" s="1">
        <f>-31.126</f>
        <v>-31.126000000000001</v>
      </c>
      <c r="K1778" s="1">
        <f>517.415</f>
        <v>517.41499999999996</v>
      </c>
      <c r="L1778">
        <v>0</v>
      </c>
    </row>
    <row r="1779" spans="1:12" x14ac:dyDescent="0.25">
      <c r="A1779">
        <f>80392310*0.00001</f>
        <v>803.92310000000009</v>
      </c>
      <c r="B1779">
        <v>3496</v>
      </c>
      <c r="C1779">
        <v>58</v>
      </c>
      <c r="D1779" s="1">
        <f>244.827</f>
        <v>244.827</v>
      </c>
      <c r="E1779">
        <v>4799</v>
      </c>
      <c r="F1779">
        <v>1609</v>
      </c>
      <c r="G1779">
        <v>1</v>
      </c>
      <c r="H1779">
        <v>0.2</v>
      </c>
      <c r="I1779">
        <v>0</v>
      </c>
      <c r="J1779">
        <v>-31.126000000000001</v>
      </c>
      <c r="K1779">
        <v>517.41499999999996</v>
      </c>
      <c r="L1779" s="1">
        <f>0</f>
        <v>0</v>
      </c>
    </row>
    <row r="1780" spans="1:12" x14ac:dyDescent="0.25">
      <c r="A1780">
        <f>80392446*0.00001</f>
        <v>803.92446000000007</v>
      </c>
      <c r="B1780">
        <v>3496</v>
      </c>
      <c r="C1780">
        <v>59</v>
      </c>
      <c r="D1780">
        <v>244.827</v>
      </c>
      <c r="E1780" s="1">
        <f>4801</f>
        <v>4801</v>
      </c>
      <c r="F1780" s="1">
        <f>1609</f>
        <v>1609</v>
      </c>
      <c r="G1780">
        <v>1</v>
      </c>
      <c r="H1780">
        <v>0.2</v>
      </c>
      <c r="I1780">
        <v>0</v>
      </c>
      <c r="J1780">
        <v>-31.126000000000001</v>
      </c>
      <c r="K1780">
        <v>517.41499999999996</v>
      </c>
      <c r="L1780">
        <v>0</v>
      </c>
    </row>
    <row r="1781" spans="1:12" x14ac:dyDescent="0.25">
      <c r="A1781">
        <f>80392582*0.00001</f>
        <v>803.92582000000004</v>
      </c>
      <c r="B1781">
        <v>3496</v>
      </c>
      <c r="C1781">
        <v>60</v>
      </c>
      <c r="D1781">
        <v>244.827</v>
      </c>
      <c r="E1781">
        <v>4801</v>
      </c>
      <c r="F1781">
        <v>1609</v>
      </c>
      <c r="G1781" s="1">
        <f>1</f>
        <v>1</v>
      </c>
      <c r="H1781" s="1">
        <f>0.2</f>
        <v>0.2</v>
      </c>
      <c r="I1781">
        <v>0</v>
      </c>
      <c r="J1781">
        <v>-31.126000000000001</v>
      </c>
      <c r="K1781">
        <v>517.41499999999996</v>
      </c>
      <c r="L1781">
        <v>0</v>
      </c>
    </row>
    <row r="1782" spans="1:12" x14ac:dyDescent="0.25">
      <c r="A1782">
        <f>80392717*0.00001</f>
        <v>803.92717000000005</v>
      </c>
      <c r="B1782">
        <v>3496</v>
      </c>
      <c r="C1782">
        <v>61</v>
      </c>
      <c r="D1782">
        <v>244.827</v>
      </c>
      <c r="E1782">
        <v>4801</v>
      </c>
      <c r="F1782">
        <v>1609</v>
      </c>
      <c r="G1782">
        <v>1</v>
      </c>
      <c r="H1782">
        <v>0.2</v>
      </c>
      <c r="I1782" s="1">
        <f>0</f>
        <v>0</v>
      </c>
      <c r="J1782" s="1">
        <f>-30.9314</f>
        <v>-30.9314</v>
      </c>
      <c r="K1782">
        <v>517.41499999999996</v>
      </c>
      <c r="L1782">
        <v>0</v>
      </c>
    </row>
    <row r="1783" spans="1:12" x14ac:dyDescent="0.25">
      <c r="A1783">
        <f>80392853*0.00001</f>
        <v>803.92853000000002</v>
      </c>
      <c r="B1783">
        <v>3496</v>
      </c>
      <c r="C1783">
        <v>62</v>
      </c>
      <c r="D1783">
        <v>244.827</v>
      </c>
      <c r="E1783">
        <v>4801</v>
      </c>
      <c r="F1783">
        <v>1609</v>
      </c>
      <c r="G1783">
        <v>1</v>
      </c>
      <c r="H1783">
        <v>0.2</v>
      </c>
      <c r="I1783">
        <v>0</v>
      </c>
      <c r="J1783">
        <v>-30.9314</v>
      </c>
      <c r="K1783" s="1">
        <f>517.39</f>
        <v>517.39</v>
      </c>
      <c r="L1783" s="1">
        <f>0</f>
        <v>0</v>
      </c>
    </row>
    <row r="1784" spans="1:12" x14ac:dyDescent="0.25">
      <c r="A1784">
        <f>80392989*0.00001</f>
        <v>803.92989000000011</v>
      </c>
      <c r="B1784">
        <v>3496</v>
      </c>
      <c r="C1784">
        <v>63</v>
      </c>
      <c r="D1784">
        <v>244.827</v>
      </c>
      <c r="E1784" s="1">
        <f>4803</f>
        <v>4803</v>
      </c>
      <c r="F1784">
        <v>1609</v>
      </c>
      <c r="G1784">
        <v>1</v>
      </c>
      <c r="H1784">
        <v>0.2</v>
      </c>
      <c r="I1784">
        <v>0</v>
      </c>
      <c r="J1784">
        <v>-30.9314</v>
      </c>
      <c r="K1784">
        <v>517.39</v>
      </c>
      <c r="L1784">
        <v>0</v>
      </c>
    </row>
    <row r="1785" spans="1:12" x14ac:dyDescent="0.25">
      <c r="A1785">
        <f>80393125*0.00001</f>
        <v>803.93125000000009</v>
      </c>
      <c r="B1785">
        <v>3496</v>
      </c>
      <c r="C1785">
        <v>64</v>
      </c>
      <c r="D1785">
        <v>244.827</v>
      </c>
      <c r="E1785">
        <v>4803</v>
      </c>
      <c r="F1785">
        <v>1609</v>
      </c>
      <c r="G1785" s="1">
        <f>1</f>
        <v>1</v>
      </c>
      <c r="H1785">
        <v>0.2</v>
      </c>
      <c r="I1785">
        <v>0</v>
      </c>
      <c r="J1785">
        <v>-30.9314</v>
      </c>
      <c r="K1785">
        <v>517.39</v>
      </c>
      <c r="L1785">
        <v>0</v>
      </c>
    </row>
    <row r="1786" spans="1:12" x14ac:dyDescent="0.25">
      <c r="A1786">
        <f>80393261*0.00001</f>
        <v>803.93261000000007</v>
      </c>
      <c r="B1786">
        <v>3496</v>
      </c>
      <c r="C1786">
        <v>65</v>
      </c>
      <c r="D1786">
        <v>244.827</v>
      </c>
      <c r="E1786">
        <v>4803</v>
      </c>
      <c r="F1786">
        <v>1609</v>
      </c>
      <c r="G1786">
        <v>1</v>
      </c>
      <c r="H1786">
        <v>0.2</v>
      </c>
      <c r="I1786" s="1">
        <f>0</f>
        <v>0</v>
      </c>
      <c r="J1786">
        <v>-30.9314</v>
      </c>
      <c r="K1786">
        <v>517.39</v>
      </c>
      <c r="L1786">
        <v>0</v>
      </c>
    </row>
    <row r="1787" spans="1:12" x14ac:dyDescent="0.25">
      <c r="A1787">
        <f>80393396*0.00001</f>
        <v>803.93396000000007</v>
      </c>
      <c r="B1787">
        <v>3496</v>
      </c>
      <c r="C1787">
        <v>66</v>
      </c>
      <c r="D1787">
        <v>244.827</v>
      </c>
      <c r="E1787">
        <v>4803</v>
      </c>
      <c r="F1787">
        <v>1609</v>
      </c>
      <c r="G1787">
        <v>1</v>
      </c>
      <c r="H1787">
        <v>0.2</v>
      </c>
      <c r="I1787">
        <v>0</v>
      </c>
      <c r="J1787">
        <v>-30.9314</v>
      </c>
      <c r="K1787" s="1">
        <f>517.37</f>
        <v>517.37</v>
      </c>
      <c r="L1787">
        <v>0</v>
      </c>
    </row>
    <row r="1788" spans="1:12" x14ac:dyDescent="0.25">
      <c r="A1788">
        <f>80393532*0.00001</f>
        <v>803.93532000000005</v>
      </c>
      <c r="B1788">
        <v>3496</v>
      </c>
      <c r="C1788">
        <v>67</v>
      </c>
      <c r="D1788" s="1">
        <f>244.745</f>
        <v>244.745</v>
      </c>
      <c r="E1788">
        <v>4803</v>
      </c>
      <c r="F1788">
        <v>1609</v>
      </c>
      <c r="G1788">
        <v>1</v>
      </c>
      <c r="H1788">
        <v>0.2</v>
      </c>
      <c r="I1788">
        <v>0</v>
      </c>
      <c r="J1788">
        <v>-30.9314</v>
      </c>
      <c r="K1788">
        <v>517.37</v>
      </c>
      <c r="L1788">
        <v>0</v>
      </c>
    </row>
    <row r="1789" spans="1:12" x14ac:dyDescent="0.25">
      <c r="A1789">
        <f>80393668*0.00001</f>
        <v>803.93668000000002</v>
      </c>
      <c r="B1789">
        <v>3496</v>
      </c>
      <c r="C1789">
        <v>68</v>
      </c>
      <c r="D1789">
        <v>244.745</v>
      </c>
      <c r="E1789">
        <v>4803</v>
      </c>
      <c r="F1789" s="1">
        <f>1609</f>
        <v>1609</v>
      </c>
      <c r="G1789">
        <v>1</v>
      </c>
      <c r="H1789">
        <v>0.2</v>
      </c>
      <c r="I1789">
        <v>0</v>
      </c>
      <c r="J1789">
        <v>-30.9314</v>
      </c>
      <c r="K1789">
        <v>517.37</v>
      </c>
      <c r="L1789">
        <v>0</v>
      </c>
    </row>
    <row r="1790" spans="1:12" x14ac:dyDescent="0.25">
      <c r="A1790">
        <f>80393803*0.00001</f>
        <v>803.93803000000003</v>
      </c>
      <c r="B1790">
        <v>3496</v>
      </c>
      <c r="C1790">
        <v>69</v>
      </c>
      <c r="D1790">
        <v>244.745</v>
      </c>
      <c r="E1790">
        <v>4803</v>
      </c>
      <c r="F1790">
        <v>1609</v>
      </c>
      <c r="G1790">
        <v>1</v>
      </c>
      <c r="H1790" s="1">
        <f>0.2</f>
        <v>0.2</v>
      </c>
      <c r="I1790">
        <v>0</v>
      </c>
      <c r="J1790">
        <v>-30.9314</v>
      </c>
      <c r="K1790">
        <v>517.37</v>
      </c>
      <c r="L1790">
        <v>0</v>
      </c>
    </row>
    <row r="1791" spans="1:12" x14ac:dyDescent="0.25">
      <c r="A1791">
        <f>80393939*0.00001</f>
        <v>803.93939000000012</v>
      </c>
      <c r="B1791">
        <v>3496</v>
      </c>
      <c r="C1791">
        <v>70</v>
      </c>
      <c r="D1791">
        <v>244.745</v>
      </c>
      <c r="E1791">
        <v>4803</v>
      </c>
      <c r="F1791">
        <v>1609</v>
      </c>
      <c r="G1791">
        <v>1</v>
      </c>
      <c r="H1791">
        <v>0.2</v>
      </c>
      <c r="I1791">
        <v>0</v>
      </c>
      <c r="J1791" s="1">
        <f>-30.5625</f>
        <v>-30.5625</v>
      </c>
      <c r="K1791">
        <v>517.37</v>
      </c>
      <c r="L1791">
        <v>0</v>
      </c>
    </row>
    <row r="1792" spans="1:12" x14ac:dyDescent="0.25">
      <c r="A1792">
        <f>80394075*0.00001</f>
        <v>803.94075000000009</v>
      </c>
      <c r="B1792">
        <v>3496</v>
      </c>
      <c r="C1792">
        <v>71</v>
      </c>
      <c r="D1792">
        <v>244.745</v>
      </c>
      <c r="E1792">
        <v>4803</v>
      </c>
      <c r="F1792">
        <v>1609</v>
      </c>
      <c r="G1792">
        <v>1</v>
      </c>
      <c r="H1792">
        <v>0.2</v>
      </c>
      <c r="I1792">
        <v>0</v>
      </c>
      <c r="J1792">
        <v>-30.5625</v>
      </c>
      <c r="K1792">
        <v>517.37</v>
      </c>
      <c r="L1792" s="1">
        <f>0</f>
        <v>0</v>
      </c>
    </row>
    <row r="1793" spans="1:12" x14ac:dyDescent="0.25">
      <c r="A1793">
        <f>80394211*0.00001</f>
        <v>803.94211000000007</v>
      </c>
      <c r="B1793">
        <v>3496</v>
      </c>
      <c r="C1793">
        <v>72</v>
      </c>
      <c r="D1793" s="1">
        <f>244.677</f>
        <v>244.67699999999999</v>
      </c>
      <c r="E1793" s="1">
        <f>4808</f>
        <v>4808</v>
      </c>
      <c r="F1793" s="1">
        <f>1609</f>
        <v>1609</v>
      </c>
      <c r="G1793" s="1">
        <f>1</f>
        <v>1</v>
      </c>
      <c r="H1793" s="1">
        <f>0.2</f>
        <v>0.2</v>
      </c>
      <c r="I1793" s="1">
        <f>0</f>
        <v>0</v>
      </c>
      <c r="J1793" s="1">
        <f>-30.2165</f>
        <v>-30.2165</v>
      </c>
      <c r="K1793" s="1">
        <f>517.305</f>
        <v>517.30499999999995</v>
      </c>
      <c r="L1793" s="1">
        <f>0</f>
        <v>0</v>
      </c>
    </row>
    <row r="1794" spans="1:12" x14ac:dyDescent="0.25">
      <c r="A1794">
        <f>80395571*0.00001</f>
        <v>803.95571000000007</v>
      </c>
      <c r="B1794">
        <v>3496</v>
      </c>
      <c r="C1794">
        <v>82</v>
      </c>
      <c r="D1794">
        <v>244.67699999999999</v>
      </c>
      <c r="E1794">
        <v>4808</v>
      </c>
      <c r="F1794">
        <v>1609</v>
      </c>
      <c r="G1794" s="1">
        <f>1</f>
        <v>1</v>
      </c>
      <c r="H1794" s="1">
        <f>0.2</f>
        <v>0.2</v>
      </c>
      <c r="I1794">
        <v>0</v>
      </c>
      <c r="J1794">
        <v>-30.2165</v>
      </c>
      <c r="K1794">
        <v>517.30499999999995</v>
      </c>
      <c r="L1794">
        <v>0</v>
      </c>
    </row>
    <row r="1795" spans="1:12" x14ac:dyDescent="0.25">
      <c r="A1795">
        <f>80395707*0.00001</f>
        <v>803.95707000000004</v>
      </c>
      <c r="B1795">
        <v>3496</v>
      </c>
      <c r="C1795">
        <v>83</v>
      </c>
      <c r="D1795">
        <v>244.67699999999999</v>
      </c>
      <c r="E1795">
        <v>4808</v>
      </c>
      <c r="F1795">
        <v>1609</v>
      </c>
      <c r="G1795">
        <v>1</v>
      </c>
      <c r="H1795">
        <v>0.2</v>
      </c>
      <c r="I1795" s="1">
        <f>0</f>
        <v>0</v>
      </c>
      <c r="J1795" s="1">
        <f>-30.055</f>
        <v>-30.055</v>
      </c>
      <c r="K1795">
        <v>517.30499999999995</v>
      </c>
      <c r="L1795">
        <v>0</v>
      </c>
    </row>
    <row r="1796" spans="1:12" x14ac:dyDescent="0.25">
      <c r="A1796">
        <f>80395843*0.00001</f>
        <v>803.95843000000002</v>
      </c>
      <c r="B1796">
        <v>3496</v>
      </c>
      <c r="C1796">
        <v>84</v>
      </c>
      <c r="D1796">
        <v>244.67699999999999</v>
      </c>
      <c r="E1796">
        <v>4808</v>
      </c>
      <c r="F1796">
        <v>1609</v>
      </c>
      <c r="G1796">
        <v>1</v>
      </c>
      <c r="H1796">
        <v>0.2</v>
      </c>
      <c r="I1796">
        <v>0</v>
      </c>
      <c r="J1796">
        <v>-30.055</v>
      </c>
      <c r="K1796" s="1">
        <f>517.281</f>
        <v>517.28099999999995</v>
      </c>
      <c r="L1796" s="1">
        <f>0</f>
        <v>0</v>
      </c>
    </row>
    <row r="1797" spans="1:12" x14ac:dyDescent="0.25">
      <c r="A1797">
        <f>80395979*0.00001</f>
        <v>803.95979000000011</v>
      </c>
      <c r="B1797">
        <v>3496</v>
      </c>
      <c r="C1797">
        <v>85</v>
      </c>
      <c r="D1797" s="1">
        <f>244.643</f>
        <v>244.643</v>
      </c>
      <c r="E1797" s="1">
        <f>4810</f>
        <v>4810</v>
      </c>
      <c r="F1797">
        <v>1609</v>
      </c>
      <c r="G1797">
        <v>1</v>
      </c>
      <c r="H1797">
        <v>0.2</v>
      </c>
      <c r="I1797">
        <v>0</v>
      </c>
      <c r="J1797">
        <v>-30.055</v>
      </c>
      <c r="K1797">
        <v>517.28099999999995</v>
      </c>
      <c r="L1797">
        <v>0</v>
      </c>
    </row>
    <row r="1798" spans="1:12" x14ac:dyDescent="0.25">
      <c r="A1798">
        <f>80396115*0.00001</f>
        <v>803.96115000000009</v>
      </c>
      <c r="B1798">
        <v>3496</v>
      </c>
      <c r="C1798">
        <v>86</v>
      </c>
      <c r="D1798">
        <v>244.643</v>
      </c>
      <c r="E1798">
        <v>4810</v>
      </c>
      <c r="F1798" s="1">
        <f>1609</f>
        <v>1609</v>
      </c>
      <c r="G1798" s="1">
        <f>1</f>
        <v>1</v>
      </c>
      <c r="H1798">
        <v>0.2</v>
      </c>
      <c r="I1798">
        <v>0</v>
      </c>
      <c r="J1798">
        <v>-30.055</v>
      </c>
      <c r="K1798">
        <v>517.28099999999995</v>
      </c>
      <c r="L1798">
        <v>0</v>
      </c>
    </row>
    <row r="1799" spans="1:12" x14ac:dyDescent="0.25">
      <c r="A1799">
        <f>80396251*0.00001</f>
        <v>803.96251000000007</v>
      </c>
      <c r="B1799">
        <v>3496</v>
      </c>
      <c r="C1799">
        <v>87</v>
      </c>
      <c r="D1799">
        <v>244.643</v>
      </c>
      <c r="E1799">
        <v>4810</v>
      </c>
      <c r="F1799">
        <v>1609</v>
      </c>
      <c r="G1799">
        <v>1</v>
      </c>
      <c r="H1799" s="1">
        <f>0.2</f>
        <v>0.2</v>
      </c>
      <c r="I1799" s="1">
        <f>0</f>
        <v>0</v>
      </c>
      <c r="J1799">
        <v>-30.055</v>
      </c>
      <c r="K1799">
        <v>517.28099999999995</v>
      </c>
      <c r="L1799">
        <v>0</v>
      </c>
    </row>
    <row r="1800" spans="1:12" x14ac:dyDescent="0.25">
      <c r="A1800">
        <f>80396387*0.00001</f>
        <v>803.96387000000004</v>
      </c>
      <c r="B1800">
        <v>3496</v>
      </c>
      <c r="C1800">
        <v>88</v>
      </c>
      <c r="D1800">
        <v>244.643</v>
      </c>
      <c r="E1800">
        <v>4810</v>
      </c>
      <c r="F1800">
        <v>1609</v>
      </c>
      <c r="G1800">
        <v>1</v>
      </c>
      <c r="H1800">
        <v>0.2</v>
      </c>
      <c r="I1800">
        <v>0</v>
      </c>
      <c r="J1800" s="1">
        <f>-29.8245</f>
        <v>-29.8245</v>
      </c>
      <c r="K1800" s="1">
        <f>517.261</f>
        <v>517.26099999999997</v>
      </c>
      <c r="L1800">
        <v>0</v>
      </c>
    </row>
    <row r="1801" spans="1:12" x14ac:dyDescent="0.25">
      <c r="A1801">
        <f>80396523*0.00001</f>
        <v>803.96523000000002</v>
      </c>
      <c r="B1801">
        <v>3496</v>
      </c>
      <c r="C1801">
        <v>89</v>
      </c>
      <c r="D1801" s="1">
        <f>244.57</f>
        <v>244.57</v>
      </c>
      <c r="E1801">
        <v>4810</v>
      </c>
      <c r="F1801">
        <v>1609</v>
      </c>
      <c r="G1801">
        <v>1</v>
      </c>
      <c r="H1801">
        <v>0.2</v>
      </c>
      <c r="I1801">
        <v>0</v>
      </c>
      <c r="J1801">
        <v>-29.8245</v>
      </c>
      <c r="K1801">
        <v>517.26099999999997</v>
      </c>
      <c r="L1801" s="1">
        <f>0</f>
        <v>0</v>
      </c>
    </row>
    <row r="1802" spans="1:12" x14ac:dyDescent="0.25">
      <c r="A1802">
        <f>80396659*0.00001</f>
        <v>803.96659000000011</v>
      </c>
      <c r="B1802">
        <v>3496</v>
      </c>
      <c r="C1802">
        <v>90</v>
      </c>
      <c r="D1802">
        <v>244.57</v>
      </c>
      <c r="E1802">
        <v>4810</v>
      </c>
      <c r="F1802" s="1">
        <f>1609</f>
        <v>1609</v>
      </c>
      <c r="G1802">
        <v>1</v>
      </c>
      <c r="H1802">
        <v>0.2</v>
      </c>
      <c r="I1802">
        <v>0</v>
      </c>
      <c r="J1802">
        <v>-29.8245</v>
      </c>
      <c r="K1802">
        <v>517.26099999999997</v>
      </c>
      <c r="L1802">
        <v>0</v>
      </c>
    </row>
    <row r="1803" spans="1:12" x14ac:dyDescent="0.25">
      <c r="A1803">
        <f>80396795*0.00001</f>
        <v>803.96795000000009</v>
      </c>
      <c r="B1803">
        <v>3496</v>
      </c>
      <c r="C1803">
        <v>91</v>
      </c>
      <c r="D1803">
        <v>244.57</v>
      </c>
      <c r="E1803">
        <v>4810</v>
      </c>
      <c r="F1803">
        <v>1609</v>
      </c>
      <c r="G1803">
        <v>1</v>
      </c>
      <c r="H1803" s="1">
        <f>0.2</f>
        <v>0.2</v>
      </c>
      <c r="I1803">
        <v>0</v>
      </c>
      <c r="J1803">
        <v>-29.8245</v>
      </c>
      <c r="K1803">
        <v>517.26099999999997</v>
      </c>
      <c r="L1803">
        <v>0</v>
      </c>
    </row>
    <row r="1804" spans="1:12" x14ac:dyDescent="0.25">
      <c r="A1804">
        <f>80396931*0.00001</f>
        <v>803.96931000000006</v>
      </c>
      <c r="B1804">
        <v>3496</v>
      </c>
      <c r="C1804">
        <v>92</v>
      </c>
      <c r="D1804">
        <v>244.57</v>
      </c>
      <c r="E1804">
        <v>4810</v>
      </c>
      <c r="F1804">
        <v>1609</v>
      </c>
      <c r="G1804">
        <v>1</v>
      </c>
      <c r="H1804">
        <v>0.2</v>
      </c>
      <c r="I1804">
        <v>0</v>
      </c>
      <c r="J1804" s="1">
        <f>-29.6115</f>
        <v>-29.611499999999999</v>
      </c>
      <c r="K1804">
        <v>517.26099999999997</v>
      </c>
      <c r="L1804">
        <v>0</v>
      </c>
    </row>
    <row r="1805" spans="1:12" x14ac:dyDescent="0.25">
      <c r="A1805">
        <f>80397067*0.00001</f>
        <v>803.97067000000004</v>
      </c>
      <c r="B1805">
        <v>3496</v>
      </c>
      <c r="C1805">
        <v>93</v>
      </c>
      <c r="D1805">
        <v>244.57</v>
      </c>
      <c r="E1805">
        <v>4810</v>
      </c>
      <c r="F1805">
        <v>1609</v>
      </c>
      <c r="G1805">
        <v>1</v>
      </c>
      <c r="H1805">
        <v>0.2</v>
      </c>
      <c r="I1805">
        <v>0</v>
      </c>
      <c r="J1805">
        <v>-29.611499999999999</v>
      </c>
      <c r="K1805">
        <v>517.26099999999997</v>
      </c>
      <c r="L1805" s="1">
        <f>0</f>
        <v>0</v>
      </c>
    </row>
    <row r="1806" spans="1:12" x14ac:dyDescent="0.25">
      <c r="A1806">
        <f>80397203*0.00001</f>
        <v>803.97203000000002</v>
      </c>
      <c r="B1806">
        <v>3496</v>
      </c>
      <c r="C1806">
        <v>94</v>
      </c>
      <c r="D1806">
        <v>244.57</v>
      </c>
      <c r="E1806" s="1">
        <f>4815</f>
        <v>4815</v>
      </c>
      <c r="F1806">
        <v>1609</v>
      </c>
      <c r="G1806">
        <v>1</v>
      </c>
      <c r="H1806">
        <v>0.2</v>
      </c>
      <c r="I1806">
        <v>0</v>
      </c>
      <c r="J1806">
        <v>-29.611499999999999</v>
      </c>
      <c r="K1806">
        <v>517.26099999999997</v>
      </c>
      <c r="L1806">
        <v>0</v>
      </c>
    </row>
    <row r="1807" spans="1:12" x14ac:dyDescent="0.25">
      <c r="A1807">
        <f>80397339*0.00001</f>
        <v>803.97339000000011</v>
      </c>
      <c r="B1807">
        <v>3496</v>
      </c>
      <c r="C1807">
        <v>95</v>
      </c>
      <c r="D1807">
        <v>244.57</v>
      </c>
      <c r="E1807">
        <v>4815</v>
      </c>
      <c r="F1807">
        <v>1609</v>
      </c>
      <c r="G1807" s="1">
        <f>1</f>
        <v>1</v>
      </c>
      <c r="H1807">
        <v>0.2</v>
      </c>
      <c r="I1807">
        <v>0</v>
      </c>
      <c r="J1807">
        <v>-29.611499999999999</v>
      </c>
      <c r="K1807">
        <v>517.26099999999997</v>
      </c>
      <c r="L1807">
        <v>0</v>
      </c>
    </row>
    <row r="1808" spans="1:12" x14ac:dyDescent="0.25">
      <c r="A1808">
        <f>80397475*0.00001</f>
        <v>803.97475000000009</v>
      </c>
      <c r="B1808">
        <v>3496</v>
      </c>
      <c r="C1808">
        <v>96</v>
      </c>
      <c r="D1808">
        <v>244.57</v>
      </c>
      <c r="E1808">
        <v>4815</v>
      </c>
      <c r="F1808">
        <v>1609</v>
      </c>
      <c r="G1808">
        <v>1</v>
      </c>
      <c r="H1808">
        <v>0.2</v>
      </c>
      <c r="I1808" s="1">
        <f>0</f>
        <v>0</v>
      </c>
      <c r="J1808">
        <v>-29.611499999999999</v>
      </c>
      <c r="K1808">
        <v>517.26099999999997</v>
      </c>
      <c r="L1808">
        <v>0</v>
      </c>
    </row>
    <row r="1809" spans="1:12" x14ac:dyDescent="0.25">
      <c r="A1809">
        <f>80397611*0.00001</f>
        <v>803.97611000000006</v>
      </c>
      <c r="B1809">
        <v>3496</v>
      </c>
      <c r="C1809">
        <v>97</v>
      </c>
      <c r="D1809" s="1">
        <f>244.404</f>
        <v>244.404</v>
      </c>
      <c r="E1809" s="1">
        <f>4819</f>
        <v>4819</v>
      </c>
      <c r="F1809" s="1">
        <f>1609</f>
        <v>1609</v>
      </c>
      <c r="G1809" s="1">
        <f>1</f>
        <v>1</v>
      </c>
      <c r="H1809" s="1">
        <f>0.2</f>
        <v>0.2</v>
      </c>
      <c r="I1809" s="1">
        <f>0</f>
        <v>0</v>
      </c>
      <c r="J1809" s="1">
        <f>-28.995</f>
        <v>-28.995000000000001</v>
      </c>
      <c r="K1809" s="1">
        <f>517.174</f>
        <v>517.17399999999998</v>
      </c>
      <c r="L1809" s="1">
        <f>0</f>
        <v>0</v>
      </c>
    </row>
    <row r="1810" spans="1:12" x14ac:dyDescent="0.25">
      <c r="A1810">
        <f>80398971*0.00001</f>
        <v>803.98971000000006</v>
      </c>
      <c r="B1810">
        <v>3496</v>
      </c>
      <c r="C1810">
        <v>107</v>
      </c>
      <c r="D1810" s="1">
        <f>244.375</f>
        <v>244.375</v>
      </c>
      <c r="E1810">
        <v>4819</v>
      </c>
      <c r="F1810">
        <v>1609</v>
      </c>
      <c r="G1810">
        <v>1</v>
      </c>
      <c r="H1810">
        <v>0.2</v>
      </c>
      <c r="I1810">
        <v>0</v>
      </c>
      <c r="J1810">
        <v>-28.995000000000001</v>
      </c>
      <c r="K1810">
        <v>517.17399999999998</v>
      </c>
      <c r="L1810" s="1">
        <f>0</f>
        <v>0</v>
      </c>
    </row>
    <row r="1811" spans="1:12" x14ac:dyDescent="0.25">
      <c r="A1811">
        <f>80399107*0.00001</f>
        <v>803.99107000000004</v>
      </c>
      <c r="B1811">
        <v>3496</v>
      </c>
      <c r="C1811">
        <v>108</v>
      </c>
      <c r="D1811">
        <v>244.375</v>
      </c>
      <c r="E1811" s="1">
        <f>4820</f>
        <v>4820</v>
      </c>
      <c r="F1811" s="1">
        <f>1609</f>
        <v>1609</v>
      </c>
      <c r="G1811">
        <v>1</v>
      </c>
      <c r="H1811">
        <v>0.2</v>
      </c>
      <c r="I1811">
        <v>0</v>
      </c>
      <c r="J1811">
        <v>-28.995000000000001</v>
      </c>
      <c r="K1811">
        <v>517.17399999999998</v>
      </c>
      <c r="L1811">
        <v>0</v>
      </c>
    </row>
    <row r="1812" spans="1:12" x14ac:dyDescent="0.25">
      <c r="A1812">
        <f>80399242*0.00001</f>
        <v>803.99242000000004</v>
      </c>
      <c r="B1812">
        <v>3496</v>
      </c>
      <c r="C1812">
        <v>109</v>
      </c>
      <c r="D1812">
        <v>244.375</v>
      </c>
      <c r="E1812">
        <v>4820</v>
      </c>
      <c r="F1812">
        <v>1609</v>
      </c>
      <c r="G1812" s="1">
        <f>1</f>
        <v>1</v>
      </c>
      <c r="H1812" s="1">
        <f>0.2</f>
        <v>0.2</v>
      </c>
      <c r="I1812">
        <v>0</v>
      </c>
      <c r="J1812">
        <v>-28.995000000000001</v>
      </c>
      <c r="K1812">
        <v>517.17399999999998</v>
      </c>
      <c r="L1812">
        <v>0</v>
      </c>
    </row>
    <row r="1813" spans="1:12" x14ac:dyDescent="0.25">
      <c r="A1813">
        <f>80399378*0.00001</f>
        <v>803.99378000000002</v>
      </c>
      <c r="B1813">
        <v>3496</v>
      </c>
      <c r="C1813">
        <v>110</v>
      </c>
      <c r="D1813">
        <v>244.375</v>
      </c>
      <c r="E1813">
        <v>4820</v>
      </c>
      <c r="F1813">
        <v>1609</v>
      </c>
      <c r="G1813">
        <v>1</v>
      </c>
      <c r="H1813">
        <v>0.2</v>
      </c>
      <c r="I1813" s="1">
        <f>0</f>
        <v>0</v>
      </c>
      <c r="J1813" s="1">
        <f>-28.8449</f>
        <v>-28.844899999999999</v>
      </c>
      <c r="K1813">
        <v>517.17399999999998</v>
      </c>
      <c r="L1813">
        <v>0</v>
      </c>
    </row>
    <row r="1814" spans="1:12" x14ac:dyDescent="0.25">
      <c r="A1814">
        <f>80399514*0.00001</f>
        <v>803.99514000000011</v>
      </c>
      <c r="B1814">
        <v>3496</v>
      </c>
      <c r="C1814">
        <v>111</v>
      </c>
      <c r="D1814">
        <v>244.375</v>
      </c>
      <c r="E1814">
        <v>4820</v>
      </c>
      <c r="F1814">
        <v>1609</v>
      </c>
      <c r="G1814">
        <v>1</v>
      </c>
      <c r="H1814">
        <v>0.2</v>
      </c>
      <c r="I1814">
        <v>0</v>
      </c>
      <c r="J1814">
        <v>-28.844899999999999</v>
      </c>
      <c r="K1814" s="1">
        <f>517.151</f>
        <v>517.15099999999995</v>
      </c>
      <c r="L1814" s="1">
        <f>0</f>
        <v>0</v>
      </c>
    </row>
    <row r="1815" spans="1:12" x14ac:dyDescent="0.25">
      <c r="A1815">
        <f>80399650*0.00001</f>
        <v>803.99650000000008</v>
      </c>
      <c r="B1815">
        <v>3496</v>
      </c>
      <c r="C1815">
        <v>112</v>
      </c>
      <c r="D1815" s="1">
        <f>244.346</f>
        <v>244.346</v>
      </c>
      <c r="E1815" s="1">
        <f>4822</f>
        <v>4822</v>
      </c>
      <c r="F1815">
        <v>1609</v>
      </c>
      <c r="G1815">
        <v>1</v>
      </c>
      <c r="H1815">
        <v>0.2</v>
      </c>
      <c r="I1815">
        <v>0</v>
      </c>
      <c r="J1815">
        <v>-28.844899999999999</v>
      </c>
      <c r="K1815">
        <v>517.15099999999995</v>
      </c>
      <c r="L1815">
        <v>0</v>
      </c>
    </row>
    <row r="1816" spans="1:12" x14ac:dyDescent="0.25">
      <c r="A1816">
        <f>80399786*0.00001</f>
        <v>803.99786000000006</v>
      </c>
      <c r="B1816">
        <v>3496</v>
      </c>
      <c r="C1816">
        <v>113</v>
      </c>
      <c r="D1816">
        <v>244.346</v>
      </c>
      <c r="E1816">
        <v>4822</v>
      </c>
      <c r="F1816" s="1">
        <f>1609</f>
        <v>1609</v>
      </c>
      <c r="G1816" s="1">
        <f>1</f>
        <v>1</v>
      </c>
      <c r="H1816">
        <v>0.2</v>
      </c>
      <c r="I1816">
        <v>0</v>
      </c>
      <c r="J1816">
        <v>-28.844899999999999</v>
      </c>
      <c r="K1816">
        <v>517.15099999999995</v>
      </c>
      <c r="L1816">
        <v>0</v>
      </c>
    </row>
    <row r="1817" spans="1:12" x14ac:dyDescent="0.25">
      <c r="A1817">
        <f>80399922*0.00001</f>
        <v>803.99922000000004</v>
      </c>
      <c r="B1817">
        <v>3496</v>
      </c>
      <c r="C1817">
        <v>114</v>
      </c>
      <c r="D1817">
        <v>244.346</v>
      </c>
      <c r="E1817">
        <v>4822</v>
      </c>
      <c r="F1817">
        <v>1609</v>
      </c>
      <c r="G1817">
        <v>1</v>
      </c>
      <c r="H1817">
        <v>0.2</v>
      </c>
      <c r="I1817" s="1">
        <f>0</f>
        <v>0</v>
      </c>
      <c r="J1817">
        <v>-28.844899999999999</v>
      </c>
      <c r="K1817">
        <v>517.15099999999995</v>
      </c>
      <c r="L1817">
        <v>0</v>
      </c>
    </row>
    <row r="1818" spans="1:12" x14ac:dyDescent="0.25">
      <c r="A1818">
        <f>80400058*0.00001</f>
        <v>804.00058000000001</v>
      </c>
      <c r="B1818">
        <v>3496</v>
      </c>
      <c r="C1818">
        <v>115</v>
      </c>
      <c r="D1818">
        <v>244.346</v>
      </c>
      <c r="E1818">
        <v>4822</v>
      </c>
      <c r="F1818">
        <v>1609</v>
      </c>
      <c r="G1818">
        <v>1</v>
      </c>
      <c r="H1818">
        <v>0.2</v>
      </c>
      <c r="I1818">
        <v>0</v>
      </c>
      <c r="J1818">
        <v>-28.844899999999999</v>
      </c>
      <c r="K1818" s="1">
        <f>517.132</f>
        <v>517.13199999999995</v>
      </c>
      <c r="L1818">
        <v>0</v>
      </c>
    </row>
    <row r="1819" spans="1:12" x14ac:dyDescent="0.25">
      <c r="A1819">
        <f>80400194*0.00001</f>
        <v>804.0019400000001</v>
      </c>
      <c r="B1819">
        <v>3496</v>
      </c>
      <c r="C1819">
        <v>116</v>
      </c>
      <c r="D1819" s="1">
        <f>244.328</f>
        <v>244.328</v>
      </c>
      <c r="E1819">
        <v>4822</v>
      </c>
      <c r="F1819">
        <v>1609</v>
      </c>
      <c r="G1819">
        <v>1</v>
      </c>
      <c r="H1819">
        <v>0.2</v>
      </c>
      <c r="I1819">
        <v>0</v>
      </c>
      <c r="J1819">
        <v>-28.844899999999999</v>
      </c>
      <c r="K1819">
        <v>517.13199999999995</v>
      </c>
      <c r="L1819">
        <v>0</v>
      </c>
    </row>
    <row r="1820" spans="1:12" x14ac:dyDescent="0.25">
      <c r="A1820">
        <f>80400330*0.00001</f>
        <v>804.00330000000008</v>
      </c>
      <c r="B1820">
        <v>3496</v>
      </c>
      <c r="C1820">
        <v>117</v>
      </c>
      <c r="D1820">
        <v>244.328</v>
      </c>
      <c r="E1820">
        <v>4822</v>
      </c>
      <c r="F1820" s="1">
        <f>1609</f>
        <v>1609</v>
      </c>
      <c r="G1820">
        <v>1</v>
      </c>
      <c r="H1820">
        <v>0.2</v>
      </c>
      <c r="I1820">
        <v>0</v>
      </c>
      <c r="J1820">
        <v>-28.844899999999999</v>
      </c>
      <c r="K1820">
        <v>517.13199999999995</v>
      </c>
      <c r="L1820">
        <v>0</v>
      </c>
    </row>
    <row r="1821" spans="1:12" x14ac:dyDescent="0.25">
      <c r="A1821">
        <f>80400466*0.00001</f>
        <v>804.00466000000006</v>
      </c>
      <c r="B1821">
        <v>3496</v>
      </c>
      <c r="C1821">
        <v>118</v>
      </c>
      <c r="D1821">
        <v>244.328</v>
      </c>
      <c r="E1821">
        <v>4822</v>
      </c>
      <c r="F1821">
        <v>1609</v>
      </c>
      <c r="G1821">
        <v>1</v>
      </c>
      <c r="H1821" s="1">
        <f>0.2</f>
        <v>0.2</v>
      </c>
      <c r="I1821">
        <v>0</v>
      </c>
      <c r="J1821">
        <v>-28.844899999999999</v>
      </c>
      <c r="K1821">
        <v>517.13199999999995</v>
      </c>
      <c r="L1821">
        <v>0</v>
      </c>
    </row>
    <row r="1822" spans="1:12" x14ac:dyDescent="0.25">
      <c r="A1822">
        <f>80400602*0.00001</f>
        <v>804.00602000000003</v>
      </c>
      <c r="B1822">
        <v>3496</v>
      </c>
      <c r="C1822">
        <v>119</v>
      </c>
      <c r="D1822">
        <v>244.328</v>
      </c>
      <c r="E1822">
        <v>4822</v>
      </c>
      <c r="F1822">
        <v>1609</v>
      </c>
      <c r="G1822">
        <v>1</v>
      </c>
      <c r="H1822">
        <v>0.2</v>
      </c>
      <c r="I1822">
        <v>0</v>
      </c>
      <c r="J1822" s="1">
        <f>-28.4794</f>
        <v>-28.479399999999998</v>
      </c>
      <c r="K1822">
        <v>517.13199999999995</v>
      </c>
      <c r="L1822">
        <v>0</v>
      </c>
    </row>
    <row r="1823" spans="1:12" x14ac:dyDescent="0.25">
      <c r="A1823">
        <f>80400738*0.00001</f>
        <v>804.00738000000001</v>
      </c>
      <c r="B1823">
        <v>3496</v>
      </c>
      <c r="C1823">
        <v>120</v>
      </c>
      <c r="D1823">
        <v>244.328</v>
      </c>
      <c r="E1823">
        <v>4822</v>
      </c>
      <c r="F1823">
        <v>1609</v>
      </c>
      <c r="G1823">
        <v>1</v>
      </c>
      <c r="H1823">
        <v>0.2</v>
      </c>
      <c r="I1823">
        <v>0</v>
      </c>
      <c r="J1823">
        <v>-28.479399999999998</v>
      </c>
      <c r="K1823">
        <v>517.13199999999995</v>
      </c>
      <c r="L1823" s="1">
        <f>0</f>
        <v>0</v>
      </c>
    </row>
    <row r="1824" spans="1:12" x14ac:dyDescent="0.25">
      <c r="A1824">
        <f>80400874*0.00001</f>
        <v>804.0087400000001</v>
      </c>
      <c r="B1824">
        <v>3496</v>
      </c>
      <c r="C1824">
        <v>121</v>
      </c>
      <c r="D1824" s="1">
        <f>244.201</f>
        <v>244.20099999999999</v>
      </c>
      <c r="E1824" s="1">
        <f>4826</f>
        <v>4826</v>
      </c>
      <c r="F1824" s="1">
        <f>1609</f>
        <v>1609</v>
      </c>
      <c r="G1824" s="1">
        <f>1</f>
        <v>1</v>
      </c>
      <c r="H1824" s="1">
        <f>0.2</f>
        <v>0.2</v>
      </c>
      <c r="I1824" s="1">
        <f>0</f>
        <v>0</v>
      </c>
      <c r="J1824" s="1">
        <f>-28.0802</f>
        <v>-28.080200000000001</v>
      </c>
      <c r="K1824" s="1">
        <f>517.071</f>
        <v>517.07100000000003</v>
      </c>
      <c r="L1824" s="1">
        <f>0</f>
        <v>0</v>
      </c>
    </row>
    <row r="1825" spans="1:12" x14ac:dyDescent="0.25">
      <c r="A1825">
        <f>80402099*0.00001</f>
        <v>804.0209900000001</v>
      </c>
      <c r="B1825">
        <v>3496</v>
      </c>
      <c r="C1825">
        <v>130</v>
      </c>
      <c r="D1825">
        <v>244.20099999999999</v>
      </c>
      <c r="E1825" s="1">
        <f>4828</f>
        <v>4828</v>
      </c>
      <c r="F1825" s="1">
        <f>1609</f>
        <v>1609</v>
      </c>
      <c r="G1825">
        <v>1</v>
      </c>
      <c r="H1825">
        <v>0.2</v>
      </c>
      <c r="I1825">
        <v>0</v>
      </c>
      <c r="J1825">
        <v>-28.080200000000001</v>
      </c>
      <c r="K1825">
        <v>517.07100000000003</v>
      </c>
      <c r="L1825">
        <v>0</v>
      </c>
    </row>
    <row r="1826" spans="1:12" x14ac:dyDescent="0.25">
      <c r="A1826">
        <f>80402236*0.00001</f>
        <v>804.02236000000005</v>
      </c>
      <c r="B1826">
        <v>3496</v>
      </c>
      <c r="C1826">
        <v>131</v>
      </c>
      <c r="D1826">
        <v>244.20099999999999</v>
      </c>
      <c r="E1826">
        <v>4828</v>
      </c>
      <c r="F1826">
        <v>1609</v>
      </c>
      <c r="G1826" s="1">
        <f>1</f>
        <v>1</v>
      </c>
      <c r="H1826" s="1">
        <f>0.2</f>
        <v>0.2</v>
      </c>
      <c r="I1826">
        <v>0</v>
      </c>
      <c r="J1826">
        <v>-28.080200000000001</v>
      </c>
      <c r="K1826">
        <v>517.07100000000003</v>
      </c>
      <c r="L1826">
        <v>0</v>
      </c>
    </row>
    <row r="1827" spans="1:12" x14ac:dyDescent="0.25">
      <c r="A1827">
        <f>80402372*0.00001</f>
        <v>804.02372000000003</v>
      </c>
      <c r="B1827">
        <v>3496</v>
      </c>
      <c r="C1827">
        <v>132</v>
      </c>
      <c r="D1827">
        <v>244.20099999999999</v>
      </c>
      <c r="E1827">
        <v>4828</v>
      </c>
      <c r="F1827">
        <v>1609</v>
      </c>
      <c r="G1827">
        <v>1</v>
      </c>
      <c r="H1827">
        <v>0.2</v>
      </c>
      <c r="I1827" s="1">
        <f>0</f>
        <v>0</v>
      </c>
      <c r="J1827" s="1">
        <f>-27.8945</f>
        <v>-27.894500000000001</v>
      </c>
      <c r="K1827">
        <v>517.07100000000003</v>
      </c>
      <c r="L1827">
        <v>0</v>
      </c>
    </row>
    <row r="1828" spans="1:12" x14ac:dyDescent="0.25">
      <c r="A1828">
        <f>80402508*0.00001</f>
        <v>804.02508000000012</v>
      </c>
      <c r="B1828">
        <v>3496</v>
      </c>
      <c r="C1828">
        <v>133</v>
      </c>
      <c r="D1828">
        <v>244.20099999999999</v>
      </c>
      <c r="E1828">
        <v>4828</v>
      </c>
      <c r="F1828">
        <v>1609</v>
      </c>
      <c r="G1828">
        <v>1</v>
      </c>
      <c r="H1828">
        <v>0.2</v>
      </c>
      <c r="I1828">
        <v>0</v>
      </c>
      <c r="J1828">
        <v>-27.894500000000001</v>
      </c>
      <c r="K1828" s="1">
        <f>517.049</f>
        <v>517.04899999999998</v>
      </c>
      <c r="L1828" s="1">
        <f>0</f>
        <v>0</v>
      </c>
    </row>
    <row r="1829" spans="1:12" x14ac:dyDescent="0.25">
      <c r="A1829">
        <f>80402644*0.00001</f>
        <v>804.02644000000009</v>
      </c>
      <c r="B1829">
        <v>3496</v>
      </c>
      <c r="C1829">
        <v>134</v>
      </c>
      <c r="D1829" s="1">
        <f>244.13</f>
        <v>244.13</v>
      </c>
      <c r="E1829" s="1">
        <f>4831</f>
        <v>4831</v>
      </c>
      <c r="F1829">
        <v>1609</v>
      </c>
      <c r="G1829">
        <v>1</v>
      </c>
      <c r="H1829">
        <v>0.2</v>
      </c>
      <c r="I1829">
        <v>0</v>
      </c>
      <c r="J1829">
        <v>-27.894500000000001</v>
      </c>
      <c r="K1829">
        <v>517.04899999999998</v>
      </c>
      <c r="L1829">
        <v>0</v>
      </c>
    </row>
    <row r="1830" spans="1:12" x14ac:dyDescent="0.25">
      <c r="A1830">
        <f>80402781*0.00001</f>
        <v>804.02781000000004</v>
      </c>
      <c r="B1830">
        <v>3496</v>
      </c>
      <c r="C1830">
        <v>135</v>
      </c>
      <c r="D1830">
        <v>244.13</v>
      </c>
      <c r="E1830">
        <v>4831</v>
      </c>
      <c r="F1830" s="1">
        <f>1609</f>
        <v>1609</v>
      </c>
      <c r="G1830" s="1">
        <f>1</f>
        <v>1</v>
      </c>
      <c r="H1830">
        <v>0.2</v>
      </c>
      <c r="I1830">
        <v>0</v>
      </c>
      <c r="J1830">
        <v>-27.894500000000001</v>
      </c>
      <c r="K1830">
        <v>517.04899999999998</v>
      </c>
      <c r="L1830">
        <v>0</v>
      </c>
    </row>
    <row r="1831" spans="1:12" x14ac:dyDescent="0.25">
      <c r="A1831">
        <f>80402917*0.00001</f>
        <v>804.02917000000002</v>
      </c>
      <c r="B1831">
        <v>3496</v>
      </c>
      <c r="C1831">
        <v>136</v>
      </c>
      <c r="D1831">
        <v>244.13</v>
      </c>
      <c r="E1831">
        <v>4831</v>
      </c>
      <c r="F1831">
        <v>1609</v>
      </c>
      <c r="G1831">
        <v>1</v>
      </c>
      <c r="H1831" s="1">
        <f>0.2</f>
        <v>0.2</v>
      </c>
      <c r="I1831" s="1">
        <f>0</f>
        <v>0</v>
      </c>
      <c r="J1831">
        <v>-27.894500000000001</v>
      </c>
      <c r="K1831">
        <v>517.04899999999998</v>
      </c>
      <c r="L1831">
        <v>0</v>
      </c>
    </row>
    <row r="1832" spans="1:12" x14ac:dyDescent="0.25">
      <c r="A1832">
        <f>80403053*0.00001</f>
        <v>804.03053000000011</v>
      </c>
      <c r="B1832">
        <v>3496</v>
      </c>
      <c r="C1832">
        <v>137</v>
      </c>
      <c r="D1832">
        <v>244.13</v>
      </c>
      <c r="E1832">
        <v>4831</v>
      </c>
      <c r="F1832">
        <v>1609</v>
      </c>
      <c r="G1832">
        <v>1</v>
      </c>
      <c r="H1832">
        <v>0.2</v>
      </c>
      <c r="I1832">
        <v>0</v>
      </c>
      <c r="J1832" s="1">
        <f>-27.6592</f>
        <v>-27.659199999999998</v>
      </c>
      <c r="K1832" s="1">
        <f>517.03</f>
        <v>517.03</v>
      </c>
      <c r="L1832">
        <v>0</v>
      </c>
    </row>
    <row r="1833" spans="1:12" x14ac:dyDescent="0.25">
      <c r="A1833">
        <f>80403189*0.00001</f>
        <v>804.03189000000009</v>
      </c>
      <c r="B1833">
        <v>3496</v>
      </c>
      <c r="C1833">
        <v>138</v>
      </c>
      <c r="D1833" s="1">
        <f>244.086</f>
        <v>244.08600000000001</v>
      </c>
      <c r="E1833">
        <v>4831</v>
      </c>
      <c r="F1833">
        <v>1609</v>
      </c>
      <c r="G1833">
        <v>1</v>
      </c>
      <c r="H1833">
        <v>0.2</v>
      </c>
      <c r="I1833">
        <v>0</v>
      </c>
      <c r="J1833">
        <v>-27.659199999999998</v>
      </c>
      <c r="K1833">
        <v>517.03</v>
      </c>
      <c r="L1833">
        <v>0</v>
      </c>
    </row>
    <row r="1834" spans="1:12" x14ac:dyDescent="0.25">
      <c r="A1834">
        <f>80403325*0.00001</f>
        <v>804.03325000000007</v>
      </c>
      <c r="B1834">
        <v>3496</v>
      </c>
      <c r="C1834">
        <v>139</v>
      </c>
      <c r="D1834">
        <v>244.08600000000001</v>
      </c>
      <c r="E1834">
        <v>4831</v>
      </c>
      <c r="F1834" s="1">
        <f>1609</f>
        <v>1609</v>
      </c>
      <c r="G1834">
        <v>1</v>
      </c>
      <c r="H1834">
        <v>0.2</v>
      </c>
      <c r="I1834">
        <v>0</v>
      </c>
      <c r="J1834">
        <v>-27.659199999999998</v>
      </c>
      <c r="K1834">
        <v>517.03</v>
      </c>
      <c r="L1834">
        <v>0</v>
      </c>
    </row>
    <row r="1835" spans="1:12" x14ac:dyDescent="0.25">
      <c r="A1835">
        <f>80403461*0.00001</f>
        <v>804.03461000000004</v>
      </c>
      <c r="B1835">
        <v>3496</v>
      </c>
      <c r="C1835">
        <v>140</v>
      </c>
      <c r="D1835">
        <v>244.08600000000001</v>
      </c>
      <c r="E1835">
        <v>4831</v>
      </c>
      <c r="F1835">
        <v>1609</v>
      </c>
      <c r="G1835">
        <v>1</v>
      </c>
      <c r="H1835" s="1">
        <f>0.2</f>
        <v>0.2</v>
      </c>
      <c r="I1835">
        <v>0</v>
      </c>
      <c r="J1835">
        <v>-27.659199999999998</v>
      </c>
      <c r="K1835">
        <v>517.03</v>
      </c>
      <c r="L1835">
        <v>0</v>
      </c>
    </row>
    <row r="1836" spans="1:12" x14ac:dyDescent="0.25">
      <c r="A1836">
        <f>80403597*0.00001</f>
        <v>804.03597000000002</v>
      </c>
      <c r="B1836">
        <v>3496</v>
      </c>
      <c r="C1836">
        <v>141</v>
      </c>
      <c r="D1836">
        <v>244.08600000000001</v>
      </c>
      <c r="E1836">
        <v>4831</v>
      </c>
      <c r="F1836">
        <v>1609</v>
      </c>
      <c r="G1836">
        <v>1</v>
      </c>
      <c r="H1836">
        <v>0.2</v>
      </c>
      <c r="I1836">
        <v>0</v>
      </c>
      <c r="J1836" s="1">
        <f>-27.4959</f>
        <v>-27.495899999999999</v>
      </c>
      <c r="K1836">
        <v>517.03</v>
      </c>
      <c r="L1836">
        <v>0</v>
      </c>
    </row>
    <row r="1837" spans="1:12" x14ac:dyDescent="0.25">
      <c r="A1837">
        <f>80403734*0.00001</f>
        <v>804.03734000000009</v>
      </c>
      <c r="B1837">
        <v>3496</v>
      </c>
      <c r="C1837">
        <v>142</v>
      </c>
      <c r="D1837">
        <v>244.08600000000001</v>
      </c>
      <c r="E1837">
        <v>4831</v>
      </c>
      <c r="F1837">
        <v>1609</v>
      </c>
      <c r="G1837">
        <v>1</v>
      </c>
      <c r="H1837">
        <v>0.2</v>
      </c>
      <c r="I1837">
        <v>0</v>
      </c>
      <c r="J1837">
        <v>-27.495899999999999</v>
      </c>
      <c r="K1837">
        <v>517.03</v>
      </c>
      <c r="L1837" s="1">
        <f>0</f>
        <v>0</v>
      </c>
    </row>
    <row r="1838" spans="1:12" x14ac:dyDescent="0.25">
      <c r="A1838">
        <f>80403870*0.00001</f>
        <v>804.03870000000006</v>
      </c>
      <c r="B1838">
        <v>3496</v>
      </c>
      <c r="C1838">
        <v>143</v>
      </c>
      <c r="D1838">
        <v>244.08600000000001</v>
      </c>
      <c r="E1838" s="1">
        <f>4835</f>
        <v>4835</v>
      </c>
      <c r="F1838">
        <v>1609</v>
      </c>
      <c r="G1838">
        <v>1</v>
      </c>
      <c r="H1838">
        <v>0.2</v>
      </c>
      <c r="I1838">
        <v>0</v>
      </c>
      <c r="J1838">
        <v>-27.495899999999999</v>
      </c>
      <c r="K1838">
        <v>517.03</v>
      </c>
      <c r="L1838">
        <v>0</v>
      </c>
    </row>
    <row r="1839" spans="1:12" x14ac:dyDescent="0.25">
      <c r="A1839">
        <f>80404006*0.00001</f>
        <v>804.04006000000004</v>
      </c>
      <c r="B1839">
        <v>3496</v>
      </c>
      <c r="C1839">
        <v>144</v>
      </c>
      <c r="D1839">
        <v>244.08600000000001</v>
      </c>
      <c r="E1839">
        <v>4835</v>
      </c>
      <c r="F1839">
        <v>1609</v>
      </c>
      <c r="G1839" s="1">
        <f>1</f>
        <v>1</v>
      </c>
      <c r="H1839">
        <v>0.2</v>
      </c>
      <c r="I1839">
        <v>0</v>
      </c>
      <c r="J1839">
        <v>-27.495899999999999</v>
      </c>
      <c r="K1839">
        <v>517.03</v>
      </c>
      <c r="L1839">
        <v>0</v>
      </c>
    </row>
    <row r="1840" spans="1:12" x14ac:dyDescent="0.25">
      <c r="A1840">
        <f>80404142*0.00001</f>
        <v>804.04142000000002</v>
      </c>
      <c r="B1840">
        <v>3496</v>
      </c>
      <c r="C1840">
        <v>145</v>
      </c>
      <c r="D1840" s="1">
        <f>243.99</f>
        <v>243.99</v>
      </c>
      <c r="E1840" s="1">
        <f>4837</f>
        <v>4837</v>
      </c>
      <c r="F1840" s="1">
        <f>1609</f>
        <v>1609</v>
      </c>
      <c r="G1840" s="1">
        <f>1</f>
        <v>1</v>
      </c>
      <c r="H1840" s="1">
        <f>0.2</f>
        <v>0.2</v>
      </c>
      <c r="I1840" s="1">
        <f>0</f>
        <v>0</v>
      </c>
      <c r="J1840" s="1">
        <f>-27.1051</f>
        <v>-27.1051</v>
      </c>
      <c r="K1840" s="1">
        <f>516.972</f>
        <v>516.97199999999998</v>
      </c>
      <c r="L1840" s="1">
        <f>0</f>
        <v>0</v>
      </c>
    </row>
    <row r="1841" spans="1:12" x14ac:dyDescent="0.25">
      <c r="A1841">
        <f>80405368*0.00001</f>
        <v>804.0536800000001</v>
      </c>
      <c r="B1841">
        <v>3496</v>
      </c>
      <c r="C1841">
        <v>154</v>
      </c>
      <c r="D1841">
        <v>243.99</v>
      </c>
      <c r="E1841">
        <v>4837</v>
      </c>
      <c r="F1841">
        <v>1609</v>
      </c>
      <c r="G1841">
        <v>1</v>
      </c>
      <c r="H1841">
        <v>0.2</v>
      </c>
      <c r="I1841" s="1">
        <f>0</f>
        <v>0</v>
      </c>
      <c r="J1841" s="1">
        <f>-26.9642</f>
        <v>-26.964200000000002</v>
      </c>
      <c r="K1841">
        <v>516.97199999999998</v>
      </c>
      <c r="L1841">
        <v>0</v>
      </c>
    </row>
    <row r="1842" spans="1:12" x14ac:dyDescent="0.25">
      <c r="A1842">
        <f>80405504*0.00001</f>
        <v>804.05504000000008</v>
      </c>
      <c r="B1842">
        <v>3496</v>
      </c>
      <c r="C1842">
        <v>155</v>
      </c>
      <c r="D1842">
        <v>243.99</v>
      </c>
      <c r="E1842">
        <v>4837</v>
      </c>
      <c r="F1842">
        <v>1609</v>
      </c>
      <c r="G1842">
        <v>1</v>
      </c>
      <c r="H1842">
        <v>0.2</v>
      </c>
      <c r="I1842">
        <v>0</v>
      </c>
      <c r="J1842">
        <v>-26.964200000000002</v>
      </c>
      <c r="K1842" s="1">
        <f>516.95</f>
        <v>516.95000000000005</v>
      </c>
      <c r="L1842" s="1">
        <f>0</f>
        <v>0</v>
      </c>
    </row>
    <row r="1843" spans="1:12" x14ac:dyDescent="0.25">
      <c r="A1843">
        <f>80405640*0.00001</f>
        <v>804.05640000000005</v>
      </c>
      <c r="B1843">
        <v>3496</v>
      </c>
      <c r="C1843">
        <v>156</v>
      </c>
      <c r="D1843" s="1">
        <f>243.967</f>
        <v>243.96700000000001</v>
      </c>
      <c r="E1843" s="1">
        <f>4839</f>
        <v>4839</v>
      </c>
      <c r="F1843">
        <v>1609</v>
      </c>
      <c r="G1843">
        <v>1</v>
      </c>
      <c r="H1843">
        <v>0.2</v>
      </c>
      <c r="I1843">
        <v>0</v>
      </c>
      <c r="J1843">
        <v>-26.964200000000002</v>
      </c>
      <c r="K1843">
        <v>516.95000000000005</v>
      </c>
      <c r="L1843">
        <v>0</v>
      </c>
    </row>
    <row r="1844" spans="1:12" x14ac:dyDescent="0.25">
      <c r="A1844">
        <f>80405777*0.00001</f>
        <v>804.05777000000012</v>
      </c>
      <c r="B1844">
        <v>3496</v>
      </c>
      <c r="C1844">
        <v>157</v>
      </c>
      <c r="D1844">
        <v>243.96700000000001</v>
      </c>
      <c r="E1844">
        <v>4839</v>
      </c>
      <c r="F1844" s="1">
        <f>1609</f>
        <v>1609</v>
      </c>
      <c r="G1844" s="1">
        <f>1</f>
        <v>1</v>
      </c>
      <c r="H1844">
        <v>0.2</v>
      </c>
      <c r="I1844">
        <v>0</v>
      </c>
      <c r="J1844">
        <v>-26.964200000000002</v>
      </c>
      <c r="K1844">
        <v>516.95000000000005</v>
      </c>
      <c r="L1844">
        <v>0</v>
      </c>
    </row>
    <row r="1845" spans="1:12" x14ac:dyDescent="0.25">
      <c r="A1845">
        <f>80405913*0.00001</f>
        <v>804.0591300000001</v>
      </c>
      <c r="B1845">
        <v>3496</v>
      </c>
      <c r="C1845">
        <v>158</v>
      </c>
      <c r="D1845">
        <v>243.96700000000001</v>
      </c>
      <c r="E1845">
        <v>4839</v>
      </c>
      <c r="F1845">
        <v>1609</v>
      </c>
      <c r="G1845">
        <v>1</v>
      </c>
      <c r="H1845" s="1">
        <f>0.2</f>
        <v>0.2</v>
      </c>
      <c r="I1845" s="1">
        <f>0</f>
        <v>0</v>
      </c>
      <c r="J1845">
        <v>-26.964200000000002</v>
      </c>
      <c r="K1845">
        <v>516.95000000000005</v>
      </c>
      <c r="L1845">
        <v>0</v>
      </c>
    </row>
    <row r="1846" spans="1:12" x14ac:dyDescent="0.25">
      <c r="A1846">
        <f>80406049*0.00001</f>
        <v>804.06049000000007</v>
      </c>
      <c r="B1846">
        <v>3496</v>
      </c>
      <c r="C1846">
        <v>159</v>
      </c>
      <c r="D1846">
        <v>243.96700000000001</v>
      </c>
      <c r="E1846">
        <v>4839</v>
      </c>
      <c r="F1846">
        <v>1609</v>
      </c>
      <c r="G1846">
        <v>1</v>
      </c>
      <c r="H1846">
        <v>0.2</v>
      </c>
      <c r="I1846">
        <v>0</v>
      </c>
      <c r="J1846" s="1">
        <f>-26.7696</f>
        <v>-26.769600000000001</v>
      </c>
      <c r="K1846" s="1">
        <f>516.932</f>
        <v>516.93200000000002</v>
      </c>
      <c r="L1846">
        <v>0</v>
      </c>
    </row>
    <row r="1847" spans="1:12" x14ac:dyDescent="0.25">
      <c r="A1847">
        <f>80406185*0.00001</f>
        <v>804.06185000000005</v>
      </c>
      <c r="B1847">
        <v>3496</v>
      </c>
      <c r="C1847">
        <v>160</v>
      </c>
      <c r="D1847" s="1">
        <f>243.953</f>
        <v>243.953</v>
      </c>
      <c r="E1847">
        <v>4839</v>
      </c>
      <c r="F1847">
        <v>1609</v>
      </c>
      <c r="G1847">
        <v>1</v>
      </c>
      <c r="H1847">
        <v>0.2</v>
      </c>
      <c r="I1847">
        <v>0</v>
      </c>
      <c r="J1847">
        <v>-26.769600000000001</v>
      </c>
      <c r="K1847">
        <v>516.93200000000002</v>
      </c>
      <c r="L1847" s="1">
        <f>0</f>
        <v>0</v>
      </c>
    </row>
    <row r="1848" spans="1:12" x14ac:dyDescent="0.25">
      <c r="A1848">
        <f>80406321*0.00001</f>
        <v>804.06321000000003</v>
      </c>
      <c r="B1848">
        <v>3496</v>
      </c>
      <c r="C1848">
        <v>161</v>
      </c>
      <c r="D1848">
        <v>243.953</v>
      </c>
      <c r="E1848" s="1">
        <f>4840</f>
        <v>4840</v>
      </c>
      <c r="F1848" s="1">
        <f>1609</f>
        <v>1609</v>
      </c>
      <c r="G1848">
        <v>1</v>
      </c>
      <c r="H1848">
        <v>0.2</v>
      </c>
      <c r="I1848">
        <v>0</v>
      </c>
      <c r="J1848">
        <v>-26.769600000000001</v>
      </c>
      <c r="K1848">
        <v>516.93200000000002</v>
      </c>
      <c r="L1848">
        <v>0</v>
      </c>
    </row>
    <row r="1849" spans="1:12" x14ac:dyDescent="0.25">
      <c r="A1849">
        <f>80406457*0.00001</f>
        <v>804.06457000000012</v>
      </c>
      <c r="B1849">
        <v>3496</v>
      </c>
      <c r="C1849">
        <v>162</v>
      </c>
      <c r="D1849">
        <v>243.953</v>
      </c>
      <c r="E1849">
        <v>4840</v>
      </c>
      <c r="F1849">
        <v>1609</v>
      </c>
      <c r="G1849">
        <v>1</v>
      </c>
      <c r="H1849" s="1">
        <f>0.2</f>
        <v>0.2</v>
      </c>
      <c r="I1849">
        <v>0</v>
      </c>
      <c r="J1849">
        <v>-26.769600000000001</v>
      </c>
      <c r="K1849">
        <v>516.93200000000002</v>
      </c>
      <c r="L1849">
        <v>0</v>
      </c>
    </row>
    <row r="1850" spans="1:12" x14ac:dyDescent="0.25">
      <c r="A1850">
        <f>80406593*0.00001</f>
        <v>804.06593000000009</v>
      </c>
      <c r="B1850">
        <v>3496</v>
      </c>
      <c r="C1850">
        <v>163</v>
      </c>
      <c r="D1850">
        <v>243.953</v>
      </c>
      <c r="E1850">
        <v>4840</v>
      </c>
      <c r="F1850">
        <v>1609</v>
      </c>
      <c r="G1850">
        <v>1</v>
      </c>
      <c r="H1850">
        <v>0.2</v>
      </c>
      <c r="I1850">
        <v>0</v>
      </c>
      <c r="J1850" s="1">
        <f>-26.6323</f>
        <v>-26.632300000000001</v>
      </c>
      <c r="K1850">
        <v>516.93200000000002</v>
      </c>
      <c r="L1850">
        <v>0</v>
      </c>
    </row>
    <row r="1851" spans="1:12" x14ac:dyDescent="0.25">
      <c r="A1851">
        <f>80406729*0.00001</f>
        <v>804.06729000000007</v>
      </c>
      <c r="B1851">
        <v>3496</v>
      </c>
      <c r="C1851">
        <v>164</v>
      </c>
      <c r="D1851">
        <v>243.953</v>
      </c>
      <c r="E1851">
        <v>4840</v>
      </c>
      <c r="F1851">
        <v>1609</v>
      </c>
      <c r="G1851">
        <v>1</v>
      </c>
      <c r="H1851">
        <v>0.2</v>
      </c>
      <c r="I1851">
        <v>0</v>
      </c>
      <c r="J1851">
        <v>-26.632300000000001</v>
      </c>
      <c r="K1851">
        <v>516.93200000000002</v>
      </c>
      <c r="L1851" s="1">
        <f>0</f>
        <v>0</v>
      </c>
    </row>
    <row r="1852" spans="1:12" x14ac:dyDescent="0.25">
      <c r="A1852">
        <f>80406866*0.00001</f>
        <v>804.06866000000002</v>
      </c>
      <c r="B1852">
        <v>3496</v>
      </c>
      <c r="C1852">
        <v>165</v>
      </c>
      <c r="D1852">
        <v>243.953</v>
      </c>
      <c r="E1852" s="1">
        <f>4842</f>
        <v>4842</v>
      </c>
      <c r="F1852">
        <v>1609</v>
      </c>
      <c r="G1852">
        <v>1</v>
      </c>
      <c r="H1852">
        <v>0.2</v>
      </c>
      <c r="I1852">
        <v>0</v>
      </c>
      <c r="J1852">
        <v>-26.632300000000001</v>
      </c>
      <c r="K1852">
        <v>516.93200000000002</v>
      </c>
      <c r="L1852">
        <v>0</v>
      </c>
    </row>
    <row r="1853" spans="1:12" x14ac:dyDescent="0.25">
      <c r="A1853">
        <f>80407003*0.00001</f>
        <v>804.07003000000009</v>
      </c>
      <c r="B1853">
        <v>3496</v>
      </c>
      <c r="C1853">
        <v>166</v>
      </c>
      <c r="D1853">
        <v>243.953</v>
      </c>
      <c r="E1853">
        <v>4842</v>
      </c>
      <c r="F1853">
        <v>1609</v>
      </c>
      <c r="G1853" s="1">
        <f>1</f>
        <v>1</v>
      </c>
      <c r="H1853">
        <v>0.2</v>
      </c>
      <c r="I1853">
        <v>0</v>
      </c>
      <c r="J1853">
        <v>-26.632300000000001</v>
      </c>
      <c r="K1853">
        <v>516.93200000000002</v>
      </c>
      <c r="L1853">
        <v>0</v>
      </c>
    </row>
    <row r="1854" spans="1:12" x14ac:dyDescent="0.25">
      <c r="A1854">
        <f>80407140*0.00001</f>
        <v>804.07140000000004</v>
      </c>
      <c r="B1854">
        <v>3496</v>
      </c>
      <c r="C1854">
        <v>167</v>
      </c>
      <c r="D1854">
        <v>243.953</v>
      </c>
      <c r="E1854">
        <v>4842</v>
      </c>
      <c r="F1854">
        <v>1609</v>
      </c>
      <c r="G1854">
        <v>1</v>
      </c>
      <c r="H1854">
        <v>0.2</v>
      </c>
      <c r="I1854" s="1">
        <f>0</f>
        <v>0</v>
      </c>
      <c r="J1854">
        <v>-26.632300000000001</v>
      </c>
      <c r="K1854">
        <v>516.93200000000002</v>
      </c>
      <c r="L1854">
        <v>0</v>
      </c>
    </row>
    <row r="1855" spans="1:12" x14ac:dyDescent="0.25">
      <c r="A1855">
        <f>80407277*0.00001</f>
        <v>804.07277000000011</v>
      </c>
      <c r="B1855">
        <v>3496</v>
      </c>
      <c r="C1855">
        <v>168</v>
      </c>
      <c r="D1855" s="1">
        <f>243.773</f>
        <v>243.773</v>
      </c>
      <c r="E1855" s="1">
        <f>4847</f>
        <v>4847</v>
      </c>
      <c r="F1855" s="1">
        <f>1609</f>
        <v>1609</v>
      </c>
      <c r="G1855" s="1">
        <f>1</f>
        <v>1</v>
      </c>
      <c r="H1855" s="1">
        <f>0.2</f>
        <v>0.2</v>
      </c>
      <c r="I1855" s="1">
        <f>0</f>
        <v>0</v>
      </c>
      <c r="J1855" s="1">
        <f>-25.9877</f>
        <v>-25.9877</v>
      </c>
      <c r="K1855" s="1">
        <f>516.876</f>
        <v>516.87599999999998</v>
      </c>
      <c r="L1855" s="1">
        <f>0</f>
        <v>0</v>
      </c>
    </row>
    <row r="1856" spans="1:12" x14ac:dyDescent="0.25">
      <c r="A1856">
        <f>80408501*0.00001</f>
        <v>804.08501000000001</v>
      </c>
      <c r="B1856">
        <v>3496</v>
      </c>
      <c r="C1856">
        <v>177</v>
      </c>
      <c r="D1856">
        <v>243.773</v>
      </c>
      <c r="E1856">
        <v>4847</v>
      </c>
      <c r="F1856">
        <v>1609</v>
      </c>
      <c r="G1856">
        <v>1</v>
      </c>
      <c r="H1856">
        <v>0.2</v>
      </c>
      <c r="I1856">
        <v>0</v>
      </c>
      <c r="J1856">
        <v>-25.9877</v>
      </c>
      <c r="K1856" s="1">
        <f>516.854</f>
        <v>516.85400000000004</v>
      </c>
      <c r="L1856" s="1">
        <f>0</f>
        <v>0</v>
      </c>
    </row>
    <row r="1857" spans="1:12" x14ac:dyDescent="0.25">
      <c r="A1857">
        <f>80408638*0.00001</f>
        <v>804.08638000000008</v>
      </c>
      <c r="B1857">
        <v>3496</v>
      </c>
      <c r="C1857">
        <v>178</v>
      </c>
      <c r="D1857" s="1">
        <f>243.728</f>
        <v>243.72800000000001</v>
      </c>
      <c r="E1857" s="1">
        <f>4849</f>
        <v>4849</v>
      </c>
      <c r="F1857" s="1">
        <f>1609</f>
        <v>1609</v>
      </c>
      <c r="G1857" s="1">
        <f>1</f>
        <v>1</v>
      </c>
      <c r="H1857">
        <v>0.2</v>
      </c>
      <c r="I1857">
        <v>0</v>
      </c>
      <c r="J1857">
        <v>-25.9877</v>
      </c>
      <c r="K1857">
        <v>516.85400000000004</v>
      </c>
      <c r="L1857">
        <v>0</v>
      </c>
    </row>
    <row r="1858" spans="1:12" s="2" customFormat="1" x14ac:dyDescent="0.25">
      <c r="A1858" s="2">
        <f>80408912*0.00001</f>
        <v>804.08912000000009</v>
      </c>
      <c r="B1858" s="2">
        <v>3497</v>
      </c>
      <c r="C1858" s="2">
        <v>0</v>
      </c>
      <c r="D1858" s="2">
        <v>243.72800000000001</v>
      </c>
      <c r="E1858" s="2">
        <v>4849</v>
      </c>
      <c r="F1858" s="2">
        <v>1609</v>
      </c>
      <c r="G1858" s="2">
        <v>1</v>
      </c>
      <c r="H1858" s="1">
        <f>0.2</f>
        <v>0.2</v>
      </c>
      <c r="I1858" s="1">
        <f>0</f>
        <v>0</v>
      </c>
      <c r="J1858" s="2">
        <v>-25.9877</v>
      </c>
      <c r="K1858" s="2">
        <v>516.85400000000004</v>
      </c>
      <c r="L1858" s="2">
        <v>0</v>
      </c>
    </row>
    <row r="1859" spans="1:12" x14ac:dyDescent="0.25">
      <c r="A1859">
        <f>80409049*0.00001</f>
        <v>804.09049000000005</v>
      </c>
      <c r="B1859">
        <v>3497</v>
      </c>
      <c r="C1859">
        <v>1</v>
      </c>
      <c r="D1859">
        <v>243.72800000000001</v>
      </c>
      <c r="E1859">
        <v>4849</v>
      </c>
      <c r="F1859">
        <v>1609</v>
      </c>
      <c r="G1859">
        <v>1</v>
      </c>
      <c r="H1859">
        <v>0.2</v>
      </c>
      <c r="I1859">
        <v>0</v>
      </c>
      <c r="J1859" s="1">
        <f>-25.782</f>
        <v>-25.782</v>
      </c>
      <c r="K1859" s="1">
        <f>516.846</f>
        <v>516.846</v>
      </c>
      <c r="L1859">
        <v>0</v>
      </c>
    </row>
    <row r="1860" spans="1:12" x14ac:dyDescent="0.25">
      <c r="A1860">
        <f>80409186*0.00001</f>
        <v>804.09186000000011</v>
      </c>
      <c r="B1860">
        <v>3497</v>
      </c>
      <c r="C1860">
        <v>2</v>
      </c>
      <c r="D1860" s="1">
        <f>243.709</f>
        <v>243.709</v>
      </c>
      <c r="E1860">
        <v>4849</v>
      </c>
      <c r="F1860">
        <v>1609</v>
      </c>
      <c r="G1860">
        <v>1</v>
      </c>
      <c r="H1860">
        <v>0.2</v>
      </c>
      <c r="I1860">
        <v>0</v>
      </c>
      <c r="J1860">
        <v>-25.782</v>
      </c>
      <c r="K1860">
        <v>516.846</v>
      </c>
      <c r="L1860" s="1">
        <f>0</f>
        <v>0</v>
      </c>
    </row>
    <row r="1861" spans="1:12" x14ac:dyDescent="0.25">
      <c r="A1861">
        <f>80409323*0.00001</f>
        <v>804.09323000000006</v>
      </c>
      <c r="B1861">
        <v>3497</v>
      </c>
      <c r="C1861">
        <v>3</v>
      </c>
      <c r="D1861">
        <v>243.709</v>
      </c>
      <c r="E1861" s="1">
        <f>4850</f>
        <v>4850</v>
      </c>
      <c r="F1861" s="1">
        <f>1609</f>
        <v>1609</v>
      </c>
      <c r="G1861">
        <v>1</v>
      </c>
      <c r="H1861">
        <v>0.2</v>
      </c>
      <c r="I1861">
        <v>0</v>
      </c>
      <c r="J1861">
        <v>-25.782</v>
      </c>
      <c r="K1861">
        <v>516.846</v>
      </c>
      <c r="L1861">
        <v>0</v>
      </c>
    </row>
    <row r="1862" spans="1:12" x14ac:dyDescent="0.25">
      <c r="A1862">
        <f>80409459*0.00001</f>
        <v>804.09459000000004</v>
      </c>
      <c r="B1862">
        <v>3497</v>
      </c>
      <c r="C1862">
        <v>4</v>
      </c>
      <c r="D1862">
        <v>243.709</v>
      </c>
      <c r="E1862">
        <v>4850</v>
      </c>
      <c r="F1862">
        <v>1609</v>
      </c>
      <c r="G1862">
        <v>1</v>
      </c>
      <c r="H1862" s="1">
        <f>0.2</f>
        <v>0.2</v>
      </c>
      <c r="I1862">
        <v>0</v>
      </c>
      <c r="J1862">
        <v>-25.782</v>
      </c>
      <c r="K1862">
        <v>516.846</v>
      </c>
      <c r="L1862">
        <v>0</v>
      </c>
    </row>
    <row r="1863" spans="1:12" x14ac:dyDescent="0.25">
      <c r="A1863">
        <f>80409595*0.00001</f>
        <v>804.09595000000002</v>
      </c>
      <c r="B1863">
        <v>3497</v>
      </c>
      <c r="C1863">
        <v>5</v>
      </c>
      <c r="D1863">
        <v>243.709</v>
      </c>
      <c r="E1863">
        <v>4850</v>
      </c>
      <c r="F1863">
        <v>1609</v>
      </c>
      <c r="G1863">
        <v>1</v>
      </c>
      <c r="H1863">
        <v>0.2</v>
      </c>
      <c r="I1863">
        <v>0</v>
      </c>
      <c r="J1863" s="1">
        <f>-25.6228</f>
        <v>-25.622800000000002</v>
      </c>
      <c r="K1863">
        <v>516.846</v>
      </c>
      <c r="L1863">
        <v>0</v>
      </c>
    </row>
    <row r="1864" spans="1:12" x14ac:dyDescent="0.25">
      <c r="A1864">
        <f>80409731*0.00001</f>
        <v>804.09731000000011</v>
      </c>
      <c r="B1864">
        <v>3497</v>
      </c>
      <c r="C1864">
        <v>6</v>
      </c>
      <c r="D1864">
        <v>243.709</v>
      </c>
      <c r="E1864">
        <v>4850</v>
      </c>
      <c r="F1864">
        <v>1609</v>
      </c>
      <c r="G1864">
        <v>1</v>
      </c>
      <c r="H1864">
        <v>0.2</v>
      </c>
      <c r="I1864">
        <v>0</v>
      </c>
      <c r="J1864">
        <v>-25.622800000000002</v>
      </c>
      <c r="K1864">
        <v>516.846</v>
      </c>
      <c r="L1864" s="1">
        <f>0</f>
        <v>0</v>
      </c>
    </row>
    <row r="1865" spans="1:12" x14ac:dyDescent="0.25">
      <c r="A1865">
        <f>80409867*0.00001</f>
        <v>804.09867000000008</v>
      </c>
      <c r="B1865">
        <v>3497</v>
      </c>
      <c r="C1865">
        <v>7</v>
      </c>
      <c r="D1865">
        <v>243.709</v>
      </c>
      <c r="E1865" s="1">
        <f>4852</f>
        <v>4852</v>
      </c>
      <c r="F1865">
        <v>1609</v>
      </c>
      <c r="G1865">
        <v>1</v>
      </c>
      <c r="H1865">
        <v>0.2</v>
      </c>
      <c r="I1865">
        <v>0</v>
      </c>
      <c r="J1865">
        <v>-25.622800000000002</v>
      </c>
      <c r="K1865">
        <v>516.846</v>
      </c>
      <c r="L1865">
        <v>0</v>
      </c>
    </row>
    <row r="1866" spans="1:12" x14ac:dyDescent="0.25">
      <c r="A1866">
        <f>80410003*0.00001</f>
        <v>804.10003000000006</v>
      </c>
      <c r="B1866">
        <v>3497</v>
      </c>
      <c r="C1866">
        <v>8</v>
      </c>
      <c r="D1866">
        <v>243.709</v>
      </c>
      <c r="E1866">
        <v>4852</v>
      </c>
      <c r="F1866">
        <v>1609</v>
      </c>
      <c r="G1866" s="1">
        <f>1</f>
        <v>1</v>
      </c>
      <c r="H1866">
        <v>0.2</v>
      </c>
      <c r="I1866">
        <v>0</v>
      </c>
      <c r="J1866">
        <v>-25.622800000000002</v>
      </c>
      <c r="K1866">
        <v>516.846</v>
      </c>
      <c r="L1866">
        <v>0</v>
      </c>
    </row>
    <row r="1867" spans="1:12" x14ac:dyDescent="0.25">
      <c r="A1867">
        <f>80410139*0.00001</f>
        <v>804.10139000000004</v>
      </c>
      <c r="B1867">
        <v>3497</v>
      </c>
      <c r="C1867">
        <v>9</v>
      </c>
      <c r="D1867">
        <v>243.709</v>
      </c>
      <c r="E1867">
        <v>4852</v>
      </c>
      <c r="F1867">
        <v>1609</v>
      </c>
      <c r="G1867">
        <v>1</v>
      </c>
      <c r="H1867">
        <v>0.2</v>
      </c>
      <c r="I1867" s="1">
        <f>0</f>
        <v>0</v>
      </c>
      <c r="J1867">
        <v>-25.622800000000002</v>
      </c>
      <c r="K1867">
        <v>516.846</v>
      </c>
      <c r="L1867">
        <v>0</v>
      </c>
    </row>
    <row r="1868" spans="1:12" x14ac:dyDescent="0.25">
      <c r="A1868">
        <f>80410275*0.00001</f>
        <v>804.10275000000001</v>
      </c>
      <c r="B1868">
        <v>3497</v>
      </c>
      <c r="C1868">
        <v>10</v>
      </c>
      <c r="D1868" s="1">
        <f>243.623</f>
        <v>243.62299999999999</v>
      </c>
      <c r="E1868" s="1">
        <f>4854</f>
        <v>4854</v>
      </c>
      <c r="F1868" s="1">
        <f>1609</f>
        <v>1609</v>
      </c>
      <c r="G1868" s="1">
        <f>1</f>
        <v>1</v>
      </c>
      <c r="H1868" s="1">
        <f>0.2</f>
        <v>0.2</v>
      </c>
      <c r="I1868" s="1">
        <f>0</f>
        <v>0</v>
      </c>
      <c r="J1868" s="1">
        <f>-25.0993</f>
        <v>-25.099299999999999</v>
      </c>
      <c r="K1868" s="1">
        <f>516.792</f>
        <v>516.79200000000003</v>
      </c>
      <c r="L1868" s="1">
        <f>0</f>
        <v>0</v>
      </c>
    </row>
    <row r="1869" spans="1:12" x14ac:dyDescent="0.25">
      <c r="A1869">
        <f>80411503*0.00001</f>
        <v>804.11503000000005</v>
      </c>
      <c r="B1869">
        <v>3497</v>
      </c>
      <c r="C1869">
        <v>19</v>
      </c>
      <c r="D1869">
        <v>243.62299999999999</v>
      </c>
      <c r="E1869">
        <v>4854</v>
      </c>
      <c r="F1869">
        <v>1609</v>
      </c>
      <c r="G1869">
        <v>1</v>
      </c>
      <c r="H1869">
        <v>0.2</v>
      </c>
      <c r="I1869">
        <v>0</v>
      </c>
      <c r="J1869">
        <v>-25.099299999999999</v>
      </c>
      <c r="K1869" s="1">
        <f>516.771</f>
        <v>516.77099999999996</v>
      </c>
      <c r="L1869" s="1">
        <f>0</f>
        <v>0</v>
      </c>
    </row>
    <row r="1870" spans="1:12" x14ac:dyDescent="0.25">
      <c r="A1870">
        <f>80411639*0.00001</f>
        <v>804.11639000000002</v>
      </c>
      <c r="B1870">
        <v>3497</v>
      </c>
      <c r="C1870">
        <v>20</v>
      </c>
      <c r="D1870" s="1">
        <f>243.603</f>
        <v>243.60300000000001</v>
      </c>
      <c r="E1870" s="1">
        <f>4856</f>
        <v>4856</v>
      </c>
      <c r="F1870">
        <v>1609</v>
      </c>
      <c r="G1870">
        <v>1</v>
      </c>
      <c r="H1870">
        <v>0.2</v>
      </c>
      <c r="I1870">
        <v>0</v>
      </c>
      <c r="J1870">
        <v>-25.099299999999999</v>
      </c>
      <c r="K1870">
        <v>516.77099999999996</v>
      </c>
      <c r="L1870">
        <v>0</v>
      </c>
    </row>
    <row r="1871" spans="1:12" x14ac:dyDescent="0.25">
      <c r="A1871">
        <f>80411775*0.00001</f>
        <v>804.11775000000011</v>
      </c>
      <c r="B1871">
        <v>3497</v>
      </c>
      <c r="C1871">
        <v>21</v>
      </c>
      <c r="D1871">
        <v>243.60300000000001</v>
      </c>
      <c r="E1871">
        <v>4856</v>
      </c>
      <c r="F1871" s="1">
        <f>1609</f>
        <v>1609</v>
      </c>
      <c r="G1871" s="1">
        <f>1</f>
        <v>1</v>
      </c>
      <c r="H1871">
        <v>0.2</v>
      </c>
      <c r="I1871">
        <v>0</v>
      </c>
      <c r="J1871">
        <v>-25.099299999999999</v>
      </c>
      <c r="K1871">
        <v>516.77099999999996</v>
      </c>
      <c r="L1871">
        <v>0</v>
      </c>
    </row>
    <row r="1872" spans="1:12" x14ac:dyDescent="0.25">
      <c r="A1872">
        <f>80411911*0.00001</f>
        <v>804.11911000000009</v>
      </c>
      <c r="B1872">
        <v>3497</v>
      </c>
      <c r="C1872">
        <v>22</v>
      </c>
      <c r="D1872">
        <v>243.60300000000001</v>
      </c>
      <c r="E1872">
        <v>4856</v>
      </c>
      <c r="F1872">
        <v>1609</v>
      </c>
      <c r="G1872">
        <v>1</v>
      </c>
      <c r="H1872" s="1">
        <f>0.2</f>
        <v>0.2</v>
      </c>
      <c r="I1872" s="1">
        <f>0</f>
        <v>0</v>
      </c>
      <c r="J1872">
        <v>-25.099299999999999</v>
      </c>
      <c r="K1872">
        <v>516.77099999999996</v>
      </c>
      <c r="L1872">
        <v>0</v>
      </c>
    </row>
    <row r="1873" spans="1:12" x14ac:dyDescent="0.25">
      <c r="A1873">
        <f>80412047*0.00001</f>
        <v>804.12047000000007</v>
      </c>
      <c r="B1873">
        <v>3497</v>
      </c>
      <c r="C1873">
        <v>23</v>
      </c>
      <c r="D1873">
        <v>243.60300000000001</v>
      </c>
      <c r="E1873">
        <v>4856</v>
      </c>
      <c r="F1873">
        <v>1609</v>
      </c>
      <c r="G1873">
        <v>1</v>
      </c>
      <c r="H1873">
        <v>0.2</v>
      </c>
      <c r="I1873">
        <v>0</v>
      </c>
      <c r="J1873" s="1">
        <f>-24.9068</f>
        <v>-24.9068</v>
      </c>
      <c r="K1873" s="1">
        <f>516.755</f>
        <v>516.755</v>
      </c>
      <c r="L1873">
        <v>0</v>
      </c>
    </row>
    <row r="1874" spans="1:12" x14ac:dyDescent="0.25">
      <c r="A1874">
        <f>80412183*0.00001</f>
        <v>804.12183000000005</v>
      </c>
      <c r="B1874">
        <v>3497</v>
      </c>
      <c r="C1874">
        <v>24</v>
      </c>
      <c r="D1874" s="1">
        <f>243.59</f>
        <v>243.59</v>
      </c>
      <c r="E1874">
        <v>4856</v>
      </c>
      <c r="F1874">
        <v>1609</v>
      </c>
      <c r="G1874">
        <v>1</v>
      </c>
      <c r="H1874">
        <v>0.2</v>
      </c>
      <c r="I1874">
        <v>0</v>
      </c>
      <c r="J1874">
        <v>-24.9068</v>
      </c>
      <c r="K1874">
        <v>516.755</v>
      </c>
      <c r="L1874" s="1">
        <f>0</f>
        <v>0</v>
      </c>
    </row>
    <row r="1875" spans="1:12" x14ac:dyDescent="0.25">
      <c r="A1875">
        <f>80412319*0.00001</f>
        <v>804.12319000000002</v>
      </c>
      <c r="B1875">
        <v>3497</v>
      </c>
      <c r="C1875">
        <v>25</v>
      </c>
      <c r="D1875">
        <v>243.59</v>
      </c>
      <c r="E1875">
        <v>4856</v>
      </c>
      <c r="F1875" s="1">
        <f>1609</f>
        <v>1609</v>
      </c>
      <c r="G1875">
        <v>1</v>
      </c>
      <c r="H1875">
        <v>0.2</v>
      </c>
      <c r="I1875">
        <v>0</v>
      </c>
      <c r="J1875">
        <v>-24.9068</v>
      </c>
      <c r="K1875">
        <v>516.755</v>
      </c>
      <c r="L1875">
        <v>0</v>
      </c>
    </row>
    <row r="1876" spans="1:12" x14ac:dyDescent="0.25">
      <c r="A1876">
        <f>80412455*0.00001</f>
        <v>804.12455000000011</v>
      </c>
      <c r="B1876">
        <v>3497</v>
      </c>
      <c r="C1876">
        <v>26</v>
      </c>
      <c r="D1876">
        <v>243.59</v>
      </c>
      <c r="E1876">
        <v>4856</v>
      </c>
      <c r="F1876">
        <v>1609</v>
      </c>
      <c r="G1876">
        <v>1</v>
      </c>
      <c r="H1876" s="1">
        <f>0.2</f>
        <v>0.2</v>
      </c>
      <c r="I1876">
        <v>0</v>
      </c>
      <c r="J1876">
        <v>-24.9068</v>
      </c>
      <c r="K1876">
        <v>516.755</v>
      </c>
      <c r="L1876">
        <v>0</v>
      </c>
    </row>
    <row r="1877" spans="1:12" x14ac:dyDescent="0.25">
      <c r="A1877">
        <f>80412591*0.00001</f>
        <v>804.12591000000009</v>
      </c>
      <c r="B1877">
        <v>3497</v>
      </c>
      <c r="C1877">
        <v>27</v>
      </c>
      <c r="D1877">
        <v>243.59</v>
      </c>
      <c r="E1877">
        <v>4856</v>
      </c>
      <c r="F1877">
        <v>1609</v>
      </c>
      <c r="G1877">
        <v>1</v>
      </c>
      <c r="H1877">
        <v>0.2</v>
      </c>
      <c r="I1877">
        <v>0</v>
      </c>
      <c r="J1877" s="1">
        <f>-24.728</f>
        <v>-24.728000000000002</v>
      </c>
      <c r="K1877">
        <v>516.755</v>
      </c>
      <c r="L1877">
        <v>0</v>
      </c>
    </row>
    <row r="1878" spans="1:12" x14ac:dyDescent="0.25">
      <c r="A1878">
        <f>80412727*0.00001</f>
        <v>804.12727000000007</v>
      </c>
      <c r="B1878">
        <v>3497</v>
      </c>
      <c r="C1878">
        <v>28</v>
      </c>
      <c r="D1878">
        <v>243.59</v>
      </c>
      <c r="E1878">
        <v>4856</v>
      </c>
      <c r="F1878">
        <v>1609</v>
      </c>
      <c r="G1878">
        <v>1</v>
      </c>
      <c r="H1878">
        <v>0.2</v>
      </c>
      <c r="I1878">
        <v>0</v>
      </c>
      <c r="J1878">
        <v>-24.728000000000002</v>
      </c>
      <c r="K1878">
        <v>516.755</v>
      </c>
      <c r="L1878" s="1">
        <f>0</f>
        <v>0</v>
      </c>
    </row>
    <row r="1879" spans="1:12" x14ac:dyDescent="0.25">
      <c r="A1879">
        <f>80412864*0.00001</f>
        <v>804.12864000000002</v>
      </c>
      <c r="B1879">
        <v>3497</v>
      </c>
      <c r="C1879">
        <v>29</v>
      </c>
      <c r="D1879">
        <v>243.59</v>
      </c>
      <c r="E1879" s="1">
        <f>4860</f>
        <v>4860</v>
      </c>
      <c r="F1879">
        <v>1609</v>
      </c>
      <c r="G1879">
        <v>1</v>
      </c>
      <c r="H1879">
        <v>0.2</v>
      </c>
      <c r="I1879">
        <v>0</v>
      </c>
      <c r="J1879">
        <v>-24.728000000000002</v>
      </c>
      <c r="K1879">
        <v>516.755</v>
      </c>
      <c r="L1879">
        <v>0</v>
      </c>
    </row>
    <row r="1880" spans="1:12" x14ac:dyDescent="0.25">
      <c r="A1880">
        <f>80413001*0.00001</f>
        <v>804.13001000000008</v>
      </c>
      <c r="B1880">
        <v>3497</v>
      </c>
      <c r="C1880">
        <v>30</v>
      </c>
      <c r="D1880">
        <v>243.59</v>
      </c>
      <c r="E1880">
        <v>4860</v>
      </c>
      <c r="F1880">
        <v>1609</v>
      </c>
      <c r="G1880" s="1">
        <f>1</f>
        <v>1</v>
      </c>
      <c r="H1880">
        <v>0.2</v>
      </c>
      <c r="I1880">
        <v>0</v>
      </c>
      <c r="J1880">
        <v>-24.728000000000002</v>
      </c>
      <c r="K1880">
        <v>516.755</v>
      </c>
      <c r="L1880">
        <v>0</v>
      </c>
    </row>
    <row r="1881" spans="1:12" x14ac:dyDescent="0.25">
      <c r="A1881">
        <f>80413138*0.00001</f>
        <v>804.13138000000004</v>
      </c>
      <c r="B1881">
        <v>3497</v>
      </c>
      <c r="C1881">
        <v>31</v>
      </c>
      <c r="D1881" s="1">
        <f>243.391</f>
        <v>243.39099999999999</v>
      </c>
      <c r="E1881" s="1">
        <f>4864</f>
        <v>4864</v>
      </c>
      <c r="F1881" s="1">
        <f>1609</f>
        <v>1609</v>
      </c>
      <c r="G1881" s="1">
        <f>1</f>
        <v>1</v>
      </c>
      <c r="H1881" s="1">
        <f>0.2</f>
        <v>0.2</v>
      </c>
      <c r="I1881" s="1">
        <f>0</f>
        <v>0</v>
      </c>
      <c r="J1881" s="1">
        <f>-24.2676</f>
        <v>-24.267600000000002</v>
      </c>
      <c r="K1881" s="1">
        <f>516.702</f>
        <v>516.702</v>
      </c>
      <c r="L1881" s="1">
        <f>0</f>
        <v>0</v>
      </c>
    </row>
    <row r="1882" spans="1:12" x14ac:dyDescent="0.25">
      <c r="A1882">
        <f>80414232*0.00001</f>
        <v>804.14232000000004</v>
      </c>
      <c r="B1882">
        <v>3497</v>
      </c>
      <c r="C1882">
        <v>39</v>
      </c>
      <c r="D1882">
        <v>243.39099999999999</v>
      </c>
      <c r="E1882">
        <v>4864</v>
      </c>
      <c r="F1882">
        <v>1609</v>
      </c>
      <c r="G1882" s="1">
        <f>1</f>
        <v>1</v>
      </c>
      <c r="H1882" s="1">
        <f>0.2</f>
        <v>0.2</v>
      </c>
      <c r="I1882">
        <v>0</v>
      </c>
      <c r="J1882">
        <v>-24.267600000000002</v>
      </c>
      <c r="K1882">
        <v>516.702</v>
      </c>
      <c r="L1882">
        <v>0</v>
      </c>
    </row>
    <row r="1883" spans="1:12" x14ac:dyDescent="0.25">
      <c r="A1883">
        <f>80414368*0.00001</f>
        <v>804.14368000000002</v>
      </c>
      <c r="B1883">
        <v>3497</v>
      </c>
      <c r="C1883">
        <v>40</v>
      </c>
      <c r="D1883">
        <v>243.39099999999999</v>
      </c>
      <c r="E1883">
        <v>4864</v>
      </c>
      <c r="F1883">
        <v>1609</v>
      </c>
      <c r="G1883">
        <v>1</v>
      </c>
      <c r="H1883">
        <v>0.2</v>
      </c>
      <c r="I1883" s="1">
        <f>0</f>
        <v>0</v>
      </c>
      <c r="J1883" s="1">
        <f>-24.1023</f>
        <v>-24.1023</v>
      </c>
      <c r="K1883">
        <v>516.702</v>
      </c>
      <c r="L1883">
        <v>0</v>
      </c>
    </row>
    <row r="1884" spans="1:12" x14ac:dyDescent="0.25">
      <c r="A1884">
        <f>80414504*0.00001</f>
        <v>804.14504000000011</v>
      </c>
      <c r="B1884">
        <v>3497</v>
      </c>
      <c r="C1884">
        <v>41</v>
      </c>
      <c r="D1884">
        <v>243.39099999999999</v>
      </c>
      <c r="E1884">
        <v>4864</v>
      </c>
      <c r="F1884">
        <v>1609</v>
      </c>
      <c r="G1884">
        <v>1</v>
      </c>
      <c r="H1884">
        <v>0.2</v>
      </c>
      <c r="I1884">
        <v>0</v>
      </c>
      <c r="J1884">
        <v>-24.1023</v>
      </c>
      <c r="K1884" s="1">
        <f>516.682</f>
        <v>516.68200000000002</v>
      </c>
      <c r="L1884" s="1">
        <f>0</f>
        <v>0</v>
      </c>
    </row>
    <row r="1885" spans="1:12" x14ac:dyDescent="0.25">
      <c r="A1885">
        <f>80414640*0.00001</f>
        <v>804.14640000000009</v>
      </c>
      <c r="B1885">
        <v>3497</v>
      </c>
      <c r="C1885">
        <v>42</v>
      </c>
      <c r="D1885" s="1">
        <f>243.345</f>
        <v>243.345</v>
      </c>
      <c r="E1885" s="1">
        <f>4866</f>
        <v>4866</v>
      </c>
      <c r="F1885">
        <v>1609</v>
      </c>
      <c r="G1885">
        <v>1</v>
      </c>
      <c r="H1885">
        <v>0.2</v>
      </c>
      <c r="I1885">
        <v>0</v>
      </c>
      <c r="J1885">
        <v>-24.1023</v>
      </c>
      <c r="K1885">
        <v>516.68200000000002</v>
      </c>
      <c r="L1885">
        <v>0</v>
      </c>
    </row>
    <row r="1886" spans="1:12" x14ac:dyDescent="0.25">
      <c r="A1886">
        <f>80414776*0.00001</f>
        <v>804.14776000000006</v>
      </c>
      <c r="B1886">
        <v>3497</v>
      </c>
      <c r="C1886">
        <v>43</v>
      </c>
      <c r="D1886">
        <v>243.345</v>
      </c>
      <c r="E1886">
        <v>4866</v>
      </c>
      <c r="F1886" s="1">
        <f>1609</f>
        <v>1609</v>
      </c>
      <c r="G1886" s="1">
        <f>1</f>
        <v>1</v>
      </c>
      <c r="H1886">
        <v>0.2</v>
      </c>
      <c r="I1886">
        <v>0</v>
      </c>
      <c r="J1886">
        <v>-24.1023</v>
      </c>
      <c r="K1886">
        <v>516.68200000000002</v>
      </c>
      <c r="L1886">
        <v>0</v>
      </c>
    </row>
    <row r="1887" spans="1:12" x14ac:dyDescent="0.25">
      <c r="A1887">
        <f>80414913*0.00001</f>
        <v>804.14913000000001</v>
      </c>
      <c r="B1887">
        <v>3497</v>
      </c>
      <c r="C1887">
        <v>44</v>
      </c>
      <c r="D1887">
        <v>243.345</v>
      </c>
      <c r="E1887">
        <v>4866</v>
      </c>
      <c r="F1887">
        <v>1609</v>
      </c>
      <c r="G1887">
        <v>1</v>
      </c>
      <c r="H1887" s="1">
        <f>0.2</f>
        <v>0.2</v>
      </c>
      <c r="I1887" s="1">
        <f>0</f>
        <v>0</v>
      </c>
      <c r="J1887">
        <v>-24.1023</v>
      </c>
      <c r="K1887">
        <v>516.68200000000002</v>
      </c>
      <c r="L1887">
        <v>0</v>
      </c>
    </row>
    <row r="1888" spans="1:12" x14ac:dyDescent="0.25">
      <c r="A1888">
        <f>80415050*0.00001</f>
        <v>804.15050000000008</v>
      </c>
      <c r="B1888">
        <v>3497</v>
      </c>
      <c r="C1888">
        <v>45</v>
      </c>
      <c r="D1888">
        <v>243.345</v>
      </c>
      <c r="E1888">
        <v>4866</v>
      </c>
      <c r="F1888">
        <v>1609</v>
      </c>
      <c r="G1888">
        <v>1</v>
      </c>
      <c r="H1888">
        <v>0.2</v>
      </c>
      <c r="I1888">
        <v>0</v>
      </c>
      <c r="J1888">
        <v>-24.1023</v>
      </c>
      <c r="K1888" s="1">
        <f>516.666</f>
        <v>516.66600000000005</v>
      </c>
      <c r="L1888">
        <v>0</v>
      </c>
    </row>
    <row r="1889" spans="1:12" x14ac:dyDescent="0.25">
      <c r="A1889">
        <f>80415187*0.00001</f>
        <v>804.15187000000003</v>
      </c>
      <c r="B1889">
        <v>3497</v>
      </c>
      <c r="C1889">
        <v>46</v>
      </c>
      <c r="D1889" s="1">
        <f>243.314</f>
        <v>243.31399999999999</v>
      </c>
      <c r="E1889">
        <v>4866</v>
      </c>
      <c r="F1889">
        <v>1609</v>
      </c>
      <c r="G1889">
        <v>1</v>
      </c>
      <c r="H1889">
        <v>0.2</v>
      </c>
      <c r="I1889">
        <v>0</v>
      </c>
      <c r="J1889">
        <v>-24.1023</v>
      </c>
      <c r="K1889">
        <v>516.66600000000005</v>
      </c>
      <c r="L1889">
        <v>0</v>
      </c>
    </row>
    <row r="1890" spans="1:12" x14ac:dyDescent="0.25">
      <c r="A1890">
        <f>80415324*0.00001</f>
        <v>804.1532400000001</v>
      </c>
      <c r="B1890">
        <v>3497</v>
      </c>
      <c r="C1890">
        <v>47</v>
      </c>
      <c r="D1890">
        <v>243.31399999999999</v>
      </c>
      <c r="E1890">
        <v>4866</v>
      </c>
      <c r="F1890" s="1">
        <f>1609</f>
        <v>1609</v>
      </c>
      <c r="G1890">
        <v>1</v>
      </c>
      <c r="H1890">
        <v>0.2</v>
      </c>
      <c r="I1890">
        <v>0</v>
      </c>
      <c r="J1890">
        <v>-24.1023</v>
      </c>
      <c r="K1890">
        <v>516.66600000000005</v>
      </c>
      <c r="L1890">
        <v>0</v>
      </c>
    </row>
    <row r="1891" spans="1:12" x14ac:dyDescent="0.25">
      <c r="A1891">
        <f>80415460*0.00001</f>
        <v>804.15460000000007</v>
      </c>
      <c r="B1891">
        <v>3497</v>
      </c>
      <c r="C1891">
        <v>48</v>
      </c>
      <c r="D1891">
        <v>243.31399999999999</v>
      </c>
      <c r="E1891">
        <v>4866</v>
      </c>
      <c r="F1891">
        <v>1609</v>
      </c>
      <c r="G1891">
        <v>1</v>
      </c>
      <c r="H1891" s="1">
        <f>0.2</f>
        <v>0.2</v>
      </c>
      <c r="I1891">
        <v>0</v>
      </c>
      <c r="J1891">
        <v>-24.1023</v>
      </c>
      <c r="K1891">
        <v>516.66600000000005</v>
      </c>
      <c r="L1891">
        <v>0</v>
      </c>
    </row>
    <row r="1892" spans="1:12" x14ac:dyDescent="0.25">
      <c r="A1892">
        <f>80415596*0.00001</f>
        <v>804.15596000000005</v>
      </c>
      <c r="B1892">
        <v>3497</v>
      </c>
      <c r="C1892">
        <v>49</v>
      </c>
      <c r="D1892">
        <v>243.31399999999999</v>
      </c>
      <c r="E1892">
        <v>4866</v>
      </c>
      <c r="F1892">
        <v>1609</v>
      </c>
      <c r="G1892">
        <v>1</v>
      </c>
      <c r="H1892">
        <v>0.2</v>
      </c>
      <c r="I1892">
        <v>0</v>
      </c>
      <c r="J1892" s="1">
        <f>-23.7338</f>
        <v>-23.733799999999999</v>
      </c>
      <c r="K1892">
        <v>516.66600000000005</v>
      </c>
      <c r="L1892">
        <v>0</v>
      </c>
    </row>
    <row r="1893" spans="1:12" x14ac:dyDescent="0.25">
      <c r="A1893">
        <f>80415732*0.00001</f>
        <v>804.15732000000003</v>
      </c>
      <c r="B1893">
        <v>3497</v>
      </c>
      <c r="C1893">
        <v>50</v>
      </c>
      <c r="D1893">
        <v>243.31399999999999</v>
      </c>
      <c r="E1893">
        <v>4866</v>
      </c>
      <c r="F1893">
        <v>1609</v>
      </c>
      <c r="G1893">
        <v>1</v>
      </c>
      <c r="H1893">
        <v>0.2</v>
      </c>
      <c r="I1893">
        <v>0</v>
      </c>
      <c r="J1893">
        <v>-23.733799999999999</v>
      </c>
      <c r="K1893">
        <v>516.66600000000005</v>
      </c>
      <c r="L1893" s="1">
        <f>0</f>
        <v>0</v>
      </c>
    </row>
    <row r="1894" spans="1:12" x14ac:dyDescent="0.25">
      <c r="A1894">
        <f>80415868*0.00001</f>
        <v>804.15868000000012</v>
      </c>
      <c r="B1894">
        <v>3497</v>
      </c>
      <c r="C1894">
        <v>51</v>
      </c>
      <c r="D1894" s="1">
        <f>243.259</f>
        <v>243.25899999999999</v>
      </c>
      <c r="E1894" s="1">
        <f>4871</f>
        <v>4871</v>
      </c>
      <c r="F1894" s="1">
        <f>1609</f>
        <v>1609</v>
      </c>
      <c r="G1894" s="1">
        <f>1</f>
        <v>1</v>
      </c>
      <c r="H1894" s="1">
        <f>0.2</f>
        <v>0.2</v>
      </c>
      <c r="I1894" s="1">
        <f>0</f>
        <v>0</v>
      </c>
      <c r="J1894" s="1">
        <f>-23.3658</f>
        <v>-23.3658</v>
      </c>
      <c r="K1894" s="1">
        <f>516.631</f>
        <v>516.63099999999997</v>
      </c>
      <c r="L1894" s="1">
        <f>0</f>
        <v>0</v>
      </c>
    </row>
    <row r="1895" spans="1:12" x14ac:dyDescent="0.25">
      <c r="A1895">
        <f>80416961*0.00001</f>
        <v>804.16961000000003</v>
      </c>
      <c r="B1895">
        <v>3497</v>
      </c>
      <c r="C1895">
        <v>59</v>
      </c>
      <c r="D1895">
        <v>243.25899999999999</v>
      </c>
      <c r="E1895">
        <v>4871</v>
      </c>
      <c r="F1895">
        <v>1609</v>
      </c>
      <c r="G1895">
        <v>1</v>
      </c>
      <c r="H1895">
        <v>0.2</v>
      </c>
      <c r="I1895">
        <v>0</v>
      </c>
      <c r="J1895">
        <v>-23.3658</v>
      </c>
      <c r="K1895" s="1">
        <f>516.612</f>
        <v>516.61199999999997</v>
      </c>
      <c r="L1895" s="1">
        <f>0</f>
        <v>0</v>
      </c>
    </row>
    <row r="1896" spans="1:12" x14ac:dyDescent="0.25">
      <c r="A1896">
        <f>80417098*0.00001</f>
        <v>804.1709800000001</v>
      </c>
      <c r="B1896">
        <v>3497</v>
      </c>
      <c r="C1896">
        <v>60</v>
      </c>
      <c r="D1896" s="1">
        <f>243.244</f>
        <v>243.244</v>
      </c>
      <c r="E1896" s="1">
        <f>4872</f>
        <v>4872</v>
      </c>
      <c r="F1896">
        <v>1609</v>
      </c>
      <c r="G1896">
        <v>1</v>
      </c>
      <c r="H1896">
        <v>0.2</v>
      </c>
      <c r="I1896">
        <v>0</v>
      </c>
      <c r="J1896">
        <v>-23.3658</v>
      </c>
      <c r="K1896">
        <v>516.61199999999997</v>
      </c>
      <c r="L1896">
        <v>0</v>
      </c>
    </row>
    <row r="1897" spans="1:12" x14ac:dyDescent="0.25">
      <c r="A1897">
        <f>80417235*0.00001</f>
        <v>804.17235000000005</v>
      </c>
      <c r="B1897">
        <v>3497</v>
      </c>
      <c r="C1897">
        <v>61</v>
      </c>
      <c r="D1897">
        <v>243.244</v>
      </c>
      <c r="E1897">
        <v>4872</v>
      </c>
      <c r="F1897" s="1">
        <f>1609</f>
        <v>1609</v>
      </c>
      <c r="G1897" s="1">
        <f>1</f>
        <v>1</v>
      </c>
      <c r="H1897">
        <v>0.2</v>
      </c>
      <c r="I1897">
        <v>0</v>
      </c>
      <c r="J1897">
        <v>-23.3658</v>
      </c>
      <c r="K1897">
        <v>516.61199999999997</v>
      </c>
      <c r="L1897">
        <v>0</v>
      </c>
    </row>
    <row r="1898" spans="1:12" x14ac:dyDescent="0.25">
      <c r="A1898">
        <f>80417372*0.00001</f>
        <v>804.17372000000012</v>
      </c>
      <c r="B1898">
        <v>3497</v>
      </c>
      <c r="C1898">
        <v>62</v>
      </c>
      <c r="D1898">
        <v>243.244</v>
      </c>
      <c r="E1898">
        <v>4872</v>
      </c>
      <c r="F1898">
        <v>1609</v>
      </c>
      <c r="G1898">
        <v>1</v>
      </c>
      <c r="H1898" s="1">
        <f>0.2</f>
        <v>0.2</v>
      </c>
      <c r="I1898" s="1">
        <f>0</f>
        <v>0</v>
      </c>
      <c r="J1898">
        <v>-23.3658</v>
      </c>
      <c r="K1898">
        <v>516.61199999999997</v>
      </c>
      <c r="L1898">
        <v>0</v>
      </c>
    </row>
    <row r="1899" spans="1:12" x14ac:dyDescent="0.25">
      <c r="A1899">
        <f>80417508*0.00001</f>
        <v>804.17508000000009</v>
      </c>
      <c r="B1899">
        <v>3497</v>
      </c>
      <c r="C1899">
        <v>63</v>
      </c>
      <c r="D1899">
        <v>243.244</v>
      </c>
      <c r="E1899">
        <v>4872</v>
      </c>
      <c r="F1899">
        <v>1609</v>
      </c>
      <c r="G1899">
        <v>1</v>
      </c>
      <c r="H1899">
        <v>0.2</v>
      </c>
      <c r="I1899">
        <v>0</v>
      </c>
      <c r="J1899" s="1">
        <f>-23.1748</f>
        <v>-23.174800000000001</v>
      </c>
      <c r="K1899" s="1">
        <f>516.597</f>
        <v>516.59699999999998</v>
      </c>
      <c r="L1899">
        <v>0</v>
      </c>
    </row>
    <row r="1900" spans="1:12" x14ac:dyDescent="0.25">
      <c r="A1900">
        <f>80417644*0.00001</f>
        <v>804.17644000000007</v>
      </c>
      <c r="B1900">
        <v>3497</v>
      </c>
      <c r="C1900">
        <v>64</v>
      </c>
      <c r="D1900" s="1">
        <f>243.233</f>
        <v>243.233</v>
      </c>
      <c r="E1900">
        <v>4872</v>
      </c>
      <c r="F1900">
        <v>1609</v>
      </c>
      <c r="G1900">
        <v>1</v>
      </c>
      <c r="H1900">
        <v>0.2</v>
      </c>
      <c r="I1900">
        <v>0</v>
      </c>
      <c r="J1900">
        <v>-23.174800000000001</v>
      </c>
      <c r="K1900">
        <v>516.59699999999998</v>
      </c>
      <c r="L1900" s="1">
        <f>0</f>
        <v>0</v>
      </c>
    </row>
    <row r="1901" spans="1:12" x14ac:dyDescent="0.25">
      <c r="A1901">
        <f>80417780*0.00001</f>
        <v>804.17780000000005</v>
      </c>
      <c r="B1901">
        <v>3497</v>
      </c>
      <c r="C1901">
        <v>65</v>
      </c>
      <c r="D1901">
        <v>243.233</v>
      </c>
      <c r="E1901">
        <v>4872</v>
      </c>
      <c r="F1901" s="1">
        <f>1609</f>
        <v>1609</v>
      </c>
      <c r="G1901">
        <v>1</v>
      </c>
      <c r="H1901">
        <v>0.2</v>
      </c>
      <c r="I1901">
        <v>0</v>
      </c>
      <c r="J1901">
        <v>-23.174800000000001</v>
      </c>
      <c r="K1901">
        <v>516.59699999999998</v>
      </c>
      <c r="L1901">
        <v>0</v>
      </c>
    </row>
    <row r="1902" spans="1:12" x14ac:dyDescent="0.25">
      <c r="A1902">
        <f>80417916*0.00001</f>
        <v>804.17916000000002</v>
      </c>
      <c r="B1902">
        <v>3497</v>
      </c>
      <c r="C1902">
        <v>66</v>
      </c>
      <c r="D1902">
        <v>243.233</v>
      </c>
      <c r="E1902">
        <v>4872</v>
      </c>
      <c r="F1902">
        <v>1609</v>
      </c>
      <c r="G1902">
        <v>1</v>
      </c>
      <c r="H1902" s="1">
        <f>0.2</f>
        <v>0.2</v>
      </c>
      <c r="I1902">
        <v>0</v>
      </c>
      <c r="J1902">
        <v>-23.174800000000001</v>
      </c>
      <c r="K1902">
        <v>516.59699999999998</v>
      </c>
      <c r="L1902">
        <v>0</v>
      </c>
    </row>
    <row r="1903" spans="1:12" x14ac:dyDescent="0.25">
      <c r="A1903">
        <f>80418053*0.00001</f>
        <v>804.18053000000009</v>
      </c>
      <c r="B1903">
        <v>3497</v>
      </c>
      <c r="C1903">
        <v>67</v>
      </c>
      <c r="D1903">
        <v>243.233</v>
      </c>
      <c r="E1903">
        <v>4872</v>
      </c>
      <c r="F1903">
        <v>1609</v>
      </c>
      <c r="G1903">
        <v>1</v>
      </c>
      <c r="H1903">
        <v>0.2</v>
      </c>
      <c r="I1903">
        <v>0</v>
      </c>
      <c r="J1903" s="1">
        <f>-23.0303</f>
        <v>-23.0303</v>
      </c>
      <c r="K1903">
        <v>516.59699999999998</v>
      </c>
      <c r="L1903">
        <v>0</v>
      </c>
    </row>
    <row r="1904" spans="1:12" x14ac:dyDescent="0.25">
      <c r="A1904">
        <f>80418190*0.00001</f>
        <v>804.18190000000004</v>
      </c>
      <c r="B1904">
        <v>3497</v>
      </c>
      <c r="C1904">
        <v>68</v>
      </c>
      <c r="D1904">
        <v>243.233</v>
      </c>
      <c r="E1904">
        <v>4872</v>
      </c>
      <c r="F1904">
        <v>1609</v>
      </c>
      <c r="G1904">
        <v>1</v>
      </c>
      <c r="H1904">
        <v>0.2</v>
      </c>
      <c r="I1904">
        <v>0</v>
      </c>
      <c r="J1904">
        <v>-23.0303</v>
      </c>
      <c r="K1904">
        <v>516.59699999999998</v>
      </c>
      <c r="L1904" s="1">
        <f>0</f>
        <v>0</v>
      </c>
    </row>
    <row r="1905" spans="1:12" x14ac:dyDescent="0.25">
      <c r="A1905">
        <f>80418326*0.00001</f>
        <v>804.18326000000002</v>
      </c>
      <c r="B1905">
        <v>3497</v>
      </c>
      <c r="C1905">
        <v>69</v>
      </c>
      <c r="D1905">
        <v>243.233</v>
      </c>
      <c r="E1905" s="1">
        <f>4875</f>
        <v>4875</v>
      </c>
      <c r="F1905">
        <v>1609</v>
      </c>
      <c r="G1905">
        <v>1</v>
      </c>
      <c r="H1905">
        <v>0.2</v>
      </c>
      <c r="I1905">
        <v>0</v>
      </c>
      <c r="J1905">
        <v>-23.0303</v>
      </c>
      <c r="K1905">
        <v>516.59699999999998</v>
      </c>
      <c r="L1905">
        <v>0</v>
      </c>
    </row>
    <row r="1906" spans="1:12" x14ac:dyDescent="0.25">
      <c r="A1906">
        <f>80418463*0.00001</f>
        <v>804.18463000000008</v>
      </c>
      <c r="B1906">
        <v>3497</v>
      </c>
      <c r="C1906">
        <v>70</v>
      </c>
      <c r="D1906">
        <v>243.233</v>
      </c>
      <c r="E1906">
        <v>4875</v>
      </c>
      <c r="F1906">
        <v>1609</v>
      </c>
      <c r="G1906" s="1">
        <f>1</f>
        <v>1</v>
      </c>
      <c r="H1906">
        <v>0.2</v>
      </c>
      <c r="I1906">
        <v>0</v>
      </c>
      <c r="J1906">
        <v>-23.0303</v>
      </c>
      <c r="K1906">
        <v>516.59699999999998</v>
      </c>
      <c r="L1906">
        <v>0</v>
      </c>
    </row>
    <row r="1907" spans="1:12" x14ac:dyDescent="0.25">
      <c r="A1907">
        <f>80418600*0.00001</f>
        <v>804.18600000000004</v>
      </c>
      <c r="B1907">
        <v>3497</v>
      </c>
      <c r="C1907">
        <v>71</v>
      </c>
      <c r="D1907" s="1">
        <f>243.058</f>
        <v>243.05799999999999</v>
      </c>
      <c r="E1907" s="1">
        <f>4877</f>
        <v>4877</v>
      </c>
      <c r="F1907" s="1">
        <f>1609</f>
        <v>1609</v>
      </c>
      <c r="G1907" s="1">
        <f>1</f>
        <v>1</v>
      </c>
      <c r="H1907" s="1">
        <f>0.2</f>
        <v>0.2</v>
      </c>
      <c r="I1907" s="1">
        <f>0</f>
        <v>0</v>
      </c>
      <c r="J1907" s="1">
        <f>-22.585</f>
        <v>-22.585000000000001</v>
      </c>
      <c r="K1907" s="1">
        <f>516.548</f>
        <v>516.548</v>
      </c>
      <c r="L1907" s="1">
        <f>0</f>
        <v>0</v>
      </c>
    </row>
    <row r="1908" spans="1:12" x14ac:dyDescent="0.25">
      <c r="A1908">
        <f>80419556*0.00001</f>
        <v>804.19556000000011</v>
      </c>
      <c r="B1908">
        <v>3497</v>
      </c>
      <c r="C1908">
        <v>78</v>
      </c>
      <c r="D1908">
        <v>243.05799999999999</v>
      </c>
      <c r="E1908" s="1">
        <f>4880</f>
        <v>4880</v>
      </c>
      <c r="F1908" s="1">
        <f>1609</f>
        <v>1609</v>
      </c>
      <c r="G1908">
        <v>1</v>
      </c>
      <c r="H1908">
        <v>0.2</v>
      </c>
      <c r="I1908">
        <v>0</v>
      </c>
      <c r="J1908">
        <v>-22.585000000000001</v>
      </c>
      <c r="K1908">
        <v>516.548</v>
      </c>
      <c r="L1908">
        <v>0</v>
      </c>
    </row>
    <row r="1909" spans="1:12" x14ac:dyDescent="0.25">
      <c r="A1909">
        <f>80419693*0.00001</f>
        <v>804.19693000000007</v>
      </c>
      <c r="B1909">
        <v>3497</v>
      </c>
      <c r="C1909">
        <v>79</v>
      </c>
      <c r="D1909">
        <v>243.05799999999999</v>
      </c>
      <c r="E1909">
        <v>4880</v>
      </c>
      <c r="F1909">
        <v>1609</v>
      </c>
      <c r="G1909" s="1">
        <f>1</f>
        <v>1</v>
      </c>
      <c r="H1909" s="1">
        <f>0.2</f>
        <v>0.2</v>
      </c>
      <c r="I1909">
        <v>0</v>
      </c>
      <c r="J1909">
        <v>-22.585000000000001</v>
      </c>
      <c r="K1909">
        <v>516.548</v>
      </c>
      <c r="L1909">
        <v>0</v>
      </c>
    </row>
    <row r="1910" spans="1:12" x14ac:dyDescent="0.25">
      <c r="A1910">
        <f>80419830*0.00001</f>
        <v>804.19830000000002</v>
      </c>
      <c r="B1910">
        <v>3497</v>
      </c>
      <c r="C1910">
        <v>80</v>
      </c>
      <c r="D1910">
        <v>243.05799999999999</v>
      </c>
      <c r="E1910">
        <v>4880</v>
      </c>
      <c r="F1910">
        <v>1609</v>
      </c>
      <c r="G1910">
        <v>1</v>
      </c>
      <c r="H1910">
        <v>0.2</v>
      </c>
      <c r="I1910" s="1">
        <f>0</f>
        <v>0</v>
      </c>
      <c r="J1910" s="1">
        <f>-22.3893</f>
        <v>-22.389299999999999</v>
      </c>
      <c r="K1910">
        <v>516.548</v>
      </c>
      <c r="L1910">
        <v>0</v>
      </c>
    </row>
    <row r="1911" spans="1:12" x14ac:dyDescent="0.25">
      <c r="A1911">
        <f>80419966*0.00001</f>
        <v>804.19966000000011</v>
      </c>
      <c r="B1911">
        <v>3497</v>
      </c>
      <c r="C1911">
        <v>81</v>
      </c>
      <c r="D1911">
        <v>243.05799999999999</v>
      </c>
      <c r="E1911">
        <v>4880</v>
      </c>
      <c r="F1911">
        <v>1609</v>
      </c>
      <c r="G1911">
        <v>1</v>
      </c>
      <c r="H1911">
        <v>0.2</v>
      </c>
      <c r="I1911">
        <v>0</v>
      </c>
      <c r="J1911">
        <v>-22.389299999999999</v>
      </c>
      <c r="K1911" s="1">
        <f>516.529</f>
        <v>516.529</v>
      </c>
      <c r="L1911" s="1">
        <f>0</f>
        <v>0</v>
      </c>
    </row>
    <row r="1912" spans="1:12" x14ac:dyDescent="0.25">
      <c r="A1912">
        <f>80420103*0.00001</f>
        <v>804.20103000000006</v>
      </c>
      <c r="B1912">
        <v>3497</v>
      </c>
      <c r="C1912">
        <v>82</v>
      </c>
      <c r="D1912" s="1">
        <f>243.005</f>
        <v>243.005</v>
      </c>
      <c r="E1912" s="1">
        <f>4882</f>
        <v>4882</v>
      </c>
      <c r="F1912">
        <v>1609</v>
      </c>
      <c r="G1912">
        <v>1</v>
      </c>
      <c r="H1912">
        <v>0.2</v>
      </c>
      <c r="I1912">
        <v>0</v>
      </c>
      <c r="J1912">
        <v>-22.389299999999999</v>
      </c>
      <c r="K1912">
        <v>516.529</v>
      </c>
      <c r="L1912">
        <v>0</v>
      </c>
    </row>
    <row r="1913" spans="1:12" x14ac:dyDescent="0.25">
      <c r="A1913">
        <f>80420240*0.00001</f>
        <v>804.20240000000001</v>
      </c>
      <c r="B1913">
        <v>3497</v>
      </c>
      <c r="C1913">
        <v>83</v>
      </c>
      <c r="D1913">
        <v>243.005</v>
      </c>
      <c r="E1913">
        <v>4882</v>
      </c>
      <c r="F1913">
        <v>1609</v>
      </c>
      <c r="G1913" s="1">
        <f>1</f>
        <v>1</v>
      </c>
      <c r="H1913">
        <v>0.2</v>
      </c>
      <c r="I1913">
        <v>0</v>
      </c>
      <c r="J1913">
        <v>-22.389299999999999</v>
      </c>
      <c r="K1913">
        <v>516.529</v>
      </c>
      <c r="L1913">
        <v>0</v>
      </c>
    </row>
    <row r="1914" spans="1:12" x14ac:dyDescent="0.25">
      <c r="A1914">
        <f>80420377*0.00001</f>
        <v>804.20377000000008</v>
      </c>
      <c r="B1914">
        <v>3497</v>
      </c>
      <c r="C1914">
        <v>84</v>
      </c>
      <c r="D1914">
        <v>243.005</v>
      </c>
      <c r="E1914">
        <v>4882</v>
      </c>
      <c r="F1914">
        <v>1609</v>
      </c>
      <c r="G1914">
        <v>1</v>
      </c>
      <c r="H1914">
        <v>0.2</v>
      </c>
      <c r="I1914" s="1">
        <f>0</f>
        <v>0</v>
      </c>
      <c r="J1914">
        <v>-22.389299999999999</v>
      </c>
      <c r="K1914">
        <v>516.529</v>
      </c>
      <c r="L1914">
        <v>0</v>
      </c>
    </row>
    <row r="1915" spans="1:12" x14ac:dyDescent="0.25">
      <c r="A1915">
        <f>80420514*0.00001</f>
        <v>804.20514000000003</v>
      </c>
      <c r="B1915">
        <v>3497</v>
      </c>
      <c r="C1915">
        <v>85</v>
      </c>
      <c r="D1915">
        <v>243.005</v>
      </c>
      <c r="E1915">
        <v>4882</v>
      </c>
      <c r="F1915">
        <v>1609</v>
      </c>
      <c r="G1915">
        <v>1</v>
      </c>
      <c r="H1915">
        <v>0.2</v>
      </c>
      <c r="I1915">
        <v>0</v>
      </c>
      <c r="J1915">
        <v>-22.389299999999999</v>
      </c>
      <c r="K1915" s="1">
        <f>516.515</f>
        <v>516.51499999999999</v>
      </c>
      <c r="L1915">
        <v>0</v>
      </c>
    </row>
    <row r="1916" spans="1:12" x14ac:dyDescent="0.25">
      <c r="A1916">
        <f>80420651*0.00001</f>
        <v>804.20651000000009</v>
      </c>
      <c r="B1916">
        <v>3497</v>
      </c>
      <c r="C1916">
        <v>86</v>
      </c>
      <c r="D1916" s="1">
        <f>242.972</f>
        <v>242.97200000000001</v>
      </c>
      <c r="E1916">
        <v>4882</v>
      </c>
      <c r="F1916">
        <v>1609</v>
      </c>
      <c r="G1916">
        <v>1</v>
      </c>
      <c r="H1916">
        <v>0.2</v>
      </c>
      <c r="I1916">
        <v>0</v>
      </c>
      <c r="J1916">
        <v>-22.389299999999999</v>
      </c>
      <c r="K1916">
        <v>516.51499999999999</v>
      </c>
      <c r="L1916">
        <v>0</v>
      </c>
    </row>
    <row r="1917" spans="1:12" x14ac:dyDescent="0.25">
      <c r="A1917">
        <f>80420788*0.00001</f>
        <v>804.20788000000005</v>
      </c>
      <c r="B1917">
        <v>3497</v>
      </c>
      <c r="C1917">
        <v>87</v>
      </c>
      <c r="D1917">
        <v>242.97200000000001</v>
      </c>
      <c r="E1917">
        <v>4882</v>
      </c>
      <c r="F1917" s="1">
        <f>1609</f>
        <v>1609</v>
      </c>
      <c r="G1917">
        <v>1</v>
      </c>
      <c r="H1917">
        <v>0.2</v>
      </c>
      <c r="I1917">
        <v>0</v>
      </c>
      <c r="J1917">
        <v>-22.389299999999999</v>
      </c>
      <c r="K1917">
        <v>516.51499999999999</v>
      </c>
      <c r="L1917">
        <v>0</v>
      </c>
    </row>
    <row r="1918" spans="1:12" x14ac:dyDescent="0.25">
      <c r="A1918">
        <f>80420925*0.00001</f>
        <v>804.20925000000011</v>
      </c>
      <c r="B1918">
        <v>3497</v>
      </c>
      <c r="C1918">
        <v>88</v>
      </c>
      <c r="D1918">
        <v>242.97200000000001</v>
      </c>
      <c r="E1918">
        <v>4882</v>
      </c>
      <c r="F1918">
        <v>1609</v>
      </c>
      <c r="G1918">
        <v>1</v>
      </c>
      <c r="H1918" s="1">
        <f>0.2</f>
        <v>0.2</v>
      </c>
      <c r="I1918">
        <v>0</v>
      </c>
      <c r="J1918">
        <v>-22.389299999999999</v>
      </c>
      <c r="K1918">
        <v>516.51499999999999</v>
      </c>
      <c r="L1918">
        <v>0</v>
      </c>
    </row>
    <row r="1919" spans="1:12" x14ac:dyDescent="0.25">
      <c r="A1919">
        <f>80421062*0.00001</f>
        <v>804.21062000000006</v>
      </c>
      <c r="B1919">
        <v>3497</v>
      </c>
      <c r="C1919">
        <v>89</v>
      </c>
      <c r="D1919" s="1">
        <f>242.917</f>
        <v>242.917</v>
      </c>
      <c r="E1919" s="1">
        <f>4886</f>
        <v>4886</v>
      </c>
      <c r="F1919" s="1">
        <f>1609</f>
        <v>1609</v>
      </c>
      <c r="G1919" s="1">
        <f>1</f>
        <v>1</v>
      </c>
      <c r="H1919" s="1">
        <f>0.2</f>
        <v>0.2</v>
      </c>
      <c r="I1919" s="1">
        <f>0</f>
        <v>0</v>
      </c>
      <c r="J1919" s="1">
        <f>-21.8412</f>
        <v>-21.841200000000001</v>
      </c>
      <c r="K1919" s="1">
        <f>516.482</f>
        <v>516.48199999999997</v>
      </c>
      <c r="L1919" s="1">
        <f>0</f>
        <v>0</v>
      </c>
    </row>
    <row r="1920" spans="1:12" x14ac:dyDescent="0.25">
      <c r="A1920">
        <f>80422020*0.00001</f>
        <v>804.22020000000009</v>
      </c>
      <c r="B1920">
        <v>3497</v>
      </c>
      <c r="C1920">
        <v>96</v>
      </c>
      <c r="D1920">
        <v>242.917</v>
      </c>
      <c r="E1920">
        <v>4886</v>
      </c>
      <c r="F1920" s="1">
        <f>1609</f>
        <v>1609</v>
      </c>
      <c r="G1920" s="1">
        <f>1</f>
        <v>1</v>
      </c>
      <c r="H1920">
        <v>0.2</v>
      </c>
      <c r="I1920">
        <v>0</v>
      </c>
      <c r="J1920">
        <v>-21.841200000000001</v>
      </c>
      <c r="K1920">
        <v>516.48199999999997</v>
      </c>
      <c r="L1920">
        <v>0</v>
      </c>
    </row>
    <row r="1921" spans="1:12" x14ac:dyDescent="0.25">
      <c r="A1921">
        <f>80422157*0.00001</f>
        <v>804.22157000000004</v>
      </c>
      <c r="B1921">
        <v>3497</v>
      </c>
      <c r="C1921">
        <v>97</v>
      </c>
      <c r="D1921">
        <v>242.917</v>
      </c>
      <c r="E1921">
        <v>4886</v>
      </c>
      <c r="F1921">
        <v>1609</v>
      </c>
      <c r="G1921">
        <v>1</v>
      </c>
      <c r="H1921" s="1">
        <f>0.2</f>
        <v>0.2</v>
      </c>
      <c r="I1921" s="1">
        <f>0</f>
        <v>0</v>
      </c>
      <c r="J1921">
        <v>-21.841200000000001</v>
      </c>
      <c r="K1921">
        <v>516.48199999999997</v>
      </c>
      <c r="L1921">
        <v>0</v>
      </c>
    </row>
    <row r="1922" spans="1:12" x14ac:dyDescent="0.25">
      <c r="A1922">
        <f>80422294*0.00001</f>
        <v>804.22294000000011</v>
      </c>
      <c r="B1922">
        <v>3497</v>
      </c>
      <c r="C1922">
        <v>98</v>
      </c>
      <c r="D1922">
        <v>242.917</v>
      </c>
      <c r="E1922">
        <v>4886</v>
      </c>
      <c r="F1922">
        <v>1609</v>
      </c>
      <c r="G1922">
        <v>1</v>
      </c>
      <c r="H1922">
        <v>0.2</v>
      </c>
      <c r="I1922">
        <v>0</v>
      </c>
      <c r="J1922" s="1">
        <f>-21.6679</f>
        <v>-21.667899999999999</v>
      </c>
      <c r="K1922" s="1">
        <f>516.468</f>
        <v>516.46799999999996</v>
      </c>
      <c r="L1922">
        <v>0</v>
      </c>
    </row>
    <row r="1923" spans="1:12" x14ac:dyDescent="0.25">
      <c r="A1923">
        <f>80422431*0.00001</f>
        <v>804.22431000000006</v>
      </c>
      <c r="B1923">
        <v>3497</v>
      </c>
      <c r="C1923">
        <v>99</v>
      </c>
      <c r="D1923" s="1">
        <f>242.899</f>
        <v>242.899</v>
      </c>
      <c r="E1923">
        <v>4886</v>
      </c>
      <c r="F1923">
        <v>1609</v>
      </c>
      <c r="G1923">
        <v>1</v>
      </c>
      <c r="H1923">
        <v>0.2</v>
      </c>
      <c r="I1923">
        <v>0</v>
      </c>
      <c r="J1923">
        <v>-21.667899999999999</v>
      </c>
      <c r="K1923">
        <v>516.46799999999996</v>
      </c>
      <c r="L1923" s="1">
        <f>0</f>
        <v>0</v>
      </c>
    </row>
    <row r="1924" spans="1:12" x14ac:dyDescent="0.25">
      <c r="A1924">
        <f>80422568*0.00001</f>
        <v>804.22568000000001</v>
      </c>
      <c r="B1924">
        <v>3497</v>
      </c>
      <c r="C1924">
        <v>100</v>
      </c>
      <c r="D1924">
        <v>242.899</v>
      </c>
      <c r="E1924" s="1">
        <f>4887</f>
        <v>4887</v>
      </c>
      <c r="F1924" s="1">
        <f>1609</f>
        <v>1609</v>
      </c>
      <c r="G1924">
        <v>1</v>
      </c>
      <c r="H1924">
        <v>0.2</v>
      </c>
      <c r="I1924">
        <v>0</v>
      </c>
      <c r="J1924">
        <v>-21.667899999999999</v>
      </c>
      <c r="K1924">
        <v>516.46799999999996</v>
      </c>
      <c r="L1924">
        <v>0</v>
      </c>
    </row>
    <row r="1925" spans="1:12" x14ac:dyDescent="0.25">
      <c r="A1925">
        <f>80422705*0.00001</f>
        <v>804.22705000000008</v>
      </c>
      <c r="B1925">
        <v>3497</v>
      </c>
      <c r="C1925">
        <v>101</v>
      </c>
      <c r="D1925">
        <v>242.899</v>
      </c>
      <c r="E1925">
        <v>4887</v>
      </c>
      <c r="F1925">
        <v>1609</v>
      </c>
      <c r="G1925" s="1">
        <f>1</f>
        <v>1</v>
      </c>
      <c r="H1925" s="1">
        <f>0.2</f>
        <v>0.2</v>
      </c>
      <c r="I1925">
        <v>0</v>
      </c>
      <c r="J1925">
        <v>-21.667899999999999</v>
      </c>
      <c r="K1925">
        <v>516.46799999999996</v>
      </c>
      <c r="L1925">
        <v>0</v>
      </c>
    </row>
    <row r="1926" spans="1:12" x14ac:dyDescent="0.25">
      <c r="A1926">
        <f>80422842*0.00001</f>
        <v>804.22842000000003</v>
      </c>
      <c r="B1926">
        <v>3497</v>
      </c>
      <c r="C1926">
        <v>102</v>
      </c>
      <c r="D1926">
        <v>242.899</v>
      </c>
      <c r="E1926">
        <v>4887</v>
      </c>
      <c r="F1926">
        <v>1609</v>
      </c>
      <c r="G1926">
        <v>1</v>
      </c>
      <c r="H1926">
        <v>0.2</v>
      </c>
      <c r="I1926">
        <v>0</v>
      </c>
      <c r="J1926" s="1">
        <f>-21.5038</f>
        <v>-21.503799999999998</v>
      </c>
      <c r="K1926">
        <v>516.46799999999996</v>
      </c>
      <c r="L1926">
        <v>0</v>
      </c>
    </row>
    <row r="1927" spans="1:12" x14ac:dyDescent="0.25">
      <c r="A1927">
        <f>80422979*0.00001</f>
        <v>804.22979000000009</v>
      </c>
      <c r="B1927">
        <v>3497</v>
      </c>
      <c r="C1927">
        <v>103</v>
      </c>
      <c r="D1927">
        <v>242.899</v>
      </c>
      <c r="E1927">
        <v>4887</v>
      </c>
      <c r="F1927">
        <v>1609</v>
      </c>
      <c r="G1927">
        <v>1</v>
      </c>
      <c r="H1927">
        <v>0.2</v>
      </c>
      <c r="I1927">
        <v>0</v>
      </c>
      <c r="J1927">
        <v>-21.503799999999998</v>
      </c>
      <c r="K1927">
        <v>516.46799999999996</v>
      </c>
      <c r="L1927" s="1">
        <f>0</f>
        <v>0</v>
      </c>
    </row>
    <row r="1928" spans="1:12" x14ac:dyDescent="0.25">
      <c r="A1928">
        <f>80423116*0.00001</f>
        <v>804.23116000000005</v>
      </c>
      <c r="B1928">
        <v>3497</v>
      </c>
      <c r="C1928">
        <v>104</v>
      </c>
      <c r="D1928">
        <v>242.899</v>
      </c>
      <c r="E1928" s="1">
        <f>4889</f>
        <v>4889</v>
      </c>
      <c r="F1928">
        <v>1609</v>
      </c>
      <c r="G1928">
        <v>1</v>
      </c>
      <c r="H1928">
        <v>0.2</v>
      </c>
      <c r="I1928">
        <v>0</v>
      </c>
      <c r="J1928">
        <v>-21.503799999999998</v>
      </c>
      <c r="K1928">
        <v>516.46799999999996</v>
      </c>
      <c r="L1928">
        <v>0</v>
      </c>
    </row>
    <row r="1929" spans="1:12" x14ac:dyDescent="0.25">
      <c r="A1929">
        <f>80423252*0.00001</f>
        <v>804.23252000000002</v>
      </c>
      <c r="B1929">
        <v>3497</v>
      </c>
      <c r="C1929">
        <v>105</v>
      </c>
      <c r="D1929">
        <v>242.899</v>
      </c>
      <c r="E1929">
        <v>4889</v>
      </c>
      <c r="F1929">
        <v>1609</v>
      </c>
      <c r="G1929" s="1">
        <f>1</f>
        <v>1</v>
      </c>
      <c r="H1929">
        <v>0.2</v>
      </c>
      <c r="I1929">
        <v>0</v>
      </c>
      <c r="J1929">
        <v>-21.503799999999998</v>
      </c>
      <c r="K1929">
        <v>516.46799999999996</v>
      </c>
      <c r="L1929">
        <v>0</v>
      </c>
    </row>
    <row r="1930" spans="1:12" x14ac:dyDescent="0.25">
      <c r="A1930">
        <f>80423389*0.00001</f>
        <v>804.23389000000009</v>
      </c>
      <c r="B1930">
        <v>3497</v>
      </c>
      <c r="C1930">
        <v>106</v>
      </c>
      <c r="D1930">
        <v>242.899</v>
      </c>
      <c r="E1930">
        <v>4889</v>
      </c>
      <c r="F1930">
        <v>1609</v>
      </c>
      <c r="G1930">
        <v>1</v>
      </c>
      <c r="H1930">
        <v>0.2</v>
      </c>
      <c r="I1930" s="1">
        <f>0</f>
        <v>0</v>
      </c>
      <c r="J1930">
        <v>-21.503799999999998</v>
      </c>
      <c r="K1930">
        <v>516.46799999999996</v>
      </c>
      <c r="L1930">
        <v>0</v>
      </c>
    </row>
    <row r="1931" spans="1:12" x14ac:dyDescent="0.25">
      <c r="A1931">
        <f>80423526*0.00001</f>
        <v>804.23526000000004</v>
      </c>
      <c r="B1931">
        <v>3497</v>
      </c>
      <c r="C1931">
        <v>107</v>
      </c>
      <c r="D1931">
        <v>242.899</v>
      </c>
      <c r="E1931">
        <v>4889</v>
      </c>
      <c r="F1931">
        <v>1609</v>
      </c>
      <c r="G1931">
        <v>1</v>
      </c>
      <c r="H1931">
        <v>0.2</v>
      </c>
      <c r="I1931">
        <v>0</v>
      </c>
      <c r="J1931">
        <v>-21.503799999999998</v>
      </c>
      <c r="K1931" s="1">
        <f>516.436</f>
        <v>516.43600000000004</v>
      </c>
      <c r="L1931">
        <v>0</v>
      </c>
    </row>
    <row r="1932" spans="1:12" x14ac:dyDescent="0.25">
      <c r="A1932">
        <f>80423663*0.00001</f>
        <v>804.2366300000001</v>
      </c>
      <c r="B1932">
        <v>3497</v>
      </c>
      <c r="C1932">
        <v>108</v>
      </c>
      <c r="D1932" s="1">
        <f>242.82</f>
        <v>242.82</v>
      </c>
      <c r="E1932" s="1">
        <f>4892</f>
        <v>4892</v>
      </c>
      <c r="F1932" s="1">
        <f>1609</f>
        <v>1609</v>
      </c>
      <c r="G1932" s="1">
        <f>1</f>
        <v>1</v>
      </c>
      <c r="H1932" s="1">
        <f>0.2</f>
        <v>0.2</v>
      </c>
      <c r="I1932" s="1">
        <f>0</f>
        <v>0</v>
      </c>
      <c r="J1932" s="1">
        <f>-21.1501</f>
        <v>-21.150099999999998</v>
      </c>
      <c r="K1932" s="1">
        <f>516.422</f>
        <v>516.42200000000003</v>
      </c>
      <c r="L1932" s="1">
        <f>0</f>
        <v>0</v>
      </c>
    </row>
    <row r="1933" spans="1:12" x14ac:dyDescent="0.25">
      <c r="A1933">
        <f>80424622*0.00001</f>
        <v>804.24622000000011</v>
      </c>
      <c r="B1933">
        <v>3497</v>
      </c>
      <c r="C1933">
        <v>115</v>
      </c>
      <c r="D1933">
        <v>242.82</v>
      </c>
      <c r="E1933">
        <v>4892</v>
      </c>
      <c r="F1933">
        <v>1609</v>
      </c>
      <c r="G1933">
        <v>1</v>
      </c>
      <c r="H1933">
        <v>0.2</v>
      </c>
      <c r="I1933" s="1">
        <f>0</f>
        <v>0</v>
      </c>
      <c r="J1933" s="1">
        <f>-20.9352</f>
        <v>-20.935199999999998</v>
      </c>
      <c r="K1933">
        <v>516.42200000000003</v>
      </c>
      <c r="L1933">
        <v>0</v>
      </c>
    </row>
    <row r="1934" spans="1:12" x14ac:dyDescent="0.25">
      <c r="A1934">
        <f>80424759*0.00001</f>
        <v>804.24759000000006</v>
      </c>
      <c r="B1934">
        <v>3497</v>
      </c>
      <c r="C1934">
        <v>116</v>
      </c>
      <c r="D1934">
        <v>242.82</v>
      </c>
      <c r="E1934">
        <v>4892</v>
      </c>
      <c r="F1934">
        <v>1609</v>
      </c>
      <c r="G1934">
        <v>1</v>
      </c>
      <c r="H1934">
        <v>0.2</v>
      </c>
      <c r="I1934">
        <v>0</v>
      </c>
      <c r="J1934">
        <v>-20.935199999999998</v>
      </c>
      <c r="K1934" s="1">
        <f>516.405</f>
        <v>516.40499999999997</v>
      </c>
      <c r="L1934" s="1">
        <f>0</f>
        <v>0</v>
      </c>
    </row>
    <row r="1935" spans="1:12" x14ac:dyDescent="0.25">
      <c r="A1935">
        <f>80424896*0.00001</f>
        <v>804.24896000000001</v>
      </c>
      <c r="B1935">
        <v>3497</v>
      </c>
      <c r="C1935">
        <v>117</v>
      </c>
      <c r="D1935" s="1">
        <f>242.741</f>
        <v>242.74100000000001</v>
      </c>
      <c r="E1935" s="1">
        <f>4895</f>
        <v>4895</v>
      </c>
      <c r="F1935">
        <v>1609</v>
      </c>
      <c r="G1935">
        <v>1</v>
      </c>
      <c r="H1935">
        <v>0.2</v>
      </c>
      <c r="I1935">
        <v>0</v>
      </c>
      <c r="J1935">
        <v>-20.935199999999998</v>
      </c>
      <c r="K1935">
        <v>516.40499999999997</v>
      </c>
      <c r="L1935">
        <v>0</v>
      </c>
    </row>
    <row r="1936" spans="1:12" x14ac:dyDescent="0.25">
      <c r="A1936">
        <f>80425033*0.00001</f>
        <v>804.25033000000008</v>
      </c>
      <c r="B1936">
        <v>3497</v>
      </c>
      <c r="C1936">
        <v>118</v>
      </c>
      <c r="D1936">
        <v>242.74100000000001</v>
      </c>
      <c r="E1936">
        <v>4895</v>
      </c>
      <c r="F1936" s="1">
        <f>1609</f>
        <v>1609</v>
      </c>
      <c r="G1936" s="1">
        <f>1</f>
        <v>1</v>
      </c>
      <c r="H1936">
        <v>0.2</v>
      </c>
      <c r="I1936">
        <v>0</v>
      </c>
      <c r="J1936">
        <v>-20.935199999999998</v>
      </c>
      <c r="K1936">
        <v>516.40499999999997</v>
      </c>
      <c r="L1936">
        <v>0</v>
      </c>
    </row>
    <row r="1937" spans="1:12" x14ac:dyDescent="0.25">
      <c r="A1937">
        <f>80425170*0.00001</f>
        <v>804.25170000000003</v>
      </c>
      <c r="B1937">
        <v>3497</v>
      </c>
      <c r="C1937">
        <v>119</v>
      </c>
      <c r="D1937">
        <v>242.74100000000001</v>
      </c>
      <c r="E1937">
        <v>4895</v>
      </c>
      <c r="F1937">
        <v>1609</v>
      </c>
      <c r="G1937">
        <v>1</v>
      </c>
      <c r="H1937" s="1">
        <f>0.2</f>
        <v>0.2</v>
      </c>
      <c r="I1937" s="1">
        <f>0</f>
        <v>0</v>
      </c>
      <c r="J1937">
        <v>-20.935199999999998</v>
      </c>
      <c r="K1937">
        <v>516.40499999999997</v>
      </c>
      <c r="L1937">
        <v>0</v>
      </c>
    </row>
    <row r="1938" spans="1:12" x14ac:dyDescent="0.25">
      <c r="A1938">
        <f>80425307*0.00001</f>
        <v>804.25307000000009</v>
      </c>
      <c r="B1938">
        <v>3497</v>
      </c>
      <c r="C1938">
        <v>120</v>
      </c>
      <c r="D1938">
        <v>242.74100000000001</v>
      </c>
      <c r="E1938">
        <v>4895</v>
      </c>
      <c r="F1938">
        <v>1609</v>
      </c>
      <c r="G1938">
        <v>1</v>
      </c>
      <c r="H1938">
        <v>0.2</v>
      </c>
      <c r="I1938">
        <v>0</v>
      </c>
      <c r="J1938">
        <v>-20.935199999999998</v>
      </c>
      <c r="K1938" s="1">
        <f>516.391</f>
        <v>516.39099999999996</v>
      </c>
      <c r="L1938">
        <v>0</v>
      </c>
    </row>
    <row r="1939" spans="1:12" x14ac:dyDescent="0.25">
      <c r="A1939">
        <f>80425444*0.00001</f>
        <v>804.25444000000005</v>
      </c>
      <c r="B1939">
        <v>3497</v>
      </c>
      <c r="C1939">
        <v>121</v>
      </c>
      <c r="D1939" s="1">
        <f>242.691</f>
        <v>242.691</v>
      </c>
      <c r="E1939">
        <v>4895</v>
      </c>
      <c r="F1939">
        <v>1609</v>
      </c>
      <c r="G1939">
        <v>1</v>
      </c>
      <c r="H1939">
        <v>0.2</v>
      </c>
      <c r="I1939">
        <v>0</v>
      </c>
      <c r="J1939">
        <v>-20.935199999999998</v>
      </c>
      <c r="K1939">
        <v>516.39099999999996</v>
      </c>
      <c r="L1939">
        <v>0</v>
      </c>
    </row>
    <row r="1940" spans="1:12" x14ac:dyDescent="0.25">
      <c r="A1940">
        <f>80425581*0.00001</f>
        <v>804.25581000000011</v>
      </c>
      <c r="B1940">
        <v>3497</v>
      </c>
      <c r="C1940">
        <v>122</v>
      </c>
      <c r="D1940">
        <v>242.691</v>
      </c>
      <c r="E1940">
        <v>4895</v>
      </c>
      <c r="F1940" s="1">
        <f>1609</f>
        <v>1609</v>
      </c>
      <c r="G1940">
        <v>1</v>
      </c>
      <c r="H1940">
        <v>0.2</v>
      </c>
      <c r="I1940">
        <v>0</v>
      </c>
      <c r="J1940">
        <v>-20.935199999999998</v>
      </c>
      <c r="K1940">
        <v>516.39099999999996</v>
      </c>
      <c r="L1940">
        <v>0</v>
      </c>
    </row>
    <row r="1941" spans="1:12" x14ac:dyDescent="0.25">
      <c r="A1941">
        <f>80425718*0.00001</f>
        <v>804.25718000000006</v>
      </c>
      <c r="B1941">
        <v>3497</v>
      </c>
      <c r="C1941">
        <v>123</v>
      </c>
      <c r="D1941">
        <v>242.691</v>
      </c>
      <c r="E1941">
        <v>4895</v>
      </c>
      <c r="F1941">
        <v>1609</v>
      </c>
      <c r="G1941">
        <v>1</v>
      </c>
      <c r="H1941" s="1">
        <f>0.2</f>
        <v>0.2</v>
      </c>
      <c r="I1941">
        <v>0</v>
      </c>
      <c r="J1941">
        <v>-20.935199999999998</v>
      </c>
      <c r="K1941">
        <v>516.39099999999996</v>
      </c>
      <c r="L1941">
        <v>0</v>
      </c>
    </row>
    <row r="1942" spans="1:12" x14ac:dyDescent="0.25">
      <c r="A1942">
        <f>80425855*0.00001</f>
        <v>804.25855000000001</v>
      </c>
      <c r="B1942">
        <v>3497</v>
      </c>
      <c r="C1942">
        <v>124</v>
      </c>
      <c r="D1942">
        <v>242.691</v>
      </c>
      <c r="E1942">
        <v>4895</v>
      </c>
      <c r="F1942">
        <v>1609</v>
      </c>
      <c r="G1942">
        <v>1</v>
      </c>
      <c r="H1942">
        <v>0.2</v>
      </c>
      <c r="I1942">
        <v>0</v>
      </c>
      <c r="J1942" s="1">
        <f>-20.524</f>
        <v>-20.524000000000001</v>
      </c>
      <c r="K1942">
        <v>516.39099999999996</v>
      </c>
      <c r="L1942">
        <v>0</v>
      </c>
    </row>
    <row r="1943" spans="1:12" x14ac:dyDescent="0.25">
      <c r="A1943">
        <f>80425992*0.00001</f>
        <v>804.25992000000008</v>
      </c>
      <c r="B1943">
        <v>3497</v>
      </c>
      <c r="C1943">
        <v>125</v>
      </c>
      <c r="D1943" s="1">
        <f>242.609</f>
        <v>242.60900000000001</v>
      </c>
      <c r="E1943" s="1">
        <f>4900</f>
        <v>4900</v>
      </c>
      <c r="F1943" s="1">
        <f>1609</f>
        <v>1609</v>
      </c>
      <c r="G1943" s="1">
        <f>1</f>
        <v>1</v>
      </c>
      <c r="H1943" s="1">
        <f>0.2</f>
        <v>0.2</v>
      </c>
      <c r="I1943" s="1">
        <f>0</f>
        <v>0</v>
      </c>
      <c r="J1943" s="1">
        <f>-20.3364</f>
        <v>-20.336400000000001</v>
      </c>
      <c r="K1943" s="1">
        <f>516.361</f>
        <v>516.36099999999999</v>
      </c>
      <c r="L1943" s="1">
        <f>0</f>
        <v>0</v>
      </c>
    </row>
    <row r="1944" spans="1:12" x14ac:dyDescent="0.25">
      <c r="A1944">
        <f>80426951*0.00001</f>
        <v>804.26951000000008</v>
      </c>
      <c r="B1944">
        <v>3497</v>
      </c>
      <c r="C1944">
        <v>132</v>
      </c>
      <c r="D1944">
        <v>242.60900000000001</v>
      </c>
      <c r="E1944">
        <v>4900</v>
      </c>
      <c r="F1944">
        <v>1609</v>
      </c>
      <c r="G1944">
        <v>1</v>
      </c>
      <c r="H1944" s="1">
        <f>0.2</f>
        <v>0.2</v>
      </c>
      <c r="I1944" s="1">
        <f>0</f>
        <v>0</v>
      </c>
      <c r="J1944">
        <v>-20.336400000000001</v>
      </c>
      <c r="K1944">
        <v>516.36099999999999</v>
      </c>
      <c r="L1944">
        <v>0</v>
      </c>
    </row>
    <row r="1945" spans="1:12" x14ac:dyDescent="0.25">
      <c r="A1945">
        <f>80427088*0.00001</f>
        <v>804.27088000000003</v>
      </c>
      <c r="B1945">
        <v>3497</v>
      </c>
      <c r="C1945">
        <v>133</v>
      </c>
      <c r="D1945">
        <v>242.60900000000001</v>
      </c>
      <c r="E1945">
        <v>4900</v>
      </c>
      <c r="F1945">
        <v>1609</v>
      </c>
      <c r="G1945">
        <v>1</v>
      </c>
      <c r="H1945">
        <v>0.2</v>
      </c>
      <c r="I1945">
        <v>0</v>
      </c>
      <c r="J1945" s="1">
        <f>-20.1541</f>
        <v>-20.1541</v>
      </c>
      <c r="K1945" s="1">
        <f>516.347</f>
        <v>516.34699999999998</v>
      </c>
      <c r="L1945">
        <v>0</v>
      </c>
    </row>
    <row r="1946" spans="1:12" x14ac:dyDescent="0.25">
      <c r="A1946">
        <f>80427225*0.00001</f>
        <v>804.2722500000001</v>
      </c>
      <c r="B1946">
        <v>3497</v>
      </c>
      <c r="C1946">
        <v>134</v>
      </c>
      <c r="D1946" s="1">
        <f>242.583</f>
        <v>242.583</v>
      </c>
      <c r="E1946">
        <v>4900</v>
      </c>
      <c r="F1946">
        <v>1609</v>
      </c>
      <c r="G1946">
        <v>1</v>
      </c>
      <c r="H1946">
        <v>0.2</v>
      </c>
      <c r="I1946">
        <v>0</v>
      </c>
      <c r="J1946">
        <v>-20.1541</v>
      </c>
      <c r="K1946">
        <v>516.34699999999998</v>
      </c>
      <c r="L1946" s="1">
        <f>0</f>
        <v>0</v>
      </c>
    </row>
    <row r="1947" spans="1:12" x14ac:dyDescent="0.25">
      <c r="A1947">
        <f>80427362*0.00001</f>
        <v>804.27362000000005</v>
      </c>
      <c r="B1947">
        <v>3497</v>
      </c>
      <c r="C1947">
        <v>135</v>
      </c>
      <c r="D1947">
        <v>242.583</v>
      </c>
      <c r="E1947" s="1">
        <f>4902</f>
        <v>4902</v>
      </c>
      <c r="F1947" s="1">
        <f>1609</f>
        <v>1609</v>
      </c>
      <c r="G1947">
        <v>1</v>
      </c>
      <c r="H1947">
        <v>0.2</v>
      </c>
      <c r="I1947">
        <v>0</v>
      </c>
      <c r="J1947">
        <v>-20.1541</v>
      </c>
      <c r="K1947">
        <v>516.34699999999998</v>
      </c>
      <c r="L1947">
        <v>0</v>
      </c>
    </row>
    <row r="1948" spans="1:12" x14ac:dyDescent="0.25">
      <c r="A1948">
        <f>80427499*0.00001</f>
        <v>804.27499000000012</v>
      </c>
      <c r="B1948">
        <v>3497</v>
      </c>
      <c r="C1948">
        <v>136</v>
      </c>
      <c r="D1948">
        <v>242.583</v>
      </c>
      <c r="E1948">
        <v>4902</v>
      </c>
      <c r="F1948">
        <v>1609</v>
      </c>
      <c r="G1948" s="1">
        <f>1</f>
        <v>1</v>
      </c>
      <c r="H1948" s="1">
        <f>0.2</f>
        <v>0.2</v>
      </c>
      <c r="I1948">
        <v>0</v>
      </c>
      <c r="J1948">
        <v>-20.1541</v>
      </c>
      <c r="K1948">
        <v>516.34699999999998</v>
      </c>
      <c r="L1948">
        <v>0</v>
      </c>
    </row>
    <row r="1949" spans="1:12" x14ac:dyDescent="0.25">
      <c r="A1949">
        <f>80427636*0.00001</f>
        <v>804.27636000000007</v>
      </c>
      <c r="B1949">
        <v>3497</v>
      </c>
      <c r="C1949">
        <v>137</v>
      </c>
      <c r="D1949">
        <v>242.583</v>
      </c>
      <c r="E1949">
        <v>4902</v>
      </c>
      <c r="F1949">
        <v>1609</v>
      </c>
      <c r="G1949">
        <v>1</v>
      </c>
      <c r="H1949">
        <v>0.2</v>
      </c>
      <c r="I1949" s="1">
        <f>0</f>
        <v>0</v>
      </c>
      <c r="J1949" s="1">
        <f>-19.9819</f>
        <v>-19.9819</v>
      </c>
      <c r="K1949">
        <v>516.34699999999998</v>
      </c>
      <c r="L1949">
        <v>0</v>
      </c>
    </row>
    <row r="1950" spans="1:12" x14ac:dyDescent="0.25">
      <c r="A1950">
        <f>80427773*0.00001</f>
        <v>804.27773000000002</v>
      </c>
      <c r="B1950">
        <v>3497</v>
      </c>
      <c r="C1950">
        <v>138</v>
      </c>
      <c r="D1950">
        <v>242.583</v>
      </c>
      <c r="E1950">
        <v>4902</v>
      </c>
      <c r="F1950">
        <v>1609</v>
      </c>
      <c r="G1950">
        <v>1</v>
      </c>
      <c r="H1950">
        <v>0.2</v>
      </c>
      <c r="I1950">
        <v>0</v>
      </c>
      <c r="J1950">
        <v>-19.9819</v>
      </c>
      <c r="K1950">
        <v>516.34699999999998</v>
      </c>
      <c r="L1950" s="1">
        <f>0</f>
        <v>0</v>
      </c>
    </row>
    <row r="1951" spans="1:12" x14ac:dyDescent="0.25">
      <c r="A1951">
        <f>80427910*0.00001</f>
        <v>804.27910000000008</v>
      </c>
      <c r="B1951">
        <v>3497</v>
      </c>
      <c r="C1951">
        <v>139</v>
      </c>
      <c r="D1951">
        <v>242.583</v>
      </c>
      <c r="E1951" s="1">
        <f>4903</f>
        <v>4903</v>
      </c>
      <c r="F1951">
        <v>1609</v>
      </c>
      <c r="G1951">
        <v>1</v>
      </c>
      <c r="H1951">
        <v>0.2</v>
      </c>
      <c r="I1951">
        <v>0</v>
      </c>
      <c r="J1951">
        <v>-19.9819</v>
      </c>
      <c r="K1951">
        <v>516.34699999999998</v>
      </c>
      <c r="L1951">
        <v>0</v>
      </c>
    </row>
    <row r="1952" spans="1:12" x14ac:dyDescent="0.25">
      <c r="A1952">
        <f>80428047*0.00001</f>
        <v>804.28047000000004</v>
      </c>
      <c r="B1952">
        <v>3497</v>
      </c>
      <c r="C1952">
        <v>140</v>
      </c>
      <c r="D1952">
        <v>242.583</v>
      </c>
      <c r="E1952">
        <v>4903</v>
      </c>
      <c r="F1952">
        <v>1609</v>
      </c>
      <c r="G1952" s="1">
        <f>1</f>
        <v>1</v>
      </c>
      <c r="H1952">
        <v>0.2</v>
      </c>
      <c r="I1952">
        <v>0</v>
      </c>
      <c r="J1952">
        <v>-19.9819</v>
      </c>
      <c r="K1952">
        <v>516.34699999999998</v>
      </c>
      <c r="L1952">
        <v>0</v>
      </c>
    </row>
    <row r="1953" spans="1:12" x14ac:dyDescent="0.25">
      <c r="A1953">
        <f>80428184*0.00001</f>
        <v>804.2818400000001</v>
      </c>
      <c r="B1953">
        <v>3497</v>
      </c>
      <c r="C1953">
        <v>141</v>
      </c>
      <c r="D1953">
        <v>242.583</v>
      </c>
      <c r="E1953">
        <v>4903</v>
      </c>
      <c r="F1953">
        <v>1609</v>
      </c>
      <c r="G1953">
        <v>1</v>
      </c>
      <c r="H1953">
        <v>0.2</v>
      </c>
      <c r="I1953" s="1">
        <f>0</f>
        <v>0</v>
      </c>
      <c r="J1953">
        <v>-19.9819</v>
      </c>
      <c r="K1953">
        <v>516.34699999999998</v>
      </c>
      <c r="L1953">
        <v>0</v>
      </c>
    </row>
    <row r="1954" spans="1:12" x14ac:dyDescent="0.25">
      <c r="A1954">
        <f>80428321*0.00001</f>
        <v>804.28321000000005</v>
      </c>
      <c r="B1954">
        <v>3497</v>
      </c>
      <c r="C1954">
        <v>142</v>
      </c>
      <c r="D1954">
        <v>242.583</v>
      </c>
      <c r="E1954">
        <v>4903</v>
      </c>
      <c r="F1954">
        <v>1609</v>
      </c>
      <c r="G1954">
        <v>1</v>
      </c>
      <c r="H1954">
        <v>0.2</v>
      </c>
      <c r="I1954">
        <v>0</v>
      </c>
      <c r="J1954">
        <v>-19.9819</v>
      </c>
      <c r="K1954" s="1">
        <f>516.318</f>
        <v>516.31799999999998</v>
      </c>
      <c r="L1954">
        <v>0</v>
      </c>
    </row>
    <row r="1955" spans="1:12" x14ac:dyDescent="0.25">
      <c r="A1955">
        <f>80428458*0.00001</f>
        <v>804.28458000000012</v>
      </c>
      <c r="B1955">
        <v>3497</v>
      </c>
      <c r="C1955">
        <v>143</v>
      </c>
      <c r="D1955" s="1">
        <f>242.528</f>
        <v>242.52799999999999</v>
      </c>
      <c r="E1955" s="1">
        <f>4906</f>
        <v>4906</v>
      </c>
      <c r="F1955" s="1">
        <f>1609</f>
        <v>1609</v>
      </c>
      <c r="G1955" s="1">
        <f>1</f>
        <v>1</v>
      </c>
      <c r="H1955" s="1">
        <f>0.2</f>
        <v>0.2</v>
      </c>
      <c r="I1955" s="1">
        <f>0</f>
        <v>0</v>
      </c>
      <c r="J1955" s="1">
        <f>-19.6462</f>
        <v>-19.6462</v>
      </c>
      <c r="K1955" s="1">
        <f>516.305</f>
        <v>516.30499999999995</v>
      </c>
      <c r="L1955" s="1">
        <f>0</f>
        <v>0</v>
      </c>
    </row>
    <row r="1956" spans="1:12" x14ac:dyDescent="0.25">
      <c r="A1956">
        <f>80429417*0.00001</f>
        <v>804.29417000000012</v>
      </c>
      <c r="B1956">
        <v>3497</v>
      </c>
      <c r="C1956">
        <v>150</v>
      </c>
      <c r="D1956">
        <v>242.52799999999999</v>
      </c>
      <c r="E1956">
        <v>4906</v>
      </c>
      <c r="F1956">
        <v>1609</v>
      </c>
      <c r="G1956">
        <v>1</v>
      </c>
      <c r="H1956">
        <v>0.2</v>
      </c>
      <c r="I1956" s="1">
        <f>0</f>
        <v>0</v>
      </c>
      <c r="J1956" s="1">
        <f>-19.485</f>
        <v>-19.484999999999999</v>
      </c>
      <c r="K1956">
        <v>516.30499999999995</v>
      </c>
      <c r="L1956">
        <v>0</v>
      </c>
    </row>
    <row r="1957" spans="1:12" x14ac:dyDescent="0.25">
      <c r="A1957">
        <f>80429554*0.00001</f>
        <v>804.29554000000007</v>
      </c>
      <c r="B1957">
        <v>3497</v>
      </c>
      <c r="C1957">
        <v>151</v>
      </c>
      <c r="D1957">
        <v>242.52799999999999</v>
      </c>
      <c r="E1957">
        <v>4906</v>
      </c>
      <c r="F1957">
        <v>1609</v>
      </c>
      <c r="G1957">
        <v>1</v>
      </c>
      <c r="H1957">
        <v>0.2</v>
      </c>
      <c r="I1957">
        <v>0</v>
      </c>
      <c r="J1957">
        <v>-19.484999999999999</v>
      </c>
      <c r="K1957" s="1">
        <f>516.289</f>
        <v>516.28899999999999</v>
      </c>
      <c r="L1957" s="1">
        <f>0</f>
        <v>0</v>
      </c>
    </row>
    <row r="1958" spans="1:12" x14ac:dyDescent="0.25">
      <c r="A1958">
        <f>80429691*0.00001</f>
        <v>804.29691000000003</v>
      </c>
      <c r="B1958">
        <v>3497</v>
      </c>
      <c r="C1958">
        <v>152</v>
      </c>
      <c r="D1958" s="1">
        <f>242.515</f>
        <v>242.51499999999999</v>
      </c>
      <c r="E1958" s="1">
        <f>4907</f>
        <v>4907</v>
      </c>
      <c r="F1958">
        <v>1609</v>
      </c>
      <c r="G1958">
        <v>1</v>
      </c>
      <c r="H1958">
        <v>0.2</v>
      </c>
      <c r="I1958">
        <v>0</v>
      </c>
      <c r="J1958">
        <v>-19.484999999999999</v>
      </c>
      <c r="K1958">
        <v>516.28899999999999</v>
      </c>
      <c r="L1958">
        <v>0</v>
      </c>
    </row>
    <row r="1959" spans="1:12" x14ac:dyDescent="0.25">
      <c r="A1959">
        <f>80429828*0.00001</f>
        <v>804.29828000000009</v>
      </c>
      <c r="B1959">
        <v>3497</v>
      </c>
      <c r="C1959">
        <v>153</v>
      </c>
      <c r="D1959">
        <v>242.51499999999999</v>
      </c>
      <c r="E1959">
        <v>4907</v>
      </c>
      <c r="F1959" s="1">
        <f>1609</f>
        <v>1609</v>
      </c>
      <c r="G1959" s="1">
        <f>1</f>
        <v>1</v>
      </c>
      <c r="H1959">
        <v>0.2</v>
      </c>
      <c r="I1959">
        <v>0</v>
      </c>
      <c r="J1959">
        <v>-19.484999999999999</v>
      </c>
      <c r="K1959">
        <v>516.28899999999999</v>
      </c>
      <c r="L1959">
        <v>0</v>
      </c>
    </row>
    <row r="1960" spans="1:12" x14ac:dyDescent="0.25">
      <c r="A1960">
        <f>80429965*0.00001</f>
        <v>804.29965000000004</v>
      </c>
      <c r="B1960">
        <v>3497</v>
      </c>
      <c r="C1960">
        <v>154</v>
      </c>
      <c r="D1960">
        <v>242.51499999999999</v>
      </c>
      <c r="E1960">
        <v>4907</v>
      </c>
      <c r="F1960">
        <v>1609</v>
      </c>
      <c r="G1960">
        <v>1</v>
      </c>
      <c r="H1960" s="1">
        <f>0.2</f>
        <v>0.2</v>
      </c>
      <c r="I1960" s="1">
        <f>0</f>
        <v>0</v>
      </c>
      <c r="J1960">
        <v>-19.484999999999999</v>
      </c>
      <c r="K1960">
        <v>516.28899999999999</v>
      </c>
      <c r="L1960">
        <v>0</v>
      </c>
    </row>
    <row r="1961" spans="1:12" x14ac:dyDescent="0.25">
      <c r="A1961">
        <f>80430102*0.00001</f>
        <v>804.30102000000011</v>
      </c>
      <c r="B1961">
        <v>3497</v>
      </c>
      <c r="C1961">
        <v>155</v>
      </c>
      <c r="D1961">
        <v>242.51499999999999</v>
      </c>
      <c r="E1961">
        <v>4907</v>
      </c>
      <c r="F1961">
        <v>1609</v>
      </c>
      <c r="G1961">
        <v>1</v>
      </c>
      <c r="H1961">
        <v>0.2</v>
      </c>
      <c r="I1961">
        <v>0</v>
      </c>
      <c r="J1961" s="1">
        <f>-19.2648</f>
        <v>-19.264800000000001</v>
      </c>
      <c r="K1961" s="1">
        <f>516.276</f>
        <v>516.27599999999995</v>
      </c>
      <c r="L1961">
        <v>0</v>
      </c>
    </row>
    <row r="1962" spans="1:12" x14ac:dyDescent="0.25">
      <c r="A1962">
        <f>80430239*0.00001</f>
        <v>804.30239000000006</v>
      </c>
      <c r="B1962">
        <v>3497</v>
      </c>
      <c r="C1962">
        <v>156</v>
      </c>
      <c r="D1962" s="1">
        <f>242.457</f>
        <v>242.45699999999999</v>
      </c>
      <c r="E1962">
        <v>4907</v>
      </c>
      <c r="F1962">
        <v>1609</v>
      </c>
      <c r="G1962">
        <v>1</v>
      </c>
      <c r="H1962">
        <v>0.2</v>
      </c>
      <c r="I1962">
        <v>0</v>
      </c>
      <c r="J1962">
        <v>-19.264800000000001</v>
      </c>
      <c r="K1962">
        <v>516.27599999999995</v>
      </c>
      <c r="L1962">
        <v>0</v>
      </c>
    </row>
    <row r="1963" spans="1:12" x14ac:dyDescent="0.25">
      <c r="A1963">
        <f>80430376*0.00001</f>
        <v>804.30376000000001</v>
      </c>
      <c r="B1963">
        <v>3497</v>
      </c>
      <c r="C1963">
        <v>157</v>
      </c>
      <c r="D1963">
        <v>242.45699999999999</v>
      </c>
      <c r="E1963">
        <v>4907</v>
      </c>
      <c r="F1963" s="1">
        <f>1609</f>
        <v>1609</v>
      </c>
      <c r="G1963">
        <v>1</v>
      </c>
      <c r="H1963">
        <v>0.2</v>
      </c>
      <c r="I1963">
        <v>0</v>
      </c>
      <c r="J1963">
        <v>-19.264800000000001</v>
      </c>
      <c r="K1963">
        <v>516.27599999999995</v>
      </c>
      <c r="L1963">
        <v>0</v>
      </c>
    </row>
    <row r="1964" spans="1:12" x14ac:dyDescent="0.25">
      <c r="A1964">
        <f>80430513*0.00001</f>
        <v>804.30513000000008</v>
      </c>
      <c r="B1964">
        <v>3497</v>
      </c>
      <c r="C1964">
        <v>158</v>
      </c>
      <c r="D1964">
        <v>242.45699999999999</v>
      </c>
      <c r="E1964">
        <v>4907</v>
      </c>
      <c r="F1964">
        <v>1609</v>
      </c>
      <c r="G1964">
        <v>1</v>
      </c>
      <c r="H1964" s="1">
        <f>0.2</f>
        <v>0.2</v>
      </c>
      <c r="I1964">
        <v>0</v>
      </c>
      <c r="J1964">
        <v>-19.264800000000001</v>
      </c>
      <c r="K1964">
        <v>516.27599999999995</v>
      </c>
      <c r="L1964">
        <v>0</v>
      </c>
    </row>
    <row r="1965" spans="1:12" x14ac:dyDescent="0.25">
      <c r="A1965">
        <f>80430650*0.00001</f>
        <v>804.30650000000003</v>
      </c>
      <c r="B1965">
        <v>3497</v>
      </c>
      <c r="C1965">
        <v>159</v>
      </c>
      <c r="D1965">
        <v>242.45699999999999</v>
      </c>
      <c r="E1965">
        <v>4907</v>
      </c>
      <c r="F1965">
        <v>1609</v>
      </c>
      <c r="G1965">
        <v>1</v>
      </c>
      <c r="H1965">
        <v>0.2</v>
      </c>
      <c r="I1965">
        <v>0</v>
      </c>
      <c r="J1965" s="1">
        <f>-19.0735</f>
        <v>-19.073499999999999</v>
      </c>
      <c r="K1965">
        <v>516.27599999999995</v>
      </c>
      <c r="L1965">
        <v>0</v>
      </c>
    </row>
    <row r="1966" spans="1:12" x14ac:dyDescent="0.25">
      <c r="A1966">
        <f>80430787*0.00001</f>
        <v>804.30787000000009</v>
      </c>
      <c r="B1966">
        <v>3497</v>
      </c>
      <c r="C1966">
        <v>160</v>
      </c>
      <c r="D1966" s="1">
        <f>242.332</f>
        <v>242.33199999999999</v>
      </c>
      <c r="E1966" s="1">
        <f>4914</f>
        <v>4914</v>
      </c>
      <c r="F1966" s="1">
        <f>1610</f>
        <v>1610</v>
      </c>
      <c r="G1966" s="1">
        <f>1</f>
        <v>1</v>
      </c>
      <c r="H1966" s="1">
        <f>0.2</f>
        <v>0.2</v>
      </c>
      <c r="I1966" s="1">
        <f>0</f>
        <v>0</v>
      </c>
      <c r="J1966" s="1">
        <f>-18.8946</f>
        <v>-18.894600000000001</v>
      </c>
      <c r="K1966" s="1">
        <f>516.247</f>
        <v>516.24699999999996</v>
      </c>
      <c r="L1966" s="1">
        <f>0</f>
        <v>0</v>
      </c>
    </row>
    <row r="1967" spans="1:12" x14ac:dyDescent="0.25">
      <c r="A1967">
        <f>80431748*0.00001</f>
        <v>804.31748000000005</v>
      </c>
      <c r="B1967">
        <v>3497</v>
      </c>
      <c r="C1967">
        <v>167</v>
      </c>
      <c r="D1967">
        <v>242.33199999999999</v>
      </c>
      <c r="E1967">
        <v>4914</v>
      </c>
      <c r="F1967">
        <v>1610</v>
      </c>
      <c r="G1967">
        <v>1</v>
      </c>
      <c r="H1967" s="1">
        <f>0.2</f>
        <v>0.2</v>
      </c>
      <c r="I1967" s="1">
        <f>0</f>
        <v>0</v>
      </c>
      <c r="J1967">
        <v>-18.894600000000001</v>
      </c>
      <c r="K1967">
        <v>516.24699999999996</v>
      </c>
      <c r="L1967">
        <v>0</v>
      </c>
    </row>
    <row r="1968" spans="1:12" x14ac:dyDescent="0.25">
      <c r="A1968">
        <f>80431885*0.00001</f>
        <v>804.31885000000011</v>
      </c>
      <c r="B1968">
        <v>3497</v>
      </c>
      <c r="C1968">
        <v>168</v>
      </c>
      <c r="D1968">
        <v>242.33199999999999</v>
      </c>
      <c r="E1968">
        <v>4914</v>
      </c>
      <c r="F1968">
        <v>1610</v>
      </c>
      <c r="G1968">
        <v>1</v>
      </c>
      <c r="H1968">
        <v>0.2</v>
      </c>
      <c r="I1968">
        <v>0</v>
      </c>
      <c r="J1968" s="1">
        <f>-18.6664</f>
        <v>-18.666399999999999</v>
      </c>
      <c r="K1968" s="1">
        <f>516.235</f>
        <v>516.23500000000001</v>
      </c>
      <c r="L1968">
        <v>0</v>
      </c>
    </row>
    <row r="1969" spans="1:12" x14ac:dyDescent="0.25">
      <c r="A1969">
        <f>80432022*0.00001</f>
        <v>804.32022000000006</v>
      </c>
      <c r="B1969">
        <v>3497</v>
      </c>
      <c r="C1969">
        <v>169</v>
      </c>
      <c r="D1969" s="1">
        <f>242.292</f>
        <v>242.292</v>
      </c>
      <c r="E1969">
        <v>4914</v>
      </c>
      <c r="F1969">
        <v>1610</v>
      </c>
      <c r="G1969">
        <v>1</v>
      </c>
      <c r="H1969">
        <v>0.2</v>
      </c>
      <c r="I1969">
        <v>0</v>
      </c>
      <c r="J1969">
        <v>-18.666399999999999</v>
      </c>
      <c r="K1969">
        <v>516.23500000000001</v>
      </c>
      <c r="L1969" s="1">
        <f>0</f>
        <v>0</v>
      </c>
    </row>
    <row r="1970" spans="1:12" x14ac:dyDescent="0.25">
      <c r="A1970">
        <f>80432159*0.00001</f>
        <v>804.32159000000001</v>
      </c>
      <c r="B1970">
        <v>3497</v>
      </c>
      <c r="C1970">
        <v>170</v>
      </c>
      <c r="D1970">
        <v>242.292</v>
      </c>
      <c r="E1970" s="1">
        <f>4916</f>
        <v>4916</v>
      </c>
      <c r="F1970" s="1">
        <f>1610</f>
        <v>1610</v>
      </c>
      <c r="G1970">
        <v>1</v>
      </c>
      <c r="H1970">
        <v>0.2</v>
      </c>
      <c r="I1970">
        <v>0</v>
      </c>
      <c r="J1970">
        <v>-18.666399999999999</v>
      </c>
      <c r="K1970">
        <v>516.23500000000001</v>
      </c>
      <c r="L1970">
        <v>0</v>
      </c>
    </row>
    <row r="1971" spans="1:12" x14ac:dyDescent="0.25">
      <c r="A1971">
        <f>80432296*0.00001</f>
        <v>804.32296000000008</v>
      </c>
      <c r="B1971">
        <v>3497</v>
      </c>
      <c r="C1971">
        <v>171</v>
      </c>
      <c r="D1971">
        <v>242.292</v>
      </c>
      <c r="E1971">
        <v>4916</v>
      </c>
      <c r="F1971">
        <v>1610</v>
      </c>
      <c r="G1971" s="1">
        <f>1</f>
        <v>1</v>
      </c>
      <c r="H1971" s="1">
        <f>0.2</f>
        <v>0.2</v>
      </c>
      <c r="I1971">
        <v>0</v>
      </c>
      <c r="J1971">
        <v>-18.666399999999999</v>
      </c>
      <c r="K1971">
        <v>516.23500000000001</v>
      </c>
      <c r="L1971">
        <v>0</v>
      </c>
    </row>
    <row r="1972" spans="1:12" x14ac:dyDescent="0.25">
      <c r="A1972">
        <f>80432434*0.00001</f>
        <v>804.32434000000012</v>
      </c>
      <c r="B1972">
        <v>3497</v>
      </c>
      <c r="C1972">
        <v>172</v>
      </c>
      <c r="D1972">
        <v>242.292</v>
      </c>
      <c r="E1972">
        <v>4916</v>
      </c>
      <c r="F1972">
        <v>1610</v>
      </c>
      <c r="G1972">
        <v>1</v>
      </c>
      <c r="H1972">
        <v>0.2</v>
      </c>
      <c r="I1972">
        <v>0</v>
      </c>
      <c r="J1972" s="1">
        <f>-18.4823</f>
        <v>-18.482299999999999</v>
      </c>
      <c r="K1972">
        <v>516.23500000000001</v>
      </c>
      <c r="L1972">
        <v>0</v>
      </c>
    </row>
    <row r="1973" spans="1:12" x14ac:dyDescent="0.25">
      <c r="A1973">
        <f>80432571*0.00001</f>
        <v>804.32571000000007</v>
      </c>
      <c r="B1973">
        <v>3497</v>
      </c>
      <c r="C1973">
        <v>173</v>
      </c>
      <c r="D1973">
        <v>242.292</v>
      </c>
      <c r="E1973">
        <v>4916</v>
      </c>
      <c r="F1973">
        <v>1610</v>
      </c>
      <c r="G1973">
        <v>1</v>
      </c>
      <c r="H1973">
        <v>0.2</v>
      </c>
      <c r="I1973">
        <v>0</v>
      </c>
      <c r="J1973">
        <v>-18.482299999999999</v>
      </c>
      <c r="K1973">
        <v>516.23500000000001</v>
      </c>
      <c r="L1973" s="1">
        <f>0</f>
        <v>0</v>
      </c>
    </row>
    <row r="1974" spans="1:12" x14ac:dyDescent="0.25">
      <c r="A1974">
        <f>80432708*0.00001</f>
        <v>804.32708000000002</v>
      </c>
      <c r="B1974">
        <v>3497</v>
      </c>
      <c r="C1974">
        <v>174</v>
      </c>
      <c r="D1974">
        <v>242.292</v>
      </c>
      <c r="E1974" s="1">
        <f>4918</f>
        <v>4918</v>
      </c>
      <c r="F1974">
        <v>1610</v>
      </c>
      <c r="G1974">
        <v>1</v>
      </c>
      <c r="H1974">
        <v>0.2</v>
      </c>
      <c r="I1974">
        <v>0</v>
      </c>
      <c r="J1974">
        <v>-18.482299999999999</v>
      </c>
      <c r="K1974">
        <v>516.23500000000001</v>
      </c>
      <c r="L1974">
        <v>0</v>
      </c>
    </row>
    <row r="1975" spans="1:12" x14ac:dyDescent="0.25">
      <c r="A1975">
        <f>80432845*0.00001</f>
        <v>804.32845000000009</v>
      </c>
      <c r="B1975">
        <v>3497</v>
      </c>
      <c r="C1975">
        <v>175</v>
      </c>
      <c r="D1975">
        <v>242.292</v>
      </c>
      <c r="E1975">
        <v>4918</v>
      </c>
      <c r="F1975">
        <v>1610</v>
      </c>
      <c r="G1975" s="1">
        <f>1</f>
        <v>1</v>
      </c>
      <c r="H1975">
        <v>0.2</v>
      </c>
      <c r="I1975">
        <v>0</v>
      </c>
      <c r="J1975">
        <v>-18.482299999999999</v>
      </c>
      <c r="K1975">
        <v>516.23500000000001</v>
      </c>
      <c r="L1975">
        <v>0</v>
      </c>
    </row>
    <row r="1976" spans="1:12" x14ac:dyDescent="0.25">
      <c r="A1976">
        <f>80432983*0.00001</f>
        <v>804.32983000000002</v>
      </c>
      <c r="B1976">
        <v>3497</v>
      </c>
      <c r="C1976">
        <v>176</v>
      </c>
      <c r="D1976">
        <v>242.292</v>
      </c>
      <c r="E1976">
        <v>4918</v>
      </c>
      <c r="F1976">
        <v>1610</v>
      </c>
      <c r="G1976">
        <v>1</v>
      </c>
      <c r="H1976">
        <v>0.2</v>
      </c>
      <c r="I1976" s="1">
        <f>0</f>
        <v>0</v>
      </c>
      <c r="J1976">
        <v>-18.482299999999999</v>
      </c>
      <c r="K1976">
        <v>516.23500000000001</v>
      </c>
      <c r="L1976">
        <v>0</v>
      </c>
    </row>
    <row r="1977" spans="1:12" x14ac:dyDescent="0.25">
      <c r="A1977">
        <f>80433120*0.00001</f>
        <v>804.33120000000008</v>
      </c>
      <c r="B1977">
        <v>3497</v>
      </c>
      <c r="C1977">
        <v>177</v>
      </c>
      <c r="D1977" s="1">
        <f>242.221</f>
        <v>242.221</v>
      </c>
      <c r="E1977" s="1">
        <f>4919</f>
        <v>4919</v>
      </c>
      <c r="F1977" s="1">
        <f>1610</f>
        <v>1610</v>
      </c>
      <c r="G1977" s="1">
        <f>1</f>
        <v>1</v>
      </c>
      <c r="H1977" s="1">
        <f>0.2</f>
        <v>0.2</v>
      </c>
      <c r="I1977" s="1">
        <f>0</f>
        <v>0</v>
      </c>
      <c r="J1977" s="1">
        <f>-18.1416</f>
        <v>-18.1416</v>
      </c>
      <c r="K1977" s="1">
        <f>516.202</f>
        <v>516.202</v>
      </c>
      <c r="L1977" s="1">
        <f>0</f>
        <v>0</v>
      </c>
    </row>
    <row r="1978" spans="1:12" s="2" customFormat="1" x14ac:dyDescent="0.25">
      <c r="A1978" s="2">
        <f>80433944*0.00001</f>
        <v>804.33944000000008</v>
      </c>
      <c r="B1978" s="2">
        <v>3498</v>
      </c>
      <c r="C1978" s="2">
        <v>3</v>
      </c>
      <c r="D1978" s="2">
        <v>242.221</v>
      </c>
      <c r="E1978" s="1">
        <f>4920</f>
        <v>4920</v>
      </c>
      <c r="F1978" s="1">
        <f>1610</f>
        <v>1610</v>
      </c>
      <c r="G1978" s="2">
        <v>1</v>
      </c>
      <c r="H1978" s="2">
        <v>0.2</v>
      </c>
      <c r="I1978" s="2">
        <v>0</v>
      </c>
      <c r="J1978" s="2">
        <v>-18.1416</v>
      </c>
      <c r="K1978" s="2">
        <v>516.202</v>
      </c>
      <c r="L1978" s="2">
        <v>0</v>
      </c>
    </row>
    <row r="1979" spans="1:12" x14ac:dyDescent="0.25">
      <c r="A1979">
        <f>80434081*0.00001</f>
        <v>804.34081000000003</v>
      </c>
      <c r="B1979">
        <v>3498</v>
      </c>
      <c r="C1979">
        <v>4</v>
      </c>
      <c r="D1979">
        <v>242.221</v>
      </c>
      <c r="E1979">
        <v>4920</v>
      </c>
      <c r="F1979">
        <v>1610</v>
      </c>
      <c r="G1979" s="1">
        <f>1</f>
        <v>1</v>
      </c>
      <c r="H1979" s="1">
        <f>0.2</f>
        <v>0.2</v>
      </c>
      <c r="I1979">
        <v>0</v>
      </c>
      <c r="J1979">
        <v>-18.1416</v>
      </c>
      <c r="K1979">
        <v>516.202</v>
      </c>
      <c r="L1979">
        <v>0</v>
      </c>
    </row>
    <row r="1980" spans="1:12" x14ac:dyDescent="0.25">
      <c r="A1980">
        <f>80434218*0.00001</f>
        <v>804.3421800000001</v>
      </c>
      <c r="B1980">
        <v>3498</v>
      </c>
      <c r="C1980">
        <v>5</v>
      </c>
      <c r="D1980">
        <v>242.221</v>
      </c>
      <c r="E1980">
        <v>4920</v>
      </c>
      <c r="F1980">
        <v>1610</v>
      </c>
      <c r="G1980">
        <v>1</v>
      </c>
      <c r="H1980">
        <v>0.2</v>
      </c>
      <c r="I1980" s="1">
        <f>0</f>
        <v>0</v>
      </c>
      <c r="J1980" s="1">
        <f>-17.9715</f>
        <v>-17.971499999999999</v>
      </c>
      <c r="K1980">
        <v>516.202</v>
      </c>
      <c r="L1980">
        <v>0</v>
      </c>
    </row>
    <row r="1981" spans="1:12" x14ac:dyDescent="0.25">
      <c r="A1981">
        <f>80434355*0.00001</f>
        <v>804.34355000000005</v>
      </c>
      <c r="B1981">
        <v>3498</v>
      </c>
      <c r="C1981">
        <v>6</v>
      </c>
      <c r="D1981">
        <v>242.221</v>
      </c>
      <c r="E1981">
        <v>4920</v>
      </c>
      <c r="F1981">
        <v>1610</v>
      </c>
      <c r="G1981">
        <v>1</v>
      </c>
      <c r="H1981">
        <v>0.2</v>
      </c>
      <c r="I1981">
        <v>0</v>
      </c>
      <c r="J1981">
        <v>-17.971499999999999</v>
      </c>
      <c r="K1981" s="1">
        <f>516.187</f>
        <v>516.18700000000001</v>
      </c>
      <c r="L1981" s="1">
        <f>0</f>
        <v>0</v>
      </c>
    </row>
    <row r="1982" spans="1:12" x14ac:dyDescent="0.25">
      <c r="A1982">
        <f>80434493*0.00001</f>
        <v>804.34493000000009</v>
      </c>
      <c r="B1982">
        <v>3498</v>
      </c>
      <c r="C1982">
        <v>7</v>
      </c>
      <c r="D1982" s="1">
        <f>242.198</f>
        <v>242.19800000000001</v>
      </c>
      <c r="E1982" s="1">
        <f>4921</f>
        <v>4921</v>
      </c>
      <c r="F1982">
        <v>1610</v>
      </c>
      <c r="G1982">
        <v>1</v>
      </c>
      <c r="H1982">
        <v>0.2</v>
      </c>
      <c r="I1982">
        <v>0</v>
      </c>
      <c r="J1982">
        <v>-17.971499999999999</v>
      </c>
      <c r="K1982">
        <v>516.18700000000001</v>
      </c>
      <c r="L1982">
        <v>0</v>
      </c>
    </row>
    <row r="1983" spans="1:12" x14ac:dyDescent="0.25">
      <c r="A1983">
        <f>80434630*0.00001</f>
        <v>804.34630000000004</v>
      </c>
      <c r="B1983">
        <v>3498</v>
      </c>
      <c r="C1983">
        <v>8</v>
      </c>
      <c r="D1983">
        <v>242.19800000000001</v>
      </c>
      <c r="E1983">
        <v>4921</v>
      </c>
      <c r="F1983">
        <v>1610</v>
      </c>
      <c r="G1983" s="1">
        <f>1</f>
        <v>1</v>
      </c>
      <c r="H1983">
        <v>0.2</v>
      </c>
      <c r="I1983">
        <v>0</v>
      </c>
      <c r="J1983">
        <v>-17.971499999999999</v>
      </c>
      <c r="K1983">
        <v>516.18700000000001</v>
      </c>
      <c r="L1983">
        <v>0</v>
      </c>
    </row>
    <row r="1984" spans="1:12" x14ac:dyDescent="0.25">
      <c r="A1984">
        <f>80434767*0.00001</f>
        <v>804.34767000000011</v>
      </c>
      <c r="B1984">
        <v>3498</v>
      </c>
      <c r="C1984">
        <v>9</v>
      </c>
      <c r="D1984">
        <v>242.19800000000001</v>
      </c>
      <c r="E1984">
        <v>4921</v>
      </c>
      <c r="F1984">
        <v>1610</v>
      </c>
      <c r="G1984">
        <v>1</v>
      </c>
      <c r="H1984">
        <v>0.2</v>
      </c>
      <c r="I1984" s="1">
        <f>0</f>
        <v>0</v>
      </c>
      <c r="J1984">
        <v>-17.971499999999999</v>
      </c>
      <c r="K1984">
        <v>516.18700000000001</v>
      </c>
      <c r="L1984">
        <v>0</v>
      </c>
    </row>
    <row r="1985" spans="1:12" x14ac:dyDescent="0.25">
      <c r="A1985">
        <f>80434904*0.00001</f>
        <v>804.34904000000006</v>
      </c>
      <c r="B1985">
        <v>3498</v>
      </c>
      <c r="C1985">
        <v>10</v>
      </c>
      <c r="D1985">
        <v>242.19800000000001</v>
      </c>
      <c r="E1985">
        <v>4921</v>
      </c>
      <c r="F1985">
        <v>1610</v>
      </c>
      <c r="G1985">
        <v>1</v>
      </c>
      <c r="H1985">
        <v>0.2</v>
      </c>
      <c r="I1985">
        <v>0</v>
      </c>
      <c r="J1985">
        <v>-17.971499999999999</v>
      </c>
      <c r="K1985" s="1">
        <f>516.175</f>
        <v>516.17499999999995</v>
      </c>
      <c r="L1985">
        <v>0</v>
      </c>
    </row>
    <row r="1986" spans="1:12" x14ac:dyDescent="0.25">
      <c r="A1986">
        <f>80435041*0.00001</f>
        <v>804.35041000000001</v>
      </c>
      <c r="B1986">
        <v>3498</v>
      </c>
      <c r="C1986">
        <v>11</v>
      </c>
      <c r="D1986" s="1">
        <f>242.181</f>
        <v>242.18100000000001</v>
      </c>
      <c r="E1986">
        <v>4921</v>
      </c>
      <c r="F1986">
        <v>1610</v>
      </c>
      <c r="G1986">
        <v>1</v>
      </c>
      <c r="H1986">
        <v>0.2</v>
      </c>
      <c r="I1986">
        <v>0</v>
      </c>
      <c r="J1986">
        <v>-17.971499999999999</v>
      </c>
      <c r="K1986">
        <v>516.17499999999995</v>
      </c>
      <c r="L1986">
        <v>0</v>
      </c>
    </row>
    <row r="1987" spans="1:12" x14ac:dyDescent="0.25">
      <c r="A1987">
        <f>80435178*0.00001</f>
        <v>804.35178000000008</v>
      </c>
      <c r="B1987">
        <v>3498</v>
      </c>
      <c r="C1987">
        <v>12</v>
      </c>
      <c r="D1987">
        <v>242.18100000000001</v>
      </c>
      <c r="E1987">
        <v>4921</v>
      </c>
      <c r="F1987" s="1">
        <f>1610</f>
        <v>1610</v>
      </c>
      <c r="G1987">
        <v>1</v>
      </c>
      <c r="H1987">
        <v>0.2</v>
      </c>
      <c r="I1987">
        <v>0</v>
      </c>
      <c r="J1987">
        <v>-17.971499999999999</v>
      </c>
      <c r="K1987">
        <v>516.17499999999995</v>
      </c>
      <c r="L1987">
        <v>0</v>
      </c>
    </row>
    <row r="1988" spans="1:12" x14ac:dyDescent="0.25">
      <c r="A1988">
        <f>80435315*0.00001</f>
        <v>804.35315000000003</v>
      </c>
      <c r="B1988">
        <v>3498</v>
      </c>
      <c r="C1988">
        <v>13</v>
      </c>
      <c r="D1988" s="1">
        <f>242.171</f>
        <v>242.17099999999999</v>
      </c>
      <c r="E1988" s="1">
        <f>4924</f>
        <v>4924</v>
      </c>
      <c r="F1988" s="1">
        <f>1610</f>
        <v>1610</v>
      </c>
      <c r="G1988" s="1">
        <f>1</f>
        <v>1</v>
      </c>
      <c r="H1988" s="1">
        <f>0.2</f>
        <v>0.2</v>
      </c>
      <c r="I1988" s="1">
        <f>0</f>
        <v>0</v>
      </c>
      <c r="J1988" s="1">
        <f>-17.4786</f>
        <v>-17.4786</v>
      </c>
      <c r="K1988" s="1">
        <f>516.149</f>
        <v>516.149</v>
      </c>
      <c r="L1988" s="1">
        <f>0</f>
        <v>0</v>
      </c>
    </row>
    <row r="1989" spans="1:12" x14ac:dyDescent="0.25">
      <c r="A1989">
        <f>80436275*0.00001</f>
        <v>804.36275000000012</v>
      </c>
      <c r="B1989">
        <v>3498</v>
      </c>
      <c r="C1989">
        <v>20</v>
      </c>
      <c r="D1989" s="1">
        <f>242.159</f>
        <v>242.15899999999999</v>
      </c>
      <c r="E1989" s="1">
        <f>4925</f>
        <v>4925</v>
      </c>
      <c r="F1989">
        <v>1610</v>
      </c>
      <c r="G1989">
        <v>1</v>
      </c>
      <c r="H1989">
        <v>0.2</v>
      </c>
      <c r="I1989">
        <v>0</v>
      </c>
      <c r="J1989">
        <v>-17.4786</v>
      </c>
      <c r="K1989">
        <v>516.149</v>
      </c>
      <c r="L1989">
        <v>0</v>
      </c>
    </row>
    <row r="1990" spans="1:12" x14ac:dyDescent="0.25">
      <c r="A1990">
        <f>80436412*0.00001</f>
        <v>804.36412000000007</v>
      </c>
      <c r="B1990">
        <v>3498</v>
      </c>
      <c r="C1990">
        <v>21</v>
      </c>
      <c r="D1990">
        <v>242.15899999999999</v>
      </c>
      <c r="E1990">
        <v>4925</v>
      </c>
      <c r="F1990" s="1">
        <f>1610</f>
        <v>1610</v>
      </c>
      <c r="G1990" s="1">
        <f>1</f>
        <v>1</v>
      </c>
      <c r="H1990">
        <v>0.2</v>
      </c>
      <c r="I1990">
        <v>0</v>
      </c>
      <c r="J1990">
        <v>-17.4786</v>
      </c>
      <c r="K1990">
        <v>516.149</v>
      </c>
      <c r="L1990">
        <v>0</v>
      </c>
    </row>
    <row r="1991" spans="1:12" x14ac:dyDescent="0.25">
      <c r="A1991">
        <f>80436550*0.00001</f>
        <v>804.36550000000011</v>
      </c>
      <c r="B1991">
        <v>3498</v>
      </c>
      <c r="C1991">
        <v>22</v>
      </c>
      <c r="D1991">
        <v>242.15899999999999</v>
      </c>
      <c r="E1991">
        <v>4925</v>
      </c>
      <c r="F1991">
        <v>1610</v>
      </c>
      <c r="G1991">
        <v>1</v>
      </c>
      <c r="H1991" s="1">
        <f>0.2</f>
        <v>0.2</v>
      </c>
      <c r="I1991" s="1">
        <f>0</f>
        <v>0</v>
      </c>
      <c r="J1991">
        <v>-17.4786</v>
      </c>
      <c r="K1991">
        <v>516.149</v>
      </c>
      <c r="L1991">
        <v>0</v>
      </c>
    </row>
    <row r="1992" spans="1:12" x14ac:dyDescent="0.25">
      <c r="A1992">
        <f>80436687*0.00001</f>
        <v>804.36687000000006</v>
      </c>
      <c r="B1992">
        <v>3498</v>
      </c>
      <c r="C1992">
        <v>23</v>
      </c>
      <c r="D1992">
        <v>242.15899999999999</v>
      </c>
      <c r="E1992">
        <v>4925</v>
      </c>
      <c r="F1992">
        <v>1610</v>
      </c>
      <c r="G1992">
        <v>1</v>
      </c>
      <c r="H1992">
        <v>0.2</v>
      </c>
      <c r="I1992">
        <v>0</v>
      </c>
      <c r="J1992" s="1">
        <f>-17.3123</f>
        <v>-17.3123</v>
      </c>
      <c r="K1992" s="1">
        <f>516.137</f>
        <v>516.13699999999994</v>
      </c>
      <c r="L1992">
        <v>0</v>
      </c>
    </row>
    <row r="1993" spans="1:12" x14ac:dyDescent="0.25">
      <c r="A1993">
        <f>80436824*0.00001</f>
        <v>804.36824000000001</v>
      </c>
      <c r="B1993">
        <v>3498</v>
      </c>
      <c r="C1993">
        <v>24</v>
      </c>
      <c r="D1993" s="1">
        <f>242.151</f>
        <v>242.15100000000001</v>
      </c>
      <c r="E1993">
        <v>4925</v>
      </c>
      <c r="F1993">
        <v>1610</v>
      </c>
      <c r="G1993">
        <v>1</v>
      </c>
      <c r="H1993">
        <v>0.2</v>
      </c>
      <c r="I1993">
        <v>0</v>
      </c>
      <c r="J1993">
        <v>-17.3123</v>
      </c>
      <c r="K1993">
        <v>516.13699999999994</v>
      </c>
      <c r="L1993" s="1">
        <f>0</f>
        <v>0</v>
      </c>
    </row>
    <row r="1994" spans="1:12" x14ac:dyDescent="0.25">
      <c r="A1994">
        <f>80436961*0.00001</f>
        <v>804.36961000000008</v>
      </c>
      <c r="B1994">
        <v>3498</v>
      </c>
      <c r="C1994">
        <v>25</v>
      </c>
      <c r="D1994">
        <v>242.15100000000001</v>
      </c>
      <c r="E1994" s="1">
        <f>4926</f>
        <v>4926</v>
      </c>
      <c r="F1994" s="1">
        <f>1610</f>
        <v>1610</v>
      </c>
      <c r="G1994">
        <v>1</v>
      </c>
      <c r="H1994">
        <v>0.2</v>
      </c>
      <c r="I1994">
        <v>0</v>
      </c>
      <c r="J1994">
        <v>-17.3123</v>
      </c>
      <c r="K1994">
        <v>516.13699999999994</v>
      </c>
      <c r="L1994">
        <v>0</v>
      </c>
    </row>
    <row r="1995" spans="1:12" x14ac:dyDescent="0.25">
      <c r="A1995">
        <f>80437098*0.00001</f>
        <v>804.37098000000003</v>
      </c>
      <c r="B1995">
        <v>3498</v>
      </c>
      <c r="C1995">
        <v>26</v>
      </c>
      <c r="D1995">
        <v>242.15100000000001</v>
      </c>
      <c r="E1995">
        <v>4926</v>
      </c>
      <c r="F1995">
        <v>1610</v>
      </c>
      <c r="G1995">
        <v>1</v>
      </c>
      <c r="H1995" s="1">
        <f>0.2</f>
        <v>0.2</v>
      </c>
      <c r="I1995">
        <v>0</v>
      </c>
      <c r="J1995">
        <v>-17.3123</v>
      </c>
      <c r="K1995">
        <v>516.13699999999994</v>
      </c>
      <c r="L1995">
        <v>0</v>
      </c>
    </row>
    <row r="1996" spans="1:12" x14ac:dyDescent="0.25">
      <c r="A1996">
        <f>80437235*0.00001</f>
        <v>804.3723500000001</v>
      </c>
      <c r="B1996">
        <v>3498</v>
      </c>
      <c r="C1996">
        <v>27</v>
      </c>
      <c r="D1996">
        <v>242.15100000000001</v>
      </c>
      <c r="E1996">
        <v>4926</v>
      </c>
      <c r="F1996">
        <v>1610</v>
      </c>
      <c r="G1996">
        <v>1</v>
      </c>
      <c r="H1996">
        <v>0.2</v>
      </c>
      <c r="I1996">
        <v>0</v>
      </c>
      <c r="J1996" s="1">
        <f>-17.1621</f>
        <v>-17.162099999999999</v>
      </c>
      <c r="K1996">
        <v>516.13699999999994</v>
      </c>
      <c r="L1996">
        <v>0</v>
      </c>
    </row>
    <row r="1997" spans="1:12" x14ac:dyDescent="0.25">
      <c r="A1997">
        <f>80437372*0.00001</f>
        <v>804.37372000000005</v>
      </c>
      <c r="B1997">
        <v>3498</v>
      </c>
      <c r="C1997">
        <v>28</v>
      </c>
      <c r="D1997">
        <v>242.15100000000001</v>
      </c>
      <c r="E1997">
        <v>4926</v>
      </c>
      <c r="F1997">
        <v>1610</v>
      </c>
      <c r="G1997">
        <v>1</v>
      </c>
      <c r="H1997">
        <v>0.2</v>
      </c>
      <c r="I1997">
        <v>0</v>
      </c>
      <c r="J1997">
        <v>-17.162099999999999</v>
      </c>
      <c r="K1997">
        <v>516.13699999999994</v>
      </c>
      <c r="L1997" s="1">
        <f>0</f>
        <v>0</v>
      </c>
    </row>
    <row r="1998" spans="1:12" x14ac:dyDescent="0.25">
      <c r="A1998">
        <f>80437509*0.00001</f>
        <v>804.37509000000011</v>
      </c>
      <c r="B1998">
        <v>3498</v>
      </c>
      <c r="C1998">
        <v>29</v>
      </c>
      <c r="D1998">
        <v>242.15100000000001</v>
      </c>
      <c r="E1998" s="1">
        <f>4927</f>
        <v>4927</v>
      </c>
      <c r="F1998">
        <v>1610</v>
      </c>
      <c r="G1998">
        <v>1</v>
      </c>
      <c r="H1998">
        <v>0.2</v>
      </c>
      <c r="I1998">
        <v>0</v>
      </c>
      <c r="J1998">
        <v>-17.162099999999999</v>
      </c>
      <c r="K1998">
        <v>516.13699999999994</v>
      </c>
      <c r="L1998">
        <v>0</v>
      </c>
    </row>
    <row r="1999" spans="1:12" x14ac:dyDescent="0.25">
      <c r="A1999">
        <f>80437647*0.00001</f>
        <v>804.37647000000004</v>
      </c>
      <c r="B1999">
        <v>3498</v>
      </c>
      <c r="C1999">
        <v>30</v>
      </c>
      <c r="D1999" s="1">
        <f>242.082</f>
        <v>242.08199999999999</v>
      </c>
      <c r="E1999" s="1">
        <f>4929</f>
        <v>4929</v>
      </c>
      <c r="F1999" s="1">
        <f>1610</f>
        <v>1610</v>
      </c>
      <c r="G1999" s="1">
        <f>1</f>
        <v>1</v>
      </c>
      <c r="H1999" s="1">
        <f>0.2</f>
        <v>0.2</v>
      </c>
      <c r="I1999" s="1">
        <f>0</f>
        <v>0</v>
      </c>
      <c r="J1999" s="1">
        <f>-16.7522</f>
        <v>-16.752199999999998</v>
      </c>
      <c r="K1999" s="1">
        <f>516.101</f>
        <v>516.101</v>
      </c>
      <c r="L1999" s="1">
        <f>0</f>
        <v>0</v>
      </c>
    </row>
    <row r="2000" spans="1:12" x14ac:dyDescent="0.25">
      <c r="A2000">
        <f>80438607*0.00001</f>
        <v>804.38607000000002</v>
      </c>
      <c r="B2000">
        <v>3498</v>
      </c>
      <c r="C2000">
        <v>37</v>
      </c>
      <c r="D2000" s="1">
        <f>242.023</f>
        <v>242.023</v>
      </c>
      <c r="E2000">
        <v>4929</v>
      </c>
      <c r="F2000">
        <v>1610</v>
      </c>
      <c r="G2000">
        <v>1</v>
      </c>
      <c r="H2000">
        <v>0.2</v>
      </c>
      <c r="I2000">
        <v>0</v>
      </c>
      <c r="J2000">
        <v>-16.752199999999998</v>
      </c>
      <c r="K2000">
        <v>516.101</v>
      </c>
      <c r="L2000" s="1">
        <f>0</f>
        <v>0</v>
      </c>
    </row>
    <row r="2001" spans="1:12" x14ac:dyDescent="0.25">
      <c r="A2001">
        <f>80438744*0.00001</f>
        <v>804.38744000000008</v>
      </c>
      <c r="B2001">
        <v>3498</v>
      </c>
      <c r="C2001">
        <v>38</v>
      </c>
      <c r="D2001">
        <v>242.023</v>
      </c>
      <c r="E2001" s="1">
        <f>4931</f>
        <v>4931</v>
      </c>
      <c r="F2001" s="1">
        <f>1610</f>
        <v>1610</v>
      </c>
      <c r="G2001">
        <v>1</v>
      </c>
      <c r="H2001">
        <v>0.2</v>
      </c>
      <c r="I2001">
        <v>0</v>
      </c>
      <c r="J2001">
        <v>-16.752199999999998</v>
      </c>
      <c r="K2001">
        <v>516.101</v>
      </c>
      <c r="L2001">
        <v>0</v>
      </c>
    </row>
    <row r="2002" spans="1:12" x14ac:dyDescent="0.25">
      <c r="A2002">
        <f>80438881*0.00001</f>
        <v>804.38881000000003</v>
      </c>
      <c r="B2002">
        <v>3498</v>
      </c>
      <c r="C2002">
        <v>39</v>
      </c>
      <c r="D2002">
        <v>242.023</v>
      </c>
      <c r="E2002">
        <v>4931</v>
      </c>
      <c r="F2002">
        <v>1610</v>
      </c>
      <c r="G2002" s="1">
        <f>1</f>
        <v>1</v>
      </c>
      <c r="H2002" s="1">
        <f>0.2</f>
        <v>0.2</v>
      </c>
      <c r="I2002">
        <v>0</v>
      </c>
      <c r="J2002">
        <v>-16.752199999999998</v>
      </c>
      <c r="K2002">
        <v>516.101</v>
      </c>
      <c r="L2002">
        <v>0</v>
      </c>
    </row>
    <row r="2003" spans="1:12" x14ac:dyDescent="0.25">
      <c r="A2003">
        <f>80439019*0.00001</f>
        <v>804.39019000000008</v>
      </c>
      <c r="B2003">
        <v>3498</v>
      </c>
      <c r="C2003">
        <v>40</v>
      </c>
      <c r="D2003">
        <v>242.023</v>
      </c>
      <c r="E2003">
        <v>4931</v>
      </c>
      <c r="F2003">
        <v>1610</v>
      </c>
      <c r="G2003">
        <v>1</v>
      </c>
      <c r="H2003">
        <v>0.2</v>
      </c>
      <c r="I2003" s="1">
        <f>0</f>
        <v>0</v>
      </c>
      <c r="J2003" s="1">
        <f>-16.5519</f>
        <v>-16.5519</v>
      </c>
      <c r="K2003">
        <v>516.101</v>
      </c>
      <c r="L2003">
        <v>0</v>
      </c>
    </row>
    <row r="2004" spans="1:12" x14ac:dyDescent="0.25">
      <c r="A2004">
        <f>80439157*0.00001</f>
        <v>804.39157000000012</v>
      </c>
      <c r="B2004">
        <v>3498</v>
      </c>
      <c r="C2004">
        <v>41</v>
      </c>
      <c r="D2004">
        <v>242.023</v>
      </c>
      <c r="E2004">
        <v>4931</v>
      </c>
      <c r="F2004">
        <v>1610</v>
      </c>
      <c r="G2004">
        <v>1</v>
      </c>
      <c r="H2004">
        <v>0.2</v>
      </c>
      <c r="I2004">
        <v>0</v>
      </c>
      <c r="J2004">
        <v>-16.5519</v>
      </c>
      <c r="K2004" s="1">
        <f>516.087</f>
        <v>516.08699999999999</v>
      </c>
      <c r="L2004" s="1">
        <f>0</f>
        <v>0</v>
      </c>
    </row>
    <row r="2005" spans="1:12" x14ac:dyDescent="0.25">
      <c r="A2005">
        <f>80439295*0.00001</f>
        <v>804.39295000000004</v>
      </c>
      <c r="B2005">
        <v>3498</v>
      </c>
      <c r="C2005">
        <v>42</v>
      </c>
      <c r="D2005">
        <v>242.023</v>
      </c>
      <c r="E2005" s="1">
        <f>4934</f>
        <v>4934</v>
      </c>
      <c r="F2005">
        <v>1610</v>
      </c>
      <c r="G2005">
        <v>1</v>
      </c>
      <c r="H2005">
        <v>0.2</v>
      </c>
      <c r="I2005">
        <v>0</v>
      </c>
      <c r="J2005">
        <v>-16.5519</v>
      </c>
      <c r="K2005">
        <v>516.08699999999999</v>
      </c>
      <c r="L2005">
        <v>0</v>
      </c>
    </row>
    <row r="2006" spans="1:12" x14ac:dyDescent="0.25">
      <c r="A2006">
        <f>80439433*0.00001</f>
        <v>804.39433000000008</v>
      </c>
      <c r="B2006">
        <v>3498</v>
      </c>
      <c r="C2006">
        <v>43</v>
      </c>
      <c r="D2006">
        <v>242.023</v>
      </c>
      <c r="E2006">
        <v>4934</v>
      </c>
      <c r="F2006">
        <v>1610</v>
      </c>
      <c r="G2006" s="1">
        <f>1</f>
        <v>1</v>
      </c>
      <c r="H2006">
        <v>0.2</v>
      </c>
      <c r="I2006">
        <v>0</v>
      </c>
      <c r="J2006">
        <v>-16.5519</v>
      </c>
      <c r="K2006">
        <v>516.08699999999999</v>
      </c>
      <c r="L2006">
        <v>0</v>
      </c>
    </row>
    <row r="2007" spans="1:12" x14ac:dyDescent="0.25">
      <c r="A2007">
        <f>80439571*0.00001</f>
        <v>804.39571000000012</v>
      </c>
      <c r="B2007">
        <v>3498</v>
      </c>
      <c r="C2007">
        <v>44</v>
      </c>
      <c r="D2007">
        <v>242.023</v>
      </c>
      <c r="E2007">
        <v>4934</v>
      </c>
      <c r="F2007">
        <v>1610</v>
      </c>
      <c r="G2007">
        <v>1</v>
      </c>
      <c r="H2007">
        <v>0.2</v>
      </c>
      <c r="I2007" s="1">
        <f>0</f>
        <v>0</v>
      </c>
      <c r="J2007">
        <v>-16.5519</v>
      </c>
      <c r="K2007">
        <v>516.08699999999999</v>
      </c>
      <c r="L2007">
        <v>0</v>
      </c>
    </row>
    <row r="2008" spans="1:12" x14ac:dyDescent="0.25">
      <c r="A2008">
        <f>80439708*0.00001</f>
        <v>804.39708000000007</v>
      </c>
      <c r="B2008">
        <v>3498</v>
      </c>
      <c r="C2008">
        <v>45</v>
      </c>
      <c r="D2008">
        <v>242.023</v>
      </c>
      <c r="E2008">
        <v>4934</v>
      </c>
      <c r="F2008">
        <v>1610</v>
      </c>
      <c r="G2008">
        <v>1</v>
      </c>
      <c r="H2008">
        <v>0.2</v>
      </c>
      <c r="I2008">
        <v>0</v>
      </c>
      <c r="J2008">
        <v>-16.5519</v>
      </c>
      <c r="K2008" s="1">
        <f>516.076</f>
        <v>516.07600000000002</v>
      </c>
      <c r="L2008">
        <v>0</v>
      </c>
    </row>
    <row r="2009" spans="1:12" x14ac:dyDescent="0.25">
      <c r="A2009">
        <f>80439845*0.00001</f>
        <v>804.39845000000003</v>
      </c>
      <c r="B2009">
        <v>3498</v>
      </c>
      <c r="C2009">
        <v>46</v>
      </c>
      <c r="D2009" s="1">
        <f>241.898</f>
        <v>241.898</v>
      </c>
      <c r="E2009" s="1">
        <f>4937</f>
        <v>4937</v>
      </c>
      <c r="F2009" s="1">
        <f>1610</f>
        <v>1610</v>
      </c>
      <c r="G2009" s="1">
        <f>1</f>
        <v>1</v>
      </c>
      <c r="H2009" s="1">
        <f>0.2</f>
        <v>0.2</v>
      </c>
      <c r="I2009" s="1">
        <f>0</f>
        <v>0</v>
      </c>
      <c r="J2009" s="1">
        <f>-16.1708</f>
        <v>-16.1708</v>
      </c>
      <c r="K2009" s="1">
        <f>516.065</f>
        <v>516.06500000000005</v>
      </c>
      <c r="L2009" s="1">
        <f>0</f>
        <v>0</v>
      </c>
    </row>
    <row r="2010" spans="1:12" x14ac:dyDescent="0.25">
      <c r="A2010">
        <f>80440805*0.00001</f>
        <v>804.40805000000012</v>
      </c>
      <c r="B2010">
        <v>3498</v>
      </c>
      <c r="C2010">
        <v>53</v>
      </c>
      <c r="D2010">
        <v>241.898</v>
      </c>
      <c r="E2010">
        <v>4937</v>
      </c>
      <c r="F2010">
        <v>1610</v>
      </c>
      <c r="G2010">
        <v>1</v>
      </c>
      <c r="H2010">
        <v>0.2</v>
      </c>
      <c r="I2010" s="1">
        <f>0</f>
        <v>0</v>
      </c>
      <c r="J2010" s="1">
        <f>-15.995</f>
        <v>-15.994999999999999</v>
      </c>
      <c r="K2010">
        <v>516.06500000000005</v>
      </c>
      <c r="L2010">
        <v>0</v>
      </c>
    </row>
    <row r="2011" spans="1:12" x14ac:dyDescent="0.25">
      <c r="A2011">
        <f>80440942*0.00001</f>
        <v>804.40942000000007</v>
      </c>
      <c r="B2011">
        <v>3498</v>
      </c>
      <c r="C2011">
        <v>54</v>
      </c>
      <c r="D2011">
        <v>241.898</v>
      </c>
      <c r="E2011">
        <v>4937</v>
      </c>
      <c r="F2011">
        <v>1610</v>
      </c>
      <c r="G2011">
        <v>1</v>
      </c>
      <c r="H2011">
        <v>0.2</v>
      </c>
      <c r="I2011">
        <v>0</v>
      </c>
      <c r="J2011">
        <v>-15.994999999999999</v>
      </c>
      <c r="K2011" s="1">
        <f>516.052</f>
        <v>516.05200000000002</v>
      </c>
      <c r="L2011" s="1">
        <f>0</f>
        <v>0</v>
      </c>
    </row>
    <row r="2012" spans="1:12" x14ac:dyDescent="0.25">
      <c r="A2012">
        <f>80441080*0.00001</f>
        <v>804.41080000000011</v>
      </c>
      <c r="B2012">
        <v>3498</v>
      </c>
      <c r="C2012">
        <v>55</v>
      </c>
      <c r="D2012" s="1">
        <f>241.869</f>
        <v>241.869</v>
      </c>
      <c r="E2012" s="1">
        <f>4939</f>
        <v>4939</v>
      </c>
      <c r="F2012">
        <v>1610</v>
      </c>
      <c r="G2012">
        <v>1</v>
      </c>
      <c r="H2012">
        <v>0.2</v>
      </c>
      <c r="I2012">
        <v>0</v>
      </c>
      <c r="J2012">
        <v>-15.994999999999999</v>
      </c>
      <c r="K2012">
        <v>516.05200000000002</v>
      </c>
      <c r="L2012">
        <v>0</v>
      </c>
    </row>
    <row r="2013" spans="1:12" x14ac:dyDescent="0.25">
      <c r="A2013">
        <f>80441218*0.00001</f>
        <v>804.41218000000003</v>
      </c>
      <c r="B2013">
        <v>3498</v>
      </c>
      <c r="C2013">
        <v>56</v>
      </c>
      <c r="D2013">
        <v>241.869</v>
      </c>
      <c r="E2013">
        <v>4939</v>
      </c>
      <c r="F2013" s="1">
        <f>1610</f>
        <v>1610</v>
      </c>
      <c r="G2013" s="1">
        <f>1</f>
        <v>1</v>
      </c>
      <c r="H2013">
        <v>0.2</v>
      </c>
      <c r="I2013">
        <v>0</v>
      </c>
      <c r="J2013">
        <v>-15.994999999999999</v>
      </c>
      <c r="K2013">
        <v>516.05200000000002</v>
      </c>
      <c r="L2013">
        <v>0</v>
      </c>
    </row>
    <row r="2014" spans="1:12" x14ac:dyDescent="0.25">
      <c r="A2014">
        <f>80441356*0.00001</f>
        <v>804.41356000000007</v>
      </c>
      <c r="B2014">
        <v>3498</v>
      </c>
      <c r="C2014">
        <v>57</v>
      </c>
      <c r="D2014">
        <v>241.869</v>
      </c>
      <c r="E2014">
        <v>4939</v>
      </c>
      <c r="F2014">
        <v>1610</v>
      </c>
      <c r="G2014">
        <v>1</v>
      </c>
      <c r="H2014">
        <v>0.2</v>
      </c>
      <c r="I2014" s="1">
        <f>0</f>
        <v>0</v>
      </c>
      <c r="J2014">
        <v>-15.994999999999999</v>
      </c>
      <c r="K2014">
        <v>516.05200000000002</v>
      </c>
      <c r="L2014">
        <v>0</v>
      </c>
    </row>
    <row r="2015" spans="1:12" x14ac:dyDescent="0.25">
      <c r="A2015">
        <f>80441494*0.00001</f>
        <v>804.41494000000012</v>
      </c>
      <c r="B2015">
        <v>3498</v>
      </c>
      <c r="C2015">
        <v>58</v>
      </c>
      <c r="D2015">
        <v>241.869</v>
      </c>
      <c r="E2015">
        <v>4939</v>
      </c>
      <c r="F2015">
        <v>1610</v>
      </c>
      <c r="G2015">
        <v>1</v>
      </c>
      <c r="H2015">
        <v>0.2</v>
      </c>
      <c r="I2015">
        <v>0</v>
      </c>
      <c r="J2015">
        <v>-15.994999999999999</v>
      </c>
      <c r="K2015" s="1">
        <f>516.042</f>
        <v>516.04200000000003</v>
      </c>
      <c r="L2015">
        <v>0</v>
      </c>
    </row>
    <row r="2016" spans="1:12" x14ac:dyDescent="0.25">
      <c r="A2016">
        <f>80441631*0.00001</f>
        <v>804.41631000000007</v>
      </c>
      <c r="B2016">
        <v>3498</v>
      </c>
      <c r="C2016">
        <v>59</v>
      </c>
      <c r="D2016" s="1">
        <f>241.85</f>
        <v>241.85</v>
      </c>
      <c r="E2016">
        <v>4939</v>
      </c>
      <c r="F2016">
        <v>1610</v>
      </c>
      <c r="G2016">
        <v>1</v>
      </c>
      <c r="H2016">
        <v>0.2</v>
      </c>
      <c r="I2016">
        <v>0</v>
      </c>
      <c r="J2016">
        <v>-15.994999999999999</v>
      </c>
      <c r="K2016">
        <v>516.04200000000003</v>
      </c>
      <c r="L2016">
        <v>0</v>
      </c>
    </row>
    <row r="2017" spans="1:12" x14ac:dyDescent="0.25">
      <c r="A2017">
        <f>80441768*0.00001</f>
        <v>804.41768000000002</v>
      </c>
      <c r="B2017">
        <v>3498</v>
      </c>
      <c r="C2017">
        <v>60</v>
      </c>
      <c r="D2017">
        <v>241.85</v>
      </c>
      <c r="E2017">
        <v>4939</v>
      </c>
      <c r="F2017" s="1">
        <f>1610</f>
        <v>1610</v>
      </c>
      <c r="G2017">
        <v>1</v>
      </c>
      <c r="H2017">
        <v>0.2</v>
      </c>
      <c r="I2017">
        <v>0</v>
      </c>
      <c r="J2017">
        <v>-15.994999999999999</v>
      </c>
      <c r="K2017">
        <v>516.04200000000003</v>
      </c>
      <c r="L2017">
        <v>0</v>
      </c>
    </row>
    <row r="2018" spans="1:12" x14ac:dyDescent="0.25">
      <c r="A2018">
        <f>80441905*0.00001</f>
        <v>804.41905000000008</v>
      </c>
      <c r="B2018">
        <v>3498</v>
      </c>
      <c r="C2018">
        <v>61</v>
      </c>
      <c r="D2018">
        <v>241.85</v>
      </c>
      <c r="E2018">
        <v>4939</v>
      </c>
      <c r="F2018">
        <v>1610</v>
      </c>
      <c r="G2018">
        <v>1</v>
      </c>
      <c r="H2018" s="1">
        <f>0.2</f>
        <v>0.2</v>
      </c>
      <c r="I2018">
        <v>0</v>
      </c>
      <c r="J2018">
        <v>-15.994999999999999</v>
      </c>
      <c r="K2018">
        <v>516.04200000000003</v>
      </c>
      <c r="L2018">
        <v>0</v>
      </c>
    </row>
    <row r="2019" spans="1:12" x14ac:dyDescent="0.25">
      <c r="A2019">
        <f>80442042*0.00001</f>
        <v>804.42042000000004</v>
      </c>
      <c r="B2019">
        <v>3498</v>
      </c>
      <c r="C2019">
        <v>62</v>
      </c>
      <c r="D2019" s="1">
        <f>241.819</f>
        <v>241.81899999999999</v>
      </c>
      <c r="E2019" s="1">
        <f>4942</f>
        <v>4942</v>
      </c>
      <c r="F2019" s="1">
        <f>1610</f>
        <v>1610</v>
      </c>
      <c r="G2019" s="1">
        <f>1</f>
        <v>1</v>
      </c>
      <c r="H2019" s="1">
        <f>0.2</f>
        <v>0.2</v>
      </c>
      <c r="I2019" s="1">
        <f>0</f>
        <v>0</v>
      </c>
      <c r="J2019" s="1">
        <f>-15.5152</f>
        <v>-15.5152</v>
      </c>
      <c r="K2019" s="1">
        <f>516.018</f>
        <v>516.01800000000003</v>
      </c>
      <c r="L2019" s="1">
        <f>0</f>
        <v>0</v>
      </c>
    </row>
    <row r="2020" spans="1:12" x14ac:dyDescent="0.25">
      <c r="A2020">
        <f>80443003*0.00001</f>
        <v>804.4300300000001</v>
      </c>
      <c r="B2020">
        <v>3498</v>
      </c>
      <c r="C2020">
        <v>69</v>
      </c>
      <c r="D2020">
        <v>241.81899999999999</v>
      </c>
      <c r="E2020">
        <v>4942</v>
      </c>
      <c r="F2020" s="1">
        <f>1610</f>
        <v>1610</v>
      </c>
      <c r="G2020" s="1">
        <f>1</f>
        <v>1</v>
      </c>
      <c r="H2020">
        <v>0.2</v>
      </c>
      <c r="I2020">
        <v>0</v>
      </c>
      <c r="J2020">
        <v>-15.5152</v>
      </c>
      <c r="K2020">
        <v>516.01800000000003</v>
      </c>
      <c r="L2020">
        <v>0</v>
      </c>
    </row>
    <row r="2021" spans="1:12" x14ac:dyDescent="0.25">
      <c r="A2021">
        <f>80443141*0.00001</f>
        <v>804.43141000000003</v>
      </c>
      <c r="B2021">
        <v>3498</v>
      </c>
      <c r="C2021">
        <v>70</v>
      </c>
      <c r="D2021">
        <v>241.81899999999999</v>
      </c>
      <c r="E2021">
        <v>4942</v>
      </c>
      <c r="F2021">
        <v>1610</v>
      </c>
      <c r="G2021">
        <v>1</v>
      </c>
      <c r="H2021" s="1">
        <f>0.2</f>
        <v>0.2</v>
      </c>
      <c r="I2021" s="1">
        <f>0</f>
        <v>0</v>
      </c>
      <c r="J2021">
        <v>-15.5152</v>
      </c>
      <c r="K2021">
        <v>516.01800000000003</v>
      </c>
      <c r="L2021">
        <v>0</v>
      </c>
    </row>
    <row r="2022" spans="1:12" x14ac:dyDescent="0.25">
      <c r="A2022">
        <f>80443279*0.00001</f>
        <v>804.43279000000007</v>
      </c>
      <c r="B2022">
        <v>3498</v>
      </c>
      <c r="C2022">
        <v>71</v>
      </c>
      <c r="D2022">
        <v>241.81899999999999</v>
      </c>
      <c r="E2022">
        <v>4942</v>
      </c>
      <c r="F2022">
        <v>1610</v>
      </c>
      <c r="G2022">
        <v>1</v>
      </c>
      <c r="H2022">
        <v>0.2</v>
      </c>
      <c r="I2022">
        <v>0</v>
      </c>
      <c r="J2022" s="1">
        <f>-15.3272</f>
        <v>-15.327199999999999</v>
      </c>
      <c r="K2022" s="1">
        <f>516.008</f>
        <v>516.00800000000004</v>
      </c>
      <c r="L2022">
        <v>0</v>
      </c>
    </row>
    <row r="2023" spans="1:12" x14ac:dyDescent="0.25">
      <c r="A2023">
        <f>80443417*0.00001</f>
        <v>804.43417000000011</v>
      </c>
      <c r="B2023">
        <v>3498</v>
      </c>
      <c r="C2023">
        <v>72</v>
      </c>
      <c r="D2023" s="1">
        <f>241.809</f>
        <v>241.809</v>
      </c>
      <c r="E2023">
        <v>4942</v>
      </c>
      <c r="F2023">
        <v>1610</v>
      </c>
      <c r="G2023">
        <v>1</v>
      </c>
      <c r="H2023">
        <v>0.2</v>
      </c>
      <c r="I2023">
        <v>0</v>
      </c>
      <c r="J2023">
        <v>-15.327199999999999</v>
      </c>
      <c r="K2023">
        <v>516.00800000000004</v>
      </c>
      <c r="L2023" s="1">
        <f>0</f>
        <v>0</v>
      </c>
    </row>
    <row r="2024" spans="1:12" x14ac:dyDescent="0.25">
      <c r="A2024">
        <f>80443555*0.00001</f>
        <v>804.43555000000003</v>
      </c>
      <c r="B2024">
        <v>3498</v>
      </c>
      <c r="C2024">
        <v>73</v>
      </c>
      <c r="D2024">
        <v>241.809</v>
      </c>
      <c r="E2024" s="1">
        <f>4943</f>
        <v>4943</v>
      </c>
      <c r="F2024" s="1">
        <f>1610</f>
        <v>1610</v>
      </c>
      <c r="G2024">
        <v>1</v>
      </c>
      <c r="H2024">
        <v>0.2</v>
      </c>
      <c r="I2024">
        <v>0</v>
      </c>
      <c r="J2024">
        <v>-15.327199999999999</v>
      </c>
      <c r="K2024">
        <v>516.00800000000004</v>
      </c>
      <c r="L2024">
        <v>0</v>
      </c>
    </row>
    <row r="2025" spans="1:12" x14ac:dyDescent="0.25">
      <c r="A2025">
        <f>80443692*0.00001</f>
        <v>804.4369200000001</v>
      </c>
      <c r="B2025">
        <v>3498</v>
      </c>
      <c r="C2025">
        <v>74</v>
      </c>
      <c r="D2025">
        <v>241.809</v>
      </c>
      <c r="E2025">
        <v>4943</v>
      </c>
      <c r="F2025">
        <v>1610</v>
      </c>
      <c r="G2025">
        <v>1</v>
      </c>
      <c r="H2025" s="1">
        <f>0.2</f>
        <v>0.2</v>
      </c>
      <c r="I2025">
        <v>0</v>
      </c>
      <c r="J2025">
        <v>-15.327199999999999</v>
      </c>
      <c r="K2025">
        <v>516.00800000000004</v>
      </c>
      <c r="L2025">
        <v>0</v>
      </c>
    </row>
    <row r="2026" spans="1:12" x14ac:dyDescent="0.25">
      <c r="A2026">
        <f>80443829*0.00001</f>
        <v>804.43829000000005</v>
      </c>
      <c r="B2026">
        <v>3498</v>
      </c>
      <c r="C2026">
        <v>75</v>
      </c>
      <c r="D2026">
        <v>241.809</v>
      </c>
      <c r="E2026">
        <v>4943</v>
      </c>
      <c r="F2026">
        <v>1610</v>
      </c>
      <c r="G2026">
        <v>1</v>
      </c>
      <c r="H2026">
        <v>0.2</v>
      </c>
      <c r="I2026">
        <v>0</v>
      </c>
      <c r="J2026" s="1">
        <f>-15.1691</f>
        <v>-15.1691</v>
      </c>
      <c r="K2026">
        <v>516.00800000000004</v>
      </c>
      <c r="L2026">
        <v>0</v>
      </c>
    </row>
    <row r="2027" spans="1:12" x14ac:dyDescent="0.25">
      <c r="A2027">
        <f>80443966*0.00001</f>
        <v>804.43966000000012</v>
      </c>
      <c r="B2027">
        <v>3498</v>
      </c>
      <c r="C2027">
        <v>76</v>
      </c>
      <c r="D2027">
        <v>241.809</v>
      </c>
      <c r="E2027">
        <v>4943</v>
      </c>
      <c r="F2027">
        <v>1610</v>
      </c>
      <c r="G2027">
        <v>1</v>
      </c>
      <c r="H2027">
        <v>0.2</v>
      </c>
      <c r="I2027">
        <v>0</v>
      </c>
      <c r="J2027">
        <v>-15.1691</v>
      </c>
      <c r="K2027">
        <v>516.00800000000004</v>
      </c>
      <c r="L2027" s="1">
        <f>0</f>
        <v>0</v>
      </c>
    </row>
    <row r="2028" spans="1:12" x14ac:dyDescent="0.25">
      <c r="A2028">
        <f>80444103*0.00001</f>
        <v>804.44103000000007</v>
      </c>
      <c r="B2028">
        <v>3498</v>
      </c>
      <c r="C2028">
        <v>77</v>
      </c>
      <c r="D2028">
        <v>241.809</v>
      </c>
      <c r="E2028" s="1">
        <f>4944</f>
        <v>4944</v>
      </c>
      <c r="F2028">
        <v>1610</v>
      </c>
      <c r="G2028">
        <v>1</v>
      </c>
      <c r="H2028">
        <v>0.2</v>
      </c>
      <c r="I2028">
        <v>0</v>
      </c>
      <c r="J2028">
        <v>-15.1691</v>
      </c>
      <c r="K2028">
        <v>516.00800000000004</v>
      </c>
      <c r="L2028">
        <v>0</v>
      </c>
    </row>
    <row r="2029" spans="1:12" x14ac:dyDescent="0.25">
      <c r="A2029">
        <f>80444240*0.00001</f>
        <v>804.44240000000002</v>
      </c>
      <c r="B2029">
        <v>3498</v>
      </c>
      <c r="C2029">
        <v>78</v>
      </c>
      <c r="D2029" s="1">
        <f>241.794</f>
        <v>241.79400000000001</v>
      </c>
      <c r="E2029" s="1">
        <f>4945</f>
        <v>4945</v>
      </c>
      <c r="F2029" s="1">
        <f>1610</f>
        <v>1610</v>
      </c>
      <c r="G2029" s="1">
        <f>1</f>
        <v>1</v>
      </c>
      <c r="H2029" s="1">
        <f>0.2</f>
        <v>0.2</v>
      </c>
      <c r="I2029" s="1">
        <f>0</f>
        <v>0</v>
      </c>
      <c r="J2029" s="1">
        <f>-14.8556</f>
        <v>-14.855600000000001</v>
      </c>
      <c r="K2029" s="1">
        <f>515.976</f>
        <v>515.976</v>
      </c>
      <c r="L2029" s="1">
        <f>0</f>
        <v>0</v>
      </c>
    </row>
    <row r="2030" spans="1:12" x14ac:dyDescent="0.25">
      <c r="A2030">
        <f>80445204*0.00001</f>
        <v>804.45204000000001</v>
      </c>
      <c r="B2030">
        <v>3498</v>
      </c>
      <c r="C2030">
        <v>85</v>
      </c>
      <c r="D2030" s="1">
        <f>241.788</f>
        <v>241.78800000000001</v>
      </c>
      <c r="E2030">
        <v>4945</v>
      </c>
      <c r="F2030">
        <v>1610</v>
      </c>
      <c r="G2030">
        <v>1</v>
      </c>
      <c r="H2030">
        <v>0.2</v>
      </c>
      <c r="I2030">
        <v>0</v>
      </c>
      <c r="J2030">
        <v>-14.855600000000001</v>
      </c>
      <c r="K2030">
        <v>515.976</v>
      </c>
      <c r="L2030" s="1">
        <f>0</f>
        <v>0</v>
      </c>
    </row>
    <row r="2031" spans="1:12" x14ac:dyDescent="0.25">
      <c r="A2031">
        <f>80445342*0.00001</f>
        <v>804.45342000000005</v>
      </c>
      <c r="B2031">
        <v>3498</v>
      </c>
      <c r="C2031">
        <v>86</v>
      </c>
      <c r="D2031">
        <v>241.78800000000001</v>
      </c>
      <c r="E2031" s="1">
        <f>4946</f>
        <v>4946</v>
      </c>
      <c r="F2031" s="1">
        <f>1610</f>
        <v>1610</v>
      </c>
      <c r="G2031">
        <v>1</v>
      </c>
      <c r="H2031">
        <v>0.2</v>
      </c>
      <c r="I2031">
        <v>0</v>
      </c>
      <c r="J2031">
        <v>-14.855600000000001</v>
      </c>
      <c r="K2031">
        <v>515.976</v>
      </c>
      <c r="L2031">
        <v>0</v>
      </c>
    </row>
    <row r="2032" spans="1:12" x14ac:dyDescent="0.25">
      <c r="A2032">
        <f>80445480*0.00001</f>
        <v>804.45480000000009</v>
      </c>
      <c r="B2032">
        <v>3498</v>
      </c>
      <c r="C2032">
        <v>87</v>
      </c>
      <c r="D2032">
        <v>241.78800000000001</v>
      </c>
      <c r="E2032">
        <v>4946</v>
      </c>
      <c r="F2032">
        <v>1610</v>
      </c>
      <c r="G2032" s="1">
        <f>1</f>
        <v>1</v>
      </c>
      <c r="H2032" s="1">
        <f>0.2</f>
        <v>0.2</v>
      </c>
      <c r="I2032">
        <v>0</v>
      </c>
      <c r="J2032">
        <v>-14.855600000000001</v>
      </c>
      <c r="K2032">
        <v>515.976</v>
      </c>
      <c r="L2032">
        <v>0</v>
      </c>
    </row>
    <row r="2033" spans="1:12" x14ac:dyDescent="0.25">
      <c r="A2033">
        <f>80445617*0.00001</f>
        <v>804.45617000000004</v>
      </c>
      <c r="B2033">
        <v>3498</v>
      </c>
      <c r="C2033">
        <v>88</v>
      </c>
      <c r="D2033">
        <v>241.78800000000001</v>
      </c>
      <c r="E2033">
        <v>4946</v>
      </c>
      <c r="F2033">
        <v>1610</v>
      </c>
      <c r="G2033">
        <v>1</v>
      </c>
      <c r="H2033">
        <v>0.2</v>
      </c>
      <c r="I2033" s="1">
        <f>0</f>
        <v>0</v>
      </c>
      <c r="J2033" s="1">
        <f>-14.7014</f>
        <v>-14.7014</v>
      </c>
      <c r="K2033">
        <v>515.976</v>
      </c>
      <c r="L2033">
        <v>0</v>
      </c>
    </row>
    <row r="2034" spans="1:12" x14ac:dyDescent="0.25">
      <c r="A2034">
        <f>80445754*0.00001</f>
        <v>804.45754000000011</v>
      </c>
      <c r="B2034">
        <v>3498</v>
      </c>
      <c r="C2034">
        <v>89</v>
      </c>
      <c r="D2034">
        <v>241.78800000000001</v>
      </c>
      <c r="E2034">
        <v>4946</v>
      </c>
      <c r="F2034">
        <v>1610</v>
      </c>
      <c r="G2034">
        <v>1</v>
      </c>
      <c r="H2034">
        <v>0.2</v>
      </c>
      <c r="I2034">
        <v>0</v>
      </c>
      <c r="J2034">
        <v>-14.7014</v>
      </c>
      <c r="K2034" s="1">
        <f>515.964</f>
        <v>515.96400000000006</v>
      </c>
      <c r="L2034" s="1">
        <f>0</f>
        <v>0</v>
      </c>
    </row>
    <row r="2035" spans="1:12" x14ac:dyDescent="0.25">
      <c r="A2035">
        <f>80445891*0.00001</f>
        <v>804.45891000000006</v>
      </c>
      <c r="B2035">
        <v>3498</v>
      </c>
      <c r="C2035">
        <v>90</v>
      </c>
      <c r="D2035">
        <v>241.78800000000001</v>
      </c>
      <c r="E2035" s="1">
        <f>4947</f>
        <v>4947</v>
      </c>
      <c r="F2035">
        <v>1610</v>
      </c>
      <c r="G2035">
        <v>1</v>
      </c>
      <c r="H2035">
        <v>0.2</v>
      </c>
      <c r="I2035">
        <v>0</v>
      </c>
      <c r="J2035">
        <v>-14.7014</v>
      </c>
      <c r="K2035">
        <v>515.96400000000006</v>
      </c>
      <c r="L2035">
        <v>0</v>
      </c>
    </row>
    <row r="2036" spans="1:12" x14ac:dyDescent="0.25">
      <c r="A2036">
        <f>80446028*0.00001</f>
        <v>804.46028000000001</v>
      </c>
      <c r="B2036">
        <v>3498</v>
      </c>
      <c r="C2036">
        <v>91</v>
      </c>
      <c r="D2036">
        <v>241.78800000000001</v>
      </c>
      <c r="E2036">
        <v>4947</v>
      </c>
      <c r="F2036">
        <v>1610</v>
      </c>
      <c r="G2036" s="1">
        <f>1</f>
        <v>1</v>
      </c>
      <c r="H2036">
        <v>0.2</v>
      </c>
      <c r="I2036">
        <v>0</v>
      </c>
      <c r="J2036">
        <v>-14.7014</v>
      </c>
      <c r="K2036">
        <v>515.96400000000006</v>
      </c>
      <c r="L2036">
        <v>0</v>
      </c>
    </row>
    <row r="2037" spans="1:12" x14ac:dyDescent="0.25">
      <c r="A2037">
        <f>80446165*0.00001</f>
        <v>804.46165000000008</v>
      </c>
      <c r="B2037">
        <v>3498</v>
      </c>
      <c r="C2037">
        <v>92</v>
      </c>
      <c r="D2037">
        <v>241.78800000000001</v>
      </c>
      <c r="E2037">
        <v>4947</v>
      </c>
      <c r="F2037">
        <v>1610</v>
      </c>
      <c r="G2037">
        <v>1</v>
      </c>
      <c r="H2037">
        <v>0.2</v>
      </c>
      <c r="I2037" s="1">
        <f>0</f>
        <v>0</v>
      </c>
      <c r="J2037">
        <v>-14.7014</v>
      </c>
      <c r="K2037">
        <v>515.96400000000006</v>
      </c>
      <c r="L2037">
        <v>0</v>
      </c>
    </row>
    <row r="2038" spans="1:12" x14ac:dyDescent="0.25">
      <c r="A2038">
        <f>80446302*0.00001</f>
        <v>804.46302000000003</v>
      </c>
      <c r="B2038">
        <v>3498</v>
      </c>
      <c r="C2038">
        <v>93</v>
      </c>
      <c r="D2038">
        <v>241.78800000000001</v>
      </c>
      <c r="E2038">
        <v>4947</v>
      </c>
      <c r="F2038">
        <v>1610</v>
      </c>
      <c r="G2038">
        <v>1</v>
      </c>
      <c r="H2038">
        <v>0.2</v>
      </c>
      <c r="I2038">
        <v>0</v>
      </c>
      <c r="J2038">
        <v>-14.7014</v>
      </c>
      <c r="K2038" s="1">
        <f>515.954</f>
        <v>515.95399999999995</v>
      </c>
      <c r="L2038">
        <v>0</v>
      </c>
    </row>
    <row r="2039" spans="1:12" x14ac:dyDescent="0.25">
      <c r="A2039">
        <f>80446439*0.00001</f>
        <v>804.46439000000009</v>
      </c>
      <c r="B2039">
        <v>3498</v>
      </c>
      <c r="C2039">
        <v>94</v>
      </c>
      <c r="D2039" s="1">
        <f>241.778</f>
        <v>241.77799999999999</v>
      </c>
      <c r="E2039" s="1">
        <f>4949</f>
        <v>4949</v>
      </c>
      <c r="F2039" s="1">
        <f>1610</f>
        <v>1610</v>
      </c>
      <c r="G2039" s="1">
        <f>1</f>
        <v>1</v>
      </c>
      <c r="H2039" s="1">
        <f>0.2</f>
        <v>0.2</v>
      </c>
      <c r="I2039" s="1">
        <f>0</f>
        <v>0</v>
      </c>
      <c r="J2039" s="1">
        <f>-14.3945</f>
        <v>-14.394500000000001</v>
      </c>
      <c r="K2039" s="1">
        <f>515.944</f>
        <v>515.94399999999996</v>
      </c>
      <c r="L2039" s="1">
        <f>0</f>
        <v>0</v>
      </c>
    </row>
    <row r="2040" spans="1:12" x14ac:dyDescent="0.25">
      <c r="A2040">
        <f>80447403*0.00001</f>
        <v>804.47403000000008</v>
      </c>
      <c r="B2040">
        <v>3498</v>
      </c>
      <c r="C2040">
        <v>101</v>
      </c>
      <c r="D2040">
        <v>241.77799999999999</v>
      </c>
      <c r="E2040">
        <v>4949</v>
      </c>
      <c r="F2040">
        <v>1610</v>
      </c>
      <c r="G2040">
        <v>1</v>
      </c>
      <c r="H2040">
        <v>0.2</v>
      </c>
      <c r="I2040" s="1">
        <f>0</f>
        <v>0</v>
      </c>
      <c r="J2040" s="1">
        <f>-14.2003</f>
        <v>-14.2003</v>
      </c>
      <c r="K2040">
        <v>515.94399999999996</v>
      </c>
      <c r="L2040">
        <v>0</v>
      </c>
    </row>
    <row r="2041" spans="1:12" x14ac:dyDescent="0.25">
      <c r="A2041">
        <f>80447540*0.00001</f>
        <v>804.47540000000004</v>
      </c>
      <c r="B2041">
        <v>3498</v>
      </c>
      <c r="C2041">
        <v>102</v>
      </c>
      <c r="D2041">
        <v>241.77799999999999</v>
      </c>
      <c r="E2041">
        <v>4949</v>
      </c>
      <c r="F2041">
        <v>1610</v>
      </c>
      <c r="G2041">
        <v>1</v>
      </c>
      <c r="H2041">
        <v>0.2</v>
      </c>
      <c r="I2041">
        <v>0</v>
      </c>
      <c r="J2041">
        <v>-14.2003</v>
      </c>
      <c r="K2041" s="1">
        <f>515.933</f>
        <v>515.93299999999999</v>
      </c>
      <c r="L2041" s="1">
        <f>0</f>
        <v>0</v>
      </c>
    </row>
    <row r="2042" spans="1:12" x14ac:dyDescent="0.25">
      <c r="A2042">
        <f>80447677*0.00001</f>
        <v>804.4767700000001</v>
      </c>
      <c r="B2042">
        <v>3498</v>
      </c>
      <c r="C2042">
        <v>103</v>
      </c>
      <c r="D2042" s="1">
        <f>241.703</f>
        <v>241.703</v>
      </c>
      <c r="E2042" s="1">
        <f>4952</f>
        <v>4952</v>
      </c>
      <c r="F2042">
        <v>1610</v>
      </c>
      <c r="G2042">
        <v>1</v>
      </c>
      <c r="H2042">
        <v>0.2</v>
      </c>
      <c r="I2042">
        <v>0</v>
      </c>
      <c r="J2042">
        <v>-14.2003</v>
      </c>
      <c r="K2042">
        <v>515.93299999999999</v>
      </c>
      <c r="L2042">
        <v>0</v>
      </c>
    </row>
    <row r="2043" spans="1:12" x14ac:dyDescent="0.25">
      <c r="A2043">
        <f>80447814*0.00001</f>
        <v>804.47814000000005</v>
      </c>
      <c r="B2043">
        <v>3498</v>
      </c>
      <c r="C2043">
        <v>104</v>
      </c>
      <c r="D2043">
        <v>241.703</v>
      </c>
      <c r="E2043">
        <v>4952</v>
      </c>
      <c r="F2043" s="1">
        <f>1610</f>
        <v>1610</v>
      </c>
      <c r="G2043" s="1">
        <f>1</f>
        <v>1</v>
      </c>
      <c r="H2043">
        <v>0.2</v>
      </c>
      <c r="I2043">
        <v>0</v>
      </c>
      <c r="J2043">
        <v>-14.2003</v>
      </c>
      <c r="K2043">
        <v>515.93299999999999</v>
      </c>
      <c r="L2043">
        <v>0</v>
      </c>
    </row>
    <row r="2044" spans="1:12" x14ac:dyDescent="0.25">
      <c r="A2044">
        <f>80447952*0.00001</f>
        <v>804.47952000000009</v>
      </c>
      <c r="B2044">
        <v>3498</v>
      </c>
      <c r="C2044">
        <v>105</v>
      </c>
      <c r="D2044">
        <v>241.703</v>
      </c>
      <c r="E2044">
        <v>4952</v>
      </c>
      <c r="F2044">
        <v>1610</v>
      </c>
      <c r="G2044">
        <v>1</v>
      </c>
      <c r="H2044">
        <v>0.2</v>
      </c>
      <c r="I2044" s="1">
        <f>0</f>
        <v>0</v>
      </c>
      <c r="J2044">
        <v>-14.2003</v>
      </c>
      <c r="K2044">
        <v>515.93299999999999</v>
      </c>
      <c r="L2044">
        <v>0</v>
      </c>
    </row>
    <row r="2045" spans="1:12" x14ac:dyDescent="0.25">
      <c r="A2045">
        <f>80448090*0.00001</f>
        <v>804.48090000000002</v>
      </c>
      <c r="B2045">
        <v>3498</v>
      </c>
      <c r="C2045">
        <v>106</v>
      </c>
      <c r="D2045">
        <v>241.703</v>
      </c>
      <c r="E2045">
        <v>4952</v>
      </c>
      <c r="F2045">
        <v>1610</v>
      </c>
      <c r="G2045">
        <v>1</v>
      </c>
      <c r="H2045">
        <v>0.2</v>
      </c>
      <c r="I2045">
        <v>0</v>
      </c>
      <c r="J2045">
        <v>-14.2003</v>
      </c>
      <c r="K2045" s="1">
        <f>515.923</f>
        <v>515.923</v>
      </c>
      <c r="L2045">
        <v>0</v>
      </c>
    </row>
    <row r="2046" spans="1:12" x14ac:dyDescent="0.25">
      <c r="A2046">
        <f>80448228*0.00001</f>
        <v>804.48228000000006</v>
      </c>
      <c r="B2046">
        <v>3498</v>
      </c>
      <c r="C2046">
        <v>107</v>
      </c>
      <c r="D2046" s="1">
        <f>241.65</f>
        <v>241.65</v>
      </c>
      <c r="E2046">
        <v>4952</v>
      </c>
      <c r="F2046">
        <v>1610</v>
      </c>
      <c r="G2046">
        <v>1</v>
      </c>
      <c r="H2046">
        <v>0.2</v>
      </c>
      <c r="I2046">
        <v>0</v>
      </c>
      <c r="J2046">
        <v>-14.2003</v>
      </c>
      <c r="K2046">
        <v>515.923</v>
      </c>
      <c r="L2046">
        <v>0</v>
      </c>
    </row>
    <row r="2047" spans="1:12" x14ac:dyDescent="0.25">
      <c r="A2047">
        <f>80448366*0.00001</f>
        <v>804.4836600000001</v>
      </c>
      <c r="B2047">
        <v>3498</v>
      </c>
      <c r="C2047">
        <v>108</v>
      </c>
      <c r="D2047">
        <v>241.65</v>
      </c>
      <c r="E2047">
        <v>4952</v>
      </c>
      <c r="F2047" s="1">
        <f>1610</f>
        <v>1610</v>
      </c>
      <c r="G2047">
        <v>1</v>
      </c>
      <c r="H2047">
        <v>0.2</v>
      </c>
      <c r="I2047">
        <v>0</v>
      </c>
      <c r="J2047">
        <v>-14.2003</v>
      </c>
      <c r="K2047">
        <v>515.923</v>
      </c>
      <c r="L2047">
        <v>0</v>
      </c>
    </row>
    <row r="2048" spans="1:12" x14ac:dyDescent="0.25">
      <c r="A2048">
        <f>80448503*0.00001</f>
        <v>804.48503000000005</v>
      </c>
      <c r="B2048">
        <v>3498</v>
      </c>
      <c r="C2048">
        <v>109</v>
      </c>
      <c r="D2048" s="1">
        <f>241.607</f>
        <v>241.607</v>
      </c>
      <c r="E2048" s="1">
        <f>4956</f>
        <v>4956</v>
      </c>
      <c r="F2048" s="1">
        <f>1610</f>
        <v>1610</v>
      </c>
      <c r="G2048" s="1">
        <f>1</f>
        <v>1</v>
      </c>
      <c r="H2048" s="1">
        <f>0.2</f>
        <v>0.2</v>
      </c>
      <c r="I2048" s="1">
        <f>0</f>
        <v>0</v>
      </c>
      <c r="J2048" s="1">
        <f>-13.6211</f>
        <v>-13.6211</v>
      </c>
      <c r="K2048" s="1">
        <f>515.903</f>
        <v>515.90300000000002</v>
      </c>
      <c r="L2048" s="1">
        <f>0</f>
        <v>0</v>
      </c>
    </row>
    <row r="2049" spans="1:12" x14ac:dyDescent="0.25">
      <c r="A2049">
        <f>80449467*0.00001</f>
        <v>804.49467000000004</v>
      </c>
      <c r="B2049">
        <v>3498</v>
      </c>
      <c r="C2049">
        <v>116</v>
      </c>
      <c r="D2049" s="1">
        <f>241.564</f>
        <v>241.56399999999999</v>
      </c>
      <c r="E2049" s="1">
        <f>4958</f>
        <v>4958</v>
      </c>
      <c r="F2049">
        <v>1610</v>
      </c>
      <c r="G2049">
        <v>1</v>
      </c>
      <c r="H2049">
        <v>0.2</v>
      </c>
      <c r="I2049">
        <v>0</v>
      </c>
      <c r="J2049">
        <v>-13.6211</v>
      </c>
      <c r="K2049">
        <v>515.90300000000002</v>
      </c>
      <c r="L2049">
        <v>0</v>
      </c>
    </row>
    <row r="2050" spans="1:12" x14ac:dyDescent="0.25">
      <c r="A2050">
        <f>80449604*0.00001</f>
        <v>804.49604000000011</v>
      </c>
      <c r="B2050">
        <v>3498</v>
      </c>
      <c r="C2050">
        <v>117</v>
      </c>
      <c r="D2050">
        <v>241.56399999999999</v>
      </c>
      <c r="E2050">
        <v>4958</v>
      </c>
      <c r="F2050" s="1">
        <f>1610</f>
        <v>1610</v>
      </c>
      <c r="G2050" s="1">
        <f>1</f>
        <v>1</v>
      </c>
      <c r="H2050">
        <v>0.2</v>
      </c>
      <c r="I2050">
        <v>0</v>
      </c>
      <c r="J2050">
        <v>-13.6211</v>
      </c>
      <c r="K2050">
        <v>515.90300000000002</v>
      </c>
      <c r="L2050">
        <v>0</v>
      </c>
    </row>
    <row r="2051" spans="1:12" x14ac:dyDescent="0.25">
      <c r="A2051">
        <f>80449741*0.00001</f>
        <v>804.49741000000006</v>
      </c>
      <c r="B2051">
        <v>3498</v>
      </c>
      <c r="C2051">
        <v>118</v>
      </c>
      <c r="D2051">
        <v>241.56399999999999</v>
      </c>
      <c r="E2051">
        <v>4958</v>
      </c>
      <c r="F2051">
        <v>1610</v>
      </c>
      <c r="G2051">
        <v>1</v>
      </c>
      <c r="H2051" s="1">
        <f>0.2</f>
        <v>0.2</v>
      </c>
      <c r="I2051" s="1">
        <f>0</f>
        <v>0</v>
      </c>
      <c r="J2051">
        <v>-13.6211</v>
      </c>
      <c r="K2051">
        <v>515.90300000000002</v>
      </c>
      <c r="L2051">
        <v>0</v>
      </c>
    </row>
    <row r="2052" spans="1:12" x14ac:dyDescent="0.25">
      <c r="A2052">
        <f>80449878*0.00001</f>
        <v>804.49878000000001</v>
      </c>
      <c r="B2052">
        <v>3498</v>
      </c>
      <c r="C2052">
        <v>119</v>
      </c>
      <c r="D2052">
        <v>241.56399999999999</v>
      </c>
      <c r="E2052">
        <v>4958</v>
      </c>
      <c r="F2052">
        <v>1610</v>
      </c>
      <c r="G2052">
        <v>1</v>
      </c>
      <c r="H2052">
        <v>0.2</v>
      </c>
      <c r="I2052">
        <v>0</v>
      </c>
      <c r="J2052" s="1">
        <f>-13.4074</f>
        <v>-13.407400000000001</v>
      </c>
      <c r="K2052" s="1">
        <f>515.894</f>
        <v>515.89400000000001</v>
      </c>
      <c r="L2052">
        <v>0</v>
      </c>
    </row>
    <row r="2053" spans="1:12" x14ac:dyDescent="0.25">
      <c r="A2053">
        <f>80450016*0.00001</f>
        <v>804.50016000000005</v>
      </c>
      <c r="B2053">
        <v>3498</v>
      </c>
      <c r="C2053">
        <v>120</v>
      </c>
      <c r="D2053" s="1">
        <f>241.533</f>
        <v>241.53299999999999</v>
      </c>
      <c r="E2053">
        <v>4958</v>
      </c>
      <c r="F2053">
        <v>1610</v>
      </c>
      <c r="G2053">
        <v>1</v>
      </c>
      <c r="H2053">
        <v>0.2</v>
      </c>
      <c r="I2053">
        <v>0</v>
      </c>
      <c r="J2053">
        <v>-13.407400000000001</v>
      </c>
      <c r="K2053">
        <v>515.89400000000001</v>
      </c>
      <c r="L2053">
        <v>0</v>
      </c>
    </row>
    <row r="2054" spans="1:12" x14ac:dyDescent="0.25">
      <c r="A2054">
        <f>80450154*0.00001</f>
        <v>804.50154000000009</v>
      </c>
      <c r="B2054">
        <v>3498</v>
      </c>
      <c r="C2054">
        <v>121</v>
      </c>
      <c r="D2054">
        <v>241.53299999999999</v>
      </c>
      <c r="E2054">
        <v>4958</v>
      </c>
      <c r="F2054" s="1">
        <f>1610</f>
        <v>1610</v>
      </c>
      <c r="G2054">
        <v>1</v>
      </c>
      <c r="H2054">
        <v>0.2</v>
      </c>
      <c r="I2054">
        <v>0</v>
      </c>
      <c r="J2054">
        <v>-13.407400000000001</v>
      </c>
      <c r="K2054">
        <v>515.89400000000001</v>
      </c>
      <c r="L2054">
        <v>0</v>
      </c>
    </row>
    <row r="2055" spans="1:12" x14ac:dyDescent="0.25">
      <c r="A2055">
        <f>80450292*0.00001</f>
        <v>804.50292000000002</v>
      </c>
      <c r="B2055">
        <v>3498</v>
      </c>
      <c r="C2055">
        <v>122</v>
      </c>
      <c r="D2055">
        <v>241.53299999999999</v>
      </c>
      <c r="E2055">
        <v>4958</v>
      </c>
      <c r="F2055">
        <v>1610</v>
      </c>
      <c r="G2055">
        <v>1</v>
      </c>
      <c r="H2055" s="1">
        <f>0.2</f>
        <v>0.2</v>
      </c>
      <c r="I2055">
        <v>0</v>
      </c>
      <c r="J2055">
        <v>-13.407400000000001</v>
      </c>
      <c r="K2055">
        <v>515.89400000000001</v>
      </c>
      <c r="L2055">
        <v>0</v>
      </c>
    </row>
    <row r="2056" spans="1:12" x14ac:dyDescent="0.25">
      <c r="A2056">
        <f>80450430*0.00001</f>
        <v>804.50430000000006</v>
      </c>
      <c r="B2056">
        <v>3498</v>
      </c>
      <c r="C2056">
        <v>123</v>
      </c>
      <c r="D2056">
        <v>241.53299999999999</v>
      </c>
      <c r="E2056">
        <v>4958</v>
      </c>
      <c r="F2056">
        <v>1610</v>
      </c>
      <c r="G2056">
        <v>1</v>
      </c>
      <c r="H2056">
        <v>0.2</v>
      </c>
      <c r="I2056">
        <v>0</v>
      </c>
      <c r="J2056" s="1">
        <f>-13.2359</f>
        <v>-13.235900000000001</v>
      </c>
      <c r="K2056">
        <v>515.89400000000001</v>
      </c>
      <c r="L2056">
        <v>0</v>
      </c>
    </row>
    <row r="2057" spans="1:12" x14ac:dyDescent="0.25">
      <c r="A2057">
        <f>80450568*0.00001</f>
        <v>804.5056800000001</v>
      </c>
      <c r="B2057">
        <v>3498</v>
      </c>
      <c r="C2057">
        <v>124</v>
      </c>
      <c r="D2057" s="1">
        <f>241.492</f>
        <v>241.49199999999999</v>
      </c>
      <c r="E2057" s="1">
        <f>4962</f>
        <v>4962</v>
      </c>
      <c r="F2057" s="1">
        <f>1610</f>
        <v>1610</v>
      </c>
      <c r="G2057" s="1">
        <f>1</f>
        <v>1</v>
      </c>
      <c r="H2057" s="1">
        <f>0.2</f>
        <v>0.2</v>
      </c>
      <c r="I2057" s="1">
        <f>0</f>
        <v>0</v>
      </c>
      <c r="J2057" s="1">
        <f>-13.0917</f>
        <v>-13.091699999999999</v>
      </c>
      <c r="K2057" s="1">
        <f>515.874</f>
        <v>515.87400000000002</v>
      </c>
      <c r="L2057" s="1">
        <f>0</f>
        <v>0</v>
      </c>
    </row>
    <row r="2058" spans="1:12" x14ac:dyDescent="0.25">
      <c r="A2058">
        <f>80451532*0.00001</f>
        <v>804.51532000000009</v>
      </c>
      <c r="B2058">
        <v>3498</v>
      </c>
      <c r="C2058">
        <v>131</v>
      </c>
      <c r="D2058">
        <v>241.49199999999999</v>
      </c>
      <c r="E2058">
        <v>4962</v>
      </c>
      <c r="F2058">
        <v>1610</v>
      </c>
      <c r="G2058">
        <v>1</v>
      </c>
      <c r="H2058" s="1">
        <f>0.2</f>
        <v>0.2</v>
      </c>
      <c r="I2058" s="1">
        <f>0</f>
        <v>0</v>
      </c>
      <c r="J2058">
        <v>-13.091699999999999</v>
      </c>
      <c r="K2058">
        <v>515.87400000000002</v>
      </c>
      <c r="L2058">
        <v>0</v>
      </c>
    </row>
    <row r="2059" spans="1:12" x14ac:dyDescent="0.25">
      <c r="A2059">
        <f>80451670*0.00001</f>
        <v>804.51670000000001</v>
      </c>
      <c r="B2059">
        <v>3498</v>
      </c>
      <c r="C2059">
        <v>132</v>
      </c>
      <c r="D2059">
        <v>241.49199999999999</v>
      </c>
      <c r="E2059">
        <v>4962</v>
      </c>
      <c r="F2059">
        <v>1610</v>
      </c>
      <c r="G2059">
        <v>1</v>
      </c>
      <c r="H2059">
        <v>0.2</v>
      </c>
      <c r="I2059">
        <v>0</v>
      </c>
      <c r="J2059" s="1">
        <f>-12.8977</f>
        <v>-12.8977</v>
      </c>
      <c r="K2059" s="1">
        <f>515.866</f>
        <v>515.86599999999999</v>
      </c>
      <c r="L2059">
        <v>0</v>
      </c>
    </row>
    <row r="2060" spans="1:12" x14ac:dyDescent="0.25">
      <c r="A2060">
        <f>80451807*0.00001</f>
        <v>804.51807000000008</v>
      </c>
      <c r="B2060">
        <v>3498</v>
      </c>
      <c r="C2060">
        <v>133</v>
      </c>
      <c r="D2060" s="1">
        <f>241.478</f>
        <v>241.47800000000001</v>
      </c>
      <c r="E2060">
        <v>4962</v>
      </c>
      <c r="F2060">
        <v>1610</v>
      </c>
      <c r="G2060">
        <v>1</v>
      </c>
      <c r="H2060">
        <v>0.2</v>
      </c>
      <c r="I2060">
        <v>0</v>
      </c>
      <c r="J2060">
        <v>-12.8977</v>
      </c>
      <c r="K2060">
        <v>515.86599999999999</v>
      </c>
      <c r="L2060" s="1">
        <f>0</f>
        <v>0</v>
      </c>
    </row>
    <row r="2061" spans="1:12" x14ac:dyDescent="0.25">
      <c r="A2061">
        <f>80451944*0.00001</f>
        <v>804.51944000000003</v>
      </c>
      <c r="B2061">
        <v>3498</v>
      </c>
      <c r="C2061">
        <v>134</v>
      </c>
      <c r="D2061">
        <v>241.47800000000001</v>
      </c>
      <c r="E2061" s="1">
        <f>4963</f>
        <v>4963</v>
      </c>
      <c r="F2061" s="1">
        <f>1610</f>
        <v>1610</v>
      </c>
      <c r="G2061">
        <v>1</v>
      </c>
      <c r="H2061">
        <v>0.2</v>
      </c>
      <c r="I2061">
        <v>0</v>
      </c>
      <c r="J2061">
        <v>-12.8977</v>
      </c>
      <c r="K2061">
        <v>515.86599999999999</v>
      </c>
      <c r="L2061">
        <v>0</v>
      </c>
    </row>
    <row r="2062" spans="1:12" x14ac:dyDescent="0.25">
      <c r="A2062">
        <f>80452081*0.00001</f>
        <v>804.5208100000001</v>
      </c>
      <c r="B2062">
        <v>3498</v>
      </c>
      <c r="C2062">
        <v>135</v>
      </c>
      <c r="D2062">
        <v>241.47800000000001</v>
      </c>
      <c r="E2062">
        <v>4963</v>
      </c>
      <c r="F2062">
        <v>1610</v>
      </c>
      <c r="G2062" s="1">
        <f>1</f>
        <v>1</v>
      </c>
      <c r="H2062" s="1">
        <f>0.2</f>
        <v>0.2</v>
      </c>
      <c r="I2062">
        <v>0</v>
      </c>
      <c r="J2062">
        <v>-12.8977</v>
      </c>
      <c r="K2062">
        <v>515.86599999999999</v>
      </c>
      <c r="L2062">
        <v>0</v>
      </c>
    </row>
    <row r="2063" spans="1:12" x14ac:dyDescent="0.25">
      <c r="A2063">
        <f>80452219*0.00001</f>
        <v>804.52219000000002</v>
      </c>
      <c r="B2063">
        <v>3498</v>
      </c>
      <c r="C2063">
        <v>136</v>
      </c>
      <c r="D2063">
        <v>241.47800000000001</v>
      </c>
      <c r="E2063">
        <v>4963</v>
      </c>
      <c r="F2063">
        <v>1610</v>
      </c>
      <c r="G2063">
        <v>1</v>
      </c>
      <c r="H2063">
        <v>0.2</v>
      </c>
      <c r="I2063">
        <v>0</v>
      </c>
      <c r="J2063" s="1">
        <f>-12.7358</f>
        <v>-12.735799999999999</v>
      </c>
      <c r="K2063">
        <v>515.86599999999999</v>
      </c>
      <c r="L2063">
        <v>0</v>
      </c>
    </row>
    <row r="2064" spans="1:12" x14ac:dyDescent="0.25">
      <c r="A2064">
        <f>80452357*0.00001</f>
        <v>804.52357000000006</v>
      </c>
      <c r="B2064">
        <v>3498</v>
      </c>
      <c r="C2064">
        <v>137</v>
      </c>
      <c r="D2064">
        <v>241.47800000000001</v>
      </c>
      <c r="E2064">
        <v>4963</v>
      </c>
      <c r="F2064">
        <v>1610</v>
      </c>
      <c r="G2064">
        <v>1</v>
      </c>
      <c r="H2064">
        <v>0.2</v>
      </c>
      <c r="I2064">
        <v>0</v>
      </c>
      <c r="J2064">
        <v>-12.735799999999999</v>
      </c>
      <c r="K2064">
        <v>515.86599999999999</v>
      </c>
      <c r="L2064" s="1">
        <f>0</f>
        <v>0</v>
      </c>
    </row>
    <row r="2065" spans="1:12" x14ac:dyDescent="0.25">
      <c r="A2065">
        <f>80452495*0.00001</f>
        <v>804.5249500000001</v>
      </c>
      <c r="B2065">
        <v>3498</v>
      </c>
      <c r="C2065">
        <v>138</v>
      </c>
      <c r="D2065">
        <v>241.47800000000001</v>
      </c>
      <c r="E2065" s="1">
        <f>4964</f>
        <v>4964</v>
      </c>
      <c r="F2065">
        <v>1610</v>
      </c>
      <c r="G2065">
        <v>1</v>
      </c>
      <c r="H2065">
        <v>0.2</v>
      </c>
      <c r="I2065">
        <v>0</v>
      </c>
      <c r="J2065">
        <v>-12.735799999999999</v>
      </c>
      <c r="K2065">
        <v>515.86599999999999</v>
      </c>
      <c r="L2065">
        <v>0</v>
      </c>
    </row>
    <row r="2066" spans="1:12" x14ac:dyDescent="0.25">
      <c r="A2066">
        <f>80452633*0.00001</f>
        <v>804.52633000000003</v>
      </c>
      <c r="B2066">
        <v>3498</v>
      </c>
      <c r="C2066">
        <v>139</v>
      </c>
      <c r="D2066">
        <v>241.47800000000001</v>
      </c>
      <c r="E2066">
        <v>4964</v>
      </c>
      <c r="F2066">
        <v>1610</v>
      </c>
      <c r="G2066" s="1">
        <f>1</f>
        <v>1</v>
      </c>
      <c r="H2066">
        <v>0.2</v>
      </c>
      <c r="I2066">
        <v>0</v>
      </c>
      <c r="J2066">
        <v>-12.735799999999999</v>
      </c>
      <c r="K2066">
        <v>515.86599999999999</v>
      </c>
      <c r="L2066">
        <v>0</v>
      </c>
    </row>
    <row r="2067" spans="1:12" x14ac:dyDescent="0.25">
      <c r="A2067">
        <f>80452770*0.00001</f>
        <v>804.5277000000001</v>
      </c>
      <c r="B2067">
        <v>3498</v>
      </c>
      <c r="C2067">
        <v>140</v>
      </c>
      <c r="D2067" s="1">
        <f>241.455</f>
        <v>241.45500000000001</v>
      </c>
      <c r="E2067" s="1">
        <f>4965</f>
        <v>4965</v>
      </c>
      <c r="F2067" s="1">
        <f>1610</f>
        <v>1610</v>
      </c>
      <c r="G2067" s="1">
        <f>1</f>
        <v>1</v>
      </c>
      <c r="H2067" s="1">
        <f>0.2</f>
        <v>0.2</v>
      </c>
      <c r="I2067" s="1">
        <f>0</f>
        <v>0</v>
      </c>
      <c r="J2067" s="1">
        <f>-12.4163</f>
        <v>-12.4163</v>
      </c>
      <c r="K2067" s="1">
        <f>515.838</f>
        <v>515.83799999999997</v>
      </c>
      <c r="L2067" s="1">
        <f>0</f>
        <v>0</v>
      </c>
    </row>
    <row r="2068" spans="1:12" x14ac:dyDescent="0.25">
      <c r="A2068">
        <f>80453597*0.00001</f>
        <v>804.53597000000002</v>
      </c>
      <c r="B2068">
        <v>3498</v>
      </c>
      <c r="C2068">
        <v>146</v>
      </c>
      <c r="D2068" s="1">
        <f>241.448</f>
        <v>241.44800000000001</v>
      </c>
      <c r="E2068">
        <v>4965</v>
      </c>
      <c r="F2068">
        <v>1610</v>
      </c>
      <c r="G2068">
        <v>1</v>
      </c>
      <c r="H2068">
        <v>0.2</v>
      </c>
      <c r="I2068">
        <v>0</v>
      </c>
      <c r="J2068">
        <v>-12.4163</v>
      </c>
      <c r="K2068">
        <v>515.83799999999997</v>
      </c>
      <c r="L2068" s="1">
        <f>0</f>
        <v>0</v>
      </c>
    </row>
    <row r="2069" spans="1:12" x14ac:dyDescent="0.25">
      <c r="A2069">
        <f>80453734*0.00001</f>
        <v>804.53734000000009</v>
      </c>
      <c r="B2069">
        <v>3498</v>
      </c>
      <c r="C2069">
        <v>147</v>
      </c>
      <c r="D2069">
        <v>241.44800000000001</v>
      </c>
      <c r="E2069" s="1">
        <f>4966</f>
        <v>4966</v>
      </c>
      <c r="F2069" s="1">
        <f>1610</f>
        <v>1610</v>
      </c>
      <c r="G2069">
        <v>1</v>
      </c>
      <c r="H2069">
        <v>0.2</v>
      </c>
      <c r="I2069">
        <v>0</v>
      </c>
      <c r="J2069">
        <v>-12.4163</v>
      </c>
      <c r="K2069">
        <v>515.83799999999997</v>
      </c>
      <c r="L2069">
        <v>0</v>
      </c>
    </row>
    <row r="2070" spans="1:12" x14ac:dyDescent="0.25">
      <c r="A2070">
        <f>80453871*0.00001</f>
        <v>804.53871000000004</v>
      </c>
      <c r="B2070">
        <v>3498</v>
      </c>
      <c r="C2070">
        <v>148</v>
      </c>
      <c r="D2070">
        <v>241.44800000000001</v>
      </c>
      <c r="E2070">
        <v>4966</v>
      </c>
      <c r="F2070">
        <v>1610</v>
      </c>
      <c r="G2070" s="1">
        <f>1</f>
        <v>1</v>
      </c>
      <c r="H2070" s="1">
        <f>0.2</f>
        <v>0.2</v>
      </c>
      <c r="I2070">
        <v>0</v>
      </c>
      <c r="J2070">
        <v>-12.4163</v>
      </c>
      <c r="K2070">
        <v>515.83799999999997</v>
      </c>
      <c r="L2070">
        <v>0</v>
      </c>
    </row>
    <row r="2071" spans="1:12" x14ac:dyDescent="0.25">
      <c r="A2071">
        <f>80454008*0.00001</f>
        <v>804.5400800000001</v>
      </c>
      <c r="B2071">
        <v>3498</v>
      </c>
      <c r="C2071">
        <v>149</v>
      </c>
      <c r="D2071">
        <v>241.44800000000001</v>
      </c>
      <c r="E2071">
        <v>4966</v>
      </c>
      <c r="F2071">
        <v>1610</v>
      </c>
      <c r="G2071">
        <v>1</v>
      </c>
      <c r="H2071">
        <v>0.2</v>
      </c>
      <c r="I2071" s="1">
        <f>0</f>
        <v>0</v>
      </c>
      <c r="J2071" s="1">
        <f>-12.2602</f>
        <v>-12.260199999999999</v>
      </c>
      <c r="K2071">
        <v>515.83799999999997</v>
      </c>
      <c r="L2071">
        <v>0</v>
      </c>
    </row>
    <row r="2072" spans="1:12" x14ac:dyDescent="0.25">
      <c r="A2072">
        <f>80454145*0.00001</f>
        <v>804.54145000000005</v>
      </c>
      <c r="B2072">
        <v>3498</v>
      </c>
      <c r="C2072">
        <v>150</v>
      </c>
      <c r="D2072">
        <v>241.44800000000001</v>
      </c>
      <c r="E2072">
        <v>4966</v>
      </c>
      <c r="F2072">
        <v>1610</v>
      </c>
      <c r="G2072">
        <v>1</v>
      </c>
      <c r="H2072">
        <v>0.2</v>
      </c>
      <c r="I2072">
        <v>0</v>
      </c>
      <c r="J2072">
        <v>-12.260199999999999</v>
      </c>
      <c r="K2072" s="1">
        <f>515.828</f>
        <v>515.82799999999997</v>
      </c>
      <c r="L2072" s="1">
        <f>0</f>
        <v>0</v>
      </c>
    </row>
    <row r="2073" spans="1:12" x14ac:dyDescent="0.25">
      <c r="A2073">
        <f>80454283*0.00001</f>
        <v>804.54283000000009</v>
      </c>
      <c r="B2073">
        <v>3498</v>
      </c>
      <c r="C2073">
        <v>151</v>
      </c>
      <c r="D2073">
        <v>241.44800000000001</v>
      </c>
      <c r="E2073" s="1">
        <f>4967</f>
        <v>4967</v>
      </c>
      <c r="F2073">
        <v>1610</v>
      </c>
      <c r="G2073">
        <v>1</v>
      </c>
      <c r="H2073">
        <v>0.2</v>
      </c>
      <c r="I2073">
        <v>0</v>
      </c>
      <c r="J2073">
        <v>-12.260199999999999</v>
      </c>
      <c r="K2073">
        <v>515.82799999999997</v>
      </c>
      <c r="L2073">
        <v>0</v>
      </c>
    </row>
    <row r="2074" spans="1:12" x14ac:dyDescent="0.25">
      <c r="A2074">
        <f>80454421*0.00001</f>
        <v>804.54421000000002</v>
      </c>
      <c r="B2074">
        <v>3498</v>
      </c>
      <c r="C2074">
        <v>152</v>
      </c>
      <c r="D2074">
        <v>241.44800000000001</v>
      </c>
      <c r="E2074">
        <v>4967</v>
      </c>
      <c r="F2074">
        <v>1610</v>
      </c>
      <c r="G2074" s="1">
        <f>1</f>
        <v>1</v>
      </c>
      <c r="H2074">
        <v>0.2</v>
      </c>
      <c r="I2074">
        <v>0</v>
      </c>
      <c r="J2074">
        <v>-12.260199999999999</v>
      </c>
      <c r="K2074">
        <v>515.82799999999997</v>
      </c>
      <c r="L2074">
        <v>0</v>
      </c>
    </row>
    <row r="2075" spans="1:12" x14ac:dyDescent="0.25">
      <c r="A2075">
        <f>80454559*0.00001</f>
        <v>804.54559000000006</v>
      </c>
      <c r="B2075">
        <v>3498</v>
      </c>
      <c r="C2075">
        <v>153</v>
      </c>
      <c r="D2075">
        <v>241.44800000000001</v>
      </c>
      <c r="E2075">
        <v>4967</v>
      </c>
      <c r="F2075">
        <v>1610</v>
      </c>
      <c r="G2075">
        <v>1</v>
      </c>
      <c r="H2075">
        <v>0.2</v>
      </c>
      <c r="I2075" s="1">
        <f>0</f>
        <v>0</v>
      </c>
      <c r="J2075">
        <v>-12.260199999999999</v>
      </c>
      <c r="K2075">
        <v>515.82799999999997</v>
      </c>
      <c r="L2075">
        <v>0</v>
      </c>
    </row>
    <row r="2076" spans="1:12" x14ac:dyDescent="0.25">
      <c r="A2076">
        <f>80454696*0.00001</f>
        <v>804.54696000000001</v>
      </c>
      <c r="B2076">
        <v>3498</v>
      </c>
      <c r="C2076">
        <v>154</v>
      </c>
      <c r="D2076">
        <v>241.44800000000001</v>
      </c>
      <c r="E2076">
        <v>4967</v>
      </c>
      <c r="F2076">
        <v>1610</v>
      </c>
      <c r="G2076">
        <v>1</v>
      </c>
      <c r="H2076">
        <v>0.2</v>
      </c>
      <c r="I2076">
        <v>0</v>
      </c>
      <c r="J2076">
        <v>-12.260199999999999</v>
      </c>
      <c r="K2076" s="1">
        <f>515.82</f>
        <v>515.82000000000005</v>
      </c>
      <c r="L2076">
        <v>0</v>
      </c>
    </row>
    <row r="2077" spans="1:12" x14ac:dyDescent="0.25">
      <c r="A2077">
        <f>80454834*0.00001</f>
        <v>804.54834000000005</v>
      </c>
      <c r="B2077">
        <v>3498</v>
      </c>
      <c r="C2077">
        <v>155</v>
      </c>
      <c r="D2077" s="1">
        <f>241.433</f>
        <v>241.43299999999999</v>
      </c>
      <c r="E2077" s="1">
        <f>4969</f>
        <v>4969</v>
      </c>
      <c r="F2077" s="1">
        <f>1610</f>
        <v>1610</v>
      </c>
      <c r="G2077" s="1">
        <f>1</f>
        <v>1</v>
      </c>
      <c r="H2077" s="1">
        <f>0.2</f>
        <v>0.2</v>
      </c>
      <c r="I2077" s="1">
        <f>0</f>
        <v>0</v>
      </c>
      <c r="J2077" s="1">
        <f>-11.9493</f>
        <v>-11.949299999999999</v>
      </c>
      <c r="K2077" s="1">
        <f>515.812</f>
        <v>515.81200000000001</v>
      </c>
      <c r="L2077" s="1">
        <f>0</f>
        <v>0</v>
      </c>
    </row>
    <row r="2078" spans="1:12" x14ac:dyDescent="0.25">
      <c r="A2078">
        <f>80455798*0.00001</f>
        <v>804.55798000000004</v>
      </c>
      <c r="B2078">
        <v>3498</v>
      </c>
      <c r="C2078">
        <v>162</v>
      </c>
      <c r="D2078">
        <v>241.43299999999999</v>
      </c>
      <c r="E2078">
        <v>4969</v>
      </c>
      <c r="F2078">
        <v>1610</v>
      </c>
      <c r="G2078">
        <v>1</v>
      </c>
      <c r="H2078">
        <v>0.2</v>
      </c>
      <c r="I2078" s="1">
        <f>0</f>
        <v>0</v>
      </c>
      <c r="J2078" s="1">
        <f>-11.822</f>
        <v>-11.821999999999999</v>
      </c>
      <c r="K2078">
        <v>515.81200000000001</v>
      </c>
      <c r="L2078">
        <v>0</v>
      </c>
    </row>
    <row r="2079" spans="1:12" x14ac:dyDescent="0.25">
      <c r="A2079">
        <f>80455935*0.00001</f>
        <v>804.55935000000011</v>
      </c>
      <c r="B2079">
        <v>3498</v>
      </c>
      <c r="C2079">
        <v>163</v>
      </c>
      <c r="D2079">
        <v>241.43299999999999</v>
      </c>
      <c r="E2079">
        <v>4969</v>
      </c>
      <c r="F2079">
        <v>1610</v>
      </c>
      <c r="G2079">
        <v>1</v>
      </c>
      <c r="H2079">
        <v>0.2</v>
      </c>
      <c r="I2079">
        <v>0</v>
      </c>
      <c r="J2079">
        <v>-11.821999999999999</v>
      </c>
      <c r="K2079" s="1">
        <f>515.802</f>
        <v>515.80200000000002</v>
      </c>
      <c r="L2079" s="1">
        <f>0</f>
        <v>0</v>
      </c>
    </row>
    <row r="2080" spans="1:12" x14ac:dyDescent="0.25">
      <c r="A2080">
        <f>80456072*0.00001</f>
        <v>804.56072000000006</v>
      </c>
      <c r="B2080">
        <v>3498</v>
      </c>
      <c r="C2080">
        <v>164</v>
      </c>
      <c r="D2080" s="1">
        <f>241.429</f>
        <v>241.429</v>
      </c>
      <c r="E2080" s="1">
        <f>4970</f>
        <v>4970</v>
      </c>
      <c r="F2080">
        <v>1610</v>
      </c>
      <c r="G2080">
        <v>1</v>
      </c>
      <c r="H2080">
        <v>0.2</v>
      </c>
      <c r="I2080">
        <v>0</v>
      </c>
      <c r="J2080">
        <v>-11.821999999999999</v>
      </c>
      <c r="K2080">
        <v>515.80200000000002</v>
      </c>
      <c r="L2080">
        <v>0</v>
      </c>
    </row>
    <row r="2081" spans="1:12" x14ac:dyDescent="0.25">
      <c r="A2081">
        <f>80456209*0.00001</f>
        <v>804.56209000000001</v>
      </c>
      <c r="B2081">
        <v>3498</v>
      </c>
      <c r="C2081">
        <v>165</v>
      </c>
      <c r="D2081">
        <v>241.429</v>
      </c>
      <c r="E2081">
        <v>4970</v>
      </c>
      <c r="F2081" s="1">
        <f>1610</f>
        <v>1610</v>
      </c>
      <c r="G2081" s="1">
        <f>1</f>
        <v>1</v>
      </c>
      <c r="H2081">
        <v>0.2</v>
      </c>
      <c r="I2081">
        <v>0</v>
      </c>
      <c r="J2081">
        <v>-11.821999999999999</v>
      </c>
      <c r="K2081">
        <v>515.80200000000002</v>
      </c>
      <c r="L2081">
        <v>0</v>
      </c>
    </row>
    <row r="2082" spans="1:12" x14ac:dyDescent="0.25">
      <c r="A2082">
        <f>80456347*0.00001</f>
        <v>804.56347000000005</v>
      </c>
      <c r="B2082">
        <v>3498</v>
      </c>
      <c r="C2082">
        <v>166</v>
      </c>
      <c r="D2082">
        <v>241.429</v>
      </c>
      <c r="E2082">
        <v>4970</v>
      </c>
      <c r="F2082">
        <v>1610</v>
      </c>
      <c r="G2082">
        <v>1</v>
      </c>
      <c r="H2082">
        <v>0.2</v>
      </c>
      <c r="I2082" s="1">
        <f>0</f>
        <v>0</v>
      </c>
      <c r="J2082">
        <v>-11.821999999999999</v>
      </c>
      <c r="K2082">
        <v>515.80200000000002</v>
      </c>
      <c r="L2082">
        <v>0</v>
      </c>
    </row>
    <row r="2083" spans="1:12" x14ac:dyDescent="0.25">
      <c r="A2083">
        <f>80456485*0.00001</f>
        <v>804.56485000000009</v>
      </c>
      <c r="B2083">
        <v>3498</v>
      </c>
      <c r="C2083">
        <v>167</v>
      </c>
      <c r="D2083">
        <v>241.429</v>
      </c>
      <c r="E2083">
        <v>4970</v>
      </c>
      <c r="F2083">
        <v>1610</v>
      </c>
      <c r="G2083">
        <v>1</v>
      </c>
      <c r="H2083">
        <v>0.2</v>
      </c>
      <c r="I2083">
        <v>0</v>
      </c>
      <c r="J2083">
        <v>-11.821999999999999</v>
      </c>
      <c r="K2083" s="1">
        <f>515.795</f>
        <v>515.79499999999996</v>
      </c>
      <c r="L2083">
        <v>0</v>
      </c>
    </row>
    <row r="2084" spans="1:12" x14ac:dyDescent="0.25">
      <c r="A2084">
        <f>80456623*0.00001</f>
        <v>804.56623000000002</v>
      </c>
      <c r="B2084">
        <v>3498</v>
      </c>
      <c r="C2084">
        <v>168</v>
      </c>
      <c r="D2084" s="1">
        <f>241.427</f>
        <v>241.42699999999999</v>
      </c>
      <c r="E2084">
        <v>4970</v>
      </c>
      <c r="F2084">
        <v>1610</v>
      </c>
      <c r="G2084">
        <v>1</v>
      </c>
      <c r="H2084">
        <v>0.2</v>
      </c>
      <c r="I2084">
        <v>0</v>
      </c>
      <c r="J2084">
        <v>-11.821999999999999</v>
      </c>
      <c r="K2084">
        <v>515.79499999999996</v>
      </c>
      <c r="L2084">
        <v>0</v>
      </c>
    </row>
    <row r="2085" spans="1:12" x14ac:dyDescent="0.25">
      <c r="A2085">
        <f>80456761*0.00001</f>
        <v>804.56761000000006</v>
      </c>
      <c r="B2085">
        <v>3498</v>
      </c>
      <c r="C2085">
        <v>169</v>
      </c>
      <c r="D2085">
        <v>241.42699999999999</v>
      </c>
      <c r="E2085">
        <v>4970</v>
      </c>
      <c r="F2085" s="1">
        <f>1610</f>
        <v>1610</v>
      </c>
      <c r="G2085">
        <v>1</v>
      </c>
      <c r="H2085">
        <v>0.2</v>
      </c>
      <c r="I2085">
        <v>0</v>
      </c>
      <c r="J2085">
        <v>-11.821999999999999</v>
      </c>
      <c r="K2085">
        <v>515.79499999999996</v>
      </c>
      <c r="L2085">
        <v>0</v>
      </c>
    </row>
    <row r="2086" spans="1:12" x14ac:dyDescent="0.25">
      <c r="A2086">
        <f>80456898*0.00001</f>
        <v>804.56898000000001</v>
      </c>
      <c r="B2086">
        <v>3498</v>
      </c>
      <c r="C2086">
        <v>170</v>
      </c>
      <c r="D2086" s="1">
        <f>241.399</f>
        <v>241.399</v>
      </c>
      <c r="E2086" s="1">
        <f>4973</f>
        <v>4973</v>
      </c>
      <c r="F2086" s="1">
        <f>1610</f>
        <v>1610</v>
      </c>
      <c r="G2086" s="1">
        <f>1</f>
        <v>1</v>
      </c>
      <c r="H2086" s="1">
        <f>0.2</f>
        <v>0.2</v>
      </c>
      <c r="I2086" s="1">
        <f>0</f>
        <v>0</v>
      </c>
      <c r="J2086" s="1">
        <f>-11.2935</f>
        <v>-11.2935</v>
      </c>
      <c r="K2086" s="1">
        <f>515.787</f>
        <v>515.78700000000003</v>
      </c>
      <c r="L2086" s="1">
        <f>0</f>
        <v>0</v>
      </c>
    </row>
    <row r="2087" spans="1:12" x14ac:dyDescent="0.25">
      <c r="A2087">
        <f>80457726*0.00001</f>
        <v>804.57726000000002</v>
      </c>
      <c r="B2087">
        <v>3498</v>
      </c>
      <c r="C2087">
        <v>176</v>
      </c>
      <c r="D2087">
        <v>241.399</v>
      </c>
      <c r="E2087">
        <v>4973</v>
      </c>
      <c r="F2087">
        <v>1610</v>
      </c>
      <c r="G2087">
        <v>1</v>
      </c>
      <c r="H2087">
        <v>0.2</v>
      </c>
      <c r="I2087">
        <v>0</v>
      </c>
      <c r="J2087">
        <v>-11.2935</v>
      </c>
      <c r="K2087" s="1">
        <f>515.778</f>
        <v>515.77800000000002</v>
      </c>
      <c r="L2087" s="1">
        <f>0</f>
        <v>0</v>
      </c>
    </row>
    <row r="2088" spans="1:12" x14ac:dyDescent="0.25">
      <c r="A2088">
        <f>80457863*0.00001</f>
        <v>804.57863000000009</v>
      </c>
      <c r="B2088">
        <v>3498</v>
      </c>
      <c r="C2088">
        <v>177</v>
      </c>
      <c r="D2088" s="1">
        <f>241.324</f>
        <v>241.32400000000001</v>
      </c>
      <c r="E2088" s="1">
        <f>4975</f>
        <v>4975</v>
      </c>
      <c r="F2088">
        <v>1610</v>
      </c>
      <c r="G2088">
        <v>1</v>
      </c>
      <c r="H2088">
        <v>0.2</v>
      </c>
      <c r="I2088">
        <v>0</v>
      </c>
      <c r="J2088">
        <v>-11.2935</v>
      </c>
      <c r="K2088">
        <v>515.77800000000002</v>
      </c>
      <c r="L2088">
        <v>0</v>
      </c>
    </row>
    <row r="2089" spans="1:12" x14ac:dyDescent="0.25">
      <c r="A2089">
        <f>80458001*0.00001</f>
        <v>804.58001000000002</v>
      </c>
      <c r="B2089">
        <v>3498</v>
      </c>
      <c r="C2089">
        <v>178</v>
      </c>
      <c r="D2089">
        <v>241.32400000000001</v>
      </c>
      <c r="E2089">
        <v>4975</v>
      </c>
      <c r="F2089" s="1">
        <f>1610</f>
        <v>1610</v>
      </c>
      <c r="G2089" s="1">
        <f>1</f>
        <v>1</v>
      </c>
      <c r="H2089" s="1">
        <f>0.2</f>
        <v>0.2</v>
      </c>
      <c r="I2089" s="1">
        <f>0</f>
        <v>0</v>
      </c>
      <c r="J2089">
        <v>-11.2935</v>
      </c>
      <c r="K2089">
        <v>515.77800000000002</v>
      </c>
      <c r="L2089">
        <v>0</v>
      </c>
    </row>
    <row r="2090" spans="1:12" s="2" customFormat="1" x14ac:dyDescent="0.25">
      <c r="A2090" s="2">
        <f>80458277*0.00001</f>
        <v>804.5827700000001</v>
      </c>
      <c r="B2090" s="2">
        <v>3499</v>
      </c>
      <c r="C2090" s="2">
        <v>0</v>
      </c>
      <c r="D2090" s="2">
        <v>241.32400000000001</v>
      </c>
      <c r="E2090" s="2">
        <v>4975</v>
      </c>
      <c r="F2090" s="2">
        <v>1610</v>
      </c>
      <c r="G2090" s="2">
        <v>1</v>
      </c>
      <c r="H2090" s="2">
        <v>0.2</v>
      </c>
      <c r="I2090" s="2">
        <v>0</v>
      </c>
      <c r="J2090" s="2">
        <v>-11.2935</v>
      </c>
      <c r="K2090" s="1">
        <f>515.774</f>
        <v>515.774</v>
      </c>
      <c r="L2090" s="2">
        <v>0</v>
      </c>
    </row>
    <row r="2091" spans="1:12" x14ac:dyDescent="0.25">
      <c r="A2091">
        <f>80458415*0.00001</f>
        <v>804.58415000000002</v>
      </c>
      <c r="B2091">
        <v>3499</v>
      </c>
      <c r="C2091">
        <v>1</v>
      </c>
      <c r="D2091" s="1">
        <f>241.298</f>
        <v>241.298</v>
      </c>
      <c r="E2091">
        <v>4975</v>
      </c>
      <c r="F2091">
        <v>1610</v>
      </c>
      <c r="G2091">
        <v>1</v>
      </c>
      <c r="H2091">
        <v>0.2</v>
      </c>
      <c r="I2091">
        <v>0</v>
      </c>
      <c r="J2091">
        <v>-11.2935</v>
      </c>
      <c r="K2091">
        <v>515.774</v>
      </c>
      <c r="L2091">
        <v>0</v>
      </c>
    </row>
    <row r="2092" spans="1:12" x14ac:dyDescent="0.25">
      <c r="A2092">
        <f>80458553*0.00001</f>
        <v>804.58553000000006</v>
      </c>
      <c r="B2092">
        <v>3499</v>
      </c>
      <c r="C2092">
        <v>2</v>
      </c>
      <c r="D2092">
        <v>241.298</v>
      </c>
      <c r="E2092">
        <v>4975</v>
      </c>
      <c r="F2092" s="1">
        <f>1610</f>
        <v>1610</v>
      </c>
      <c r="G2092">
        <v>1</v>
      </c>
      <c r="H2092">
        <v>0.2</v>
      </c>
      <c r="I2092">
        <v>0</v>
      </c>
      <c r="J2092">
        <v>-11.2935</v>
      </c>
      <c r="K2092">
        <v>515.774</v>
      </c>
      <c r="L2092">
        <v>0</v>
      </c>
    </row>
    <row r="2093" spans="1:12" x14ac:dyDescent="0.25">
      <c r="A2093">
        <f>80458690*0.00001</f>
        <v>804.58690000000001</v>
      </c>
      <c r="B2093">
        <v>3499</v>
      </c>
      <c r="C2093">
        <v>3</v>
      </c>
      <c r="D2093">
        <v>241.298</v>
      </c>
      <c r="E2093">
        <v>4975</v>
      </c>
      <c r="F2093">
        <v>1610</v>
      </c>
      <c r="G2093">
        <v>1</v>
      </c>
      <c r="H2093" s="1">
        <f>0.2</f>
        <v>0.2</v>
      </c>
      <c r="I2093">
        <v>0</v>
      </c>
      <c r="J2093">
        <v>-11.2935</v>
      </c>
      <c r="K2093">
        <v>515.774</v>
      </c>
      <c r="L2093">
        <v>0</v>
      </c>
    </row>
    <row r="2094" spans="1:12" x14ac:dyDescent="0.25">
      <c r="A2094">
        <f>80458828*0.00001</f>
        <v>804.58828000000005</v>
      </c>
      <c r="B2094">
        <v>3499</v>
      </c>
      <c r="C2094">
        <v>4</v>
      </c>
      <c r="D2094" s="1">
        <f>241.256</f>
        <v>241.256</v>
      </c>
      <c r="E2094" s="1">
        <f>4979</f>
        <v>4979</v>
      </c>
      <c r="F2094" s="1">
        <f>1610</f>
        <v>1610</v>
      </c>
      <c r="G2094" s="1">
        <f>1</f>
        <v>1</v>
      </c>
      <c r="H2094" s="1">
        <f>0.2</f>
        <v>0.2</v>
      </c>
      <c r="I2094" s="1">
        <f>0</f>
        <v>0</v>
      </c>
      <c r="J2094" s="1">
        <f>-10.7211</f>
        <v>-10.7211</v>
      </c>
      <c r="K2094" s="1">
        <f>515.758</f>
        <v>515.75800000000004</v>
      </c>
      <c r="L2094" s="1">
        <f>0</f>
        <v>0</v>
      </c>
    </row>
    <row r="2095" spans="1:12" x14ac:dyDescent="0.25">
      <c r="A2095">
        <f>80459655*0.00001</f>
        <v>804.59655000000009</v>
      </c>
      <c r="B2095">
        <v>3499</v>
      </c>
      <c r="C2095">
        <v>10</v>
      </c>
      <c r="D2095" s="1">
        <f>241.21</f>
        <v>241.21</v>
      </c>
      <c r="E2095" s="1">
        <f>4981</f>
        <v>4981</v>
      </c>
      <c r="F2095">
        <v>1610</v>
      </c>
      <c r="G2095">
        <v>1</v>
      </c>
      <c r="H2095">
        <v>0.2</v>
      </c>
      <c r="I2095">
        <v>0</v>
      </c>
      <c r="J2095">
        <v>-10.7211</v>
      </c>
      <c r="K2095">
        <v>515.75800000000004</v>
      </c>
      <c r="L2095">
        <v>0</v>
      </c>
    </row>
    <row r="2096" spans="1:12" x14ac:dyDescent="0.25">
      <c r="A2096">
        <f>80459793*0.00001</f>
        <v>804.59793000000002</v>
      </c>
      <c r="B2096">
        <v>3499</v>
      </c>
      <c r="C2096">
        <v>11</v>
      </c>
      <c r="D2096">
        <v>241.21</v>
      </c>
      <c r="E2096">
        <v>4981</v>
      </c>
      <c r="F2096" s="1">
        <f>1610</f>
        <v>1610</v>
      </c>
      <c r="G2096" s="1">
        <f>1</f>
        <v>1</v>
      </c>
      <c r="H2096">
        <v>0.2</v>
      </c>
      <c r="I2096">
        <v>0</v>
      </c>
      <c r="J2096">
        <v>-10.7211</v>
      </c>
      <c r="K2096">
        <v>515.75800000000004</v>
      </c>
      <c r="L2096">
        <v>0</v>
      </c>
    </row>
    <row r="2097" spans="1:12" x14ac:dyDescent="0.25">
      <c r="A2097">
        <f>80459931*0.00001</f>
        <v>804.59931000000006</v>
      </c>
      <c r="B2097">
        <v>3499</v>
      </c>
      <c r="C2097">
        <v>12</v>
      </c>
      <c r="D2097">
        <v>241.21</v>
      </c>
      <c r="E2097">
        <v>4981</v>
      </c>
      <c r="F2097">
        <v>1610</v>
      </c>
      <c r="G2097">
        <v>1</v>
      </c>
      <c r="H2097" s="1">
        <f>0.2</f>
        <v>0.2</v>
      </c>
      <c r="I2097" s="1">
        <f>0</f>
        <v>0</v>
      </c>
      <c r="J2097">
        <v>-10.7211</v>
      </c>
      <c r="K2097">
        <v>515.75800000000004</v>
      </c>
      <c r="L2097">
        <v>0</v>
      </c>
    </row>
    <row r="2098" spans="1:12" x14ac:dyDescent="0.25">
      <c r="A2098">
        <f>80460069*0.00001</f>
        <v>804.6006900000001</v>
      </c>
      <c r="B2098">
        <v>3499</v>
      </c>
      <c r="C2098">
        <v>13</v>
      </c>
      <c r="D2098">
        <v>241.21</v>
      </c>
      <c r="E2098">
        <v>4981</v>
      </c>
      <c r="F2098">
        <v>1610</v>
      </c>
      <c r="G2098">
        <v>1</v>
      </c>
      <c r="H2098">
        <v>0.2</v>
      </c>
      <c r="I2098">
        <v>0</v>
      </c>
      <c r="J2098" s="1">
        <f>-10.5052</f>
        <v>-10.5052</v>
      </c>
      <c r="K2098" s="1">
        <f>515.751</f>
        <v>515.75099999999998</v>
      </c>
      <c r="L2098">
        <v>0</v>
      </c>
    </row>
    <row r="2099" spans="1:12" x14ac:dyDescent="0.25">
      <c r="A2099">
        <f>80460207*0.00001</f>
        <v>804.60207000000003</v>
      </c>
      <c r="B2099">
        <v>3499</v>
      </c>
      <c r="C2099">
        <v>14</v>
      </c>
      <c r="D2099" s="1">
        <f>241.187</f>
        <v>241.18700000000001</v>
      </c>
      <c r="E2099">
        <v>4981</v>
      </c>
      <c r="F2099">
        <v>1610</v>
      </c>
      <c r="G2099">
        <v>1</v>
      </c>
      <c r="H2099">
        <v>0.2</v>
      </c>
      <c r="I2099">
        <v>0</v>
      </c>
      <c r="J2099">
        <v>-10.5052</v>
      </c>
      <c r="K2099">
        <v>515.75099999999998</v>
      </c>
      <c r="L2099" s="1">
        <f>0</f>
        <v>0</v>
      </c>
    </row>
    <row r="2100" spans="1:12" x14ac:dyDescent="0.25">
      <c r="A2100">
        <f>80460344*0.00001</f>
        <v>804.60344000000009</v>
      </c>
      <c r="B2100">
        <v>3499</v>
      </c>
      <c r="C2100">
        <v>15</v>
      </c>
      <c r="D2100">
        <v>241.18700000000001</v>
      </c>
      <c r="E2100">
        <v>4981</v>
      </c>
      <c r="F2100" s="1">
        <f>1610</f>
        <v>1610</v>
      </c>
      <c r="G2100">
        <v>1</v>
      </c>
      <c r="H2100">
        <v>0.2</v>
      </c>
      <c r="I2100">
        <v>0</v>
      </c>
      <c r="J2100">
        <v>-10.5052</v>
      </c>
      <c r="K2100">
        <v>515.75099999999998</v>
      </c>
      <c r="L2100">
        <v>0</v>
      </c>
    </row>
    <row r="2101" spans="1:12" x14ac:dyDescent="0.25">
      <c r="A2101">
        <f>80460481*0.00001</f>
        <v>804.60481000000004</v>
      </c>
      <c r="B2101">
        <v>3499</v>
      </c>
      <c r="C2101">
        <v>16</v>
      </c>
      <c r="D2101">
        <v>241.18700000000001</v>
      </c>
      <c r="E2101">
        <v>4981</v>
      </c>
      <c r="F2101">
        <v>1610</v>
      </c>
      <c r="G2101">
        <v>1</v>
      </c>
      <c r="H2101" s="1">
        <f>0.2</f>
        <v>0.2</v>
      </c>
      <c r="I2101">
        <v>0</v>
      </c>
      <c r="J2101">
        <v>-10.5052</v>
      </c>
      <c r="K2101">
        <v>515.75099999999998</v>
      </c>
      <c r="L2101">
        <v>0</v>
      </c>
    </row>
    <row r="2102" spans="1:12" x14ac:dyDescent="0.25">
      <c r="A2102">
        <f>80460619*0.00001</f>
        <v>804.60619000000008</v>
      </c>
      <c r="B2102">
        <v>3499</v>
      </c>
      <c r="C2102">
        <v>17</v>
      </c>
      <c r="D2102">
        <v>241.18700000000001</v>
      </c>
      <c r="E2102">
        <v>4981</v>
      </c>
      <c r="F2102">
        <v>1610</v>
      </c>
      <c r="G2102">
        <v>1</v>
      </c>
      <c r="H2102">
        <v>0.2</v>
      </c>
      <c r="I2102">
        <v>0</v>
      </c>
      <c r="J2102" s="1">
        <f>-10.3365</f>
        <v>-10.336499999999999</v>
      </c>
      <c r="K2102">
        <v>515.75099999999998</v>
      </c>
      <c r="L2102">
        <v>0</v>
      </c>
    </row>
    <row r="2103" spans="1:12" x14ac:dyDescent="0.25">
      <c r="A2103">
        <f>80460757*0.00001</f>
        <v>804.60757000000001</v>
      </c>
      <c r="B2103">
        <v>3499</v>
      </c>
      <c r="C2103">
        <v>18</v>
      </c>
      <c r="D2103">
        <v>241.18700000000001</v>
      </c>
      <c r="E2103">
        <v>4981</v>
      </c>
      <c r="F2103">
        <v>1610</v>
      </c>
      <c r="G2103">
        <v>1</v>
      </c>
      <c r="H2103">
        <v>0.2</v>
      </c>
      <c r="I2103">
        <v>0</v>
      </c>
      <c r="J2103">
        <v>-10.336499999999999</v>
      </c>
      <c r="K2103">
        <v>515.75099999999998</v>
      </c>
      <c r="L2103" s="1">
        <f>0</f>
        <v>0</v>
      </c>
    </row>
    <row r="2104" spans="1:12" x14ac:dyDescent="0.25">
      <c r="A2104">
        <f>80460894*0.00001</f>
        <v>804.60894000000008</v>
      </c>
      <c r="B2104">
        <v>3499</v>
      </c>
      <c r="C2104">
        <v>19</v>
      </c>
      <c r="D2104" s="1">
        <f>241.142</f>
        <v>241.142</v>
      </c>
      <c r="E2104" s="1">
        <f>4985</f>
        <v>4985</v>
      </c>
      <c r="F2104" s="1">
        <f>1610</f>
        <v>1610</v>
      </c>
      <c r="G2104" s="1">
        <f>1</f>
        <v>1</v>
      </c>
      <c r="H2104" s="1">
        <f>0.2</f>
        <v>0.2</v>
      </c>
      <c r="I2104" s="1">
        <f>0</f>
        <v>0</v>
      </c>
      <c r="J2104" s="1">
        <f>-10.1924</f>
        <v>-10.192399999999999</v>
      </c>
      <c r="K2104" s="1">
        <f>515.735</f>
        <v>515.73500000000001</v>
      </c>
      <c r="L2104" s="1">
        <f>0</f>
        <v>0</v>
      </c>
    </row>
    <row r="2105" spans="1:12" x14ac:dyDescent="0.25">
      <c r="A2105">
        <f>80461719*0.00001</f>
        <v>804.61719000000005</v>
      </c>
      <c r="B2105">
        <v>3499</v>
      </c>
      <c r="C2105">
        <v>25</v>
      </c>
      <c r="D2105">
        <v>241.142</v>
      </c>
      <c r="E2105">
        <v>4985</v>
      </c>
      <c r="F2105">
        <v>1610</v>
      </c>
      <c r="G2105">
        <v>1</v>
      </c>
      <c r="H2105" s="1">
        <f>0.2</f>
        <v>0.2</v>
      </c>
      <c r="I2105" s="1">
        <f>0</f>
        <v>0</v>
      </c>
      <c r="J2105">
        <v>-10.192399999999999</v>
      </c>
      <c r="K2105">
        <v>515.73500000000001</v>
      </c>
      <c r="L2105">
        <v>0</v>
      </c>
    </row>
    <row r="2106" spans="1:12" x14ac:dyDescent="0.25">
      <c r="A2106">
        <f>80461857*0.00001</f>
        <v>804.61857000000009</v>
      </c>
      <c r="B2106">
        <v>3499</v>
      </c>
      <c r="C2106">
        <v>26</v>
      </c>
      <c r="D2106">
        <v>241.142</v>
      </c>
      <c r="E2106">
        <v>4985</v>
      </c>
      <c r="F2106">
        <v>1610</v>
      </c>
      <c r="G2106">
        <v>1</v>
      </c>
      <c r="H2106">
        <v>0.2</v>
      </c>
      <c r="I2106">
        <v>0</v>
      </c>
      <c r="J2106" s="1">
        <f>-9.9986</f>
        <v>-9.9985999999999997</v>
      </c>
      <c r="K2106" s="1">
        <f>515.729</f>
        <v>515.72900000000004</v>
      </c>
      <c r="L2106">
        <v>0</v>
      </c>
    </row>
    <row r="2107" spans="1:12" x14ac:dyDescent="0.25">
      <c r="A2107">
        <f>80461994*0.00001</f>
        <v>804.61994000000004</v>
      </c>
      <c r="B2107">
        <v>3499</v>
      </c>
      <c r="C2107">
        <v>27</v>
      </c>
      <c r="D2107" s="1">
        <f>241.129</f>
        <v>241.12899999999999</v>
      </c>
      <c r="E2107">
        <v>4985</v>
      </c>
      <c r="F2107">
        <v>1610</v>
      </c>
      <c r="G2107">
        <v>1</v>
      </c>
      <c r="H2107">
        <v>0.2</v>
      </c>
      <c r="I2107">
        <v>0</v>
      </c>
      <c r="J2107">
        <v>-9.9985999999999997</v>
      </c>
      <c r="K2107">
        <v>515.72900000000004</v>
      </c>
      <c r="L2107" s="1">
        <f>0</f>
        <v>0</v>
      </c>
    </row>
    <row r="2108" spans="1:12" x14ac:dyDescent="0.25">
      <c r="A2108">
        <f>80462131*0.00001</f>
        <v>804.62131000000011</v>
      </c>
      <c r="B2108">
        <v>3499</v>
      </c>
      <c r="C2108">
        <v>28</v>
      </c>
      <c r="D2108">
        <v>241.12899999999999</v>
      </c>
      <c r="E2108" s="1">
        <f>4986</f>
        <v>4986</v>
      </c>
      <c r="F2108" s="1">
        <f>1610</f>
        <v>1610</v>
      </c>
      <c r="G2108">
        <v>1</v>
      </c>
      <c r="H2108">
        <v>0.2</v>
      </c>
      <c r="I2108">
        <v>0</v>
      </c>
      <c r="J2108">
        <v>-9.9985999999999997</v>
      </c>
      <c r="K2108">
        <v>515.72900000000004</v>
      </c>
      <c r="L2108">
        <v>0</v>
      </c>
    </row>
    <row r="2109" spans="1:12" x14ac:dyDescent="0.25">
      <c r="A2109">
        <f>80462269*0.00001</f>
        <v>804.62269000000003</v>
      </c>
      <c r="B2109">
        <v>3499</v>
      </c>
      <c r="C2109">
        <v>29</v>
      </c>
      <c r="D2109">
        <v>241.12899999999999</v>
      </c>
      <c r="E2109">
        <v>4986</v>
      </c>
      <c r="F2109">
        <v>1610</v>
      </c>
      <c r="G2109" s="1">
        <f>1</f>
        <v>1</v>
      </c>
      <c r="H2109" s="1">
        <f>0.2</f>
        <v>0.2</v>
      </c>
      <c r="I2109">
        <v>0</v>
      </c>
      <c r="J2109">
        <v>-9.9985999999999997</v>
      </c>
      <c r="K2109">
        <v>515.72900000000004</v>
      </c>
      <c r="L2109">
        <v>0</v>
      </c>
    </row>
    <row r="2110" spans="1:12" x14ac:dyDescent="0.25">
      <c r="A2110">
        <f>80462407*0.00001</f>
        <v>804.62407000000007</v>
      </c>
      <c r="B2110">
        <v>3499</v>
      </c>
      <c r="C2110">
        <v>30</v>
      </c>
      <c r="D2110">
        <v>241.12899999999999</v>
      </c>
      <c r="E2110">
        <v>4986</v>
      </c>
      <c r="F2110">
        <v>1610</v>
      </c>
      <c r="G2110">
        <v>1</v>
      </c>
      <c r="H2110">
        <v>0.2</v>
      </c>
      <c r="I2110">
        <v>0</v>
      </c>
      <c r="J2110" s="1">
        <f>-9.83667</f>
        <v>-9.8366699999999998</v>
      </c>
      <c r="K2110">
        <v>515.72900000000004</v>
      </c>
      <c r="L2110">
        <v>0</v>
      </c>
    </row>
    <row r="2111" spans="1:12" x14ac:dyDescent="0.25">
      <c r="A2111">
        <f>80462544*0.00001</f>
        <v>804.62544000000003</v>
      </c>
      <c r="B2111">
        <v>3499</v>
      </c>
      <c r="C2111">
        <v>31</v>
      </c>
      <c r="D2111">
        <v>241.12899999999999</v>
      </c>
      <c r="E2111">
        <v>4986</v>
      </c>
      <c r="F2111">
        <v>1610</v>
      </c>
      <c r="G2111">
        <v>1</v>
      </c>
      <c r="H2111">
        <v>0.2</v>
      </c>
      <c r="I2111">
        <v>0</v>
      </c>
      <c r="J2111">
        <v>-9.8366699999999998</v>
      </c>
      <c r="K2111">
        <v>515.72900000000004</v>
      </c>
      <c r="L2111" s="1">
        <f>0</f>
        <v>0</v>
      </c>
    </row>
    <row r="2112" spans="1:12" x14ac:dyDescent="0.25">
      <c r="A2112">
        <f>80462682*0.00001</f>
        <v>804.62682000000007</v>
      </c>
      <c r="B2112">
        <v>3499</v>
      </c>
      <c r="C2112">
        <v>32</v>
      </c>
      <c r="D2112">
        <v>241.12899999999999</v>
      </c>
      <c r="E2112" s="1">
        <f>4988</f>
        <v>4988</v>
      </c>
      <c r="F2112">
        <v>1610</v>
      </c>
      <c r="G2112">
        <v>1</v>
      </c>
      <c r="H2112">
        <v>0.2</v>
      </c>
      <c r="I2112">
        <v>0</v>
      </c>
      <c r="J2112">
        <v>-9.8366699999999998</v>
      </c>
      <c r="K2112">
        <v>515.72900000000004</v>
      </c>
      <c r="L2112">
        <v>0</v>
      </c>
    </row>
    <row r="2113" spans="1:12" x14ac:dyDescent="0.25">
      <c r="A2113">
        <f>80462820*0.00001</f>
        <v>804.62820000000011</v>
      </c>
      <c r="B2113">
        <v>3499</v>
      </c>
      <c r="C2113">
        <v>33</v>
      </c>
      <c r="D2113">
        <v>241.12899999999999</v>
      </c>
      <c r="E2113">
        <v>4988</v>
      </c>
      <c r="F2113">
        <v>1610</v>
      </c>
      <c r="G2113" s="1">
        <f>1</f>
        <v>1</v>
      </c>
      <c r="H2113">
        <v>0.2</v>
      </c>
      <c r="I2113">
        <v>0</v>
      </c>
      <c r="J2113">
        <v>-9.8366699999999998</v>
      </c>
      <c r="K2113">
        <v>515.72900000000004</v>
      </c>
      <c r="L2113">
        <v>0</v>
      </c>
    </row>
    <row r="2114" spans="1:12" x14ac:dyDescent="0.25">
      <c r="A2114">
        <f>80462957*0.00001</f>
        <v>804.62957000000006</v>
      </c>
      <c r="B2114">
        <v>3499</v>
      </c>
      <c r="C2114">
        <v>34</v>
      </c>
      <c r="D2114" s="1">
        <f>241.106</f>
        <v>241.10599999999999</v>
      </c>
      <c r="E2114" s="1">
        <f>4989</f>
        <v>4989</v>
      </c>
      <c r="F2114" s="1">
        <f>1610</f>
        <v>1610</v>
      </c>
      <c r="G2114" s="1">
        <f>1</f>
        <v>1</v>
      </c>
      <c r="H2114" s="1">
        <f>0.2</f>
        <v>0.2</v>
      </c>
      <c r="I2114" s="1">
        <f>0</f>
        <v>0</v>
      </c>
      <c r="J2114" s="1">
        <f>-9.51733</f>
        <v>-9.5173299999999994</v>
      </c>
      <c r="K2114" s="1">
        <f>515.714</f>
        <v>515.71400000000006</v>
      </c>
      <c r="L2114" s="1">
        <f>0</f>
        <v>0</v>
      </c>
    </row>
    <row r="2115" spans="1:12" x14ac:dyDescent="0.25">
      <c r="A2115">
        <f>80463783*0.00001</f>
        <v>804.63783000000012</v>
      </c>
      <c r="B2115">
        <v>3499</v>
      </c>
      <c r="C2115">
        <v>40</v>
      </c>
      <c r="D2115">
        <v>241.10599999999999</v>
      </c>
      <c r="E2115">
        <v>4989</v>
      </c>
      <c r="F2115">
        <v>1610</v>
      </c>
      <c r="G2115">
        <v>1</v>
      </c>
      <c r="H2115">
        <v>0.2</v>
      </c>
      <c r="I2115">
        <v>0</v>
      </c>
      <c r="J2115">
        <v>-9.5173299999999994</v>
      </c>
      <c r="K2115" s="1">
        <f>515.706</f>
        <v>515.70600000000002</v>
      </c>
      <c r="L2115" s="1">
        <f>0</f>
        <v>0</v>
      </c>
    </row>
    <row r="2116" spans="1:12" x14ac:dyDescent="0.25">
      <c r="A2116">
        <f>80463921*0.00001</f>
        <v>804.63921000000005</v>
      </c>
      <c r="B2116">
        <v>3499</v>
      </c>
      <c r="C2116">
        <v>41</v>
      </c>
      <c r="D2116" s="1">
        <f>241.097</f>
        <v>241.09700000000001</v>
      </c>
      <c r="E2116" s="1">
        <f>4990</f>
        <v>4990</v>
      </c>
      <c r="F2116">
        <v>1610</v>
      </c>
      <c r="G2116">
        <v>1</v>
      </c>
      <c r="H2116">
        <v>0.2</v>
      </c>
      <c r="I2116">
        <v>0</v>
      </c>
      <c r="J2116">
        <v>-9.5173299999999994</v>
      </c>
      <c r="K2116">
        <v>515.70600000000002</v>
      </c>
      <c r="L2116">
        <v>0</v>
      </c>
    </row>
    <row r="2117" spans="1:12" x14ac:dyDescent="0.25">
      <c r="A2117">
        <f>80464059*0.00001</f>
        <v>804.64059000000009</v>
      </c>
      <c r="B2117">
        <v>3499</v>
      </c>
      <c r="C2117">
        <v>42</v>
      </c>
      <c r="D2117">
        <v>241.09700000000001</v>
      </c>
      <c r="E2117">
        <v>4990</v>
      </c>
      <c r="F2117" s="1">
        <f>1610</f>
        <v>1610</v>
      </c>
      <c r="G2117" s="1">
        <f>1</f>
        <v>1</v>
      </c>
      <c r="H2117">
        <v>0.2</v>
      </c>
      <c r="I2117">
        <v>0</v>
      </c>
      <c r="J2117">
        <v>-9.5173299999999994</v>
      </c>
      <c r="K2117">
        <v>515.70600000000002</v>
      </c>
      <c r="L2117">
        <v>0</v>
      </c>
    </row>
    <row r="2118" spans="1:12" x14ac:dyDescent="0.25">
      <c r="A2118">
        <f>80464196*0.00001</f>
        <v>804.64196000000004</v>
      </c>
      <c r="B2118">
        <v>3499</v>
      </c>
      <c r="C2118">
        <v>43</v>
      </c>
      <c r="D2118">
        <v>241.09700000000001</v>
      </c>
      <c r="E2118">
        <v>4990</v>
      </c>
      <c r="F2118">
        <v>1610</v>
      </c>
      <c r="G2118">
        <v>1</v>
      </c>
      <c r="H2118" s="1">
        <f>0.2</f>
        <v>0.2</v>
      </c>
      <c r="I2118" s="1">
        <f>0</f>
        <v>0</v>
      </c>
      <c r="J2118">
        <v>-9.5173299999999994</v>
      </c>
      <c r="K2118">
        <v>515.70600000000002</v>
      </c>
      <c r="L2118">
        <v>0</v>
      </c>
    </row>
    <row r="2119" spans="1:12" x14ac:dyDescent="0.25">
      <c r="A2119">
        <f>80464334*0.00001</f>
        <v>804.64334000000008</v>
      </c>
      <c r="B2119">
        <v>3499</v>
      </c>
      <c r="C2119">
        <v>44</v>
      </c>
      <c r="D2119">
        <v>241.09700000000001</v>
      </c>
      <c r="E2119">
        <v>4990</v>
      </c>
      <c r="F2119">
        <v>1610</v>
      </c>
      <c r="G2119">
        <v>1</v>
      </c>
      <c r="H2119">
        <v>0.2</v>
      </c>
      <c r="I2119">
        <v>0</v>
      </c>
      <c r="J2119">
        <v>-9.5173299999999994</v>
      </c>
      <c r="K2119" s="1">
        <f>515.7</f>
        <v>515.70000000000005</v>
      </c>
      <c r="L2119">
        <v>0</v>
      </c>
    </row>
    <row r="2120" spans="1:12" x14ac:dyDescent="0.25">
      <c r="A2120">
        <f>80464472*0.00001</f>
        <v>804.64472000000012</v>
      </c>
      <c r="B2120">
        <v>3499</v>
      </c>
      <c r="C2120">
        <v>45</v>
      </c>
      <c r="D2120" s="1">
        <f>241.091</f>
        <v>241.09100000000001</v>
      </c>
      <c r="E2120">
        <v>4990</v>
      </c>
      <c r="F2120">
        <v>1610</v>
      </c>
      <c r="G2120">
        <v>1</v>
      </c>
      <c r="H2120">
        <v>0.2</v>
      </c>
      <c r="I2120">
        <v>0</v>
      </c>
      <c r="J2120">
        <v>-9.5173299999999994</v>
      </c>
      <c r="K2120">
        <v>515.70000000000005</v>
      </c>
      <c r="L2120">
        <v>0</v>
      </c>
    </row>
    <row r="2121" spans="1:12" x14ac:dyDescent="0.25">
      <c r="A2121">
        <f>80464609*0.00001</f>
        <v>804.64609000000007</v>
      </c>
      <c r="B2121">
        <v>3499</v>
      </c>
      <c r="C2121">
        <v>46</v>
      </c>
      <c r="D2121">
        <v>241.09100000000001</v>
      </c>
      <c r="E2121">
        <v>4990</v>
      </c>
      <c r="F2121" s="1">
        <f>1610</f>
        <v>1610</v>
      </c>
      <c r="G2121">
        <v>1</v>
      </c>
      <c r="H2121">
        <v>0.2</v>
      </c>
      <c r="I2121">
        <v>0</v>
      </c>
      <c r="J2121">
        <v>-9.5173299999999994</v>
      </c>
      <c r="K2121">
        <v>515.70000000000005</v>
      </c>
      <c r="L2121">
        <v>0</v>
      </c>
    </row>
    <row r="2122" spans="1:12" x14ac:dyDescent="0.25">
      <c r="A2122">
        <f>80464747*0.00001</f>
        <v>804.64747000000011</v>
      </c>
      <c r="B2122">
        <v>3499</v>
      </c>
      <c r="C2122">
        <v>47</v>
      </c>
      <c r="D2122">
        <v>241.09100000000001</v>
      </c>
      <c r="E2122">
        <v>4990</v>
      </c>
      <c r="F2122">
        <v>1610</v>
      </c>
      <c r="G2122">
        <v>1</v>
      </c>
      <c r="H2122" s="1">
        <f>0.2</f>
        <v>0.2</v>
      </c>
      <c r="I2122">
        <v>0</v>
      </c>
      <c r="J2122">
        <v>-9.5173299999999994</v>
      </c>
      <c r="K2122">
        <v>515.70000000000005</v>
      </c>
      <c r="L2122">
        <v>0</v>
      </c>
    </row>
    <row r="2123" spans="1:12" x14ac:dyDescent="0.25">
      <c r="A2123">
        <f>80464885*0.00001</f>
        <v>804.64885000000004</v>
      </c>
      <c r="B2123">
        <v>3499</v>
      </c>
      <c r="C2123">
        <v>48</v>
      </c>
      <c r="D2123" s="1">
        <f>241.087</f>
        <v>241.08699999999999</v>
      </c>
      <c r="E2123" s="1">
        <f>4992</f>
        <v>4992</v>
      </c>
      <c r="F2123" s="1">
        <f>1610</f>
        <v>1610</v>
      </c>
      <c r="G2123" s="1">
        <f>1</f>
        <v>1</v>
      </c>
      <c r="H2123" s="1">
        <f>0.2</f>
        <v>0.2</v>
      </c>
      <c r="I2123" s="1">
        <f>0</f>
        <v>0</v>
      </c>
      <c r="J2123" s="1">
        <f>-9.05132</f>
        <v>-9.0513200000000005</v>
      </c>
      <c r="K2123" s="1">
        <f>515.686</f>
        <v>515.68600000000004</v>
      </c>
      <c r="L2123" s="1">
        <f>0</f>
        <v>0</v>
      </c>
    </row>
    <row r="2124" spans="1:12" x14ac:dyDescent="0.25">
      <c r="A2124">
        <f>80465711*0.00001</f>
        <v>804.6571100000001</v>
      </c>
      <c r="B2124">
        <v>3499</v>
      </c>
      <c r="C2124">
        <v>54</v>
      </c>
      <c r="D2124" s="1">
        <f>241.083</f>
        <v>241.083</v>
      </c>
      <c r="E2124" s="1">
        <f>4993</f>
        <v>4993</v>
      </c>
      <c r="F2124">
        <v>1610</v>
      </c>
      <c r="G2124">
        <v>1</v>
      </c>
      <c r="H2124">
        <v>0.2</v>
      </c>
      <c r="I2124">
        <v>0</v>
      </c>
      <c r="J2124">
        <v>-9.0513200000000005</v>
      </c>
      <c r="K2124">
        <v>515.68600000000004</v>
      </c>
      <c r="L2124">
        <v>0</v>
      </c>
    </row>
    <row r="2125" spans="1:12" x14ac:dyDescent="0.25">
      <c r="A2125">
        <f>80465848*0.00001</f>
        <v>804.65848000000005</v>
      </c>
      <c r="B2125">
        <v>3499</v>
      </c>
      <c r="C2125">
        <v>55</v>
      </c>
      <c r="D2125">
        <v>241.083</v>
      </c>
      <c r="E2125">
        <v>4993</v>
      </c>
      <c r="F2125" s="1">
        <f>1610</f>
        <v>1610</v>
      </c>
      <c r="G2125" s="1">
        <f>1</f>
        <v>1</v>
      </c>
      <c r="H2125">
        <v>0.2</v>
      </c>
      <c r="I2125">
        <v>0</v>
      </c>
      <c r="J2125">
        <v>-9.0513200000000005</v>
      </c>
      <c r="K2125">
        <v>515.68600000000004</v>
      </c>
      <c r="L2125">
        <v>0</v>
      </c>
    </row>
    <row r="2126" spans="1:12" x14ac:dyDescent="0.25">
      <c r="A2126">
        <f>80465986*0.00001</f>
        <v>804.65986000000009</v>
      </c>
      <c r="B2126">
        <v>3499</v>
      </c>
      <c r="C2126">
        <v>56</v>
      </c>
      <c r="D2126">
        <v>241.083</v>
      </c>
      <c r="E2126">
        <v>4993</v>
      </c>
      <c r="F2126">
        <v>1610</v>
      </c>
      <c r="G2126">
        <v>1</v>
      </c>
      <c r="H2126" s="1">
        <f>0.2</f>
        <v>0.2</v>
      </c>
      <c r="I2126" s="1">
        <f>0</f>
        <v>0</v>
      </c>
      <c r="J2126">
        <v>-9.0513200000000005</v>
      </c>
      <c r="K2126">
        <v>515.68600000000004</v>
      </c>
      <c r="L2126">
        <v>0</v>
      </c>
    </row>
    <row r="2127" spans="1:12" x14ac:dyDescent="0.25">
      <c r="A2127">
        <f>80466124*0.00001</f>
        <v>804.66124000000002</v>
      </c>
      <c r="B2127">
        <v>3499</v>
      </c>
      <c r="C2127">
        <v>57</v>
      </c>
      <c r="D2127">
        <v>241.083</v>
      </c>
      <c r="E2127">
        <v>4993</v>
      </c>
      <c r="F2127">
        <v>1610</v>
      </c>
      <c r="G2127">
        <v>1</v>
      </c>
      <c r="H2127">
        <v>0.2</v>
      </c>
      <c r="I2127">
        <v>0</v>
      </c>
      <c r="J2127" s="1">
        <f>-8.86841</f>
        <v>-8.8684100000000008</v>
      </c>
      <c r="K2127" s="1">
        <f>515.68</f>
        <v>515.67999999999995</v>
      </c>
      <c r="L2127">
        <v>0</v>
      </c>
    </row>
    <row r="2128" spans="1:12" x14ac:dyDescent="0.25">
      <c r="A2128">
        <f>80466261*0.00001</f>
        <v>804.66261000000009</v>
      </c>
      <c r="B2128">
        <v>3499</v>
      </c>
      <c r="C2128">
        <v>58</v>
      </c>
      <c r="D2128" s="1">
        <f>241.08</f>
        <v>241.08</v>
      </c>
      <c r="E2128">
        <v>4993</v>
      </c>
      <c r="F2128">
        <v>1610</v>
      </c>
      <c r="G2128">
        <v>1</v>
      </c>
      <c r="H2128">
        <v>0.2</v>
      </c>
      <c r="I2128">
        <v>0</v>
      </c>
      <c r="J2128">
        <v>-8.8684100000000008</v>
      </c>
      <c r="K2128">
        <v>515.67999999999995</v>
      </c>
      <c r="L2128" s="1">
        <f>0</f>
        <v>0</v>
      </c>
    </row>
    <row r="2129" spans="1:12" x14ac:dyDescent="0.25">
      <c r="A2129">
        <f>80466399*0.00001</f>
        <v>804.66399000000001</v>
      </c>
      <c r="B2129">
        <v>3499</v>
      </c>
      <c r="C2129">
        <v>59</v>
      </c>
      <c r="D2129">
        <v>241.08</v>
      </c>
      <c r="E2129">
        <v>4993</v>
      </c>
      <c r="F2129" s="1">
        <f>1610</f>
        <v>1610</v>
      </c>
      <c r="G2129">
        <v>1</v>
      </c>
      <c r="H2129">
        <v>0.2</v>
      </c>
      <c r="I2129">
        <v>0</v>
      </c>
      <c r="J2129">
        <v>-8.8684100000000008</v>
      </c>
      <c r="K2129">
        <v>515.67999999999995</v>
      </c>
      <c r="L2129">
        <v>0</v>
      </c>
    </row>
    <row r="2130" spans="1:12" x14ac:dyDescent="0.25">
      <c r="A2130">
        <f>80466537*0.00001</f>
        <v>804.66537000000005</v>
      </c>
      <c r="B2130">
        <v>3499</v>
      </c>
      <c r="C2130">
        <v>60</v>
      </c>
      <c r="D2130">
        <v>241.08</v>
      </c>
      <c r="E2130">
        <v>4993</v>
      </c>
      <c r="F2130">
        <v>1610</v>
      </c>
      <c r="G2130">
        <v>1</v>
      </c>
      <c r="H2130" s="1">
        <f>0.2</f>
        <v>0.2</v>
      </c>
      <c r="I2130">
        <v>0</v>
      </c>
      <c r="J2130">
        <v>-8.8684100000000008</v>
      </c>
      <c r="K2130">
        <v>515.67999999999995</v>
      </c>
      <c r="L2130">
        <v>0</v>
      </c>
    </row>
    <row r="2131" spans="1:12" x14ac:dyDescent="0.25">
      <c r="A2131">
        <f>80466674*0.00001</f>
        <v>804.66674000000012</v>
      </c>
      <c r="B2131">
        <v>3499</v>
      </c>
      <c r="C2131">
        <v>61</v>
      </c>
      <c r="D2131">
        <v>241.08</v>
      </c>
      <c r="E2131">
        <v>4993</v>
      </c>
      <c r="F2131">
        <v>1610</v>
      </c>
      <c r="G2131">
        <v>1</v>
      </c>
      <c r="H2131">
        <v>0.2</v>
      </c>
      <c r="I2131">
        <v>0</v>
      </c>
      <c r="J2131" s="1">
        <f>-8.74535</f>
        <v>-8.7453500000000002</v>
      </c>
      <c r="K2131">
        <v>515.67999999999995</v>
      </c>
      <c r="L2131">
        <v>0</v>
      </c>
    </row>
    <row r="2132" spans="1:12" x14ac:dyDescent="0.25">
      <c r="A2132">
        <f>80466812*0.00001</f>
        <v>804.66812000000004</v>
      </c>
      <c r="B2132">
        <v>3499</v>
      </c>
      <c r="C2132">
        <v>62</v>
      </c>
      <c r="D2132">
        <v>241.08</v>
      </c>
      <c r="E2132">
        <v>4993</v>
      </c>
      <c r="F2132">
        <v>1610</v>
      </c>
      <c r="G2132">
        <v>1</v>
      </c>
      <c r="H2132">
        <v>0.2</v>
      </c>
      <c r="I2132">
        <v>0</v>
      </c>
      <c r="J2132">
        <v>-8.7453500000000002</v>
      </c>
      <c r="K2132">
        <v>515.67999999999995</v>
      </c>
      <c r="L2132" s="1">
        <f>0</f>
        <v>0</v>
      </c>
    </row>
    <row r="2133" spans="1:12" x14ac:dyDescent="0.25">
      <c r="A2133">
        <f>80466950*0.00001</f>
        <v>804.66950000000008</v>
      </c>
      <c r="B2133">
        <v>3499</v>
      </c>
      <c r="C2133">
        <v>63</v>
      </c>
      <c r="D2133" s="1">
        <f>241.042</f>
        <v>241.042</v>
      </c>
      <c r="E2133" s="1">
        <f>4996</f>
        <v>4996</v>
      </c>
      <c r="F2133" s="1">
        <f>1610</f>
        <v>1610</v>
      </c>
      <c r="G2133" s="1">
        <f>1</f>
        <v>1</v>
      </c>
      <c r="H2133" s="1">
        <f>0.2</f>
        <v>0.2</v>
      </c>
      <c r="I2133" s="1">
        <f>0</f>
        <v>0</v>
      </c>
      <c r="J2133" s="1">
        <f>-8.54501</f>
        <v>-8.5450099999999996</v>
      </c>
      <c r="K2133" s="1">
        <f>515.667</f>
        <v>515.66700000000003</v>
      </c>
      <c r="L2133" s="1">
        <f>0</f>
        <v>0</v>
      </c>
    </row>
    <row r="2134" spans="1:12" x14ac:dyDescent="0.25">
      <c r="A2134">
        <f>80467777*0.00001</f>
        <v>804.67777000000001</v>
      </c>
      <c r="B2134">
        <v>3499</v>
      </c>
      <c r="C2134">
        <v>69</v>
      </c>
      <c r="D2134">
        <v>241.042</v>
      </c>
      <c r="E2134">
        <v>4996</v>
      </c>
      <c r="F2134">
        <v>1610</v>
      </c>
      <c r="G2134" s="1">
        <f>1</f>
        <v>1</v>
      </c>
      <c r="H2134" s="1">
        <f>0.2</f>
        <v>0.2</v>
      </c>
      <c r="I2134">
        <v>0</v>
      </c>
      <c r="J2134">
        <v>-8.5450099999999996</v>
      </c>
      <c r="K2134">
        <v>515.66700000000003</v>
      </c>
      <c r="L2134">
        <v>0</v>
      </c>
    </row>
    <row r="2135" spans="1:12" x14ac:dyDescent="0.25">
      <c r="A2135">
        <f>80467915*0.00001</f>
        <v>804.67915000000005</v>
      </c>
      <c r="B2135">
        <v>3499</v>
      </c>
      <c r="C2135">
        <v>70</v>
      </c>
      <c r="D2135">
        <v>241.042</v>
      </c>
      <c r="E2135">
        <v>4996</v>
      </c>
      <c r="F2135">
        <v>1610</v>
      </c>
      <c r="G2135">
        <v>1</v>
      </c>
      <c r="H2135">
        <v>0.2</v>
      </c>
      <c r="I2135" s="1">
        <f>0</f>
        <v>0</v>
      </c>
      <c r="J2135" s="1">
        <f>-8.33568</f>
        <v>-8.33568</v>
      </c>
      <c r="K2135">
        <v>515.66700000000003</v>
      </c>
      <c r="L2135">
        <v>0</v>
      </c>
    </row>
    <row r="2136" spans="1:12" x14ac:dyDescent="0.25">
      <c r="A2136">
        <f>80468053*0.00001</f>
        <v>804.68053000000009</v>
      </c>
      <c r="B2136">
        <v>3499</v>
      </c>
      <c r="C2136">
        <v>71</v>
      </c>
      <c r="D2136">
        <v>241.042</v>
      </c>
      <c r="E2136">
        <v>4996</v>
      </c>
      <c r="F2136">
        <v>1610</v>
      </c>
      <c r="G2136">
        <v>1</v>
      </c>
      <c r="H2136">
        <v>0.2</v>
      </c>
      <c r="I2136">
        <v>0</v>
      </c>
      <c r="J2136">
        <v>-8.33568</v>
      </c>
      <c r="K2136" s="1">
        <f>515.66</f>
        <v>515.66</v>
      </c>
      <c r="L2136" s="1">
        <f>0</f>
        <v>0</v>
      </c>
    </row>
    <row r="2137" spans="1:12" x14ac:dyDescent="0.25">
      <c r="A2137">
        <f>80468190*0.00001</f>
        <v>804.68190000000004</v>
      </c>
      <c r="B2137">
        <v>3499</v>
      </c>
      <c r="C2137">
        <v>72</v>
      </c>
      <c r="D2137" s="1">
        <f>240.969</f>
        <v>240.96899999999999</v>
      </c>
      <c r="E2137" s="1">
        <f>4999</f>
        <v>4999</v>
      </c>
      <c r="F2137">
        <v>1610</v>
      </c>
      <c r="G2137">
        <v>1</v>
      </c>
      <c r="H2137">
        <v>0.2</v>
      </c>
      <c r="I2137">
        <v>0</v>
      </c>
      <c r="J2137">
        <v>-8.33568</v>
      </c>
      <c r="K2137">
        <v>515.66</v>
      </c>
      <c r="L2137">
        <v>0</v>
      </c>
    </row>
    <row r="2138" spans="1:12" x14ac:dyDescent="0.25">
      <c r="A2138">
        <f>80468328*0.00001</f>
        <v>804.68328000000008</v>
      </c>
      <c r="B2138">
        <v>3499</v>
      </c>
      <c r="C2138">
        <v>73</v>
      </c>
      <c r="D2138">
        <v>240.96899999999999</v>
      </c>
      <c r="E2138">
        <v>4999</v>
      </c>
      <c r="F2138" s="1">
        <f>1610</f>
        <v>1610</v>
      </c>
      <c r="G2138" s="1">
        <f>1</f>
        <v>1</v>
      </c>
      <c r="H2138">
        <v>0.2</v>
      </c>
      <c r="I2138">
        <v>0</v>
      </c>
      <c r="J2138">
        <v>-8.33568</v>
      </c>
      <c r="K2138">
        <v>515.66</v>
      </c>
      <c r="L2138">
        <v>0</v>
      </c>
    </row>
    <row r="2139" spans="1:12" x14ac:dyDescent="0.25">
      <c r="A2139">
        <f>80468466*0.00001</f>
        <v>804.68466000000012</v>
      </c>
      <c r="B2139">
        <v>3499</v>
      </c>
      <c r="C2139">
        <v>74</v>
      </c>
      <c r="D2139">
        <v>240.96899999999999</v>
      </c>
      <c r="E2139">
        <v>4999</v>
      </c>
      <c r="F2139">
        <v>1610</v>
      </c>
      <c r="G2139">
        <v>1</v>
      </c>
      <c r="H2139">
        <v>0.2</v>
      </c>
      <c r="I2139" s="1">
        <f>0</f>
        <v>0</v>
      </c>
      <c r="J2139">
        <v>-8.33568</v>
      </c>
      <c r="K2139">
        <v>515.66</v>
      </c>
      <c r="L2139">
        <v>0</v>
      </c>
    </row>
    <row r="2140" spans="1:12" x14ac:dyDescent="0.25">
      <c r="A2140">
        <f>80468604*0.00001</f>
        <v>804.68604000000005</v>
      </c>
      <c r="B2140">
        <v>3499</v>
      </c>
      <c r="C2140">
        <v>75</v>
      </c>
      <c r="D2140">
        <v>240.96899999999999</v>
      </c>
      <c r="E2140">
        <v>4999</v>
      </c>
      <c r="F2140">
        <v>1610</v>
      </c>
      <c r="G2140">
        <v>1</v>
      </c>
      <c r="H2140">
        <v>0.2</v>
      </c>
      <c r="I2140">
        <v>0</v>
      </c>
      <c r="J2140">
        <v>-8.33568</v>
      </c>
      <c r="K2140" s="1">
        <f>515.655</f>
        <v>515.65499999999997</v>
      </c>
      <c r="L2140">
        <v>0</v>
      </c>
    </row>
    <row r="2141" spans="1:12" x14ac:dyDescent="0.25">
      <c r="A2141">
        <f>80468742*0.00001</f>
        <v>804.68742000000009</v>
      </c>
      <c r="B2141">
        <v>3499</v>
      </c>
      <c r="C2141">
        <v>76</v>
      </c>
      <c r="D2141" s="1">
        <f>240.922</f>
        <v>240.922</v>
      </c>
      <c r="E2141">
        <v>4999</v>
      </c>
      <c r="F2141">
        <v>1610</v>
      </c>
      <c r="G2141">
        <v>1</v>
      </c>
      <c r="H2141">
        <v>0.2</v>
      </c>
      <c r="I2141">
        <v>0</v>
      </c>
      <c r="J2141">
        <v>-8.33568</v>
      </c>
      <c r="K2141">
        <v>515.65499999999997</v>
      </c>
      <c r="L2141">
        <v>0</v>
      </c>
    </row>
    <row r="2142" spans="1:12" x14ac:dyDescent="0.25">
      <c r="A2142">
        <f>80468880*0.00001</f>
        <v>804.68880000000001</v>
      </c>
      <c r="B2142">
        <v>3499</v>
      </c>
      <c r="C2142">
        <v>77</v>
      </c>
      <c r="D2142">
        <v>240.922</v>
      </c>
      <c r="E2142">
        <v>4999</v>
      </c>
      <c r="F2142" s="1">
        <f>1610</f>
        <v>1610</v>
      </c>
      <c r="G2142">
        <v>1</v>
      </c>
      <c r="H2142">
        <v>0.2</v>
      </c>
      <c r="I2142">
        <v>0</v>
      </c>
      <c r="J2142">
        <v>-8.33568</v>
      </c>
      <c r="K2142">
        <v>515.65499999999997</v>
      </c>
      <c r="L2142">
        <v>0</v>
      </c>
    </row>
    <row r="2143" spans="1:12" x14ac:dyDescent="0.25">
      <c r="A2143">
        <f>80469018*0.00001</f>
        <v>804.69018000000005</v>
      </c>
      <c r="B2143">
        <v>3499</v>
      </c>
      <c r="C2143">
        <v>78</v>
      </c>
      <c r="D2143" s="1">
        <f>240.876</f>
        <v>240.876</v>
      </c>
      <c r="E2143" s="1">
        <f>5021</f>
        <v>5021</v>
      </c>
      <c r="F2143" s="1">
        <f>1610</f>
        <v>1610</v>
      </c>
      <c r="G2143" s="1">
        <f>1</f>
        <v>1</v>
      </c>
      <c r="H2143" s="1">
        <f>0.2</f>
        <v>0.2</v>
      </c>
      <c r="I2143" s="1">
        <f>0</f>
        <v>0</v>
      </c>
      <c r="J2143" s="1">
        <f>-7.9357</f>
        <v>-7.9356999999999998</v>
      </c>
      <c r="K2143" s="1">
        <f>515.648</f>
        <v>515.64800000000002</v>
      </c>
      <c r="L2143" s="1">
        <f>0</f>
        <v>0</v>
      </c>
    </row>
    <row r="2144" spans="1:12" x14ac:dyDescent="0.25">
      <c r="A2144">
        <f>80469708*0.00001</f>
        <v>804.69708000000003</v>
      </c>
      <c r="B2144">
        <v>3499</v>
      </c>
      <c r="C2144">
        <v>83</v>
      </c>
      <c r="D2144">
        <v>240.876</v>
      </c>
      <c r="E2144">
        <v>5021</v>
      </c>
      <c r="F2144">
        <v>1610</v>
      </c>
      <c r="G2144">
        <v>1</v>
      </c>
      <c r="H2144" s="1">
        <f>0.2</f>
        <v>0.2</v>
      </c>
      <c r="I2144" s="1">
        <f>0</f>
        <v>0</v>
      </c>
      <c r="J2144">
        <v>-7.9356999999999998</v>
      </c>
      <c r="K2144">
        <v>515.64800000000002</v>
      </c>
      <c r="L2144">
        <v>0</v>
      </c>
    </row>
    <row r="2145" spans="1:12" x14ac:dyDescent="0.25">
      <c r="A2145">
        <f>80469846*0.00001</f>
        <v>804.69846000000007</v>
      </c>
      <c r="B2145">
        <v>3499</v>
      </c>
      <c r="C2145">
        <v>84</v>
      </c>
      <c r="D2145">
        <v>240.876</v>
      </c>
      <c r="E2145">
        <v>5021</v>
      </c>
      <c r="F2145">
        <v>1610</v>
      </c>
      <c r="G2145">
        <v>1</v>
      </c>
      <c r="H2145">
        <v>0.2</v>
      </c>
      <c r="I2145">
        <v>0</v>
      </c>
      <c r="J2145" s="1">
        <f>-7.72131</f>
        <v>-7.7213099999999999</v>
      </c>
      <c r="K2145" s="1">
        <f>515.643</f>
        <v>515.64300000000003</v>
      </c>
      <c r="L2145">
        <v>0</v>
      </c>
    </row>
    <row r="2146" spans="1:12" x14ac:dyDescent="0.25">
      <c r="A2146">
        <f>80469984*0.00001</f>
        <v>804.69984000000011</v>
      </c>
      <c r="B2146">
        <v>3499</v>
      </c>
      <c r="C2146">
        <v>85</v>
      </c>
      <c r="D2146" s="1">
        <f>240.847</f>
        <v>240.84700000000001</v>
      </c>
      <c r="E2146">
        <v>5021</v>
      </c>
      <c r="F2146">
        <v>1610</v>
      </c>
      <c r="G2146">
        <v>1</v>
      </c>
      <c r="H2146">
        <v>0.2</v>
      </c>
      <c r="I2146">
        <v>0</v>
      </c>
      <c r="J2146">
        <v>-7.7213099999999999</v>
      </c>
      <c r="K2146">
        <v>515.64300000000003</v>
      </c>
      <c r="L2146" s="1">
        <f>0</f>
        <v>0</v>
      </c>
    </row>
    <row r="2147" spans="1:12" x14ac:dyDescent="0.25">
      <c r="A2147">
        <f>80470122*0.00001</f>
        <v>804.70122000000003</v>
      </c>
      <c r="B2147">
        <v>3499</v>
      </c>
      <c r="C2147">
        <v>86</v>
      </c>
      <c r="D2147">
        <v>240.84700000000001</v>
      </c>
      <c r="E2147" s="1">
        <f>5022</f>
        <v>5022</v>
      </c>
      <c r="F2147" s="1">
        <f>1610</f>
        <v>1610</v>
      </c>
      <c r="G2147">
        <v>1</v>
      </c>
      <c r="H2147">
        <v>0.2</v>
      </c>
      <c r="I2147">
        <v>0</v>
      </c>
      <c r="J2147">
        <v>-7.7213099999999999</v>
      </c>
      <c r="K2147">
        <v>515.64300000000003</v>
      </c>
      <c r="L2147">
        <v>0</v>
      </c>
    </row>
    <row r="2148" spans="1:12" x14ac:dyDescent="0.25">
      <c r="A2148">
        <f>80470260*0.00001</f>
        <v>804.70260000000007</v>
      </c>
      <c r="B2148">
        <v>3499</v>
      </c>
      <c r="C2148">
        <v>87</v>
      </c>
      <c r="D2148">
        <v>240.84700000000001</v>
      </c>
      <c r="E2148">
        <v>5022</v>
      </c>
      <c r="F2148">
        <v>1610</v>
      </c>
      <c r="G2148" s="1">
        <f>1</f>
        <v>1</v>
      </c>
      <c r="H2148" s="1">
        <f>0.2</f>
        <v>0.2</v>
      </c>
      <c r="I2148">
        <v>0</v>
      </c>
      <c r="J2148">
        <v>-7.7213099999999999</v>
      </c>
      <c r="K2148">
        <v>515.64300000000003</v>
      </c>
      <c r="L2148">
        <v>0</v>
      </c>
    </row>
    <row r="2149" spans="1:12" x14ac:dyDescent="0.25">
      <c r="A2149">
        <f>80470398*0.00001</f>
        <v>804.70398000000012</v>
      </c>
      <c r="B2149">
        <v>3499</v>
      </c>
      <c r="C2149">
        <v>88</v>
      </c>
      <c r="D2149">
        <v>240.84700000000001</v>
      </c>
      <c r="E2149">
        <v>5022</v>
      </c>
      <c r="F2149">
        <v>1610</v>
      </c>
      <c r="G2149">
        <v>1</v>
      </c>
      <c r="H2149">
        <v>0.2</v>
      </c>
      <c r="I2149">
        <v>0</v>
      </c>
      <c r="J2149" s="1">
        <f>-7.57133</f>
        <v>-7.5713299999999997</v>
      </c>
      <c r="K2149">
        <v>515.64300000000003</v>
      </c>
      <c r="L2149">
        <v>0</v>
      </c>
    </row>
    <row r="2150" spans="1:12" x14ac:dyDescent="0.25">
      <c r="A2150">
        <f>80470536*0.00001</f>
        <v>804.70536000000004</v>
      </c>
      <c r="B2150">
        <v>3499</v>
      </c>
      <c r="C2150">
        <v>89</v>
      </c>
      <c r="D2150">
        <v>240.84700000000001</v>
      </c>
      <c r="E2150">
        <v>5022</v>
      </c>
      <c r="F2150">
        <v>1610</v>
      </c>
      <c r="G2150">
        <v>1</v>
      </c>
      <c r="H2150">
        <v>0.2</v>
      </c>
      <c r="I2150">
        <v>0</v>
      </c>
      <c r="J2150">
        <v>-7.5713299999999997</v>
      </c>
      <c r="K2150">
        <v>515.64300000000003</v>
      </c>
      <c r="L2150" s="1">
        <f>0</f>
        <v>0</v>
      </c>
    </row>
    <row r="2151" spans="1:12" x14ac:dyDescent="0.25">
      <c r="A2151">
        <f>80470674*0.00001</f>
        <v>804.70674000000008</v>
      </c>
      <c r="B2151">
        <v>3499</v>
      </c>
      <c r="C2151">
        <v>90</v>
      </c>
      <c r="D2151">
        <v>240.84700000000001</v>
      </c>
      <c r="E2151" s="1">
        <f>5024</f>
        <v>5024</v>
      </c>
      <c r="F2151">
        <v>1610</v>
      </c>
      <c r="G2151">
        <v>1</v>
      </c>
      <c r="H2151">
        <v>0.2</v>
      </c>
      <c r="I2151">
        <v>0</v>
      </c>
      <c r="J2151">
        <v>-7.5713299999999997</v>
      </c>
      <c r="K2151">
        <v>515.64300000000003</v>
      </c>
      <c r="L2151">
        <v>0</v>
      </c>
    </row>
    <row r="2152" spans="1:12" x14ac:dyDescent="0.25">
      <c r="A2152">
        <f>80470812*0.00001</f>
        <v>804.70812000000012</v>
      </c>
      <c r="B2152">
        <v>3499</v>
      </c>
      <c r="C2152">
        <v>91</v>
      </c>
      <c r="D2152">
        <v>240.84700000000001</v>
      </c>
      <c r="E2152">
        <v>5024</v>
      </c>
      <c r="F2152">
        <v>1610</v>
      </c>
      <c r="G2152" s="1">
        <f>1</f>
        <v>1</v>
      </c>
      <c r="H2152">
        <v>0.2</v>
      </c>
      <c r="I2152">
        <v>0</v>
      </c>
      <c r="J2152">
        <v>-7.5713299999999997</v>
      </c>
      <c r="K2152">
        <v>515.64300000000003</v>
      </c>
      <c r="L2152">
        <v>0</v>
      </c>
    </row>
    <row r="2153" spans="1:12" x14ac:dyDescent="0.25">
      <c r="A2153">
        <f>80470950*0.00001</f>
        <v>804.70950000000005</v>
      </c>
      <c r="B2153">
        <v>3499</v>
      </c>
      <c r="C2153">
        <v>92</v>
      </c>
      <c r="D2153" s="1">
        <f>240.8</f>
        <v>240.8</v>
      </c>
      <c r="E2153" s="1">
        <f>5025</f>
        <v>5025</v>
      </c>
      <c r="F2153" s="1">
        <f>1610</f>
        <v>1610</v>
      </c>
      <c r="G2153" s="1">
        <f>1</f>
        <v>1</v>
      </c>
      <c r="H2153" s="1">
        <f>0.2</f>
        <v>0.2</v>
      </c>
      <c r="I2153" s="1">
        <f>0</f>
        <v>0</v>
      </c>
      <c r="J2153" s="1">
        <f>-7.20575</f>
        <v>-7.2057500000000001</v>
      </c>
      <c r="K2153" s="1">
        <f>515.627</f>
        <v>515.62699999999995</v>
      </c>
      <c r="L2153" s="1">
        <f>0</f>
        <v>0</v>
      </c>
    </row>
    <row r="2154" spans="1:12" x14ac:dyDescent="0.25">
      <c r="A2154">
        <f>80471777*0.00001</f>
        <v>804.71777000000009</v>
      </c>
      <c r="B2154">
        <v>3499</v>
      </c>
      <c r="C2154">
        <v>98</v>
      </c>
      <c r="D2154" s="1">
        <f>240.785</f>
        <v>240.785</v>
      </c>
      <c r="E2154">
        <v>5025</v>
      </c>
      <c r="F2154">
        <v>1610</v>
      </c>
      <c r="G2154">
        <v>1</v>
      </c>
      <c r="H2154">
        <v>0.2</v>
      </c>
      <c r="I2154">
        <v>0</v>
      </c>
      <c r="J2154">
        <v>-7.2057500000000001</v>
      </c>
      <c r="K2154">
        <v>515.62699999999995</v>
      </c>
      <c r="L2154" s="1">
        <f>0</f>
        <v>0</v>
      </c>
    </row>
    <row r="2155" spans="1:12" x14ac:dyDescent="0.25">
      <c r="A2155">
        <f>80471915*0.00001</f>
        <v>804.71915000000001</v>
      </c>
      <c r="B2155">
        <v>3499</v>
      </c>
      <c r="C2155">
        <v>99</v>
      </c>
      <c r="D2155">
        <v>240.785</v>
      </c>
      <c r="E2155" s="1">
        <f>5025</f>
        <v>5025</v>
      </c>
      <c r="F2155" s="1">
        <f>1610</f>
        <v>1610</v>
      </c>
      <c r="G2155">
        <v>1</v>
      </c>
      <c r="H2155">
        <v>0.2</v>
      </c>
      <c r="I2155">
        <v>0</v>
      </c>
      <c r="J2155">
        <v>-7.2057500000000001</v>
      </c>
      <c r="K2155">
        <v>515.62699999999995</v>
      </c>
      <c r="L2155">
        <v>0</v>
      </c>
    </row>
    <row r="2156" spans="1:12" x14ac:dyDescent="0.25">
      <c r="A2156">
        <f>80472053*0.00001</f>
        <v>804.72053000000005</v>
      </c>
      <c r="B2156">
        <v>3499</v>
      </c>
      <c r="C2156">
        <v>100</v>
      </c>
      <c r="D2156">
        <v>240.785</v>
      </c>
      <c r="E2156">
        <v>5025</v>
      </c>
      <c r="F2156">
        <v>1610</v>
      </c>
      <c r="G2156" s="1">
        <f>1</f>
        <v>1</v>
      </c>
      <c r="H2156" s="1">
        <f>0.2</f>
        <v>0.2</v>
      </c>
      <c r="I2156">
        <v>0</v>
      </c>
      <c r="J2156">
        <v>-7.2057500000000001</v>
      </c>
      <c r="K2156">
        <v>515.62699999999995</v>
      </c>
      <c r="L2156">
        <v>0</v>
      </c>
    </row>
    <row r="2157" spans="1:12" x14ac:dyDescent="0.25">
      <c r="A2157">
        <f>80472191*0.00001</f>
        <v>804.72191000000009</v>
      </c>
      <c r="B2157">
        <v>3499</v>
      </c>
      <c r="C2157">
        <v>101</v>
      </c>
      <c r="D2157">
        <v>240.785</v>
      </c>
      <c r="E2157">
        <v>5025</v>
      </c>
      <c r="F2157">
        <v>1610</v>
      </c>
      <c r="G2157">
        <v>1</v>
      </c>
      <c r="H2157">
        <v>0.2</v>
      </c>
      <c r="I2157" s="1">
        <f>0</f>
        <v>0</v>
      </c>
      <c r="J2157" s="1">
        <f>-7.0679</f>
        <v>-7.0678999999999998</v>
      </c>
      <c r="K2157">
        <v>515.62699999999995</v>
      </c>
      <c r="L2157">
        <v>0</v>
      </c>
    </row>
    <row r="2158" spans="1:12" x14ac:dyDescent="0.25">
      <c r="A2158">
        <f>80472329*0.00001</f>
        <v>804.72329000000002</v>
      </c>
      <c r="B2158">
        <v>3499</v>
      </c>
      <c r="C2158">
        <v>102</v>
      </c>
      <c r="D2158">
        <v>240.785</v>
      </c>
      <c r="E2158">
        <v>5025</v>
      </c>
      <c r="F2158">
        <v>1610</v>
      </c>
      <c r="G2158">
        <v>1</v>
      </c>
      <c r="H2158">
        <v>0.2</v>
      </c>
      <c r="I2158">
        <v>0</v>
      </c>
      <c r="J2158">
        <v>-7.0678999999999998</v>
      </c>
      <c r="K2158" s="1">
        <f>515.621</f>
        <v>515.62099999999998</v>
      </c>
      <c r="L2158" s="1">
        <f>0</f>
        <v>0</v>
      </c>
    </row>
    <row r="2159" spans="1:12" x14ac:dyDescent="0.25">
      <c r="A2159">
        <f>80472467*0.00001</f>
        <v>804.72467000000006</v>
      </c>
      <c r="B2159">
        <v>3499</v>
      </c>
      <c r="C2159">
        <v>103</v>
      </c>
      <c r="D2159">
        <v>240.785</v>
      </c>
      <c r="E2159" s="1">
        <f>5026</f>
        <v>5026</v>
      </c>
      <c r="F2159">
        <v>1610</v>
      </c>
      <c r="G2159">
        <v>1</v>
      </c>
      <c r="H2159">
        <v>0.2</v>
      </c>
      <c r="I2159">
        <v>0</v>
      </c>
      <c r="J2159">
        <v>-7.0678999999999998</v>
      </c>
      <c r="K2159">
        <v>515.62099999999998</v>
      </c>
      <c r="L2159">
        <v>0</v>
      </c>
    </row>
    <row r="2160" spans="1:12" x14ac:dyDescent="0.25">
      <c r="A2160">
        <f>80472605*0.00001</f>
        <v>804.7260500000001</v>
      </c>
      <c r="B2160">
        <v>3499</v>
      </c>
      <c r="C2160">
        <v>104</v>
      </c>
      <c r="D2160">
        <v>240.785</v>
      </c>
      <c r="E2160">
        <v>5026</v>
      </c>
      <c r="F2160">
        <v>1610</v>
      </c>
      <c r="G2160" s="1">
        <f>1</f>
        <v>1</v>
      </c>
      <c r="H2160">
        <v>0.2</v>
      </c>
      <c r="I2160">
        <v>0</v>
      </c>
      <c r="J2160">
        <v>-7.0678999999999998</v>
      </c>
      <c r="K2160">
        <v>515.62099999999998</v>
      </c>
      <c r="L2160">
        <v>0</v>
      </c>
    </row>
    <row r="2161" spans="1:12" x14ac:dyDescent="0.25">
      <c r="A2161">
        <f>80472743*0.00001</f>
        <v>804.72743000000003</v>
      </c>
      <c r="B2161">
        <v>3499</v>
      </c>
      <c r="C2161">
        <v>105</v>
      </c>
      <c r="D2161">
        <v>240.785</v>
      </c>
      <c r="E2161">
        <v>5026</v>
      </c>
      <c r="F2161">
        <v>1610</v>
      </c>
      <c r="G2161">
        <v>1</v>
      </c>
      <c r="H2161">
        <v>0.2</v>
      </c>
      <c r="I2161" s="1">
        <f>0</f>
        <v>0</v>
      </c>
      <c r="J2161">
        <v>-7.0678999999999998</v>
      </c>
      <c r="K2161">
        <v>515.62099999999998</v>
      </c>
      <c r="L2161">
        <v>0</v>
      </c>
    </row>
    <row r="2162" spans="1:12" x14ac:dyDescent="0.25">
      <c r="A2162">
        <f>80472881*0.00001</f>
        <v>804.72881000000007</v>
      </c>
      <c r="B2162">
        <v>3499</v>
      </c>
      <c r="C2162">
        <v>106</v>
      </c>
      <c r="D2162">
        <v>240.785</v>
      </c>
      <c r="E2162">
        <v>5026</v>
      </c>
      <c r="F2162">
        <v>1610</v>
      </c>
      <c r="G2162">
        <v>1</v>
      </c>
      <c r="H2162">
        <v>0.2</v>
      </c>
      <c r="I2162">
        <v>0</v>
      </c>
      <c r="J2162">
        <v>-7.0678999999999998</v>
      </c>
      <c r="K2162" s="1">
        <f>515.616</f>
        <v>515.61599999999999</v>
      </c>
      <c r="L2162">
        <v>0</v>
      </c>
    </row>
    <row r="2163" spans="1:12" x14ac:dyDescent="0.25">
      <c r="A2163">
        <f>80473019*0.00001</f>
        <v>804.73019000000011</v>
      </c>
      <c r="B2163">
        <v>3499</v>
      </c>
      <c r="C2163">
        <v>107</v>
      </c>
      <c r="D2163" s="1">
        <f>240.753</f>
        <v>240.75299999999999</v>
      </c>
      <c r="E2163" s="1">
        <f>5028</f>
        <v>5028</v>
      </c>
      <c r="F2163" s="1">
        <f>1610</f>
        <v>1610</v>
      </c>
      <c r="G2163" s="1">
        <f>1</f>
        <v>1</v>
      </c>
      <c r="H2163" s="1">
        <f>0.2</f>
        <v>0.2</v>
      </c>
      <c r="I2163" s="1">
        <f>0</f>
        <v>0</v>
      </c>
      <c r="J2163" s="1">
        <f>-6.71733</f>
        <v>-6.7173299999999996</v>
      </c>
      <c r="K2163" s="1">
        <f>515.612</f>
        <v>515.61199999999997</v>
      </c>
      <c r="L2163" s="1">
        <f>0</f>
        <v>0</v>
      </c>
    </row>
    <row r="2164" spans="1:12" x14ac:dyDescent="0.25">
      <c r="A2164">
        <f>80473847*0.00001</f>
        <v>804.73847000000012</v>
      </c>
      <c r="B2164">
        <v>3499</v>
      </c>
      <c r="C2164">
        <v>113</v>
      </c>
      <c r="D2164">
        <v>240.75299999999999</v>
      </c>
      <c r="E2164">
        <v>5028</v>
      </c>
      <c r="F2164">
        <v>1610</v>
      </c>
      <c r="G2164" s="1">
        <f>1</f>
        <v>1</v>
      </c>
      <c r="H2164" s="1">
        <f>0.2</f>
        <v>0.2</v>
      </c>
      <c r="I2164">
        <v>0</v>
      </c>
      <c r="J2164">
        <v>-6.7173299999999996</v>
      </c>
      <c r="K2164">
        <v>515.61199999999997</v>
      </c>
      <c r="L2164">
        <v>0</v>
      </c>
    </row>
    <row r="2165" spans="1:12" x14ac:dyDescent="0.25">
      <c r="A2165">
        <f>80473985*0.00001</f>
        <v>804.73985000000005</v>
      </c>
      <c r="B2165">
        <v>3499</v>
      </c>
      <c r="C2165">
        <v>114</v>
      </c>
      <c r="D2165">
        <v>240.75299999999999</v>
      </c>
      <c r="E2165">
        <v>5028</v>
      </c>
      <c r="F2165">
        <v>1610</v>
      </c>
      <c r="G2165">
        <v>1</v>
      </c>
      <c r="H2165">
        <v>0.2</v>
      </c>
      <c r="I2165" s="1">
        <f>0</f>
        <v>0</v>
      </c>
      <c r="J2165" s="1">
        <f>-6.59074</f>
        <v>-6.5907400000000003</v>
      </c>
      <c r="K2165">
        <v>515.61199999999997</v>
      </c>
      <c r="L2165">
        <v>0</v>
      </c>
    </row>
    <row r="2166" spans="1:12" x14ac:dyDescent="0.25">
      <c r="A2166">
        <f>80474123*0.00001</f>
        <v>804.74123000000009</v>
      </c>
      <c r="B2166">
        <v>3499</v>
      </c>
      <c r="C2166">
        <v>115</v>
      </c>
      <c r="D2166">
        <v>240.75299999999999</v>
      </c>
      <c r="E2166">
        <v>5028</v>
      </c>
      <c r="F2166">
        <v>1610</v>
      </c>
      <c r="G2166">
        <v>1</v>
      </c>
      <c r="H2166">
        <v>0.2</v>
      </c>
      <c r="I2166">
        <v>0</v>
      </c>
      <c r="J2166">
        <v>-6.5907400000000003</v>
      </c>
      <c r="K2166" s="1">
        <f>515.606</f>
        <v>515.60599999999999</v>
      </c>
      <c r="L2166" s="1">
        <f>0</f>
        <v>0</v>
      </c>
    </row>
    <row r="2167" spans="1:12" x14ac:dyDescent="0.25">
      <c r="A2167">
        <f>80474261*0.00001</f>
        <v>804.74261000000001</v>
      </c>
      <c r="B2167">
        <v>3499</v>
      </c>
      <c r="C2167">
        <v>116</v>
      </c>
      <c r="D2167" s="1">
        <f>240.745</f>
        <v>240.745</v>
      </c>
      <c r="E2167" s="1">
        <f>5028</f>
        <v>5028</v>
      </c>
      <c r="F2167">
        <v>1610</v>
      </c>
      <c r="G2167">
        <v>1</v>
      </c>
      <c r="H2167">
        <v>0.2</v>
      </c>
      <c r="I2167">
        <v>0</v>
      </c>
      <c r="J2167">
        <v>-6.5907400000000003</v>
      </c>
      <c r="K2167">
        <v>515.60599999999999</v>
      </c>
      <c r="L2167">
        <v>0</v>
      </c>
    </row>
    <row r="2168" spans="1:12" x14ac:dyDescent="0.25">
      <c r="A2168">
        <f>80474399*0.00001</f>
        <v>804.74399000000005</v>
      </c>
      <c r="B2168">
        <v>3499</v>
      </c>
      <c r="C2168">
        <v>117</v>
      </c>
      <c r="D2168">
        <v>240.745</v>
      </c>
      <c r="E2168">
        <v>5028</v>
      </c>
      <c r="F2168">
        <v>1610</v>
      </c>
      <c r="G2168" s="1">
        <f>1</f>
        <v>1</v>
      </c>
      <c r="H2168">
        <v>0.2</v>
      </c>
      <c r="I2168">
        <v>0</v>
      </c>
      <c r="J2168">
        <v>-6.5907400000000003</v>
      </c>
      <c r="K2168">
        <v>515.60599999999999</v>
      </c>
      <c r="L2168">
        <v>0</v>
      </c>
    </row>
    <row r="2169" spans="1:12" x14ac:dyDescent="0.25">
      <c r="A2169">
        <f>80474537*0.00001</f>
        <v>804.74537000000009</v>
      </c>
      <c r="B2169">
        <v>3499</v>
      </c>
      <c r="C2169">
        <v>118</v>
      </c>
      <c r="D2169">
        <v>240.745</v>
      </c>
      <c r="E2169">
        <v>5028</v>
      </c>
      <c r="F2169">
        <v>1610</v>
      </c>
      <c r="G2169">
        <v>1</v>
      </c>
      <c r="H2169">
        <v>0.2</v>
      </c>
      <c r="I2169" s="1">
        <f>0</f>
        <v>0</v>
      </c>
      <c r="J2169">
        <v>-6.5907400000000003</v>
      </c>
      <c r="K2169">
        <v>515.60599999999999</v>
      </c>
      <c r="L2169">
        <v>0</v>
      </c>
    </row>
    <row r="2170" spans="1:12" x14ac:dyDescent="0.25">
      <c r="A2170">
        <f>80474675*0.00001</f>
        <v>804.74675000000002</v>
      </c>
      <c r="B2170">
        <v>3499</v>
      </c>
      <c r="C2170">
        <v>119</v>
      </c>
      <c r="D2170">
        <v>240.745</v>
      </c>
      <c r="E2170">
        <v>5028</v>
      </c>
      <c r="F2170">
        <v>1610</v>
      </c>
      <c r="G2170">
        <v>1</v>
      </c>
      <c r="H2170">
        <v>0.2</v>
      </c>
      <c r="I2170">
        <v>0</v>
      </c>
      <c r="J2170">
        <v>-6.5907400000000003</v>
      </c>
      <c r="K2170" s="1">
        <f>515.602</f>
        <v>515.60199999999998</v>
      </c>
      <c r="L2170">
        <v>0</v>
      </c>
    </row>
    <row r="2171" spans="1:12" x14ac:dyDescent="0.25">
      <c r="A2171">
        <f>80474813*0.00001</f>
        <v>804.74813000000006</v>
      </c>
      <c r="B2171">
        <v>3499</v>
      </c>
      <c r="C2171">
        <v>120</v>
      </c>
      <c r="D2171" s="1">
        <f>240.74</f>
        <v>240.74</v>
      </c>
      <c r="E2171">
        <v>5028</v>
      </c>
      <c r="F2171">
        <v>1610</v>
      </c>
      <c r="G2171">
        <v>1</v>
      </c>
      <c r="H2171">
        <v>0.2</v>
      </c>
      <c r="I2171">
        <v>0</v>
      </c>
      <c r="J2171">
        <v>-6.5907400000000003</v>
      </c>
      <c r="K2171">
        <v>515.60199999999998</v>
      </c>
      <c r="L2171">
        <v>0</v>
      </c>
    </row>
    <row r="2172" spans="1:12" x14ac:dyDescent="0.25">
      <c r="A2172">
        <f>80474950*0.00001</f>
        <v>804.74950000000001</v>
      </c>
      <c r="B2172">
        <v>3499</v>
      </c>
      <c r="C2172">
        <v>121</v>
      </c>
      <c r="D2172" s="1">
        <f>240.736</f>
        <v>240.73599999999999</v>
      </c>
      <c r="E2172" s="1">
        <f>5030</f>
        <v>5030</v>
      </c>
      <c r="F2172" s="1">
        <f>1610</f>
        <v>1610</v>
      </c>
      <c r="G2172" s="1">
        <f>1</f>
        <v>1</v>
      </c>
      <c r="H2172" s="1">
        <f>0.2</f>
        <v>0.2</v>
      </c>
      <c r="I2172" s="1">
        <f>0</f>
        <v>0</v>
      </c>
      <c r="J2172" s="1">
        <f>-6.25505</f>
        <v>-6.2550499999999998</v>
      </c>
      <c r="K2172" s="1">
        <f>515.598</f>
        <v>515.59799999999996</v>
      </c>
      <c r="L2172" s="1">
        <f>0</f>
        <v>0</v>
      </c>
    </row>
    <row r="2173" spans="1:12" x14ac:dyDescent="0.25">
      <c r="A2173">
        <f>80475778*0.00001</f>
        <v>804.75778000000003</v>
      </c>
      <c r="B2173">
        <v>3499</v>
      </c>
      <c r="C2173">
        <v>127</v>
      </c>
      <c r="D2173">
        <v>240.73599999999999</v>
      </c>
      <c r="E2173">
        <v>5030</v>
      </c>
      <c r="F2173">
        <v>1610</v>
      </c>
      <c r="G2173">
        <v>1</v>
      </c>
      <c r="H2173">
        <v>0.2</v>
      </c>
      <c r="I2173" s="1">
        <f>0</f>
        <v>0</v>
      </c>
      <c r="J2173" s="1">
        <f>-6.12248</f>
        <v>-6.1224800000000004</v>
      </c>
      <c r="K2173">
        <v>515.59799999999996</v>
      </c>
      <c r="L2173">
        <v>0</v>
      </c>
    </row>
    <row r="2174" spans="1:12" x14ac:dyDescent="0.25">
      <c r="A2174">
        <f>80475916*0.00001</f>
        <v>804.75916000000007</v>
      </c>
      <c r="B2174">
        <v>3499</v>
      </c>
      <c r="C2174">
        <v>128</v>
      </c>
      <c r="D2174">
        <v>240.73599999999999</v>
      </c>
      <c r="E2174">
        <v>5030</v>
      </c>
      <c r="F2174">
        <v>1610</v>
      </c>
      <c r="G2174">
        <v>1</v>
      </c>
      <c r="H2174">
        <v>0.2</v>
      </c>
      <c r="I2174">
        <v>0</v>
      </c>
      <c r="J2174">
        <v>-6.1224800000000004</v>
      </c>
      <c r="K2174" s="1">
        <f>515.593</f>
        <v>515.59299999999996</v>
      </c>
      <c r="L2174" s="1">
        <f>0</f>
        <v>0</v>
      </c>
    </row>
    <row r="2175" spans="1:12" x14ac:dyDescent="0.25">
      <c r="A2175">
        <f>80476054*0.00001</f>
        <v>804.76054000000011</v>
      </c>
      <c r="B2175">
        <v>3499</v>
      </c>
      <c r="C2175">
        <v>129</v>
      </c>
      <c r="D2175" s="1">
        <f>240.733</f>
        <v>240.733</v>
      </c>
      <c r="E2175" s="1">
        <f>5030</f>
        <v>5030</v>
      </c>
      <c r="F2175">
        <v>1610</v>
      </c>
      <c r="G2175">
        <v>1</v>
      </c>
      <c r="H2175">
        <v>0.2</v>
      </c>
      <c r="I2175">
        <v>0</v>
      </c>
      <c r="J2175">
        <v>-6.1224800000000004</v>
      </c>
      <c r="K2175">
        <v>515.59299999999996</v>
      </c>
      <c r="L2175">
        <v>0</v>
      </c>
    </row>
    <row r="2176" spans="1:12" x14ac:dyDescent="0.25">
      <c r="A2176">
        <f>80476192*0.00001</f>
        <v>804.76192000000003</v>
      </c>
      <c r="B2176">
        <v>3499</v>
      </c>
      <c r="C2176">
        <v>130</v>
      </c>
      <c r="D2176">
        <v>240.733</v>
      </c>
      <c r="E2176">
        <v>5030</v>
      </c>
      <c r="F2176" s="1">
        <f>1610</f>
        <v>1610</v>
      </c>
      <c r="G2176" s="1">
        <f>1</f>
        <v>1</v>
      </c>
      <c r="H2176">
        <v>0.2</v>
      </c>
      <c r="I2176">
        <v>0</v>
      </c>
      <c r="J2176">
        <v>-6.1224800000000004</v>
      </c>
      <c r="K2176">
        <v>515.59299999999996</v>
      </c>
      <c r="L2176">
        <v>0</v>
      </c>
    </row>
    <row r="2177" spans="1:12" x14ac:dyDescent="0.25">
      <c r="A2177">
        <f>80476330*0.00001</f>
        <v>804.76330000000007</v>
      </c>
      <c r="B2177">
        <v>3499</v>
      </c>
      <c r="C2177">
        <v>131</v>
      </c>
      <c r="D2177">
        <v>240.733</v>
      </c>
      <c r="E2177">
        <v>5030</v>
      </c>
      <c r="F2177">
        <v>1610</v>
      </c>
      <c r="G2177">
        <v>1</v>
      </c>
      <c r="H2177">
        <v>0.2</v>
      </c>
      <c r="I2177" s="1">
        <f>0</f>
        <v>0</v>
      </c>
      <c r="J2177">
        <v>-6.1224800000000004</v>
      </c>
      <c r="K2177">
        <v>515.59299999999996</v>
      </c>
      <c r="L2177">
        <v>0</v>
      </c>
    </row>
    <row r="2178" spans="1:12" x14ac:dyDescent="0.25">
      <c r="A2178">
        <f>80476468*0.00001</f>
        <v>804.76468000000011</v>
      </c>
      <c r="B2178">
        <v>3499</v>
      </c>
      <c r="C2178">
        <v>132</v>
      </c>
      <c r="D2178">
        <v>240.733</v>
      </c>
      <c r="E2178">
        <v>5030</v>
      </c>
      <c r="F2178">
        <v>1610</v>
      </c>
      <c r="G2178">
        <v>1</v>
      </c>
      <c r="H2178">
        <v>0.2</v>
      </c>
      <c r="I2178">
        <v>0</v>
      </c>
      <c r="J2178">
        <v>-6.1224800000000004</v>
      </c>
      <c r="K2178" s="1">
        <f>515.589</f>
        <v>515.58900000000006</v>
      </c>
      <c r="L2178">
        <v>0</v>
      </c>
    </row>
    <row r="2179" spans="1:12" x14ac:dyDescent="0.25">
      <c r="A2179">
        <f>80476606*0.00001</f>
        <v>804.76606000000004</v>
      </c>
      <c r="B2179">
        <v>3499</v>
      </c>
      <c r="C2179">
        <v>133</v>
      </c>
      <c r="D2179" s="1">
        <f>240.73</f>
        <v>240.73</v>
      </c>
      <c r="E2179">
        <v>5030</v>
      </c>
      <c r="F2179">
        <v>1610</v>
      </c>
      <c r="G2179">
        <v>1</v>
      </c>
      <c r="H2179">
        <v>0.2</v>
      </c>
      <c r="I2179">
        <v>0</v>
      </c>
      <c r="J2179">
        <v>-6.1224800000000004</v>
      </c>
      <c r="K2179">
        <v>515.58900000000006</v>
      </c>
      <c r="L2179">
        <v>0</v>
      </c>
    </row>
    <row r="2180" spans="1:12" x14ac:dyDescent="0.25">
      <c r="A2180">
        <f>80476744*0.00001</f>
        <v>804.76744000000008</v>
      </c>
      <c r="B2180">
        <v>3499</v>
      </c>
      <c r="C2180">
        <v>134</v>
      </c>
      <c r="D2180">
        <v>240.73</v>
      </c>
      <c r="E2180">
        <v>5030</v>
      </c>
      <c r="F2180" s="1">
        <f>1610</f>
        <v>1610</v>
      </c>
      <c r="G2180">
        <v>1</v>
      </c>
      <c r="H2180">
        <v>0.2</v>
      </c>
      <c r="I2180">
        <v>0</v>
      </c>
      <c r="J2180">
        <v>-6.1224800000000004</v>
      </c>
      <c r="K2180">
        <v>515.58900000000006</v>
      </c>
      <c r="L2180">
        <v>0</v>
      </c>
    </row>
    <row r="2181" spans="1:12" x14ac:dyDescent="0.25">
      <c r="A2181">
        <f>80476882*0.00001</f>
        <v>804.76882000000012</v>
      </c>
      <c r="B2181">
        <v>3499</v>
      </c>
      <c r="C2181">
        <v>135</v>
      </c>
      <c r="D2181" s="1">
        <f>240.728</f>
        <v>240.72800000000001</v>
      </c>
      <c r="E2181" s="1">
        <f>5031</f>
        <v>5031</v>
      </c>
      <c r="F2181" s="1">
        <f>1610</f>
        <v>1610</v>
      </c>
      <c r="G2181" s="1">
        <f>1</f>
        <v>1</v>
      </c>
      <c r="H2181" s="1">
        <f>0.2</f>
        <v>0.2</v>
      </c>
      <c r="I2181" s="1">
        <f>0</f>
        <v>0</v>
      </c>
      <c r="J2181" s="1">
        <f>-5.66969</f>
        <v>-5.6696900000000001</v>
      </c>
      <c r="K2181" s="1">
        <f>515.585</f>
        <v>515.58500000000004</v>
      </c>
      <c r="L2181" s="1">
        <f>0</f>
        <v>0</v>
      </c>
    </row>
    <row r="2182" spans="1:12" x14ac:dyDescent="0.25">
      <c r="A2182">
        <f>80477710*0.00001</f>
        <v>804.77710000000002</v>
      </c>
      <c r="B2182">
        <v>3499</v>
      </c>
      <c r="C2182">
        <v>141</v>
      </c>
      <c r="D2182">
        <v>240.72800000000001</v>
      </c>
      <c r="E2182">
        <v>5031</v>
      </c>
      <c r="F2182">
        <v>1610</v>
      </c>
      <c r="G2182">
        <v>1</v>
      </c>
      <c r="H2182">
        <v>0.2</v>
      </c>
      <c r="I2182">
        <v>0</v>
      </c>
      <c r="J2182">
        <v>-5.6696900000000001</v>
      </c>
      <c r="K2182" s="1">
        <f>515.58</f>
        <v>515.58000000000004</v>
      </c>
      <c r="L2182" s="1">
        <f>0</f>
        <v>0</v>
      </c>
    </row>
    <row r="2183" spans="1:12" x14ac:dyDescent="0.25">
      <c r="A2183">
        <f>80477848*0.00001</f>
        <v>804.77848000000006</v>
      </c>
      <c r="B2183">
        <v>3499</v>
      </c>
      <c r="C2183">
        <v>142</v>
      </c>
      <c r="D2183" s="1">
        <f>240.726</f>
        <v>240.726</v>
      </c>
      <c r="E2183" s="1">
        <f>5032</f>
        <v>5032</v>
      </c>
      <c r="F2183">
        <v>1610</v>
      </c>
      <c r="G2183">
        <v>1</v>
      </c>
      <c r="H2183">
        <v>0.2</v>
      </c>
      <c r="I2183">
        <v>0</v>
      </c>
      <c r="J2183">
        <v>-5.6696900000000001</v>
      </c>
      <c r="K2183">
        <v>515.58000000000004</v>
      </c>
      <c r="L2183">
        <v>0</v>
      </c>
    </row>
    <row r="2184" spans="1:12" x14ac:dyDescent="0.25">
      <c r="A2184">
        <f>80477986*0.00001</f>
        <v>804.7798600000001</v>
      </c>
      <c r="B2184">
        <v>3499</v>
      </c>
      <c r="C2184">
        <v>143</v>
      </c>
      <c r="D2184">
        <v>240.726</v>
      </c>
      <c r="E2184">
        <v>5032</v>
      </c>
      <c r="F2184" s="1">
        <f>1610</f>
        <v>1610</v>
      </c>
      <c r="G2184" s="1">
        <f>1</f>
        <v>1</v>
      </c>
      <c r="H2184">
        <v>0.2</v>
      </c>
      <c r="I2184">
        <v>0</v>
      </c>
      <c r="J2184">
        <v>-5.6696900000000001</v>
      </c>
      <c r="K2184">
        <v>515.58000000000004</v>
      </c>
      <c r="L2184">
        <v>0</v>
      </c>
    </row>
    <row r="2185" spans="1:12" x14ac:dyDescent="0.25">
      <c r="A2185">
        <f>80478124*0.00001</f>
        <v>804.78124000000003</v>
      </c>
      <c r="B2185">
        <v>3499</v>
      </c>
      <c r="C2185">
        <v>144</v>
      </c>
      <c r="D2185">
        <v>240.726</v>
      </c>
      <c r="E2185">
        <v>5032</v>
      </c>
      <c r="F2185">
        <v>1610</v>
      </c>
      <c r="G2185">
        <v>1</v>
      </c>
      <c r="H2185" s="1">
        <f>0.2</f>
        <v>0.2</v>
      </c>
      <c r="I2185" s="1">
        <f>0</f>
        <v>0</v>
      </c>
      <c r="J2185">
        <v>-5.6696900000000001</v>
      </c>
      <c r="K2185">
        <v>515.58000000000004</v>
      </c>
      <c r="L2185">
        <v>0</v>
      </c>
    </row>
    <row r="2186" spans="1:12" x14ac:dyDescent="0.25">
      <c r="A2186">
        <f>80478263*0.00001</f>
        <v>804.78263000000004</v>
      </c>
      <c r="B2186">
        <v>3499</v>
      </c>
      <c r="C2186">
        <v>145</v>
      </c>
      <c r="D2186">
        <v>240.726</v>
      </c>
      <c r="E2186">
        <v>5032</v>
      </c>
      <c r="F2186">
        <v>1610</v>
      </c>
      <c r="G2186">
        <v>1</v>
      </c>
      <c r="H2186">
        <v>0.2</v>
      </c>
      <c r="I2186">
        <v>0</v>
      </c>
      <c r="J2186">
        <v>-5.6696900000000001</v>
      </c>
      <c r="K2186" s="1">
        <f>515.576</f>
        <v>515.57600000000002</v>
      </c>
      <c r="L2186">
        <v>0</v>
      </c>
    </row>
    <row r="2187" spans="1:12" x14ac:dyDescent="0.25">
      <c r="A2187">
        <f>80478401*0.00001</f>
        <v>804.78401000000008</v>
      </c>
      <c r="B2187">
        <v>3499</v>
      </c>
      <c r="C2187">
        <v>146</v>
      </c>
      <c r="D2187" s="1">
        <f>240.668</f>
        <v>240.66800000000001</v>
      </c>
      <c r="E2187">
        <v>5032</v>
      </c>
      <c r="F2187">
        <v>1610</v>
      </c>
      <c r="G2187">
        <v>1</v>
      </c>
      <c r="H2187">
        <v>0.2</v>
      </c>
      <c r="I2187">
        <v>0</v>
      </c>
      <c r="J2187">
        <v>-5.6696900000000001</v>
      </c>
      <c r="K2187">
        <v>515.57600000000002</v>
      </c>
      <c r="L2187">
        <v>0</v>
      </c>
    </row>
    <row r="2188" spans="1:12" x14ac:dyDescent="0.25">
      <c r="A2188">
        <f>80478539*0.00001</f>
        <v>804.78539000000012</v>
      </c>
      <c r="B2188">
        <v>3499</v>
      </c>
      <c r="C2188">
        <v>147</v>
      </c>
      <c r="D2188">
        <v>240.66800000000001</v>
      </c>
      <c r="E2188">
        <v>5032</v>
      </c>
      <c r="F2188" s="1">
        <f>1610</f>
        <v>1610</v>
      </c>
      <c r="G2188">
        <v>1</v>
      </c>
      <c r="H2188">
        <v>0.2</v>
      </c>
      <c r="I2188">
        <v>0</v>
      </c>
      <c r="J2188">
        <v>-5.6696900000000001</v>
      </c>
      <c r="K2188">
        <v>515.57600000000002</v>
      </c>
      <c r="L2188">
        <v>0</v>
      </c>
    </row>
    <row r="2189" spans="1:12" x14ac:dyDescent="0.25">
      <c r="A2189">
        <f>80478677*0.00001</f>
        <v>804.78677000000005</v>
      </c>
      <c r="B2189">
        <v>3499</v>
      </c>
      <c r="C2189">
        <v>148</v>
      </c>
      <c r="D2189">
        <v>240.66800000000001</v>
      </c>
      <c r="E2189">
        <v>5032</v>
      </c>
      <c r="F2189">
        <v>1610</v>
      </c>
      <c r="G2189">
        <v>1</v>
      </c>
      <c r="H2189" s="1">
        <f>0.2</f>
        <v>0.2</v>
      </c>
      <c r="I2189">
        <v>0</v>
      </c>
      <c r="J2189">
        <v>-5.6696900000000001</v>
      </c>
      <c r="K2189">
        <v>515.57600000000002</v>
      </c>
      <c r="L2189">
        <v>0</v>
      </c>
    </row>
    <row r="2190" spans="1:12" x14ac:dyDescent="0.25">
      <c r="A2190">
        <f>80478815*0.00001</f>
        <v>804.78815000000009</v>
      </c>
      <c r="B2190">
        <v>3499</v>
      </c>
      <c r="C2190">
        <v>149</v>
      </c>
      <c r="D2190" s="1">
        <f>240.613</f>
        <v>240.613</v>
      </c>
      <c r="E2190" s="1">
        <f>5036</f>
        <v>5036</v>
      </c>
      <c r="F2190" s="1">
        <f>1610</f>
        <v>1610</v>
      </c>
      <c r="G2190" s="1">
        <f>1</f>
        <v>1</v>
      </c>
      <c r="H2190" s="1">
        <f>0.2</f>
        <v>0.2</v>
      </c>
      <c r="I2190" s="1">
        <f>0</f>
        <v>0</v>
      </c>
      <c r="J2190" s="1">
        <f>-5.07141</f>
        <v>-5.0714100000000002</v>
      </c>
      <c r="K2190" s="1">
        <f>515.573</f>
        <v>515.57299999999998</v>
      </c>
      <c r="L2190" s="1">
        <f>0</f>
        <v>0</v>
      </c>
    </row>
    <row r="2191" spans="1:12" x14ac:dyDescent="0.25">
      <c r="A2191">
        <f>80479506*0.00001</f>
        <v>804.79506000000003</v>
      </c>
      <c r="B2191">
        <v>3499</v>
      </c>
      <c r="C2191">
        <v>154</v>
      </c>
      <c r="D2191">
        <v>240.613</v>
      </c>
      <c r="E2191">
        <v>5036</v>
      </c>
      <c r="F2191">
        <v>1610</v>
      </c>
      <c r="G2191">
        <v>1</v>
      </c>
      <c r="H2191">
        <v>0.2</v>
      </c>
      <c r="I2191">
        <v>0</v>
      </c>
      <c r="J2191">
        <v>-5.0714100000000002</v>
      </c>
      <c r="K2191" s="1">
        <f>515.569</f>
        <v>515.56899999999996</v>
      </c>
      <c r="L2191" s="1">
        <f>0</f>
        <v>0</v>
      </c>
    </row>
    <row r="2192" spans="1:12" x14ac:dyDescent="0.25">
      <c r="A2192">
        <f>80479644*0.00001</f>
        <v>804.79644000000008</v>
      </c>
      <c r="B2192">
        <v>3499</v>
      </c>
      <c r="C2192">
        <v>155</v>
      </c>
      <c r="D2192" s="1">
        <f>240.558</f>
        <v>240.55799999999999</v>
      </c>
      <c r="E2192" s="1">
        <f>5037</f>
        <v>5037</v>
      </c>
      <c r="F2192">
        <v>1610</v>
      </c>
      <c r="G2192">
        <v>1</v>
      </c>
      <c r="H2192">
        <v>0.2</v>
      </c>
      <c r="I2192">
        <v>0</v>
      </c>
      <c r="J2192">
        <v>-5.0714100000000002</v>
      </c>
      <c r="K2192">
        <v>515.56899999999996</v>
      </c>
      <c r="L2192">
        <v>0</v>
      </c>
    </row>
    <row r="2193" spans="1:12" x14ac:dyDescent="0.25">
      <c r="A2193">
        <f>80479783*0.00001</f>
        <v>804.79783000000009</v>
      </c>
      <c r="B2193">
        <v>3499</v>
      </c>
      <c r="C2193">
        <v>156</v>
      </c>
      <c r="D2193">
        <v>240.55799999999999</v>
      </c>
      <c r="E2193">
        <v>5037</v>
      </c>
      <c r="F2193" s="1">
        <f>1610</f>
        <v>1610</v>
      </c>
      <c r="G2193" s="1">
        <f>1</f>
        <v>1</v>
      </c>
      <c r="H2193">
        <v>0.2</v>
      </c>
      <c r="I2193">
        <v>0</v>
      </c>
      <c r="J2193">
        <v>-5.0714100000000002</v>
      </c>
      <c r="K2193">
        <v>515.56899999999996</v>
      </c>
      <c r="L2193">
        <v>0</v>
      </c>
    </row>
    <row r="2194" spans="1:12" x14ac:dyDescent="0.25">
      <c r="A2194">
        <f>80479921*0.00001</f>
        <v>804.79921000000002</v>
      </c>
      <c r="B2194">
        <v>3499</v>
      </c>
      <c r="C2194">
        <v>157</v>
      </c>
      <c r="D2194">
        <v>240.55799999999999</v>
      </c>
      <c r="E2194">
        <v>5037</v>
      </c>
      <c r="F2194">
        <v>1610</v>
      </c>
      <c r="G2194">
        <v>1</v>
      </c>
      <c r="H2194" s="1">
        <f>0.2</f>
        <v>0.2</v>
      </c>
      <c r="I2194" s="1">
        <f>0</f>
        <v>0</v>
      </c>
      <c r="J2194">
        <v>-5.0714100000000002</v>
      </c>
      <c r="K2194">
        <v>515.56899999999996</v>
      </c>
      <c r="L2194">
        <v>0</v>
      </c>
    </row>
    <row r="2195" spans="1:12" x14ac:dyDescent="0.25">
      <c r="A2195">
        <f>80480059*0.00001</f>
        <v>804.80059000000006</v>
      </c>
      <c r="B2195">
        <v>3499</v>
      </c>
      <c r="C2195">
        <v>158</v>
      </c>
      <c r="D2195">
        <v>240.55799999999999</v>
      </c>
      <c r="E2195">
        <v>5037</v>
      </c>
      <c r="F2195">
        <v>1610</v>
      </c>
      <c r="G2195">
        <v>1</v>
      </c>
      <c r="H2195">
        <v>0.2</v>
      </c>
      <c r="I2195">
        <v>0</v>
      </c>
      <c r="J2195" s="1">
        <f>-4.84984</f>
        <v>-4.8498400000000004</v>
      </c>
      <c r="K2195" s="1">
        <f>515.565</f>
        <v>515.56500000000005</v>
      </c>
      <c r="L2195">
        <v>0</v>
      </c>
    </row>
    <row r="2196" spans="1:12" x14ac:dyDescent="0.25">
      <c r="A2196">
        <f>80480197*0.00001</f>
        <v>804.8019700000001</v>
      </c>
      <c r="B2196">
        <v>3499</v>
      </c>
      <c r="C2196">
        <v>159</v>
      </c>
      <c r="D2196" s="1">
        <f>240.524</f>
        <v>240.524</v>
      </c>
      <c r="E2196">
        <v>5037</v>
      </c>
      <c r="F2196">
        <v>1610</v>
      </c>
      <c r="G2196">
        <v>1</v>
      </c>
      <c r="H2196">
        <v>0.2</v>
      </c>
      <c r="I2196">
        <v>0</v>
      </c>
      <c r="J2196">
        <v>-4.8498400000000004</v>
      </c>
      <c r="K2196">
        <v>515.56500000000005</v>
      </c>
      <c r="L2196">
        <v>0</v>
      </c>
    </row>
    <row r="2197" spans="1:12" x14ac:dyDescent="0.25">
      <c r="A2197">
        <f>80480335*0.00001</f>
        <v>804.80335000000002</v>
      </c>
      <c r="B2197">
        <v>3499</v>
      </c>
      <c r="C2197">
        <v>160</v>
      </c>
      <c r="D2197">
        <v>240.524</v>
      </c>
      <c r="E2197">
        <v>5037</v>
      </c>
      <c r="F2197" s="1">
        <f>1611</f>
        <v>1611</v>
      </c>
      <c r="G2197">
        <v>1</v>
      </c>
      <c r="H2197">
        <v>0.2</v>
      </c>
      <c r="I2197">
        <v>0</v>
      </c>
      <c r="J2197">
        <v>-4.8498400000000004</v>
      </c>
      <c r="K2197">
        <v>515.56500000000005</v>
      </c>
      <c r="L2197">
        <v>0</v>
      </c>
    </row>
    <row r="2198" spans="1:12" x14ac:dyDescent="0.25">
      <c r="A2198">
        <f>80480473*0.00001</f>
        <v>804.80473000000006</v>
      </c>
      <c r="B2198">
        <v>3499</v>
      </c>
      <c r="C2198">
        <v>161</v>
      </c>
      <c r="D2198">
        <v>240.524</v>
      </c>
      <c r="E2198">
        <v>5037</v>
      </c>
      <c r="F2198">
        <v>1611</v>
      </c>
      <c r="G2198">
        <v>1</v>
      </c>
      <c r="H2198" s="1">
        <f>0.2</f>
        <v>0.2</v>
      </c>
      <c r="I2198">
        <v>0</v>
      </c>
      <c r="J2198">
        <v>-4.8498400000000004</v>
      </c>
      <c r="K2198">
        <v>515.56500000000005</v>
      </c>
      <c r="L2198">
        <v>0</v>
      </c>
    </row>
    <row r="2199" spans="1:12" x14ac:dyDescent="0.25">
      <c r="A2199">
        <f>80480611*0.00001</f>
        <v>804.8061100000001</v>
      </c>
      <c r="B2199">
        <v>3499</v>
      </c>
      <c r="C2199">
        <v>162</v>
      </c>
      <c r="D2199" s="1">
        <f>240.496</f>
        <v>240.49600000000001</v>
      </c>
      <c r="E2199" s="1">
        <f>5040</f>
        <v>5040</v>
      </c>
      <c r="F2199" s="1">
        <f>1611</f>
        <v>1611</v>
      </c>
      <c r="G2199" s="1">
        <f>1</f>
        <v>1</v>
      </c>
      <c r="H2199" s="1">
        <f>0.2</f>
        <v>0.2</v>
      </c>
      <c r="I2199" s="1">
        <f>0</f>
        <v>0</v>
      </c>
      <c r="J2199" s="1">
        <f>-4.521</f>
        <v>-4.5209999999999999</v>
      </c>
      <c r="K2199" s="1">
        <f>515.558</f>
        <v>515.55799999999999</v>
      </c>
      <c r="L2199" s="1">
        <f>0</f>
        <v>0</v>
      </c>
    </row>
    <row r="2200" spans="1:12" x14ac:dyDescent="0.25">
      <c r="A2200">
        <f>80481440*0.00001</f>
        <v>804.81440000000009</v>
      </c>
      <c r="B2200">
        <v>3499</v>
      </c>
      <c r="C2200">
        <v>168</v>
      </c>
      <c r="D2200" s="1">
        <f>240.468</f>
        <v>240.46799999999999</v>
      </c>
      <c r="E2200" s="1">
        <f>5041</f>
        <v>5041</v>
      </c>
      <c r="F2200">
        <v>1611</v>
      </c>
      <c r="G2200">
        <v>1</v>
      </c>
      <c r="H2200">
        <v>0.2</v>
      </c>
      <c r="I2200">
        <v>0</v>
      </c>
      <c r="J2200">
        <v>-4.5209999999999999</v>
      </c>
      <c r="K2200">
        <v>515.55799999999999</v>
      </c>
      <c r="L2200">
        <v>0</v>
      </c>
    </row>
    <row r="2201" spans="1:12" x14ac:dyDescent="0.25">
      <c r="A2201">
        <f>80481578*0.00001</f>
        <v>804.81578000000002</v>
      </c>
      <c r="B2201">
        <v>3499</v>
      </c>
      <c r="C2201">
        <v>169</v>
      </c>
      <c r="D2201">
        <v>240.46799999999999</v>
      </c>
      <c r="E2201">
        <v>5041</v>
      </c>
      <c r="F2201" s="1">
        <f>1611</f>
        <v>1611</v>
      </c>
      <c r="G2201" s="1">
        <f>1</f>
        <v>1</v>
      </c>
      <c r="H2201">
        <v>0.2</v>
      </c>
      <c r="I2201">
        <v>0</v>
      </c>
      <c r="J2201">
        <v>-4.5209999999999999</v>
      </c>
      <c r="K2201">
        <v>515.55799999999999</v>
      </c>
      <c r="L2201">
        <v>0</v>
      </c>
    </row>
    <row r="2202" spans="1:12" x14ac:dyDescent="0.25">
      <c r="A2202">
        <f>80481716*0.00001</f>
        <v>804.81716000000006</v>
      </c>
      <c r="B2202">
        <v>3499</v>
      </c>
      <c r="C2202">
        <v>170</v>
      </c>
      <c r="D2202">
        <v>240.46799999999999</v>
      </c>
      <c r="E2202">
        <v>5041</v>
      </c>
      <c r="F2202">
        <v>1611</v>
      </c>
      <c r="G2202">
        <v>1</v>
      </c>
      <c r="H2202" s="1">
        <f>0.2</f>
        <v>0.2</v>
      </c>
      <c r="I2202" s="1">
        <f>0</f>
        <v>0</v>
      </c>
      <c r="J2202">
        <v>-4.5209999999999999</v>
      </c>
      <c r="K2202">
        <v>515.55799999999999</v>
      </c>
      <c r="L2202">
        <v>0</v>
      </c>
    </row>
    <row r="2203" spans="1:12" x14ac:dyDescent="0.25">
      <c r="A2203">
        <f>80481855*0.00001</f>
        <v>804.81855000000007</v>
      </c>
      <c r="B2203">
        <v>3499</v>
      </c>
      <c r="C2203">
        <v>171</v>
      </c>
      <c r="D2203">
        <v>240.46799999999999</v>
      </c>
      <c r="E2203">
        <v>5041</v>
      </c>
      <c r="F2203">
        <v>1611</v>
      </c>
      <c r="G2203">
        <v>1</v>
      </c>
      <c r="H2203">
        <v>0.2</v>
      </c>
      <c r="I2203">
        <v>0</v>
      </c>
      <c r="J2203" s="1">
        <f>-4.31859</f>
        <v>-4.3185900000000004</v>
      </c>
      <c r="K2203" s="1">
        <f>515.556</f>
        <v>515.55600000000004</v>
      </c>
      <c r="L2203">
        <v>0</v>
      </c>
    </row>
    <row r="2204" spans="1:12" x14ac:dyDescent="0.25">
      <c r="A2204">
        <f>80481993*0.00001</f>
        <v>804.81993000000011</v>
      </c>
      <c r="B2204">
        <v>3499</v>
      </c>
      <c r="C2204">
        <v>172</v>
      </c>
      <c r="D2204" s="1">
        <f>240.45</f>
        <v>240.45</v>
      </c>
      <c r="E2204">
        <v>5041</v>
      </c>
      <c r="F2204">
        <v>1611</v>
      </c>
      <c r="G2204">
        <v>1</v>
      </c>
      <c r="H2204">
        <v>0.2</v>
      </c>
      <c r="I2204">
        <v>0</v>
      </c>
      <c r="J2204">
        <v>-4.3185900000000004</v>
      </c>
      <c r="K2204">
        <v>515.55600000000004</v>
      </c>
      <c r="L2204">
        <v>0</v>
      </c>
    </row>
    <row r="2205" spans="1:12" x14ac:dyDescent="0.25">
      <c r="A2205">
        <f>80482131*0.00001</f>
        <v>804.82131000000004</v>
      </c>
      <c r="B2205">
        <v>3499</v>
      </c>
      <c r="C2205">
        <v>173</v>
      </c>
      <c r="D2205">
        <v>240.45</v>
      </c>
      <c r="E2205">
        <v>5041</v>
      </c>
      <c r="F2205" s="1">
        <f>1611</f>
        <v>1611</v>
      </c>
      <c r="G2205">
        <v>1</v>
      </c>
      <c r="H2205">
        <v>0.2</v>
      </c>
      <c r="I2205">
        <v>0</v>
      </c>
      <c r="J2205">
        <v>-4.3185900000000004</v>
      </c>
      <c r="K2205">
        <v>515.55600000000004</v>
      </c>
      <c r="L2205">
        <v>0</v>
      </c>
    </row>
    <row r="2206" spans="1:12" x14ac:dyDescent="0.25">
      <c r="A2206">
        <f>80482269*0.00001</f>
        <v>804.82269000000008</v>
      </c>
      <c r="B2206">
        <v>3499</v>
      </c>
      <c r="C2206">
        <v>174</v>
      </c>
      <c r="D2206">
        <v>240.45</v>
      </c>
      <c r="E2206">
        <v>5041</v>
      </c>
      <c r="F2206">
        <v>1611</v>
      </c>
      <c r="G2206">
        <v>1</v>
      </c>
      <c r="H2206" s="1">
        <f>0.2</f>
        <v>0.2</v>
      </c>
      <c r="I2206">
        <v>0</v>
      </c>
      <c r="J2206">
        <v>-4.3185900000000004</v>
      </c>
      <c r="K2206">
        <v>515.55600000000004</v>
      </c>
      <c r="L2206">
        <v>0</v>
      </c>
    </row>
    <row r="2207" spans="1:12" x14ac:dyDescent="0.25">
      <c r="A2207">
        <f>80482407*0.00001</f>
        <v>804.82407000000012</v>
      </c>
      <c r="B2207">
        <v>3499</v>
      </c>
      <c r="C2207">
        <v>175</v>
      </c>
      <c r="D2207" s="1">
        <f>240.436</f>
        <v>240.43600000000001</v>
      </c>
      <c r="E2207" s="1">
        <f>5043</f>
        <v>5043</v>
      </c>
      <c r="F2207" s="1">
        <f>1611</f>
        <v>1611</v>
      </c>
      <c r="G2207" s="1">
        <f>1</f>
        <v>1</v>
      </c>
      <c r="H2207" s="1">
        <f>0.2</f>
        <v>0.2</v>
      </c>
      <c r="I2207" s="1">
        <f>0</f>
        <v>0</v>
      </c>
      <c r="J2207" s="1">
        <f>-4.04773</f>
        <v>-4.0477299999999996</v>
      </c>
      <c r="K2207" s="1">
        <f>515.551</f>
        <v>515.55100000000004</v>
      </c>
      <c r="L2207" s="1">
        <f>0</f>
        <v>0</v>
      </c>
    </row>
    <row r="2208" spans="1:12" s="2" customFormat="1" x14ac:dyDescent="0.25">
      <c r="A2208" s="2">
        <f>80483239*0.00001</f>
        <v>804.83239000000003</v>
      </c>
      <c r="B2208" s="2">
        <v>3500</v>
      </c>
      <c r="C2208" s="2">
        <v>1</v>
      </c>
      <c r="D2208" s="1">
        <f>240.427</f>
        <v>240.42699999999999</v>
      </c>
      <c r="E2208" s="1">
        <f>5044</f>
        <v>5044</v>
      </c>
      <c r="F2208" s="2">
        <v>1611</v>
      </c>
      <c r="G2208" s="2">
        <v>1</v>
      </c>
      <c r="H2208" s="2">
        <v>0.2</v>
      </c>
      <c r="I2208" s="2">
        <v>0</v>
      </c>
      <c r="J2208" s="2">
        <v>-4.0477299999999996</v>
      </c>
      <c r="K2208" s="2">
        <v>515.55100000000004</v>
      </c>
      <c r="L2208" s="2">
        <v>0</v>
      </c>
    </row>
    <row r="2209" spans="1:12" x14ac:dyDescent="0.25">
      <c r="A2209">
        <f>80483378*0.00001</f>
        <v>804.83378000000005</v>
      </c>
      <c r="B2209">
        <v>3500</v>
      </c>
      <c r="C2209">
        <v>2</v>
      </c>
      <c r="D2209">
        <v>240.42699999999999</v>
      </c>
      <c r="E2209">
        <v>5044</v>
      </c>
      <c r="F2209" s="1">
        <f>1611</f>
        <v>1611</v>
      </c>
      <c r="G2209" s="1">
        <f>1</f>
        <v>1</v>
      </c>
      <c r="H2209">
        <v>0.2</v>
      </c>
      <c r="I2209">
        <v>0</v>
      </c>
      <c r="J2209">
        <v>-4.0477299999999996</v>
      </c>
      <c r="K2209">
        <v>515.55100000000004</v>
      </c>
      <c r="L2209">
        <v>0</v>
      </c>
    </row>
    <row r="2210" spans="1:12" x14ac:dyDescent="0.25">
      <c r="A2210">
        <f>80483516*0.00001</f>
        <v>804.83516000000009</v>
      </c>
      <c r="B2210">
        <v>3500</v>
      </c>
      <c r="C2210">
        <v>3</v>
      </c>
      <c r="D2210">
        <v>240.42699999999999</v>
      </c>
      <c r="E2210">
        <v>5044</v>
      </c>
      <c r="F2210">
        <v>1611</v>
      </c>
      <c r="G2210">
        <v>1</v>
      </c>
      <c r="H2210" s="1">
        <f>0.2</f>
        <v>0.2</v>
      </c>
      <c r="I2210" s="1">
        <f>0</f>
        <v>0</v>
      </c>
      <c r="J2210">
        <v>-4.0477299999999996</v>
      </c>
      <c r="K2210">
        <v>515.55100000000004</v>
      </c>
      <c r="L2210">
        <v>0</v>
      </c>
    </row>
    <row r="2211" spans="1:12" x14ac:dyDescent="0.25">
      <c r="A2211">
        <f>80483654*0.00001</f>
        <v>804.83654000000001</v>
      </c>
      <c r="B2211">
        <v>3500</v>
      </c>
      <c r="C2211">
        <v>4</v>
      </c>
      <c r="D2211">
        <v>240.42699999999999</v>
      </c>
      <c r="E2211">
        <v>5044</v>
      </c>
      <c r="F2211">
        <v>1611</v>
      </c>
      <c r="G2211">
        <v>1</v>
      </c>
      <c r="H2211">
        <v>0.2</v>
      </c>
      <c r="I2211">
        <v>0</v>
      </c>
      <c r="J2211" s="1">
        <f>-3.83723</f>
        <v>-3.8372299999999999</v>
      </c>
      <c r="K2211" s="1">
        <f>515.548</f>
        <v>515.548</v>
      </c>
      <c r="L2211">
        <v>0</v>
      </c>
    </row>
    <row r="2212" spans="1:12" x14ac:dyDescent="0.25">
      <c r="A2212">
        <f>80483792*0.00001</f>
        <v>804.83792000000005</v>
      </c>
      <c r="B2212">
        <v>3500</v>
      </c>
      <c r="C2212">
        <v>5</v>
      </c>
      <c r="D2212" s="1">
        <f>240.417</f>
        <v>240.417</v>
      </c>
      <c r="E2212">
        <v>5044</v>
      </c>
      <c r="F2212">
        <v>1611</v>
      </c>
      <c r="G2212">
        <v>1</v>
      </c>
      <c r="H2212">
        <v>0.2</v>
      </c>
      <c r="I2212">
        <v>0</v>
      </c>
      <c r="J2212">
        <v>-3.8372299999999999</v>
      </c>
      <c r="K2212">
        <v>515.548</v>
      </c>
      <c r="L2212">
        <v>0</v>
      </c>
    </row>
    <row r="2213" spans="1:12" x14ac:dyDescent="0.25">
      <c r="A2213">
        <f>80483930*0.00001</f>
        <v>804.83930000000009</v>
      </c>
      <c r="B2213">
        <v>3500</v>
      </c>
      <c r="C2213">
        <v>6</v>
      </c>
      <c r="D2213">
        <v>240.417</v>
      </c>
      <c r="E2213">
        <v>5044</v>
      </c>
      <c r="F2213" s="1">
        <f>1611</f>
        <v>1611</v>
      </c>
      <c r="G2213">
        <v>1</v>
      </c>
      <c r="H2213">
        <v>0.2</v>
      </c>
      <c r="I2213">
        <v>0</v>
      </c>
      <c r="J2213">
        <v>-3.8372299999999999</v>
      </c>
      <c r="K2213">
        <v>515.548</v>
      </c>
      <c r="L2213">
        <v>0</v>
      </c>
    </row>
    <row r="2214" spans="1:12" x14ac:dyDescent="0.25">
      <c r="A2214">
        <f>80484068*0.00001</f>
        <v>804.84068000000002</v>
      </c>
      <c r="B2214">
        <v>3500</v>
      </c>
      <c r="C2214">
        <v>7</v>
      </c>
      <c r="D2214">
        <v>240.417</v>
      </c>
      <c r="E2214">
        <v>5044</v>
      </c>
      <c r="F2214">
        <v>1611</v>
      </c>
      <c r="G2214">
        <v>1</v>
      </c>
      <c r="H2214" s="1">
        <f>0.2</f>
        <v>0.2</v>
      </c>
      <c r="I2214">
        <v>0</v>
      </c>
      <c r="J2214">
        <v>-3.8372299999999999</v>
      </c>
      <c r="K2214">
        <v>515.548</v>
      </c>
      <c r="L2214">
        <v>0</v>
      </c>
    </row>
    <row r="2215" spans="1:12" x14ac:dyDescent="0.25">
      <c r="A2215">
        <f>80484206*0.00001</f>
        <v>804.84206000000006</v>
      </c>
      <c r="B2215">
        <v>3500</v>
      </c>
      <c r="C2215">
        <v>8</v>
      </c>
      <c r="D2215" s="1">
        <f>240.408</f>
        <v>240.40799999999999</v>
      </c>
      <c r="E2215" s="1">
        <f>5045</f>
        <v>5045</v>
      </c>
      <c r="F2215" s="1">
        <f>1611</f>
        <v>1611</v>
      </c>
      <c r="G2215" s="1">
        <f>1</f>
        <v>1</v>
      </c>
      <c r="H2215" s="1">
        <f>0.2</f>
        <v>0.2</v>
      </c>
      <c r="I2215" s="1">
        <f>0</f>
        <v>0</v>
      </c>
      <c r="J2215" s="1">
        <f>-3.54648</f>
        <v>-3.5464799999999999</v>
      </c>
      <c r="K2215" s="1">
        <f>515.543</f>
        <v>515.54300000000001</v>
      </c>
      <c r="L2215" s="1">
        <f>0</f>
        <v>0</v>
      </c>
    </row>
    <row r="2216" spans="1:12" x14ac:dyDescent="0.25">
      <c r="A2216">
        <f>80485036*0.00001</f>
        <v>804.85036000000002</v>
      </c>
      <c r="B2216">
        <v>3500</v>
      </c>
      <c r="C2216">
        <v>14</v>
      </c>
      <c r="D2216" s="1">
        <f>240.4</f>
        <v>240.4</v>
      </c>
      <c r="E2216" s="1">
        <f>5046</f>
        <v>5046</v>
      </c>
      <c r="F2216">
        <v>1611</v>
      </c>
      <c r="G2216">
        <v>1</v>
      </c>
      <c r="H2216">
        <v>0.2</v>
      </c>
      <c r="I2216">
        <v>0</v>
      </c>
      <c r="J2216">
        <v>-3.5464799999999999</v>
      </c>
      <c r="K2216">
        <v>515.54300000000001</v>
      </c>
      <c r="L2216">
        <v>0</v>
      </c>
    </row>
    <row r="2217" spans="1:12" x14ac:dyDescent="0.25">
      <c r="A2217">
        <f>80485174*0.00001</f>
        <v>804.85174000000006</v>
      </c>
      <c r="B2217">
        <v>3500</v>
      </c>
      <c r="C2217">
        <v>15</v>
      </c>
      <c r="D2217">
        <v>240.4</v>
      </c>
      <c r="E2217">
        <v>5046</v>
      </c>
      <c r="F2217" s="1">
        <f>1611</f>
        <v>1611</v>
      </c>
      <c r="G2217" s="1">
        <f>1</f>
        <v>1</v>
      </c>
      <c r="H2217">
        <v>0.2</v>
      </c>
      <c r="I2217">
        <v>0</v>
      </c>
      <c r="J2217">
        <v>-3.5464799999999999</v>
      </c>
      <c r="K2217">
        <v>515.54300000000001</v>
      </c>
      <c r="L2217">
        <v>0</v>
      </c>
    </row>
    <row r="2218" spans="1:12" x14ac:dyDescent="0.25">
      <c r="A2218">
        <f>80485312*0.00001</f>
        <v>804.8531200000001</v>
      </c>
      <c r="B2218">
        <v>3500</v>
      </c>
      <c r="C2218">
        <v>16</v>
      </c>
      <c r="D2218">
        <v>240.4</v>
      </c>
      <c r="E2218">
        <v>5046</v>
      </c>
      <c r="F2218">
        <v>1611</v>
      </c>
      <c r="G2218">
        <v>1</v>
      </c>
      <c r="H2218" s="1">
        <f>0.2</f>
        <v>0.2</v>
      </c>
      <c r="I2218" s="1">
        <f>0</f>
        <v>0</v>
      </c>
      <c r="J2218">
        <v>-3.5464799999999999</v>
      </c>
      <c r="K2218">
        <v>515.54300000000001</v>
      </c>
      <c r="L2218">
        <v>0</v>
      </c>
    </row>
    <row r="2219" spans="1:12" x14ac:dyDescent="0.25">
      <c r="A2219">
        <f>80485450*0.00001</f>
        <v>804.85450000000003</v>
      </c>
      <c r="B2219">
        <v>3500</v>
      </c>
      <c r="C2219">
        <v>17</v>
      </c>
      <c r="D2219">
        <v>240.4</v>
      </c>
      <c r="E2219">
        <v>5046</v>
      </c>
      <c r="F2219">
        <v>1611</v>
      </c>
      <c r="G2219">
        <v>1</v>
      </c>
      <c r="H2219">
        <v>0.2</v>
      </c>
      <c r="I2219">
        <v>0</v>
      </c>
      <c r="J2219" s="1">
        <f>-3.36433</f>
        <v>-3.3643299999999998</v>
      </c>
      <c r="K2219" s="1">
        <f>515.54</f>
        <v>515.54</v>
      </c>
      <c r="L2219">
        <v>0</v>
      </c>
    </row>
    <row r="2220" spans="1:12" x14ac:dyDescent="0.25">
      <c r="A2220">
        <f>80485588*0.00001</f>
        <v>804.85588000000007</v>
      </c>
      <c r="B2220">
        <v>3500</v>
      </c>
      <c r="C2220">
        <v>18</v>
      </c>
      <c r="D2220" s="1">
        <f>240.395</f>
        <v>240.39500000000001</v>
      </c>
      <c r="E2220">
        <v>5046</v>
      </c>
      <c r="F2220">
        <v>1611</v>
      </c>
      <c r="G2220">
        <v>1</v>
      </c>
      <c r="H2220">
        <v>0.2</v>
      </c>
      <c r="I2220">
        <v>0</v>
      </c>
      <c r="J2220">
        <v>-3.3643299999999998</v>
      </c>
      <c r="K2220">
        <v>515.54</v>
      </c>
      <c r="L2220">
        <v>0</v>
      </c>
    </row>
    <row r="2221" spans="1:12" x14ac:dyDescent="0.25">
      <c r="A2221">
        <f>80485726*0.00001</f>
        <v>804.85726000000011</v>
      </c>
      <c r="B2221">
        <v>3500</v>
      </c>
      <c r="C2221">
        <v>19</v>
      </c>
      <c r="D2221">
        <v>240.39500000000001</v>
      </c>
      <c r="E2221">
        <v>5046</v>
      </c>
      <c r="F2221" s="1">
        <f>1611</f>
        <v>1611</v>
      </c>
      <c r="G2221">
        <v>1</v>
      </c>
      <c r="H2221">
        <v>0.2</v>
      </c>
      <c r="I2221">
        <v>0</v>
      </c>
      <c r="J2221">
        <v>-3.3643299999999998</v>
      </c>
      <c r="K2221">
        <v>515.54</v>
      </c>
      <c r="L2221">
        <v>0</v>
      </c>
    </row>
    <row r="2222" spans="1:12" x14ac:dyDescent="0.25">
      <c r="A2222">
        <f>80485864*0.00001</f>
        <v>804.85864000000004</v>
      </c>
      <c r="B2222">
        <v>3500</v>
      </c>
      <c r="C2222">
        <v>20</v>
      </c>
      <c r="D2222">
        <v>240.39500000000001</v>
      </c>
      <c r="E2222">
        <v>5046</v>
      </c>
      <c r="F2222">
        <v>1611</v>
      </c>
      <c r="G2222">
        <v>1</v>
      </c>
      <c r="H2222" s="1">
        <f>0.2</f>
        <v>0.2</v>
      </c>
      <c r="I2222">
        <v>0</v>
      </c>
      <c r="J2222">
        <v>-3.3643299999999998</v>
      </c>
      <c r="K2222">
        <v>515.54</v>
      </c>
      <c r="L2222">
        <v>0</v>
      </c>
    </row>
    <row r="2223" spans="1:12" x14ac:dyDescent="0.25">
      <c r="A2223">
        <f>80486002*0.00001</f>
        <v>804.86002000000008</v>
      </c>
      <c r="B2223">
        <v>3500</v>
      </c>
      <c r="C2223">
        <v>21</v>
      </c>
      <c r="D2223" s="1">
        <f>240.39</f>
        <v>240.39</v>
      </c>
      <c r="E2223" s="1">
        <f>5047</f>
        <v>5047</v>
      </c>
      <c r="F2223" s="1">
        <f>1611</f>
        <v>1611</v>
      </c>
      <c r="G2223" s="1">
        <f>1</f>
        <v>1</v>
      </c>
      <c r="H2223" s="1">
        <f>0.2</f>
        <v>0.2</v>
      </c>
      <c r="I2223" s="1">
        <f>0</f>
        <v>0</v>
      </c>
      <c r="J2223" s="1">
        <f>-3.0813</f>
        <v>-3.0813000000000001</v>
      </c>
      <c r="K2223" s="1">
        <f>515.536</f>
        <v>515.53599999999994</v>
      </c>
      <c r="L2223" s="1">
        <f>0</f>
        <v>0</v>
      </c>
    </row>
    <row r="2224" spans="1:12" x14ac:dyDescent="0.25">
      <c r="A2224">
        <f>80486832*0.00001</f>
        <v>804.86832000000004</v>
      </c>
      <c r="B2224">
        <v>3500</v>
      </c>
      <c r="C2224">
        <v>27</v>
      </c>
      <c r="D2224" s="1">
        <f>240.386</f>
        <v>240.386</v>
      </c>
      <c r="E2224" s="1">
        <f>5048</f>
        <v>5048</v>
      </c>
      <c r="F2224">
        <v>1611</v>
      </c>
      <c r="G2224">
        <v>1</v>
      </c>
      <c r="H2224">
        <v>0.2</v>
      </c>
      <c r="I2224">
        <v>0</v>
      </c>
      <c r="J2224">
        <v>-3.0813000000000001</v>
      </c>
      <c r="K2224">
        <v>515.53599999999994</v>
      </c>
      <c r="L2224">
        <v>0</v>
      </c>
    </row>
    <row r="2225" spans="1:12" x14ac:dyDescent="0.25">
      <c r="A2225">
        <f>80486971*0.00001</f>
        <v>804.86971000000005</v>
      </c>
      <c r="B2225">
        <v>3500</v>
      </c>
      <c r="C2225">
        <v>28</v>
      </c>
      <c r="D2225">
        <v>240.386</v>
      </c>
      <c r="E2225">
        <v>5048</v>
      </c>
      <c r="F2225" s="1">
        <f>1611</f>
        <v>1611</v>
      </c>
      <c r="G2225" s="1">
        <f>1</f>
        <v>1</v>
      </c>
      <c r="H2225">
        <v>0.2</v>
      </c>
      <c r="I2225">
        <v>0</v>
      </c>
      <c r="J2225">
        <v>-3.0813000000000001</v>
      </c>
      <c r="K2225">
        <v>515.53599999999994</v>
      </c>
      <c r="L2225">
        <v>0</v>
      </c>
    </row>
    <row r="2226" spans="1:12" x14ac:dyDescent="0.25">
      <c r="A2226">
        <f>80487109*0.00001</f>
        <v>804.87109000000009</v>
      </c>
      <c r="B2226">
        <v>3500</v>
      </c>
      <c r="C2226">
        <v>29</v>
      </c>
      <c r="D2226">
        <v>240.386</v>
      </c>
      <c r="E2226">
        <v>5048</v>
      </c>
      <c r="F2226">
        <v>1611</v>
      </c>
      <c r="G2226">
        <v>1</v>
      </c>
      <c r="H2226" s="1">
        <f>0.2</f>
        <v>0.2</v>
      </c>
      <c r="I2226" s="1">
        <f>0</f>
        <v>0</v>
      </c>
      <c r="J2226">
        <v>-3.0813000000000001</v>
      </c>
      <c r="K2226">
        <v>515.53599999999994</v>
      </c>
      <c r="L2226">
        <v>0</v>
      </c>
    </row>
    <row r="2227" spans="1:12" x14ac:dyDescent="0.25">
      <c r="A2227">
        <f>80487247*0.00001</f>
        <v>804.87247000000002</v>
      </c>
      <c r="B2227">
        <v>3500</v>
      </c>
      <c r="C2227">
        <v>30</v>
      </c>
      <c r="D2227">
        <v>240.386</v>
      </c>
      <c r="E2227">
        <v>5048</v>
      </c>
      <c r="F2227">
        <v>1611</v>
      </c>
      <c r="G2227">
        <v>1</v>
      </c>
      <c r="H2227">
        <v>0.2</v>
      </c>
      <c r="I2227">
        <v>0</v>
      </c>
      <c r="J2227" s="1">
        <f>-2.90131</f>
        <v>-2.9013100000000001</v>
      </c>
      <c r="K2227" s="1">
        <f>515.534</f>
        <v>515.53399999999999</v>
      </c>
      <c r="L2227">
        <v>0</v>
      </c>
    </row>
    <row r="2228" spans="1:12" x14ac:dyDescent="0.25">
      <c r="A2228">
        <f>80487385*0.00001</f>
        <v>804.87385000000006</v>
      </c>
      <c r="B2228">
        <v>3500</v>
      </c>
      <c r="C2228">
        <v>31</v>
      </c>
      <c r="D2228" s="1">
        <f>240.384</f>
        <v>240.38399999999999</v>
      </c>
      <c r="E2228">
        <v>5048</v>
      </c>
      <c r="F2228">
        <v>1611</v>
      </c>
      <c r="G2228">
        <v>1</v>
      </c>
      <c r="H2228">
        <v>0.2</v>
      </c>
      <c r="I2228">
        <v>0</v>
      </c>
      <c r="J2228">
        <v>-2.9013100000000001</v>
      </c>
      <c r="K2228">
        <v>515.53399999999999</v>
      </c>
      <c r="L2228" s="1">
        <f>0</f>
        <v>0</v>
      </c>
    </row>
    <row r="2229" spans="1:12" x14ac:dyDescent="0.25">
      <c r="A2229">
        <f>80487523*0.00001</f>
        <v>804.8752300000001</v>
      </c>
      <c r="B2229">
        <v>3500</v>
      </c>
      <c r="C2229">
        <v>32</v>
      </c>
      <c r="D2229">
        <v>240.38399999999999</v>
      </c>
      <c r="E2229">
        <v>5048</v>
      </c>
      <c r="F2229" s="1">
        <f>1611</f>
        <v>1611</v>
      </c>
      <c r="G2229">
        <v>1</v>
      </c>
      <c r="H2229">
        <v>0.2</v>
      </c>
      <c r="I2229">
        <v>0</v>
      </c>
      <c r="J2229">
        <v>-2.9013100000000001</v>
      </c>
      <c r="K2229">
        <v>515.53399999999999</v>
      </c>
      <c r="L2229">
        <v>0</v>
      </c>
    </row>
    <row r="2230" spans="1:12" x14ac:dyDescent="0.25">
      <c r="A2230">
        <f>80487661*0.00001</f>
        <v>804.87661000000003</v>
      </c>
      <c r="B2230">
        <v>3500</v>
      </c>
      <c r="C2230">
        <v>33</v>
      </c>
      <c r="D2230">
        <v>240.38399999999999</v>
      </c>
      <c r="E2230">
        <v>5048</v>
      </c>
      <c r="F2230">
        <v>1611</v>
      </c>
      <c r="G2230">
        <v>1</v>
      </c>
      <c r="H2230" s="1">
        <f>0.2</f>
        <v>0.2</v>
      </c>
      <c r="I2230">
        <v>0</v>
      </c>
      <c r="J2230">
        <v>-2.9013100000000001</v>
      </c>
      <c r="K2230">
        <v>515.53399999999999</v>
      </c>
      <c r="L2230">
        <v>0</v>
      </c>
    </row>
    <row r="2231" spans="1:12" x14ac:dyDescent="0.25">
      <c r="A2231">
        <f>80487799*0.00001</f>
        <v>804.87799000000007</v>
      </c>
      <c r="B2231">
        <v>3500</v>
      </c>
      <c r="C2231">
        <v>34</v>
      </c>
      <c r="D2231">
        <v>240.38399999999999</v>
      </c>
      <c r="E2231">
        <v>5048</v>
      </c>
      <c r="F2231">
        <v>1611</v>
      </c>
      <c r="G2231">
        <v>1</v>
      </c>
      <c r="H2231">
        <v>0.2</v>
      </c>
      <c r="I2231">
        <v>0</v>
      </c>
      <c r="J2231" s="1">
        <f>-2.77559</f>
        <v>-2.7755899999999998</v>
      </c>
      <c r="K2231">
        <v>515.53399999999999</v>
      </c>
      <c r="L2231">
        <v>0</v>
      </c>
    </row>
    <row r="2232" spans="1:12" x14ac:dyDescent="0.25">
      <c r="A2232">
        <f>80487938*0.00001</f>
        <v>804.87938000000008</v>
      </c>
      <c r="B2232">
        <v>3500</v>
      </c>
      <c r="C2232">
        <v>35</v>
      </c>
      <c r="D2232">
        <v>240.38399999999999</v>
      </c>
      <c r="E2232">
        <v>5048</v>
      </c>
      <c r="F2232">
        <v>1611</v>
      </c>
      <c r="G2232">
        <v>1</v>
      </c>
      <c r="H2232">
        <v>0.2</v>
      </c>
      <c r="I2232">
        <v>0</v>
      </c>
      <c r="J2232">
        <v>-2.7755899999999998</v>
      </c>
      <c r="K2232">
        <v>515.53399999999999</v>
      </c>
      <c r="L2232" s="1">
        <f>0</f>
        <v>0</v>
      </c>
    </row>
    <row r="2233" spans="1:12" x14ac:dyDescent="0.25">
      <c r="A2233">
        <f>80488076*0.00001</f>
        <v>804.88076000000001</v>
      </c>
      <c r="B2233">
        <v>3500</v>
      </c>
      <c r="C2233">
        <v>36</v>
      </c>
      <c r="D2233" s="1">
        <f>240.38</f>
        <v>240.38</v>
      </c>
      <c r="E2233" s="1">
        <f>5049</f>
        <v>5049</v>
      </c>
      <c r="F2233" s="1">
        <f>1611</f>
        <v>1611</v>
      </c>
      <c r="G2233" s="1">
        <f>1</f>
        <v>1</v>
      </c>
      <c r="H2233" s="1">
        <f>0.2</f>
        <v>0.2</v>
      </c>
      <c r="I2233" s="1">
        <f>0</f>
        <v>0</v>
      </c>
      <c r="J2233" s="1">
        <f>-2.62364</f>
        <v>-2.62364</v>
      </c>
      <c r="K2233" s="1">
        <f>515.53</f>
        <v>515.53</v>
      </c>
      <c r="L2233" s="1">
        <f>0</f>
        <v>0</v>
      </c>
    </row>
    <row r="2234" spans="1:12" x14ac:dyDescent="0.25">
      <c r="A2234">
        <f>80488767*0.00001</f>
        <v>804.88767000000007</v>
      </c>
      <c r="B2234">
        <v>3500</v>
      </c>
      <c r="C2234">
        <v>41</v>
      </c>
      <c r="D2234">
        <v>240.38</v>
      </c>
      <c r="E2234">
        <v>5049</v>
      </c>
      <c r="F2234" s="1">
        <f>1611</f>
        <v>1611</v>
      </c>
      <c r="G2234" s="1">
        <f>1</f>
        <v>1</v>
      </c>
      <c r="H2234">
        <v>0.2</v>
      </c>
      <c r="I2234">
        <v>0</v>
      </c>
      <c r="J2234">
        <v>-2.62364</v>
      </c>
      <c r="K2234">
        <v>515.53</v>
      </c>
      <c r="L2234">
        <v>0</v>
      </c>
    </row>
    <row r="2235" spans="1:12" x14ac:dyDescent="0.25">
      <c r="A2235">
        <f>80488905*0.00001</f>
        <v>804.88905000000011</v>
      </c>
      <c r="B2235">
        <v>3500</v>
      </c>
      <c r="C2235">
        <v>42</v>
      </c>
      <c r="D2235">
        <v>240.38</v>
      </c>
      <c r="E2235">
        <v>5049</v>
      </c>
      <c r="F2235">
        <v>1611</v>
      </c>
      <c r="G2235">
        <v>1</v>
      </c>
      <c r="H2235" s="1">
        <f>0.2</f>
        <v>0.2</v>
      </c>
      <c r="I2235" s="1">
        <f>0</f>
        <v>0</v>
      </c>
      <c r="J2235">
        <v>-2.62364</v>
      </c>
      <c r="K2235">
        <v>515.53</v>
      </c>
      <c r="L2235">
        <v>0</v>
      </c>
    </row>
    <row r="2236" spans="1:12" x14ac:dyDescent="0.25">
      <c r="A2236">
        <f>80489043*0.00001</f>
        <v>804.89043000000004</v>
      </c>
      <c r="B2236">
        <v>3500</v>
      </c>
      <c r="C2236">
        <v>43</v>
      </c>
      <c r="D2236">
        <v>240.38</v>
      </c>
      <c r="E2236">
        <v>5049</v>
      </c>
      <c r="F2236">
        <v>1611</v>
      </c>
      <c r="G2236">
        <v>1</v>
      </c>
      <c r="H2236">
        <v>0.2</v>
      </c>
      <c r="I2236">
        <v>0</v>
      </c>
      <c r="J2236" s="1">
        <f>-2.44696</f>
        <v>-2.4469599999999998</v>
      </c>
      <c r="K2236" s="1">
        <f>515.528</f>
        <v>515.52800000000002</v>
      </c>
      <c r="L2236">
        <v>0</v>
      </c>
    </row>
    <row r="2237" spans="1:12" x14ac:dyDescent="0.25">
      <c r="A2237">
        <f>80489181*0.00001</f>
        <v>804.89181000000008</v>
      </c>
      <c r="B2237">
        <v>3500</v>
      </c>
      <c r="C2237">
        <v>44</v>
      </c>
      <c r="D2237" s="1">
        <f>240.378</f>
        <v>240.37799999999999</v>
      </c>
      <c r="E2237">
        <v>5049</v>
      </c>
      <c r="F2237">
        <v>1611</v>
      </c>
      <c r="G2237">
        <v>1</v>
      </c>
      <c r="H2237">
        <v>0.2</v>
      </c>
      <c r="I2237">
        <v>0</v>
      </c>
      <c r="J2237">
        <v>-2.4469599999999998</v>
      </c>
      <c r="K2237">
        <v>515.52800000000002</v>
      </c>
      <c r="L2237" s="1">
        <f>0</f>
        <v>0</v>
      </c>
    </row>
    <row r="2238" spans="1:12" x14ac:dyDescent="0.25">
      <c r="A2238">
        <f>80489319*0.00001</f>
        <v>804.89319000000012</v>
      </c>
      <c r="B2238">
        <v>3500</v>
      </c>
      <c r="C2238">
        <v>45</v>
      </c>
      <c r="D2238">
        <v>240.37799999999999</v>
      </c>
      <c r="E2238" s="1">
        <f>5050</f>
        <v>5050</v>
      </c>
      <c r="F2238" s="1">
        <f>1611</f>
        <v>1611</v>
      </c>
      <c r="G2238">
        <v>1</v>
      </c>
      <c r="H2238">
        <v>0.2</v>
      </c>
      <c r="I2238">
        <v>0</v>
      </c>
      <c r="J2238">
        <v>-2.4469599999999998</v>
      </c>
      <c r="K2238">
        <v>515.52800000000002</v>
      </c>
      <c r="L2238">
        <v>0</v>
      </c>
    </row>
    <row r="2239" spans="1:12" x14ac:dyDescent="0.25">
      <c r="A2239">
        <f>80489457*0.00001</f>
        <v>804.89457000000004</v>
      </c>
      <c r="B2239">
        <v>3500</v>
      </c>
      <c r="C2239">
        <v>46</v>
      </c>
      <c r="D2239">
        <v>240.37799999999999</v>
      </c>
      <c r="E2239">
        <v>5050</v>
      </c>
      <c r="F2239">
        <v>1611</v>
      </c>
      <c r="G2239">
        <v>1</v>
      </c>
      <c r="H2239" s="1">
        <f>0.2</f>
        <v>0.2</v>
      </c>
      <c r="I2239">
        <v>0</v>
      </c>
      <c r="J2239">
        <v>-2.4469599999999998</v>
      </c>
      <c r="K2239">
        <v>515.52800000000002</v>
      </c>
      <c r="L2239">
        <v>0</v>
      </c>
    </row>
    <row r="2240" spans="1:12" x14ac:dyDescent="0.25">
      <c r="A2240">
        <f>80489595*0.00001</f>
        <v>804.89595000000008</v>
      </c>
      <c r="B2240">
        <v>3500</v>
      </c>
      <c r="C2240">
        <v>47</v>
      </c>
      <c r="D2240">
        <v>240.37799999999999</v>
      </c>
      <c r="E2240">
        <v>5050</v>
      </c>
      <c r="F2240">
        <v>1611</v>
      </c>
      <c r="G2240">
        <v>1</v>
      </c>
      <c r="H2240">
        <v>0.2</v>
      </c>
      <c r="I2240">
        <v>0</v>
      </c>
      <c r="J2240" s="1">
        <f>-2.32076</f>
        <v>-2.3207599999999999</v>
      </c>
      <c r="K2240">
        <v>515.52800000000002</v>
      </c>
      <c r="L2240">
        <v>0</v>
      </c>
    </row>
    <row r="2241" spans="1:12" x14ac:dyDescent="0.25">
      <c r="A2241">
        <f>80489733*0.00001</f>
        <v>804.89733000000001</v>
      </c>
      <c r="B2241">
        <v>3500</v>
      </c>
      <c r="C2241">
        <v>48</v>
      </c>
      <c r="D2241">
        <v>240.37799999999999</v>
      </c>
      <c r="E2241">
        <v>5050</v>
      </c>
      <c r="F2241">
        <v>1611</v>
      </c>
      <c r="G2241">
        <v>1</v>
      </c>
      <c r="H2241">
        <v>0.2</v>
      </c>
      <c r="I2241">
        <v>0</v>
      </c>
      <c r="J2241">
        <v>-2.3207599999999999</v>
      </c>
      <c r="K2241">
        <v>515.52800000000002</v>
      </c>
      <c r="L2241" s="1">
        <f>0</f>
        <v>0</v>
      </c>
    </row>
    <row r="2242" spans="1:12" x14ac:dyDescent="0.25">
      <c r="A2242">
        <f>80489871*0.00001</f>
        <v>804.89871000000005</v>
      </c>
      <c r="B2242">
        <v>3500</v>
      </c>
      <c r="C2242">
        <v>49</v>
      </c>
      <c r="D2242" s="1">
        <f>240.385</f>
        <v>240.38499999999999</v>
      </c>
      <c r="E2242" s="1">
        <f>5051</f>
        <v>5051</v>
      </c>
      <c r="F2242" s="1">
        <f>1611</f>
        <v>1611</v>
      </c>
      <c r="G2242" s="1">
        <f>1</f>
        <v>1</v>
      </c>
      <c r="H2242" s="1">
        <f>0.2</f>
        <v>0.2</v>
      </c>
      <c r="I2242" s="1">
        <f>0</f>
        <v>0</v>
      </c>
      <c r="J2242" s="1">
        <f>-2.16965</f>
        <v>-2.1696499999999999</v>
      </c>
      <c r="K2242" s="1">
        <f>515.525</f>
        <v>515.52499999999998</v>
      </c>
      <c r="L2242" s="1">
        <f>0</f>
        <v>0</v>
      </c>
    </row>
    <row r="2243" spans="1:12" x14ac:dyDescent="0.25">
      <c r="A2243">
        <f>80490700*0.00001</f>
        <v>804.90700000000004</v>
      </c>
      <c r="B2243">
        <v>3500</v>
      </c>
      <c r="C2243">
        <v>55</v>
      </c>
      <c r="D2243">
        <v>240.38499999999999</v>
      </c>
      <c r="E2243">
        <v>5051</v>
      </c>
      <c r="F2243">
        <v>1611</v>
      </c>
      <c r="G2243">
        <v>1</v>
      </c>
      <c r="H2243" s="1">
        <f>0.2</f>
        <v>0.2</v>
      </c>
      <c r="I2243" s="1">
        <f>0</f>
        <v>0</v>
      </c>
      <c r="J2243">
        <v>-2.1696499999999999</v>
      </c>
      <c r="K2243">
        <v>515.52499999999998</v>
      </c>
      <c r="L2243">
        <v>0</v>
      </c>
    </row>
    <row r="2244" spans="1:12" x14ac:dyDescent="0.25">
      <c r="A2244">
        <f>80490838*0.00001</f>
        <v>804.90838000000008</v>
      </c>
      <c r="B2244">
        <v>3500</v>
      </c>
      <c r="C2244">
        <v>56</v>
      </c>
      <c r="D2244">
        <v>240.38499999999999</v>
      </c>
      <c r="E2244">
        <v>5051</v>
      </c>
      <c r="F2244">
        <v>1611</v>
      </c>
      <c r="G2244">
        <v>1</v>
      </c>
      <c r="H2244">
        <v>0.2</v>
      </c>
      <c r="I2244">
        <v>0</v>
      </c>
      <c r="J2244" s="1">
        <f>-2.05132</f>
        <v>-2.05132</v>
      </c>
      <c r="K2244" s="1">
        <f>515.523</f>
        <v>515.52300000000002</v>
      </c>
      <c r="L2244">
        <v>0</v>
      </c>
    </row>
    <row r="2245" spans="1:12" x14ac:dyDescent="0.25">
      <c r="A2245">
        <f>80490976*0.00001</f>
        <v>804.90976000000012</v>
      </c>
      <c r="B2245">
        <v>3500</v>
      </c>
      <c r="C2245">
        <v>57</v>
      </c>
      <c r="D2245" s="1">
        <f>240.447</f>
        <v>240.447</v>
      </c>
      <c r="E2245">
        <v>5051</v>
      </c>
      <c r="F2245">
        <v>1611</v>
      </c>
      <c r="G2245">
        <v>1</v>
      </c>
      <c r="H2245">
        <v>0.2</v>
      </c>
      <c r="I2245">
        <v>0</v>
      </c>
      <c r="J2245">
        <v>-2.05132</v>
      </c>
      <c r="K2245">
        <v>515.52300000000002</v>
      </c>
      <c r="L2245" s="1">
        <f>0</f>
        <v>0</v>
      </c>
    </row>
    <row r="2246" spans="1:12" x14ac:dyDescent="0.25">
      <c r="A2246">
        <f>80491114*0.00001</f>
        <v>804.91114000000005</v>
      </c>
      <c r="B2246">
        <v>3500</v>
      </c>
      <c r="C2246">
        <v>58</v>
      </c>
      <c r="D2246">
        <v>240.447</v>
      </c>
      <c r="E2246" s="1">
        <f>5050</f>
        <v>5050</v>
      </c>
      <c r="F2246" s="1">
        <f>1611</f>
        <v>1611</v>
      </c>
      <c r="G2246">
        <v>1</v>
      </c>
      <c r="H2246">
        <v>0.2</v>
      </c>
      <c r="I2246">
        <v>0</v>
      </c>
      <c r="J2246">
        <v>-2.05132</v>
      </c>
      <c r="K2246">
        <v>515.52300000000002</v>
      </c>
      <c r="L2246">
        <v>0</v>
      </c>
    </row>
    <row r="2247" spans="1:12" x14ac:dyDescent="0.25">
      <c r="A2247">
        <f>80491252*0.00001</f>
        <v>804.91252000000009</v>
      </c>
      <c r="B2247">
        <v>3500</v>
      </c>
      <c r="C2247">
        <v>59</v>
      </c>
      <c r="D2247">
        <v>240.447</v>
      </c>
      <c r="E2247">
        <v>5050</v>
      </c>
      <c r="F2247">
        <v>1611</v>
      </c>
      <c r="G2247" s="1">
        <f>1</f>
        <v>1</v>
      </c>
      <c r="H2247" s="1">
        <f>0.2</f>
        <v>0.2</v>
      </c>
      <c r="I2247">
        <v>0</v>
      </c>
      <c r="J2247">
        <v>-2.05132</v>
      </c>
      <c r="K2247">
        <v>515.52300000000002</v>
      </c>
      <c r="L2247">
        <v>0</v>
      </c>
    </row>
    <row r="2248" spans="1:12" x14ac:dyDescent="0.25">
      <c r="A2248">
        <f>80491390*0.00001</f>
        <v>804.91390000000001</v>
      </c>
      <c r="B2248">
        <v>3500</v>
      </c>
      <c r="C2248">
        <v>60</v>
      </c>
      <c r="D2248">
        <v>240.447</v>
      </c>
      <c r="E2248">
        <v>5050</v>
      </c>
      <c r="F2248">
        <v>1611</v>
      </c>
      <c r="G2248">
        <v>1</v>
      </c>
      <c r="H2248">
        <v>0.2</v>
      </c>
      <c r="I2248">
        <v>0</v>
      </c>
      <c r="J2248" s="1">
        <f>-1.97942</f>
        <v>-1.97942</v>
      </c>
      <c r="K2248">
        <v>515.52300000000002</v>
      </c>
      <c r="L2248">
        <v>0</v>
      </c>
    </row>
    <row r="2249" spans="1:12" x14ac:dyDescent="0.25">
      <c r="A2249">
        <f>80491528*0.00001</f>
        <v>804.91528000000005</v>
      </c>
      <c r="B2249">
        <v>3500</v>
      </c>
      <c r="C2249">
        <v>61</v>
      </c>
      <c r="D2249">
        <v>240.447</v>
      </c>
      <c r="E2249">
        <v>5050</v>
      </c>
      <c r="F2249">
        <v>1611</v>
      </c>
      <c r="G2249">
        <v>1</v>
      </c>
      <c r="H2249">
        <v>0.2</v>
      </c>
      <c r="I2249">
        <v>0</v>
      </c>
      <c r="J2249">
        <v>-1.97942</v>
      </c>
      <c r="K2249">
        <v>515.52300000000002</v>
      </c>
      <c r="L2249" s="1">
        <f>0</f>
        <v>0</v>
      </c>
    </row>
    <row r="2250" spans="1:12" x14ac:dyDescent="0.25">
      <c r="A2250">
        <f>80491666*0.00001</f>
        <v>804.91666000000009</v>
      </c>
      <c r="B2250">
        <v>3500</v>
      </c>
      <c r="C2250">
        <v>62</v>
      </c>
      <c r="D2250">
        <v>240.447</v>
      </c>
      <c r="E2250" s="1">
        <f>5049</f>
        <v>5049</v>
      </c>
      <c r="F2250">
        <v>1611</v>
      </c>
      <c r="G2250">
        <v>1</v>
      </c>
      <c r="H2250">
        <v>0.2</v>
      </c>
      <c r="I2250">
        <v>0</v>
      </c>
      <c r="J2250">
        <v>-1.97942</v>
      </c>
      <c r="K2250">
        <v>515.52300000000002</v>
      </c>
      <c r="L2250">
        <v>0</v>
      </c>
    </row>
    <row r="2251" spans="1:12" x14ac:dyDescent="0.25">
      <c r="A2251">
        <f>80491804*0.00001</f>
        <v>804.91804000000002</v>
      </c>
      <c r="B2251">
        <v>3500</v>
      </c>
      <c r="C2251">
        <v>63</v>
      </c>
      <c r="D2251" s="1">
        <f>240.547</f>
        <v>240.547</v>
      </c>
      <c r="E2251" s="1">
        <f>5048</f>
        <v>5048</v>
      </c>
      <c r="F2251" s="1">
        <f>1611</f>
        <v>1611</v>
      </c>
      <c r="G2251" s="1">
        <f>1</f>
        <v>1</v>
      </c>
      <c r="H2251" s="1">
        <f>0.2</f>
        <v>0.2</v>
      </c>
      <c r="I2251" s="1">
        <f>0</f>
        <v>0</v>
      </c>
      <c r="J2251" s="1">
        <f>-1.87263</f>
        <v>-1.87263</v>
      </c>
      <c r="K2251" s="1">
        <f>515.52</f>
        <v>515.52</v>
      </c>
      <c r="L2251" s="1">
        <f>0</f>
        <v>0</v>
      </c>
    </row>
    <row r="2252" spans="1:12" x14ac:dyDescent="0.25">
      <c r="A2252">
        <f>80492632*0.00001</f>
        <v>804.92632000000003</v>
      </c>
      <c r="B2252">
        <v>3500</v>
      </c>
      <c r="C2252">
        <v>69</v>
      </c>
      <c r="D2252">
        <v>240.547</v>
      </c>
      <c r="E2252">
        <v>5048</v>
      </c>
      <c r="F2252">
        <v>1611</v>
      </c>
      <c r="G2252">
        <v>1</v>
      </c>
      <c r="H2252">
        <v>0.2</v>
      </c>
      <c r="I2252">
        <v>0</v>
      </c>
      <c r="J2252" s="1">
        <f>-1.74072</f>
        <v>-1.74072</v>
      </c>
      <c r="K2252" s="1">
        <f>515.519</f>
        <v>515.51900000000001</v>
      </c>
      <c r="L2252">
        <v>0</v>
      </c>
    </row>
    <row r="2253" spans="1:12" x14ac:dyDescent="0.25">
      <c r="A2253">
        <f>80492770*0.00001</f>
        <v>804.92770000000007</v>
      </c>
      <c r="B2253">
        <v>3500</v>
      </c>
      <c r="C2253">
        <v>70</v>
      </c>
      <c r="D2253" s="1">
        <f>240.579</f>
        <v>240.57900000000001</v>
      </c>
      <c r="E2253">
        <v>5048</v>
      </c>
      <c r="F2253">
        <v>1611</v>
      </c>
      <c r="G2253">
        <v>1</v>
      </c>
      <c r="H2253">
        <v>0.2</v>
      </c>
      <c r="I2253">
        <v>0</v>
      </c>
      <c r="J2253">
        <v>-1.74072</v>
      </c>
      <c r="K2253">
        <v>515.51900000000001</v>
      </c>
      <c r="L2253" s="1">
        <f>0</f>
        <v>0</v>
      </c>
    </row>
    <row r="2254" spans="1:12" x14ac:dyDescent="0.25">
      <c r="A2254">
        <f>80492908*0.00001</f>
        <v>804.92908000000011</v>
      </c>
      <c r="B2254">
        <v>3500</v>
      </c>
      <c r="C2254">
        <v>71</v>
      </c>
      <c r="D2254">
        <v>240.57900000000001</v>
      </c>
      <c r="E2254" s="1">
        <f>5048</f>
        <v>5048</v>
      </c>
      <c r="F2254" s="1">
        <f>1611</f>
        <v>1611</v>
      </c>
      <c r="G2254">
        <v>1</v>
      </c>
      <c r="H2254">
        <v>0.2</v>
      </c>
      <c r="I2254">
        <v>0</v>
      </c>
      <c r="J2254">
        <v>-1.74072</v>
      </c>
      <c r="K2254">
        <v>515.51900000000001</v>
      </c>
      <c r="L2254">
        <v>0</v>
      </c>
    </row>
    <row r="2255" spans="1:12" x14ac:dyDescent="0.25">
      <c r="A2255">
        <f>80493046*0.00001</f>
        <v>804.93046000000004</v>
      </c>
      <c r="B2255">
        <v>3500</v>
      </c>
      <c r="C2255">
        <v>72</v>
      </c>
      <c r="D2255">
        <v>240.57900000000001</v>
      </c>
      <c r="E2255">
        <v>5048</v>
      </c>
      <c r="F2255">
        <v>1611</v>
      </c>
      <c r="G2255" s="1">
        <f>1</f>
        <v>1</v>
      </c>
      <c r="H2255" s="1">
        <f>0.2</f>
        <v>0.2</v>
      </c>
      <c r="I2255">
        <v>0</v>
      </c>
      <c r="J2255">
        <v>-1.74072</v>
      </c>
      <c r="K2255">
        <v>515.51900000000001</v>
      </c>
      <c r="L2255">
        <v>0</v>
      </c>
    </row>
    <row r="2256" spans="1:12" x14ac:dyDescent="0.25">
      <c r="A2256">
        <f>80493184*0.00001</f>
        <v>804.93184000000008</v>
      </c>
      <c r="B2256">
        <v>3500</v>
      </c>
      <c r="C2256">
        <v>73</v>
      </c>
      <c r="D2256">
        <v>240.57900000000001</v>
      </c>
      <c r="E2256">
        <v>5048</v>
      </c>
      <c r="F2256">
        <v>1611</v>
      </c>
      <c r="G2256">
        <v>1</v>
      </c>
      <c r="H2256">
        <v>0.2</v>
      </c>
      <c r="I2256" s="1">
        <f>0</f>
        <v>0</v>
      </c>
      <c r="J2256" s="1">
        <f>-1.64337</f>
        <v>-1.64337</v>
      </c>
      <c r="K2256">
        <v>515.51900000000001</v>
      </c>
      <c r="L2256">
        <v>0</v>
      </c>
    </row>
    <row r="2257" spans="1:12" x14ac:dyDescent="0.25">
      <c r="A2257">
        <f>80493322*0.00001</f>
        <v>804.93322000000012</v>
      </c>
      <c r="B2257">
        <v>3500</v>
      </c>
      <c r="C2257">
        <v>74</v>
      </c>
      <c r="D2257">
        <v>240.57900000000001</v>
      </c>
      <c r="E2257">
        <v>5048</v>
      </c>
      <c r="F2257">
        <v>1611</v>
      </c>
      <c r="G2257">
        <v>1</v>
      </c>
      <c r="H2257">
        <v>0.2</v>
      </c>
      <c r="I2257">
        <v>0</v>
      </c>
      <c r="J2257">
        <v>-1.64337</v>
      </c>
      <c r="K2257">
        <v>515.51900000000001</v>
      </c>
      <c r="L2257" s="1">
        <f>0</f>
        <v>0</v>
      </c>
    </row>
    <row r="2258" spans="1:12" x14ac:dyDescent="0.25">
      <c r="A2258">
        <f>80493460*0.00001</f>
        <v>804.93460000000005</v>
      </c>
      <c r="B2258">
        <v>3500</v>
      </c>
      <c r="C2258">
        <v>75</v>
      </c>
      <c r="D2258">
        <v>240.57900000000001</v>
      </c>
      <c r="E2258" s="1">
        <f>5048</f>
        <v>5048</v>
      </c>
      <c r="F2258">
        <v>1611</v>
      </c>
      <c r="G2258">
        <v>1</v>
      </c>
      <c r="H2258">
        <v>0.2</v>
      </c>
      <c r="I2258">
        <v>0</v>
      </c>
      <c r="J2258">
        <v>-1.64337</v>
      </c>
      <c r="K2258">
        <v>515.51900000000001</v>
      </c>
      <c r="L2258">
        <v>0</v>
      </c>
    </row>
    <row r="2259" spans="1:12" x14ac:dyDescent="0.25">
      <c r="A2259">
        <f>80493598*0.00001</f>
        <v>804.93598000000009</v>
      </c>
      <c r="B2259">
        <v>3500</v>
      </c>
      <c r="C2259">
        <v>76</v>
      </c>
      <c r="D2259">
        <v>240.57900000000001</v>
      </c>
      <c r="E2259">
        <v>5048</v>
      </c>
      <c r="F2259">
        <v>1611</v>
      </c>
      <c r="G2259" s="1">
        <f>1</f>
        <v>1</v>
      </c>
      <c r="H2259">
        <v>0.2</v>
      </c>
      <c r="I2259">
        <v>0</v>
      </c>
      <c r="J2259">
        <v>-1.64337</v>
      </c>
      <c r="K2259">
        <v>515.51900000000001</v>
      </c>
      <c r="L2259">
        <v>0</v>
      </c>
    </row>
    <row r="2260" spans="1:12" x14ac:dyDescent="0.25">
      <c r="A2260">
        <f>80493736*0.00001</f>
        <v>804.93736000000001</v>
      </c>
      <c r="B2260">
        <v>3500</v>
      </c>
      <c r="C2260">
        <v>77</v>
      </c>
      <c r="D2260">
        <v>240.57900000000001</v>
      </c>
      <c r="E2260">
        <v>5048</v>
      </c>
      <c r="F2260">
        <v>1611</v>
      </c>
      <c r="G2260">
        <v>1</v>
      </c>
      <c r="H2260">
        <v>0.2</v>
      </c>
      <c r="I2260" s="1">
        <f>0</f>
        <v>0</v>
      </c>
      <c r="J2260">
        <v>-1.64337</v>
      </c>
      <c r="K2260">
        <v>515.51900000000001</v>
      </c>
      <c r="L2260">
        <v>0</v>
      </c>
    </row>
    <row r="2261" spans="1:12" x14ac:dyDescent="0.25">
      <c r="A2261">
        <f>80493874*0.00001</f>
        <v>804.93874000000005</v>
      </c>
      <c r="B2261">
        <v>3500</v>
      </c>
      <c r="C2261">
        <v>78</v>
      </c>
      <c r="D2261" s="1">
        <f>240.647</f>
        <v>240.64699999999999</v>
      </c>
      <c r="E2261" s="1">
        <f>5048</f>
        <v>5048</v>
      </c>
      <c r="F2261" s="1">
        <f>1611</f>
        <v>1611</v>
      </c>
      <c r="G2261" s="1">
        <f>1</f>
        <v>1</v>
      </c>
      <c r="H2261" s="1">
        <f>0.2</f>
        <v>0.2</v>
      </c>
      <c r="I2261" s="1">
        <f>0</f>
        <v>0</v>
      </c>
      <c r="J2261" s="1">
        <f>-1.36269</f>
        <v>-1.36269</v>
      </c>
      <c r="K2261" s="1">
        <f>515.516</f>
        <v>515.51599999999996</v>
      </c>
      <c r="L2261" s="1">
        <f>0</f>
        <v>0</v>
      </c>
    </row>
    <row r="2262" spans="1:12" x14ac:dyDescent="0.25">
      <c r="A2262">
        <f>80494702*0.00001</f>
        <v>804.94702000000007</v>
      </c>
      <c r="B2262">
        <v>3500</v>
      </c>
      <c r="C2262">
        <v>84</v>
      </c>
      <c r="D2262">
        <v>240.64699999999999</v>
      </c>
      <c r="E2262" s="1">
        <f>5048</f>
        <v>5048</v>
      </c>
      <c r="F2262" s="1">
        <f>1611</f>
        <v>1611</v>
      </c>
      <c r="G2262">
        <v>1</v>
      </c>
      <c r="H2262">
        <v>0.2</v>
      </c>
      <c r="I2262">
        <v>0</v>
      </c>
      <c r="J2262">
        <v>-1.36269</v>
      </c>
      <c r="K2262">
        <v>515.51599999999996</v>
      </c>
      <c r="L2262">
        <v>0</v>
      </c>
    </row>
    <row r="2263" spans="1:12" x14ac:dyDescent="0.25">
      <c r="A2263">
        <f>80494840*0.00001</f>
        <v>804.94840000000011</v>
      </c>
      <c r="B2263">
        <v>3500</v>
      </c>
      <c r="C2263">
        <v>85</v>
      </c>
      <c r="D2263">
        <v>240.64699999999999</v>
      </c>
      <c r="E2263">
        <v>5048</v>
      </c>
      <c r="F2263">
        <v>1611</v>
      </c>
      <c r="G2263" s="1">
        <f>1</f>
        <v>1</v>
      </c>
      <c r="H2263" s="1">
        <f>0.2</f>
        <v>0.2</v>
      </c>
      <c r="I2263">
        <v>0</v>
      </c>
      <c r="J2263">
        <v>-1.36269</v>
      </c>
      <c r="K2263">
        <v>515.51599999999996</v>
      </c>
      <c r="L2263">
        <v>0</v>
      </c>
    </row>
    <row r="2264" spans="1:12" x14ac:dyDescent="0.25">
      <c r="A2264">
        <f>80494978*0.00001</f>
        <v>804.94978000000003</v>
      </c>
      <c r="B2264">
        <v>3500</v>
      </c>
      <c r="C2264">
        <v>86</v>
      </c>
      <c r="D2264">
        <v>240.64699999999999</v>
      </c>
      <c r="E2264">
        <v>5048</v>
      </c>
      <c r="F2264">
        <v>1611</v>
      </c>
      <c r="G2264">
        <v>1</v>
      </c>
      <c r="H2264">
        <v>0.2</v>
      </c>
      <c r="I2264" s="1">
        <f>0</f>
        <v>0</v>
      </c>
      <c r="J2264" s="1">
        <f>-1.2516</f>
        <v>-1.2516</v>
      </c>
      <c r="K2264">
        <v>515.51599999999996</v>
      </c>
      <c r="L2264">
        <v>0</v>
      </c>
    </row>
    <row r="2265" spans="1:12" x14ac:dyDescent="0.25">
      <c r="A2265">
        <f>80495116*0.00001</f>
        <v>804.95116000000007</v>
      </c>
      <c r="B2265">
        <v>3500</v>
      </c>
      <c r="C2265">
        <v>87</v>
      </c>
      <c r="D2265">
        <v>240.64699999999999</v>
      </c>
      <c r="E2265">
        <v>5048</v>
      </c>
      <c r="F2265">
        <v>1611</v>
      </c>
      <c r="G2265">
        <v>1</v>
      </c>
      <c r="H2265">
        <v>0.2</v>
      </c>
      <c r="I2265">
        <v>0</v>
      </c>
      <c r="J2265">
        <v>-1.2516</v>
      </c>
      <c r="K2265" s="1">
        <f>515.515</f>
        <v>515.51499999999999</v>
      </c>
      <c r="L2265" s="1">
        <f>0</f>
        <v>0</v>
      </c>
    </row>
    <row r="2266" spans="1:12" x14ac:dyDescent="0.25">
      <c r="A2266">
        <f>80495254*0.00001</f>
        <v>804.95254000000011</v>
      </c>
      <c r="B2266">
        <v>3500</v>
      </c>
      <c r="C2266">
        <v>88</v>
      </c>
      <c r="D2266">
        <v>240.64699999999999</v>
      </c>
      <c r="E2266" s="1">
        <f>5048</f>
        <v>5048</v>
      </c>
      <c r="F2266">
        <v>1611</v>
      </c>
      <c r="G2266">
        <v>1</v>
      </c>
      <c r="H2266">
        <v>0.2</v>
      </c>
      <c r="I2266">
        <v>0</v>
      </c>
      <c r="J2266">
        <v>-1.2516</v>
      </c>
      <c r="K2266">
        <v>515.51499999999999</v>
      </c>
      <c r="L2266">
        <v>0</v>
      </c>
    </row>
    <row r="2267" spans="1:12" x14ac:dyDescent="0.25">
      <c r="A2267">
        <f>80495392*0.00001</f>
        <v>804.95392000000004</v>
      </c>
      <c r="B2267">
        <v>3500</v>
      </c>
      <c r="C2267">
        <v>89</v>
      </c>
      <c r="D2267">
        <v>240.64699999999999</v>
      </c>
      <c r="E2267">
        <v>5048</v>
      </c>
      <c r="F2267">
        <v>1611</v>
      </c>
      <c r="G2267" s="1">
        <f>1</f>
        <v>1</v>
      </c>
      <c r="H2267">
        <v>0.2</v>
      </c>
      <c r="I2267">
        <v>0</v>
      </c>
      <c r="J2267">
        <v>-1.2516</v>
      </c>
      <c r="K2267">
        <v>515.51499999999999</v>
      </c>
      <c r="L2267">
        <v>0</v>
      </c>
    </row>
    <row r="2268" spans="1:12" x14ac:dyDescent="0.25">
      <c r="A2268">
        <f>80495530*0.00001</f>
        <v>804.95530000000008</v>
      </c>
      <c r="B2268">
        <v>3500</v>
      </c>
      <c r="C2268">
        <v>90</v>
      </c>
      <c r="D2268">
        <v>240.64699999999999</v>
      </c>
      <c r="E2268">
        <v>5048</v>
      </c>
      <c r="F2268">
        <v>1611</v>
      </c>
      <c r="G2268">
        <v>1</v>
      </c>
      <c r="H2268">
        <v>0.2</v>
      </c>
      <c r="I2268" s="1">
        <f>0</f>
        <v>0</v>
      </c>
      <c r="J2268">
        <v>-1.2516</v>
      </c>
      <c r="K2268">
        <v>515.51499999999999</v>
      </c>
      <c r="L2268">
        <v>0</v>
      </c>
    </row>
    <row r="2269" spans="1:12" x14ac:dyDescent="0.25">
      <c r="A2269">
        <f>80495668*0.00001</f>
        <v>804.95668000000012</v>
      </c>
      <c r="B2269">
        <v>3500</v>
      </c>
      <c r="C2269">
        <v>91</v>
      </c>
      <c r="D2269">
        <v>240.64699999999999</v>
      </c>
      <c r="E2269">
        <v>5048</v>
      </c>
      <c r="F2269">
        <v>1611</v>
      </c>
      <c r="G2269">
        <v>1</v>
      </c>
      <c r="H2269">
        <v>0.2</v>
      </c>
      <c r="I2269">
        <v>0</v>
      </c>
      <c r="J2269">
        <v>-1.2516</v>
      </c>
      <c r="K2269" s="1">
        <f>515.514</f>
        <v>515.51400000000001</v>
      </c>
      <c r="L2269">
        <v>0</v>
      </c>
    </row>
    <row r="2270" spans="1:12" x14ac:dyDescent="0.25">
      <c r="A2270">
        <f>80495806*0.00001</f>
        <v>804.95806000000005</v>
      </c>
      <c r="B2270">
        <v>3500</v>
      </c>
      <c r="C2270">
        <v>92</v>
      </c>
      <c r="D2270" s="1">
        <f>240.682</f>
        <v>240.68199999999999</v>
      </c>
      <c r="E2270" s="1">
        <f>5049</f>
        <v>5049</v>
      </c>
      <c r="F2270" s="1">
        <f>1611</f>
        <v>1611</v>
      </c>
      <c r="G2270" s="1">
        <f>1</f>
        <v>1</v>
      </c>
      <c r="H2270" s="1">
        <f>0.2</f>
        <v>0.2</v>
      </c>
      <c r="I2270" s="1">
        <f>0</f>
        <v>0</v>
      </c>
      <c r="J2270" s="1">
        <f>-0.949417</f>
        <v>-0.94941699999999996</v>
      </c>
      <c r="K2270" s="1">
        <f>515.513</f>
        <v>515.51300000000003</v>
      </c>
      <c r="L2270" s="1">
        <f>0</f>
        <v>0</v>
      </c>
    </row>
    <row r="2271" spans="1:12" x14ac:dyDescent="0.25">
      <c r="A2271">
        <f>80496633*0.00001</f>
        <v>804.96633000000008</v>
      </c>
      <c r="B2271">
        <v>3500</v>
      </c>
      <c r="C2271">
        <v>98</v>
      </c>
      <c r="D2271">
        <v>240.68199999999999</v>
      </c>
      <c r="E2271">
        <v>5049</v>
      </c>
      <c r="F2271">
        <v>1611</v>
      </c>
      <c r="G2271" s="1">
        <f>1</f>
        <v>1</v>
      </c>
      <c r="H2271" s="1">
        <f>0.2</f>
        <v>0.2</v>
      </c>
      <c r="I2271">
        <v>0</v>
      </c>
      <c r="J2271">
        <v>-0.94941699999999996</v>
      </c>
      <c r="K2271">
        <v>515.51300000000003</v>
      </c>
      <c r="L2271">
        <v>0</v>
      </c>
    </row>
    <row r="2272" spans="1:12" x14ac:dyDescent="0.25">
      <c r="A2272">
        <f>80496771*0.00001</f>
        <v>804.96771000000001</v>
      </c>
      <c r="B2272">
        <v>3500</v>
      </c>
      <c r="C2272">
        <v>99</v>
      </c>
      <c r="D2272">
        <v>240.68199999999999</v>
      </c>
      <c r="E2272">
        <v>5049</v>
      </c>
      <c r="F2272">
        <v>1611</v>
      </c>
      <c r="G2272">
        <v>1</v>
      </c>
      <c r="H2272">
        <v>0.2</v>
      </c>
      <c r="I2272" s="1">
        <f>0</f>
        <v>0</v>
      </c>
      <c r="J2272" s="1">
        <f>-0.831497</f>
        <v>-0.83149700000000004</v>
      </c>
      <c r="K2272">
        <v>515.51300000000003</v>
      </c>
      <c r="L2272">
        <v>0</v>
      </c>
    </row>
    <row r="2273" spans="1:12" x14ac:dyDescent="0.25">
      <c r="A2273">
        <f>80496909*0.00001</f>
        <v>804.96909000000005</v>
      </c>
      <c r="B2273">
        <v>3500</v>
      </c>
      <c r="C2273">
        <v>100</v>
      </c>
      <c r="D2273">
        <v>240.68199999999999</v>
      </c>
      <c r="E2273">
        <v>5049</v>
      </c>
      <c r="F2273">
        <v>1611</v>
      </c>
      <c r="G2273">
        <v>1</v>
      </c>
      <c r="H2273">
        <v>0.2</v>
      </c>
      <c r="I2273">
        <v>0</v>
      </c>
      <c r="J2273">
        <v>-0.83149700000000004</v>
      </c>
      <c r="K2273" s="1">
        <f>515.513</f>
        <v>515.51300000000003</v>
      </c>
      <c r="L2273" s="1">
        <f>0</f>
        <v>0</v>
      </c>
    </row>
    <row r="2274" spans="1:12" x14ac:dyDescent="0.25">
      <c r="A2274">
        <f>80497047*0.00001</f>
        <v>804.97047000000009</v>
      </c>
      <c r="B2274">
        <v>3500</v>
      </c>
      <c r="C2274">
        <v>101</v>
      </c>
      <c r="D2274" s="1">
        <f>240.69</f>
        <v>240.69</v>
      </c>
      <c r="E2274" s="1">
        <f>5049</f>
        <v>5049</v>
      </c>
      <c r="F2274">
        <v>1611</v>
      </c>
      <c r="G2274">
        <v>1</v>
      </c>
      <c r="H2274">
        <v>0.2</v>
      </c>
      <c r="I2274">
        <v>0</v>
      </c>
      <c r="J2274">
        <v>-0.83149700000000004</v>
      </c>
      <c r="K2274">
        <v>515.51300000000003</v>
      </c>
      <c r="L2274">
        <v>0</v>
      </c>
    </row>
    <row r="2275" spans="1:12" x14ac:dyDescent="0.25">
      <c r="A2275">
        <f>80497185*0.00001</f>
        <v>804.97185000000002</v>
      </c>
      <c r="B2275">
        <v>3500</v>
      </c>
      <c r="C2275">
        <v>102</v>
      </c>
      <c r="D2275">
        <v>240.69</v>
      </c>
      <c r="E2275">
        <v>5049</v>
      </c>
      <c r="F2275" s="1">
        <f>1611</f>
        <v>1611</v>
      </c>
      <c r="G2275" s="1">
        <f>1</f>
        <v>1</v>
      </c>
      <c r="H2275">
        <v>0.2</v>
      </c>
      <c r="I2275">
        <v>0</v>
      </c>
      <c r="J2275">
        <v>-0.83149700000000004</v>
      </c>
      <c r="K2275">
        <v>515.51300000000003</v>
      </c>
      <c r="L2275">
        <v>0</v>
      </c>
    </row>
    <row r="2276" spans="1:12" x14ac:dyDescent="0.25">
      <c r="A2276">
        <f>80497323*0.00001</f>
        <v>804.97323000000006</v>
      </c>
      <c r="B2276">
        <v>3500</v>
      </c>
      <c r="C2276">
        <v>103</v>
      </c>
      <c r="D2276">
        <v>240.69</v>
      </c>
      <c r="E2276">
        <v>5049</v>
      </c>
      <c r="F2276">
        <v>1611</v>
      </c>
      <c r="G2276">
        <v>1</v>
      </c>
      <c r="H2276">
        <v>0.2</v>
      </c>
      <c r="I2276" s="1">
        <f>0</f>
        <v>0</v>
      </c>
      <c r="J2276">
        <v>-0.83149700000000004</v>
      </c>
      <c r="K2276">
        <v>515.51300000000003</v>
      </c>
      <c r="L2276">
        <v>0</v>
      </c>
    </row>
    <row r="2277" spans="1:12" x14ac:dyDescent="0.25">
      <c r="A2277">
        <f>80497461*0.00001</f>
        <v>804.9746100000001</v>
      </c>
      <c r="B2277">
        <v>3500</v>
      </c>
      <c r="C2277">
        <v>104</v>
      </c>
      <c r="D2277">
        <v>240.69</v>
      </c>
      <c r="E2277">
        <v>5049</v>
      </c>
      <c r="F2277">
        <v>1611</v>
      </c>
      <c r="G2277">
        <v>1</v>
      </c>
      <c r="H2277">
        <v>0.2</v>
      </c>
      <c r="I2277">
        <v>0</v>
      </c>
      <c r="J2277">
        <v>-0.83149700000000004</v>
      </c>
      <c r="K2277" s="1">
        <f>515.512</f>
        <v>515.51199999999994</v>
      </c>
      <c r="L2277">
        <v>0</v>
      </c>
    </row>
    <row r="2278" spans="1:12" x14ac:dyDescent="0.25">
      <c r="A2278">
        <f>80497599*0.00001</f>
        <v>804.97599000000002</v>
      </c>
      <c r="B2278">
        <v>3500</v>
      </c>
      <c r="C2278">
        <v>105</v>
      </c>
      <c r="D2278" s="1">
        <f>240.696</f>
        <v>240.696</v>
      </c>
      <c r="E2278">
        <v>5049</v>
      </c>
      <c r="F2278">
        <v>1611</v>
      </c>
      <c r="G2278">
        <v>1</v>
      </c>
      <c r="H2278">
        <v>0.2</v>
      </c>
      <c r="I2278">
        <v>0</v>
      </c>
      <c r="J2278">
        <v>-0.83149700000000004</v>
      </c>
      <c r="K2278">
        <v>515.51199999999994</v>
      </c>
      <c r="L2278">
        <v>0</v>
      </c>
    </row>
    <row r="2279" spans="1:12" x14ac:dyDescent="0.25">
      <c r="A2279">
        <f>80497737*0.00001</f>
        <v>804.97737000000006</v>
      </c>
      <c r="B2279">
        <v>3500</v>
      </c>
      <c r="C2279">
        <v>106</v>
      </c>
      <c r="D2279" s="1">
        <f>240.7</f>
        <v>240.7</v>
      </c>
      <c r="E2279" s="1">
        <f>5050</f>
        <v>5050</v>
      </c>
      <c r="F2279" s="1">
        <f>1611</f>
        <v>1611</v>
      </c>
      <c r="G2279" s="1">
        <f>1</f>
        <v>1</v>
      </c>
      <c r="H2279" s="1">
        <f>0.2</f>
        <v>0.2</v>
      </c>
      <c r="I2279" s="1">
        <f>0</f>
        <v>0</v>
      </c>
      <c r="J2279" s="1">
        <f>-0.518265</f>
        <v>-0.51826499999999998</v>
      </c>
      <c r="K2279" s="1">
        <f>515.512</f>
        <v>515.51199999999994</v>
      </c>
      <c r="L2279" s="1">
        <f>0</f>
        <v>0</v>
      </c>
    </row>
    <row r="2280" spans="1:12" x14ac:dyDescent="0.25">
      <c r="A2280">
        <f>80498564*0.00001</f>
        <v>804.9856400000001</v>
      </c>
      <c r="B2280">
        <v>3500</v>
      </c>
      <c r="C2280">
        <v>112</v>
      </c>
      <c r="D2280">
        <v>240.7</v>
      </c>
      <c r="E2280">
        <v>5050</v>
      </c>
      <c r="F2280">
        <v>1611</v>
      </c>
      <c r="G2280">
        <v>1</v>
      </c>
      <c r="H2280">
        <v>0.2</v>
      </c>
      <c r="I2280" s="1">
        <f>0</f>
        <v>0</v>
      </c>
      <c r="J2280" s="1">
        <f>-0.396866</f>
        <v>-0.396866</v>
      </c>
      <c r="K2280">
        <v>515.51199999999994</v>
      </c>
      <c r="L2280">
        <v>0</v>
      </c>
    </row>
    <row r="2281" spans="1:12" x14ac:dyDescent="0.25">
      <c r="A2281">
        <f>80498702*0.00001</f>
        <v>804.98702000000003</v>
      </c>
      <c r="B2281">
        <v>3500</v>
      </c>
      <c r="C2281">
        <v>113</v>
      </c>
      <c r="D2281">
        <v>240.7</v>
      </c>
      <c r="E2281">
        <v>5050</v>
      </c>
      <c r="F2281">
        <v>1611</v>
      </c>
      <c r="G2281">
        <v>1</v>
      </c>
      <c r="H2281">
        <v>0.2</v>
      </c>
      <c r="I2281">
        <v>0</v>
      </c>
      <c r="J2281">
        <v>-0.396866</v>
      </c>
      <c r="K2281" s="1">
        <f>515.511</f>
        <v>515.51099999999997</v>
      </c>
      <c r="L2281" s="1">
        <f>0</f>
        <v>0</v>
      </c>
    </row>
    <row r="2282" spans="1:12" x14ac:dyDescent="0.25">
      <c r="A2282">
        <f>80498840*0.00001</f>
        <v>804.98840000000007</v>
      </c>
      <c r="B2282">
        <v>3500</v>
      </c>
      <c r="C2282">
        <v>114</v>
      </c>
      <c r="D2282" s="1">
        <f>240.704</f>
        <v>240.70400000000001</v>
      </c>
      <c r="E2282" s="1">
        <f>5049</f>
        <v>5049</v>
      </c>
      <c r="F2282">
        <v>1611</v>
      </c>
      <c r="G2282">
        <v>1</v>
      </c>
      <c r="H2282">
        <v>0.2</v>
      </c>
      <c r="I2282">
        <v>0</v>
      </c>
      <c r="J2282">
        <v>-0.396866</v>
      </c>
      <c r="K2282">
        <v>515.51099999999997</v>
      </c>
      <c r="L2282">
        <v>0</v>
      </c>
    </row>
    <row r="2283" spans="1:12" x14ac:dyDescent="0.25">
      <c r="A2283">
        <f>80498978*0.00001</f>
        <v>804.98978000000011</v>
      </c>
      <c r="B2283">
        <v>3500</v>
      </c>
      <c r="C2283">
        <v>115</v>
      </c>
      <c r="D2283">
        <v>240.70400000000001</v>
      </c>
      <c r="E2283">
        <v>5049</v>
      </c>
      <c r="F2283" s="1">
        <f>1611</f>
        <v>1611</v>
      </c>
      <c r="G2283" s="1">
        <f>1</f>
        <v>1</v>
      </c>
      <c r="H2283">
        <v>0.2</v>
      </c>
      <c r="I2283">
        <v>0</v>
      </c>
      <c r="J2283">
        <v>-0.396866</v>
      </c>
      <c r="K2283">
        <v>515.51099999999997</v>
      </c>
      <c r="L2283">
        <v>0</v>
      </c>
    </row>
    <row r="2284" spans="1:12" x14ac:dyDescent="0.25">
      <c r="A2284">
        <f>80499116*0.00001</f>
        <v>804.99116000000004</v>
      </c>
      <c r="B2284">
        <v>3500</v>
      </c>
      <c r="C2284">
        <v>116</v>
      </c>
      <c r="D2284">
        <v>240.70400000000001</v>
      </c>
      <c r="E2284">
        <v>5049</v>
      </c>
      <c r="F2284">
        <v>1611</v>
      </c>
      <c r="G2284">
        <v>1</v>
      </c>
      <c r="H2284" s="1">
        <f>0.2</f>
        <v>0.2</v>
      </c>
      <c r="I2284" s="1">
        <f>0</f>
        <v>0</v>
      </c>
      <c r="J2284">
        <v>-0.396866</v>
      </c>
      <c r="K2284">
        <v>515.51099999999997</v>
      </c>
      <c r="L2284">
        <v>0</v>
      </c>
    </row>
    <row r="2285" spans="1:12" x14ac:dyDescent="0.25">
      <c r="A2285">
        <f>80499254*0.00001</f>
        <v>804.99254000000008</v>
      </c>
      <c r="B2285">
        <v>3500</v>
      </c>
      <c r="C2285">
        <v>117</v>
      </c>
      <c r="D2285">
        <v>240.70400000000001</v>
      </c>
      <c r="E2285">
        <v>5049</v>
      </c>
      <c r="F2285">
        <v>1611</v>
      </c>
      <c r="G2285">
        <v>1</v>
      </c>
      <c r="H2285">
        <v>0.2</v>
      </c>
      <c r="I2285">
        <v>0</v>
      </c>
      <c r="J2285">
        <v>-0.396866</v>
      </c>
      <c r="K2285" s="1">
        <f>515.511</f>
        <v>515.51099999999997</v>
      </c>
      <c r="L2285">
        <v>0</v>
      </c>
    </row>
    <row r="2286" spans="1:12" x14ac:dyDescent="0.25">
      <c r="A2286">
        <f>80499392*0.00001</f>
        <v>804.99392000000012</v>
      </c>
      <c r="B2286">
        <v>3500</v>
      </c>
      <c r="C2286">
        <v>118</v>
      </c>
      <c r="D2286" s="1">
        <f>240.708</f>
        <v>240.708</v>
      </c>
      <c r="E2286">
        <v>5049</v>
      </c>
      <c r="F2286">
        <v>1611</v>
      </c>
      <c r="G2286">
        <v>1</v>
      </c>
      <c r="H2286">
        <v>0.2</v>
      </c>
      <c r="I2286">
        <v>0</v>
      </c>
      <c r="J2286">
        <v>-0.396866</v>
      </c>
      <c r="K2286">
        <v>515.51099999999997</v>
      </c>
      <c r="L2286">
        <v>0</v>
      </c>
    </row>
    <row r="2287" spans="1:12" x14ac:dyDescent="0.25">
      <c r="A2287">
        <f>80499530*0.00001</f>
        <v>804.99530000000004</v>
      </c>
      <c r="B2287">
        <v>3500</v>
      </c>
      <c r="C2287">
        <v>119</v>
      </c>
      <c r="D2287">
        <v>240.708</v>
      </c>
      <c r="E2287">
        <v>5049</v>
      </c>
      <c r="F2287" s="1">
        <f>1611</f>
        <v>1611</v>
      </c>
      <c r="G2287">
        <v>1</v>
      </c>
      <c r="H2287">
        <v>0.2</v>
      </c>
      <c r="I2287">
        <v>0</v>
      </c>
      <c r="J2287">
        <v>-0.396866</v>
      </c>
      <c r="K2287">
        <v>515.51099999999997</v>
      </c>
      <c r="L2287">
        <v>0</v>
      </c>
    </row>
    <row r="2288" spans="1:12" x14ac:dyDescent="0.25">
      <c r="A2288">
        <f>80499668*0.00001</f>
        <v>804.99668000000008</v>
      </c>
      <c r="B2288">
        <v>3500</v>
      </c>
      <c r="C2288">
        <v>120</v>
      </c>
      <c r="D2288">
        <v>240.708</v>
      </c>
      <c r="E2288">
        <v>5049</v>
      </c>
      <c r="F2288">
        <v>1611</v>
      </c>
      <c r="G2288">
        <v>1</v>
      </c>
      <c r="H2288" s="1">
        <f>0.2</f>
        <v>0.2</v>
      </c>
      <c r="I2288">
        <v>0</v>
      </c>
      <c r="J2288">
        <v>-0.396866</v>
      </c>
      <c r="K2288">
        <v>515.51099999999997</v>
      </c>
      <c r="L2288">
        <v>0</v>
      </c>
    </row>
    <row r="2289" spans="1:12" x14ac:dyDescent="0.25">
      <c r="A2289">
        <f>80499806*0.00001</f>
        <v>804.99806000000001</v>
      </c>
      <c r="B2289">
        <v>3500</v>
      </c>
      <c r="C2289">
        <v>121</v>
      </c>
      <c r="D2289" s="1">
        <f>240.71</f>
        <v>240.71</v>
      </c>
      <c r="E2289" s="1">
        <f>5049</f>
        <v>5049</v>
      </c>
      <c r="F2289" s="1">
        <f>1611</f>
        <v>1611</v>
      </c>
      <c r="G2289" s="1">
        <f>1</f>
        <v>1</v>
      </c>
      <c r="H2289" s="1">
        <f>0.2</f>
        <v>0.2</v>
      </c>
      <c r="I2289" s="1">
        <f>0</f>
        <v>0</v>
      </c>
      <c r="J2289" s="1">
        <f>0.0444946</f>
        <v>4.4494600000000002E-2</v>
      </c>
      <c r="K2289" s="1">
        <f>515.511</f>
        <v>515.51099999999997</v>
      </c>
      <c r="L2289" s="1">
        <f>0</f>
        <v>0</v>
      </c>
    </row>
    <row r="2290" spans="1:12" x14ac:dyDescent="0.25">
      <c r="A2290">
        <f>80500634*0.00001</f>
        <v>805.00634000000002</v>
      </c>
      <c r="B2290">
        <v>3500</v>
      </c>
      <c r="C2290">
        <v>127</v>
      </c>
      <c r="D2290" s="1">
        <f>240.712</f>
        <v>240.71199999999999</v>
      </c>
      <c r="E2290" s="1">
        <f>5049</f>
        <v>5049</v>
      </c>
      <c r="F2290">
        <v>1611</v>
      </c>
      <c r="G2290">
        <v>1</v>
      </c>
      <c r="H2290">
        <v>0.2</v>
      </c>
      <c r="I2290">
        <v>0</v>
      </c>
      <c r="J2290">
        <v>4.4494600000000002E-2</v>
      </c>
      <c r="K2290">
        <v>515.51099999999997</v>
      </c>
      <c r="L2290">
        <v>0</v>
      </c>
    </row>
    <row r="2291" spans="1:12" x14ac:dyDescent="0.25">
      <c r="A2291">
        <f>80500772*0.00001</f>
        <v>805.00772000000006</v>
      </c>
      <c r="B2291">
        <v>3500</v>
      </c>
      <c r="C2291">
        <v>128</v>
      </c>
      <c r="D2291">
        <v>240.71199999999999</v>
      </c>
      <c r="E2291">
        <v>5049</v>
      </c>
      <c r="F2291" s="1">
        <f>1611</f>
        <v>1611</v>
      </c>
      <c r="G2291" s="1">
        <f>1</f>
        <v>1</v>
      </c>
      <c r="H2291">
        <v>0.2</v>
      </c>
      <c r="I2291">
        <v>0</v>
      </c>
      <c r="J2291">
        <v>4.4494600000000002E-2</v>
      </c>
      <c r="K2291">
        <v>515.51099999999997</v>
      </c>
      <c r="L2291">
        <v>0</v>
      </c>
    </row>
    <row r="2292" spans="1:12" x14ac:dyDescent="0.25">
      <c r="A2292">
        <f>80500910*0.00001</f>
        <v>805.0091000000001</v>
      </c>
      <c r="B2292">
        <v>3500</v>
      </c>
      <c r="C2292">
        <v>129</v>
      </c>
      <c r="D2292">
        <v>240.71199999999999</v>
      </c>
      <c r="E2292">
        <v>5049</v>
      </c>
      <c r="F2292">
        <v>1611</v>
      </c>
      <c r="G2292">
        <v>1</v>
      </c>
      <c r="H2292" s="1">
        <f>0.2</f>
        <v>0.2</v>
      </c>
      <c r="I2292" s="1">
        <f>0</f>
        <v>0</v>
      </c>
      <c r="J2292">
        <v>4.4494600000000002E-2</v>
      </c>
      <c r="K2292">
        <v>515.51099999999997</v>
      </c>
      <c r="L2292">
        <v>0</v>
      </c>
    </row>
    <row r="2293" spans="1:12" x14ac:dyDescent="0.25">
      <c r="A2293">
        <f>80501048*0.00001</f>
        <v>805.01048000000003</v>
      </c>
      <c r="B2293">
        <v>3500</v>
      </c>
      <c r="C2293">
        <v>130</v>
      </c>
      <c r="D2293">
        <v>240.71199999999999</v>
      </c>
      <c r="E2293">
        <v>5049</v>
      </c>
      <c r="F2293">
        <v>1611</v>
      </c>
      <c r="G2293">
        <v>1</v>
      </c>
      <c r="H2293">
        <v>0.2</v>
      </c>
      <c r="I2293">
        <v>0</v>
      </c>
      <c r="J2293" s="1">
        <f>0.217819</f>
        <v>0.21781900000000001</v>
      </c>
      <c r="K2293" s="1">
        <f>515.511</f>
        <v>515.51099999999997</v>
      </c>
      <c r="L2293">
        <v>0</v>
      </c>
    </row>
    <row r="2294" spans="1:12" x14ac:dyDescent="0.25">
      <c r="A2294">
        <f>80501186*0.00001</f>
        <v>805.01186000000007</v>
      </c>
      <c r="B2294">
        <v>3500</v>
      </c>
      <c r="C2294">
        <v>131</v>
      </c>
      <c r="D2294" s="1">
        <f>240.713</f>
        <v>240.71299999999999</v>
      </c>
      <c r="E2294">
        <v>5049</v>
      </c>
      <c r="F2294">
        <v>1611</v>
      </c>
      <c r="G2294">
        <v>1</v>
      </c>
      <c r="H2294">
        <v>0.2</v>
      </c>
      <c r="I2294">
        <v>0</v>
      </c>
      <c r="J2294">
        <v>0.21781900000000001</v>
      </c>
      <c r="K2294">
        <v>515.51099999999997</v>
      </c>
      <c r="L2294">
        <v>0</v>
      </c>
    </row>
    <row r="2295" spans="1:12" x14ac:dyDescent="0.25">
      <c r="A2295">
        <f>80501324*0.00001</f>
        <v>805.01324000000011</v>
      </c>
      <c r="B2295">
        <v>3500</v>
      </c>
      <c r="C2295">
        <v>132</v>
      </c>
      <c r="D2295">
        <v>240.71299999999999</v>
      </c>
      <c r="E2295">
        <v>5049</v>
      </c>
      <c r="F2295" s="1">
        <f>1611</f>
        <v>1611</v>
      </c>
      <c r="G2295">
        <v>1</v>
      </c>
      <c r="H2295">
        <v>0.2</v>
      </c>
      <c r="I2295">
        <v>0</v>
      </c>
      <c r="J2295">
        <v>0.21781900000000001</v>
      </c>
      <c r="K2295">
        <v>515.51099999999997</v>
      </c>
      <c r="L2295">
        <v>0</v>
      </c>
    </row>
    <row r="2296" spans="1:12" x14ac:dyDescent="0.25">
      <c r="A2296">
        <f>80501462*0.00001</f>
        <v>805.01462000000004</v>
      </c>
      <c r="B2296">
        <v>3500</v>
      </c>
      <c r="C2296">
        <v>133</v>
      </c>
      <c r="D2296">
        <v>240.71299999999999</v>
      </c>
      <c r="E2296">
        <v>5049</v>
      </c>
      <c r="F2296">
        <v>1611</v>
      </c>
      <c r="G2296">
        <v>1</v>
      </c>
      <c r="H2296" s="1">
        <f>0.2</f>
        <v>0.2</v>
      </c>
      <c r="I2296">
        <v>0</v>
      </c>
      <c r="J2296">
        <v>0.21781900000000001</v>
      </c>
      <c r="K2296">
        <v>515.51099999999997</v>
      </c>
      <c r="L2296">
        <v>0</v>
      </c>
    </row>
    <row r="2297" spans="1:12" x14ac:dyDescent="0.25">
      <c r="A2297">
        <f>80501600*0.00001</f>
        <v>805.01600000000008</v>
      </c>
      <c r="B2297">
        <v>3500</v>
      </c>
      <c r="C2297">
        <v>134</v>
      </c>
      <c r="D2297">
        <v>240.71299999999999</v>
      </c>
      <c r="E2297">
        <v>5049</v>
      </c>
      <c r="F2297">
        <v>1611</v>
      </c>
      <c r="G2297">
        <v>1</v>
      </c>
      <c r="H2297">
        <v>0.2</v>
      </c>
      <c r="I2297">
        <v>0</v>
      </c>
      <c r="J2297" s="1">
        <f>0.367691</f>
        <v>0.36769099999999999</v>
      </c>
      <c r="K2297">
        <v>515.51099999999997</v>
      </c>
      <c r="L2297">
        <v>0</v>
      </c>
    </row>
    <row r="2298" spans="1:12" x14ac:dyDescent="0.25">
      <c r="A2298">
        <f>80501738*0.00001</f>
        <v>805.01738000000012</v>
      </c>
      <c r="B2298">
        <v>3500</v>
      </c>
      <c r="C2298">
        <v>135</v>
      </c>
      <c r="D2298" s="1">
        <f>240.716</f>
        <v>240.71600000000001</v>
      </c>
      <c r="E2298" s="1">
        <f>5053</f>
        <v>5053</v>
      </c>
      <c r="F2298" s="1">
        <f>1611</f>
        <v>1611</v>
      </c>
      <c r="G2298" s="1">
        <f>1</f>
        <v>1</v>
      </c>
      <c r="H2298" s="1">
        <f>0.2</f>
        <v>0.2</v>
      </c>
      <c r="I2298" s="1">
        <f>0</f>
        <v>0</v>
      </c>
      <c r="J2298" s="1">
        <f>0.490448</f>
        <v>0.490448</v>
      </c>
      <c r="K2298" s="1">
        <f>515.512</f>
        <v>515.51199999999994</v>
      </c>
      <c r="L2298" s="1">
        <f>0</f>
        <v>0</v>
      </c>
    </row>
    <row r="2299" spans="1:12" x14ac:dyDescent="0.25">
      <c r="A2299">
        <f>80502566*0.00001</f>
        <v>805.02566000000002</v>
      </c>
      <c r="B2299">
        <v>3500</v>
      </c>
      <c r="C2299">
        <v>141</v>
      </c>
      <c r="D2299">
        <v>240.71600000000001</v>
      </c>
      <c r="E2299">
        <v>5053</v>
      </c>
      <c r="F2299" s="1">
        <f>1611</f>
        <v>1611</v>
      </c>
      <c r="G2299" s="1">
        <f>1</f>
        <v>1</v>
      </c>
      <c r="H2299">
        <v>0.2</v>
      </c>
      <c r="I2299">
        <v>0</v>
      </c>
      <c r="J2299">
        <v>0.490448</v>
      </c>
      <c r="K2299">
        <v>515.51199999999994</v>
      </c>
      <c r="L2299">
        <v>0</v>
      </c>
    </row>
    <row r="2300" spans="1:12" x14ac:dyDescent="0.25">
      <c r="A2300">
        <f>80502704*0.00001</f>
        <v>805.02704000000006</v>
      </c>
      <c r="B2300">
        <v>3500</v>
      </c>
      <c r="C2300">
        <v>142</v>
      </c>
      <c r="D2300">
        <v>240.71600000000001</v>
      </c>
      <c r="E2300">
        <v>5053</v>
      </c>
      <c r="F2300">
        <v>1611</v>
      </c>
      <c r="G2300">
        <v>1</v>
      </c>
      <c r="H2300" s="1">
        <f>0.2</f>
        <v>0.2</v>
      </c>
      <c r="I2300" s="1">
        <f>0</f>
        <v>0</v>
      </c>
      <c r="J2300">
        <v>0.490448</v>
      </c>
      <c r="K2300">
        <v>515.51199999999994</v>
      </c>
      <c r="L2300">
        <v>0</v>
      </c>
    </row>
    <row r="2301" spans="1:12" x14ac:dyDescent="0.25">
      <c r="A2301">
        <f>80502842*0.00001</f>
        <v>805.0284200000001</v>
      </c>
      <c r="B2301">
        <v>3500</v>
      </c>
      <c r="C2301">
        <v>143</v>
      </c>
      <c r="D2301">
        <v>240.71600000000001</v>
      </c>
      <c r="E2301">
        <v>5053</v>
      </c>
      <c r="F2301">
        <v>1611</v>
      </c>
      <c r="G2301">
        <v>1</v>
      </c>
      <c r="H2301">
        <v>0.2</v>
      </c>
      <c r="I2301">
        <v>0</v>
      </c>
      <c r="J2301" s="1">
        <f>0.664551</f>
        <v>0.664551</v>
      </c>
      <c r="K2301" s="1">
        <f>515.512</f>
        <v>515.51199999999994</v>
      </c>
      <c r="L2301">
        <v>0</v>
      </c>
    </row>
    <row r="2302" spans="1:12" x14ac:dyDescent="0.25">
      <c r="A2302">
        <f>80502980*0.00001</f>
        <v>805.02980000000002</v>
      </c>
      <c r="B2302">
        <v>3500</v>
      </c>
      <c r="C2302">
        <v>144</v>
      </c>
      <c r="D2302" s="1">
        <f>240.716</f>
        <v>240.71600000000001</v>
      </c>
      <c r="E2302">
        <v>5053</v>
      </c>
      <c r="F2302">
        <v>1611</v>
      </c>
      <c r="G2302">
        <v>1</v>
      </c>
      <c r="H2302">
        <v>0.2</v>
      </c>
      <c r="I2302">
        <v>0</v>
      </c>
      <c r="J2302">
        <v>0.664551</v>
      </c>
      <c r="K2302">
        <v>515.51199999999994</v>
      </c>
      <c r="L2302" s="1">
        <f>0</f>
        <v>0</v>
      </c>
    </row>
    <row r="2303" spans="1:12" x14ac:dyDescent="0.25">
      <c r="A2303">
        <f>80503118*0.00001</f>
        <v>805.03118000000006</v>
      </c>
      <c r="B2303">
        <v>3500</v>
      </c>
      <c r="C2303">
        <v>145</v>
      </c>
      <c r="D2303">
        <v>240.71600000000001</v>
      </c>
      <c r="E2303">
        <v>5053</v>
      </c>
      <c r="F2303" s="1">
        <f>1611</f>
        <v>1611</v>
      </c>
      <c r="G2303">
        <v>1</v>
      </c>
      <c r="H2303">
        <v>0.2</v>
      </c>
      <c r="I2303">
        <v>0</v>
      </c>
      <c r="J2303">
        <v>0.664551</v>
      </c>
      <c r="K2303">
        <v>515.51199999999994</v>
      </c>
      <c r="L2303">
        <v>0</v>
      </c>
    </row>
    <row r="2304" spans="1:12" x14ac:dyDescent="0.25">
      <c r="A2304">
        <f>80503256*0.00001</f>
        <v>805.0325600000001</v>
      </c>
      <c r="B2304">
        <v>3500</v>
      </c>
      <c r="C2304">
        <v>146</v>
      </c>
      <c r="D2304">
        <v>240.71600000000001</v>
      </c>
      <c r="E2304">
        <v>5053</v>
      </c>
      <c r="F2304">
        <v>1611</v>
      </c>
      <c r="G2304">
        <v>1</v>
      </c>
      <c r="H2304" s="1">
        <f>0.2</f>
        <v>0.2</v>
      </c>
      <c r="I2304">
        <v>0</v>
      </c>
      <c r="J2304">
        <v>0.664551</v>
      </c>
      <c r="K2304">
        <v>515.51199999999994</v>
      </c>
      <c r="L2304">
        <v>0</v>
      </c>
    </row>
    <row r="2305" spans="1:12" x14ac:dyDescent="0.25">
      <c r="A2305">
        <f>80503394*0.00001</f>
        <v>805.03394000000003</v>
      </c>
      <c r="B2305">
        <v>3500</v>
      </c>
      <c r="C2305">
        <v>147</v>
      </c>
      <c r="D2305">
        <v>240.71600000000001</v>
      </c>
      <c r="E2305">
        <v>5053</v>
      </c>
      <c r="F2305">
        <v>1611</v>
      </c>
      <c r="G2305">
        <v>1</v>
      </c>
      <c r="H2305">
        <v>0.2</v>
      </c>
      <c r="I2305">
        <v>0</v>
      </c>
      <c r="J2305" s="1">
        <f>0.789154</f>
        <v>0.78915400000000002</v>
      </c>
      <c r="K2305">
        <v>515.51199999999994</v>
      </c>
      <c r="L2305">
        <v>0</v>
      </c>
    </row>
    <row r="2306" spans="1:12" x14ac:dyDescent="0.25">
      <c r="A2306">
        <f>80503532*0.00001</f>
        <v>805.03532000000007</v>
      </c>
      <c r="B2306">
        <v>3500</v>
      </c>
      <c r="C2306">
        <v>148</v>
      </c>
      <c r="D2306">
        <v>240.71600000000001</v>
      </c>
      <c r="E2306">
        <v>5053</v>
      </c>
      <c r="F2306">
        <v>1611</v>
      </c>
      <c r="G2306">
        <v>1</v>
      </c>
      <c r="H2306">
        <v>0.2</v>
      </c>
      <c r="I2306">
        <v>0</v>
      </c>
      <c r="J2306">
        <v>0.78915400000000002</v>
      </c>
      <c r="K2306">
        <v>515.51199999999994</v>
      </c>
      <c r="L2306" s="1">
        <f>0</f>
        <v>0</v>
      </c>
    </row>
    <row r="2307" spans="1:12" x14ac:dyDescent="0.25">
      <c r="A2307">
        <f>80503670*0.00001</f>
        <v>805.03670000000011</v>
      </c>
      <c r="B2307">
        <v>3500</v>
      </c>
      <c r="C2307">
        <v>149</v>
      </c>
      <c r="D2307" s="1">
        <f>240.717</f>
        <v>240.71700000000001</v>
      </c>
      <c r="E2307" s="1">
        <f>5055</f>
        <v>5055</v>
      </c>
      <c r="F2307" s="1">
        <f>1611</f>
        <v>1611</v>
      </c>
      <c r="G2307" s="1">
        <f>1</f>
        <v>1</v>
      </c>
      <c r="H2307" s="1">
        <f>0.2</f>
        <v>0.2</v>
      </c>
      <c r="I2307" s="1">
        <f>0</f>
        <v>0</v>
      </c>
      <c r="J2307" s="1">
        <f>0.938431</f>
        <v>0.93843100000000002</v>
      </c>
      <c r="K2307" s="1">
        <f>515.513</f>
        <v>515.51300000000003</v>
      </c>
      <c r="L2307" s="1">
        <f>0</f>
        <v>0</v>
      </c>
    </row>
    <row r="2308" spans="1:12" x14ac:dyDescent="0.25">
      <c r="A2308">
        <f>80504498*0.00001</f>
        <v>805.04498000000001</v>
      </c>
      <c r="B2308">
        <v>3500</v>
      </c>
      <c r="C2308">
        <v>155</v>
      </c>
      <c r="D2308">
        <v>240.71700000000001</v>
      </c>
      <c r="E2308">
        <v>5055</v>
      </c>
      <c r="F2308">
        <v>1611</v>
      </c>
      <c r="G2308">
        <v>1</v>
      </c>
      <c r="H2308" s="1">
        <f>0.2</f>
        <v>0.2</v>
      </c>
      <c r="I2308" s="1">
        <f>0</f>
        <v>0</v>
      </c>
      <c r="J2308">
        <v>0.93843100000000002</v>
      </c>
      <c r="K2308">
        <v>515.51300000000003</v>
      </c>
      <c r="L2308">
        <v>0</v>
      </c>
    </row>
    <row r="2309" spans="1:12" x14ac:dyDescent="0.25">
      <c r="A2309">
        <f>80504636*0.00001</f>
        <v>805.04636000000005</v>
      </c>
      <c r="B2309">
        <v>3500</v>
      </c>
      <c r="C2309">
        <v>156</v>
      </c>
      <c r="D2309">
        <v>240.71700000000001</v>
      </c>
      <c r="E2309">
        <v>5055</v>
      </c>
      <c r="F2309">
        <v>1611</v>
      </c>
      <c r="G2309">
        <v>1</v>
      </c>
      <c r="H2309">
        <v>0.2</v>
      </c>
      <c r="I2309">
        <v>0</v>
      </c>
      <c r="J2309" s="1">
        <f>1.11305</f>
        <v>1.1130500000000001</v>
      </c>
      <c r="K2309" s="1">
        <f>515.514</f>
        <v>515.51400000000001</v>
      </c>
      <c r="L2309">
        <v>0</v>
      </c>
    </row>
    <row r="2310" spans="1:12" x14ac:dyDescent="0.25">
      <c r="A2310">
        <f>80504774*0.00001</f>
        <v>805.04774000000009</v>
      </c>
      <c r="B2310">
        <v>3500</v>
      </c>
      <c r="C2310">
        <v>157</v>
      </c>
      <c r="D2310" s="1">
        <f>240.718</f>
        <v>240.71799999999999</v>
      </c>
      <c r="E2310">
        <v>5055</v>
      </c>
      <c r="F2310">
        <v>1611</v>
      </c>
      <c r="G2310">
        <v>1</v>
      </c>
      <c r="H2310">
        <v>0.2</v>
      </c>
      <c r="I2310">
        <v>0</v>
      </c>
      <c r="J2310">
        <v>1.1130500000000001</v>
      </c>
      <c r="K2310">
        <v>515.51400000000001</v>
      </c>
      <c r="L2310" s="1">
        <f>0</f>
        <v>0</v>
      </c>
    </row>
    <row r="2311" spans="1:12" x14ac:dyDescent="0.25">
      <c r="A2311">
        <f>80504912*0.00001</f>
        <v>805.04912000000002</v>
      </c>
      <c r="B2311">
        <v>3500</v>
      </c>
      <c r="C2311">
        <v>158</v>
      </c>
      <c r="D2311">
        <v>240.71799999999999</v>
      </c>
      <c r="E2311" s="1">
        <f>5055</f>
        <v>5055</v>
      </c>
      <c r="F2311" s="1">
        <f>1611</f>
        <v>1611</v>
      </c>
      <c r="G2311">
        <v>1</v>
      </c>
      <c r="H2311">
        <v>0.2</v>
      </c>
      <c r="I2311">
        <v>0</v>
      </c>
      <c r="J2311">
        <v>1.1130500000000001</v>
      </c>
      <c r="K2311">
        <v>515.51400000000001</v>
      </c>
      <c r="L2311">
        <v>0</v>
      </c>
    </row>
    <row r="2312" spans="1:12" x14ac:dyDescent="0.25">
      <c r="A2312">
        <f>80505050*0.00001</f>
        <v>805.05050000000006</v>
      </c>
      <c r="B2312">
        <v>3500</v>
      </c>
      <c r="C2312">
        <v>159</v>
      </c>
      <c r="D2312">
        <v>240.71799999999999</v>
      </c>
      <c r="E2312">
        <v>5055</v>
      </c>
      <c r="F2312">
        <v>1611</v>
      </c>
      <c r="G2312" s="1">
        <f>1</f>
        <v>1</v>
      </c>
      <c r="H2312" s="1">
        <f>0.2</f>
        <v>0.2</v>
      </c>
      <c r="I2312">
        <v>0</v>
      </c>
      <c r="J2312">
        <v>1.1130500000000001</v>
      </c>
      <c r="K2312">
        <v>515.51400000000001</v>
      </c>
      <c r="L2312">
        <v>0</v>
      </c>
    </row>
    <row r="2313" spans="1:12" x14ac:dyDescent="0.25">
      <c r="A2313">
        <f>80505187*0.00001</f>
        <v>805.05187000000012</v>
      </c>
      <c r="B2313">
        <v>3500</v>
      </c>
      <c r="C2313">
        <v>160</v>
      </c>
      <c r="D2313">
        <v>240.71799999999999</v>
      </c>
      <c r="E2313">
        <v>5055</v>
      </c>
      <c r="F2313">
        <v>1611</v>
      </c>
      <c r="G2313">
        <v>1</v>
      </c>
      <c r="H2313">
        <v>0.2</v>
      </c>
      <c r="I2313">
        <v>0</v>
      </c>
      <c r="J2313" s="1">
        <f>1.23764</f>
        <v>1.2376400000000001</v>
      </c>
      <c r="K2313">
        <v>515.51400000000001</v>
      </c>
      <c r="L2313">
        <v>0</v>
      </c>
    </row>
    <row r="2314" spans="1:12" x14ac:dyDescent="0.25">
      <c r="A2314">
        <f>80505325*0.00001</f>
        <v>805.05325000000005</v>
      </c>
      <c r="B2314">
        <v>3500</v>
      </c>
      <c r="C2314">
        <v>161</v>
      </c>
      <c r="D2314">
        <v>240.71799999999999</v>
      </c>
      <c r="E2314">
        <v>5055</v>
      </c>
      <c r="F2314">
        <v>1611</v>
      </c>
      <c r="G2314">
        <v>1</v>
      </c>
      <c r="H2314">
        <v>0.2</v>
      </c>
      <c r="I2314">
        <v>0</v>
      </c>
      <c r="J2314">
        <v>1.2376400000000001</v>
      </c>
      <c r="K2314">
        <v>515.51400000000001</v>
      </c>
      <c r="L2314" s="1">
        <f>0</f>
        <v>0</v>
      </c>
    </row>
    <row r="2315" spans="1:12" x14ac:dyDescent="0.25">
      <c r="A2315">
        <f>80505463*0.00001</f>
        <v>805.05463000000009</v>
      </c>
      <c r="B2315">
        <v>3500</v>
      </c>
      <c r="C2315">
        <v>162</v>
      </c>
      <c r="D2315">
        <v>240.71799999999999</v>
      </c>
      <c r="E2315" s="1">
        <f>5056</f>
        <v>5056</v>
      </c>
      <c r="F2315">
        <v>1611</v>
      </c>
      <c r="G2315">
        <v>1</v>
      </c>
      <c r="H2315">
        <v>0.2</v>
      </c>
      <c r="I2315">
        <v>0</v>
      </c>
      <c r="J2315">
        <v>1.2376400000000001</v>
      </c>
      <c r="K2315">
        <v>515.51400000000001</v>
      </c>
      <c r="L2315">
        <v>0</v>
      </c>
    </row>
    <row r="2316" spans="1:12" x14ac:dyDescent="0.25">
      <c r="A2316">
        <f>80505601*0.00001</f>
        <v>805.05601000000001</v>
      </c>
      <c r="B2316">
        <v>3500</v>
      </c>
      <c r="C2316">
        <v>163</v>
      </c>
      <c r="D2316">
        <v>240.71799999999999</v>
      </c>
      <c r="E2316">
        <v>5056</v>
      </c>
      <c r="F2316">
        <v>1611</v>
      </c>
      <c r="G2316" s="1">
        <f>1</f>
        <v>1</v>
      </c>
      <c r="H2316">
        <v>0.2</v>
      </c>
      <c r="I2316">
        <v>0</v>
      </c>
      <c r="J2316">
        <v>1.2376400000000001</v>
      </c>
      <c r="K2316">
        <v>515.51400000000001</v>
      </c>
      <c r="L2316">
        <v>0</v>
      </c>
    </row>
    <row r="2317" spans="1:12" x14ac:dyDescent="0.25">
      <c r="A2317">
        <f>80505739*0.00001</f>
        <v>805.05739000000005</v>
      </c>
      <c r="B2317">
        <v>3500</v>
      </c>
      <c r="C2317">
        <v>164</v>
      </c>
      <c r="D2317" s="1">
        <f>240.715</f>
        <v>240.715</v>
      </c>
      <c r="E2317" s="1">
        <f>5056</f>
        <v>5056</v>
      </c>
      <c r="F2317" s="1">
        <f>1611</f>
        <v>1611</v>
      </c>
      <c r="G2317" s="1">
        <f>1</f>
        <v>1</v>
      </c>
      <c r="H2317" s="1">
        <f>0.2</f>
        <v>0.2</v>
      </c>
      <c r="I2317" s="1">
        <f>0</f>
        <v>0</v>
      </c>
      <c r="J2317" s="1">
        <f>1.56207</f>
        <v>1.5620700000000001</v>
      </c>
      <c r="K2317" s="1">
        <f>515.516</f>
        <v>515.51599999999996</v>
      </c>
      <c r="L2317" s="1">
        <f>0</f>
        <v>0</v>
      </c>
    </row>
    <row r="2318" spans="1:12" x14ac:dyDescent="0.25">
      <c r="A2318">
        <f>80506567*0.00001</f>
        <v>805.06567000000007</v>
      </c>
      <c r="B2318">
        <v>3500</v>
      </c>
      <c r="C2318">
        <v>170</v>
      </c>
      <c r="D2318">
        <v>240.715</v>
      </c>
      <c r="E2318">
        <v>5056</v>
      </c>
      <c r="F2318">
        <v>1611</v>
      </c>
      <c r="G2318">
        <v>1</v>
      </c>
      <c r="H2318">
        <v>0.2</v>
      </c>
      <c r="I2318">
        <v>0</v>
      </c>
      <c r="J2318">
        <v>1.5620700000000001</v>
      </c>
      <c r="K2318" s="1">
        <f>515.517</f>
        <v>515.51700000000005</v>
      </c>
      <c r="L2318" s="1">
        <f>0</f>
        <v>0</v>
      </c>
    </row>
    <row r="2319" spans="1:12" x14ac:dyDescent="0.25">
      <c r="A2319">
        <f>80506705*0.00001</f>
        <v>805.06705000000011</v>
      </c>
      <c r="B2319">
        <v>3500</v>
      </c>
      <c r="C2319">
        <v>171</v>
      </c>
      <c r="D2319" s="1">
        <f>240.718</f>
        <v>240.71799999999999</v>
      </c>
      <c r="E2319" s="1">
        <f>5057</f>
        <v>5057</v>
      </c>
      <c r="F2319">
        <v>1611</v>
      </c>
      <c r="G2319">
        <v>1</v>
      </c>
      <c r="H2319">
        <v>0.2</v>
      </c>
      <c r="I2319">
        <v>0</v>
      </c>
      <c r="J2319">
        <v>1.5620700000000001</v>
      </c>
      <c r="K2319">
        <v>515.51700000000005</v>
      </c>
      <c r="L2319">
        <v>0</v>
      </c>
    </row>
    <row r="2320" spans="1:12" x14ac:dyDescent="0.25">
      <c r="A2320">
        <f>80506843*0.00001</f>
        <v>805.06843000000003</v>
      </c>
      <c r="B2320">
        <v>3500</v>
      </c>
      <c r="C2320">
        <v>172</v>
      </c>
      <c r="D2320">
        <v>240.71799999999999</v>
      </c>
      <c r="E2320">
        <v>5057</v>
      </c>
      <c r="F2320" s="1">
        <f>1611</f>
        <v>1611</v>
      </c>
      <c r="G2320" s="1">
        <f>1</f>
        <v>1</v>
      </c>
      <c r="H2320">
        <v>0.2</v>
      </c>
      <c r="I2320">
        <v>0</v>
      </c>
      <c r="J2320">
        <v>1.5620700000000001</v>
      </c>
      <c r="K2320">
        <v>515.51700000000005</v>
      </c>
      <c r="L2320">
        <v>0</v>
      </c>
    </row>
    <row r="2321" spans="1:12" x14ac:dyDescent="0.25">
      <c r="A2321">
        <f>80506981*0.00001</f>
        <v>805.06981000000007</v>
      </c>
      <c r="B2321">
        <v>3500</v>
      </c>
      <c r="C2321">
        <v>173</v>
      </c>
      <c r="D2321">
        <v>240.71799999999999</v>
      </c>
      <c r="E2321">
        <v>5057</v>
      </c>
      <c r="F2321">
        <v>1611</v>
      </c>
      <c r="G2321">
        <v>1</v>
      </c>
      <c r="H2321" s="1">
        <f>0.2</f>
        <v>0.2</v>
      </c>
      <c r="I2321" s="1">
        <f>0</f>
        <v>0</v>
      </c>
      <c r="J2321">
        <v>1.5620700000000001</v>
      </c>
      <c r="K2321">
        <v>515.51700000000005</v>
      </c>
      <c r="L2321">
        <v>0</v>
      </c>
    </row>
    <row r="2322" spans="1:12" x14ac:dyDescent="0.25">
      <c r="A2322">
        <f>80507119*0.00001</f>
        <v>805.07119000000012</v>
      </c>
      <c r="B2322">
        <v>3500</v>
      </c>
      <c r="C2322">
        <v>174</v>
      </c>
      <c r="D2322">
        <v>240.71799999999999</v>
      </c>
      <c r="E2322">
        <v>5057</v>
      </c>
      <c r="F2322">
        <v>1611</v>
      </c>
      <c r="G2322">
        <v>1</v>
      </c>
      <c r="H2322">
        <v>0.2</v>
      </c>
      <c r="I2322">
        <v>0</v>
      </c>
      <c r="J2322">
        <v>1.5620700000000001</v>
      </c>
      <c r="K2322" s="1">
        <f>515.518</f>
        <v>515.51800000000003</v>
      </c>
      <c r="L2322">
        <v>0</v>
      </c>
    </row>
    <row r="2323" spans="1:12" x14ac:dyDescent="0.25">
      <c r="A2323">
        <f>80507257*0.00001</f>
        <v>805.07257000000004</v>
      </c>
      <c r="B2323">
        <v>3500</v>
      </c>
      <c r="C2323">
        <v>175</v>
      </c>
      <c r="D2323" s="1">
        <f>240.719</f>
        <v>240.71899999999999</v>
      </c>
      <c r="E2323">
        <v>5057</v>
      </c>
      <c r="F2323">
        <v>1611</v>
      </c>
      <c r="G2323">
        <v>1</v>
      </c>
      <c r="H2323">
        <v>0.2</v>
      </c>
      <c r="I2323">
        <v>0</v>
      </c>
      <c r="J2323">
        <v>1.5620700000000001</v>
      </c>
      <c r="K2323">
        <v>515.51800000000003</v>
      </c>
      <c r="L2323">
        <v>0</v>
      </c>
    </row>
    <row r="2324" spans="1:12" x14ac:dyDescent="0.25">
      <c r="A2324">
        <f>80507395*0.00001</f>
        <v>805.07395000000008</v>
      </c>
      <c r="B2324">
        <v>3500</v>
      </c>
      <c r="C2324">
        <v>176</v>
      </c>
      <c r="D2324">
        <v>240.71899999999999</v>
      </c>
      <c r="E2324">
        <v>5057</v>
      </c>
      <c r="F2324" s="1">
        <f>1611</f>
        <v>1611</v>
      </c>
      <c r="G2324">
        <v>1</v>
      </c>
      <c r="H2324">
        <v>0.2</v>
      </c>
      <c r="I2324">
        <v>0</v>
      </c>
      <c r="J2324">
        <v>1.5620700000000001</v>
      </c>
      <c r="K2324">
        <v>515.51800000000003</v>
      </c>
      <c r="L2324">
        <v>0</v>
      </c>
    </row>
    <row r="2325" spans="1:12" x14ac:dyDescent="0.25">
      <c r="A2325">
        <f>80507533*0.00001</f>
        <v>805.07533000000012</v>
      </c>
      <c r="B2325">
        <v>3500</v>
      </c>
      <c r="C2325">
        <v>177</v>
      </c>
      <c r="D2325">
        <v>240.71899999999999</v>
      </c>
      <c r="E2325">
        <v>5057</v>
      </c>
      <c r="F2325">
        <v>1611</v>
      </c>
      <c r="G2325">
        <v>1</v>
      </c>
      <c r="H2325" s="1">
        <f>0.2</f>
        <v>0.2</v>
      </c>
      <c r="I2325">
        <v>0</v>
      </c>
      <c r="J2325">
        <v>1.5620700000000001</v>
      </c>
      <c r="K2325">
        <v>515.51800000000003</v>
      </c>
      <c r="L2325">
        <v>0</v>
      </c>
    </row>
    <row r="2326" spans="1:12" x14ac:dyDescent="0.25">
      <c r="A2326">
        <f>80507671*0.00001</f>
        <v>805.07671000000005</v>
      </c>
      <c r="B2326">
        <v>3500</v>
      </c>
      <c r="C2326">
        <v>178</v>
      </c>
      <c r="D2326" s="1">
        <f>240.719</f>
        <v>240.71899999999999</v>
      </c>
      <c r="E2326" s="1">
        <f>5057</f>
        <v>5057</v>
      </c>
      <c r="F2326" s="1">
        <f>1611</f>
        <v>1611</v>
      </c>
      <c r="G2326" s="1">
        <f>1</f>
        <v>1</v>
      </c>
      <c r="H2326" s="1">
        <f>0.2</f>
        <v>0.2</v>
      </c>
      <c r="I2326" s="1">
        <f>0</f>
        <v>0</v>
      </c>
      <c r="J2326" s="1">
        <f>2.01138</f>
        <v>2.0113799999999999</v>
      </c>
      <c r="K2326" s="1">
        <f>515.52</f>
        <v>515.52</v>
      </c>
      <c r="L2326" s="1">
        <f>0</f>
        <v>0</v>
      </c>
    </row>
    <row r="2327" spans="1:12" s="2" customFormat="1" x14ac:dyDescent="0.25">
      <c r="A2327" s="2">
        <f>80508362*0.00001</f>
        <v>805.08362000000011</v>
      </c>
      <c r="B2327" s="2">
        <v>3501</v>
      </c>
      <c r="C2327" s="2">
        <v>3</v>
      </c>
      <c r="D2327" s="2">
        <v>240.71899999999999</v>
      </c>
      <c r="E2327" s="2">
        <v>5057</v>
      </c>
      <c r="F2327" s="2">
        <v>1611</v>
      </c>
      <c r="G2327" s="2">
        <v>1</v>
      </c>
      <c r="H2327" s="2">
        <v>0.2</v>
      </c>
      <c r="I2327" s="2">
        <v>0</v>
      </c>
      <c r="J2327" s="2">
        <v>2.0113799999999999</v>
      </c>
      <c r="K2327" s="1">
        <f>515.521</f>
        <v>515.52099999999996</v>
      </c>
      <c r="L2327" s="1">
        <f>0</f>
        <v>0</v>
      </c>
    </row>
    <row r="2328" spans="1:12" x14ac:dyDescent="0.25">
      <c r="A2328">
        <f>80508500*0.00001</f>
        <v>805.08500000000004</v>
      </c>
      <c r="B2328">
        <v>3501</v>
      </c>
      <c r="C2328">
        <v>4</v>
      </c>
      <c r="D2328" s="1">
        <f>240.719</f>
        <v>240.71899999999999</v>
      </c>
      <c r="E2328" s="1">
        <f>5058</f>
        <v>5058</v>
      </c>
      <c r="F2328">
        <v>1611</v>
      </c>
      <c r="G2328">
        <v>1</v>
      </c>
      <c r="H2328">
        <v>0.2</v>
      </c>
      <c r="I2328">
        <v>0</v>
      </c>
      <c r="J2328">
        <v>2.0113799999999999</v>
      </c>
      <c r="K2328">
        <v>515.52099999999996</v>
      </c>
      <c r="L2328">
        <v>0</v>
      </c>
    </row>
    <row r="2329" spans="1:12" x14ac:dyDescent="0.25">
      <c r="A2329">
        <f>80508638*0.00001</f>
        <v>805.08638000000008</v>
      </c>
      <c r="B2329">
        <v>3501</v>
      </c>
      <c r="C2329">
        <v>5</v>
      </c>
      <c r="D2329">
        <v>240.71899999999999</v>
      </c>
      <c r="E2329">
        <v>5058</v>
      </c>
      <c r="F2329" s="1">
        <f>1611</f>
        <v>1611</v>
      </c>
      <c r="G2329" s="1">
        <f>1</f>
        <v>1</v>
      </c>
      <c r="H2329">
        <v>0.2</v>
      </c>
      <c r="I2329">
        <v>0</v>
      </c>
      <c r="J2329">
        <v>2.0113799999999999</v>
      </c>
      <c r="K2329">
        <v>515.52099999999996</v>
      </c>
      <c r="L2329">
        <v>0</v>
      </c>
    </row>
    <row r="2330" spans="1:12" x14ac:dyDescent="0.25">
      <c r="A2330">
        <f>80508776*0.00001</f>
        <v>805.08776000000012</v>
      </c>
      <c r="B2330">
        <v>3501</v>
      </c>
      <c r="C2330">
        <v>6</v>
      </c>
      <c r="D2330">
        <v>240.71899999999999</v>
      </c>
      <c r="E2330">
        <v>5058</v>
      </c>
      <c r="F2330">
        <v>1611</v>
      </c>
      <c r="G2330">
        <v>1</v>
      </c>
      <c r="H2330" s="1">
        <f>0.2</f>
        <v>0.2</v>
      </c>
      <c r="I2330" s="1">
        <f>0</f>
        <v>0</v>
      </c>
      <c r="J2330">
        <v>2.0113799999999999</v>
      </c>
      <c r="K2330">
        <v>515.52099999999996</v>
      </c>
      <c r="L2330">
        <v>0</v>
      </c>
    </row>
    <row r="2331" spans="1:12" x14ac:dyDescent="0.25">
      <c r="A2331">
        <f>80508914*0.00001</f>
        <v>805.08914000000004</v>
      </c>
      <c r="B2331">
        <v>3501</v>
      </c>
      <c r="C2331">
        <v>7</v>
      </c>
      <c r="D2331">
        <v>240.71899999999999</v>
      </c>
      <c r="E2331">
        <v>5058</v>
      </c>
      <c r="F2331">
        <v>1611</v>
      </c>
      <c r="G2331">
        <v>1</v>
      </c>
      <c r="H2331">
        <v>0.2</v>
      </c>
      <c r="I2331">
        <v>0</v>
      </c>
      <c r="J2331" s="1">
        <f>2.19388</f>
        <v>2.1938800000000001</v>
      </c>
      <c r="K2331" s="1">
        <f>515.522</f>
        <v>515.52200000000005</v>
      </c>
      <c r="L2331">
        <v>0</v>
      </c>
    </row>
    <row r="2332" spans="1:12" x14ac:dyDescent="0.25">
      <c r="A2332">
        <f>80509052*0.00001</f>
        <v>805.09052000000008</v>
      </c>
      <c r="B2332">
        <v>3501</v>
      </c>
      <c r="C2332">
        <v>8</v>
      </c>
      <c r="D2332" s="1">
        <f>240.719</f>
        <v>240.71899999999999</v>
      </c>
      <c r="E2332">
        <v>5058</v>
      </c>
      <c r="F2332">
        <v>1611</v>
      </c>
      <c r="G2332">
        <v>1</v>
      </c>
      <c r="H2332">
        <v>0.2</v>
      </c>
      <c r="I2332">
        <v>0</v>
      </c>
      <c r="J2332">
        <v>2.1938800000000001</v>
      </c>
      <c r="K2332">
        <v>515.52200000000005</v>
      </c>
      <c r="L2332">
        <v>0</v>
      </c>
    </row>
    <row r="2333" spans="1:12" x14ac:dyDescent="0.25">
      <c r="A2333">
        <f>80509190*0.00001</f>
        <v>805.09190000000001</v>
      </c>
      <c r="B2333">
        <v>3501</v>
      </c>
      <c r="C2333">
        <v>9</v>
      </c>
      <c r="D2333">
        <v>240.71899999999999</v>
      </c>
      <c r="E2333">
        <v>5058</v>
      </c>
      <c r="F2333" s="1">
        <f>1611</f>
        <v>1611</v>
      </c>
      <c r="G2333">
        <v>1</v>
      </c>
      <c r="H2333">
        <v>0.2</v>
      </c>
      <c r="I2333">
        <v>0</v>
      </c>
      <c r="J2333">
        <v>2.1938800000000001</v>
      </c>
      <c r="K2333">
        <v>515.52200000000005</v>
      </c>
      <c r="L2333">
        <v>0</v>
      </c>
    </row>
    <row r="2334" spans="1:12" x14ac:dyDescent="0.25">
      <c r="A2334">
        <f>80509328*0.00001</f>
        <v>805.09328000000005</v>
      </c>
      <c r="B2334">
        <v>3501</v>
      </c>
      <c r="C2334">
        <v>10</v>
      </c>
      <c r="D2334">
        <v>240.71899999999999</v>
      </c>
      <c r="E2334">
        <v>5058</v>
      </c>
      <c r="F2334">
        <v>1611</v>
      </c>
      <c r="G2334">
        <v>1</v>
      </c>
      <c r="H2334" s="1">
        <f>0.2</f>
        <v>0.2</v>
      </c>
      <c r="I2334">
        <v>0</v>
      </c>
      <c r="J2334">
        <v>2.1938800000000001</v>
      </c>
      <c r="K2334">
        <v>515.52200000000005</v>
      </c>
      <c r="L2334">
        <v>0</v>
      </c>
    </row>
    <row r="2335" spans="1:12" x14ac:dyDescent="0.25">
      <c r="A2335">
        <f>80509466*0.00001</f>
        <v>805.09466000000009</v>
      </c>
      <c r="B2335">
        <v>3501</v>
      </c>
      <c r="C2335">
        <v>11</v>
      </c>
      <c r="D2335">
        <v>240.71899999999999</v>
      </c>
      <c r="E2335">
        <v>5058</v>
      </c>
      <c r="F2335">
        <v>1611</v>
      </c>
      <c r="G2335">
        <v>1</v>
      </c>
      <c r="H2335">
        <v>0.2</v>
      </c>
      <c r="I2335">
        <v>0</v>
      </c>
      <c r="J2335" s="1">
        <f>2.31081</f>
        <v>2.31081</v>
      </c>
      <c r="K2335">
        <v>515.52200000000005</v>
      </c>
      <c r="L2335">
        <v>0</v>
      </c>
    </row>
    <row r="2336" spans="1:12" x14ac:dyDescent="0.25">
      <c r="A2336">
        <f>80509604*0.00001</f>
        <v>805.09604000000002</v>
      </c>
      <c r="B2336">
        <v>3501</v>
      </c>
      <c r="C2336">
        <v>12</v>
      </c>
      <c r="D2336" s="1">
        <f>240.719</f>
        <v>240.71899999999999</v>
      </c>
      <c r="E2336" s="1">
        <f>5060</f>
        <v>5060</v>
      </c>
      <c r="F2336" s="1">
        <f>1611</f>
        <v>1611</v>
      </c>
      <c r="G2336" s="1">
        <f>1</f>
        <v>1</v>
      </c>
      <c r="H2336" s="1">
        <f>0.2</f>
        <v>0.2</v>
      </c>
      <c r="I2336" s="1">
        <f>0</f>
        <v>0</v>
      </c>
      <c r="J2336" s="1">
        <f>2.46091</f>
        <v>2.4609100000000002</v>
      </c>
      <c r="K2336" s="1">
        <f>515.525</f>
        <v>515.52499999999998</v>
      </c>
      <c r="L2336" s="1">
        <f>0</f>
        <v>0</v>
      </c>
    </row>
    <row r="2337" spans="1:12" x14ac:dyDescent="0.25">
      <c r="A2337">
        <f>80510431*0.00001</f>
        <v>805.10431000000005</v>
      </c>
      <c r="B2337">
        <v>3501</v>
      </c>
      <c r="C2337">
        <v>18</v>
      </c>
      <c r="D2337">
        <v>240.71899999999999</v>
      </c>
      <c r="E2337">
        <v>5060</v>
      </c>
      <c r="F2337" s="1">
        <f>1611</f>
        <v>1611</v>
      </c>
      <c r="G2337" s="1">
        <f>1</f>
        <v>1</v>
      </c>
      <c r="H2337">
        <v>0.2</v>
      </c>
      <c r="I2337">
        <v>0</v>
      </c>
      <c r="J2337">
        <v>2.4609100000000002</v>
      </c>
      <c r="K2337">
        <v>515.52499999999998</v>
      </c>
      <c r="L2337">
        <v>0</v>
      </c>
    </row>
    <row r="2338" spans="1:12" x14ac:dyDescent="0.25">
      <c r="A2338">
        <f>80510569*0.00001</f>
        <v>805.1056900000001</v>
      </c>
      <c r="B2338">
        <v>3501</v>
      </c>
      <c r="C2338">
        <v>19</v>
      </c>
      <c r="D2338">
        <v>240.71899999999999</v>
      </c>
      <c r="E2338">
        <v>5060</v>
      </c>
      <c r="F2338">
        <v>1611</v>
      </c>
      <c r="G2338">
        <v>1</v>
      </c>
      <c r="H2338" s="1">
        <f>0.2</f>
        <v>0.2</v>
      </c>
      <c r="I2338" s="1">
        <f>0</f>
        <v>0</v>
      </c>
      <c r="J2338">
        <v>2.4609100000000002</v>
      </c>
      <c r="K2338">
        <v>515.52499999999998</v>
      </c>
      <c r="L2338">
        <v>0</v>
      </c>
    </row>
    <row r="2339" spans="1:12" x14ac:dyDescent="0.25">
      <c r="A2339">
        <f>80510707*0.00001</f>
        <v>805.10707000000002</v>
      </c>
      <c r="B2339">
        <v>3501</v>
      </c>
      <c r="C2339">
        <v>20</v>
      </c>
      <c r="D2339">
        <v>240.71899999999999</v>
      </c>
      <c r="E2339">
        <v>5060</v>
      </c>
      <c r="F2339">
        <v>1611</v>
      </c>
      <c r="G2339">
        <v>1</v>
      </c>
      <c r="H2339">
        <v>0.2</v>
      </c>
      <c r="I2339">
        <v>0</v>
      </c>
      <c r="J2339" s="1">
        <f>2.63765</f>
        <v>2.6376499999999998</v>
      </c>
      <c r="K2339" s="1">
        <f>515.527</f>
        <v>515.52700000000004</v>
      </c>
      <c r="L2339">
        <v>0</v>
      </c>
    </row>
    <row r="2340" spans="1:12" x14ac:dyDescent="0.25">
      <c r="A2340">
        <f>80510845*0.00001</f>
        <v>805.10845000000006</v>
      </c>
      <c r="B2340">
        <v>3501</v>
      </c>
      <c r="C2340">
        <v>21</v>
      </c>
      <c r="D2340" s="1">
        <f>240.715</f>
        <v>240.715</v>
      </c>
      <c r="E2340">
        <v>5060</v>
      </c>
      <c r="F2340">
        <v>1611</v>
      </c>
      <c r="G2340">
        <v>1</v>
      </c>
      <c r="H2340">
        <v>0.2</v>
      </c>
      <c r="I2340">
        <v>0</v>
      </c>
      <c r="J2340">
        <v>2.6376499999999998</v>
      </c>
      <c r="K2340">
        <v>515.52700000000004</v>
      </c>
      <c r="L2340" s="1">
        <f>0</f>
        <v>0</v>
      </c>
    </row>
    <row r="2341" spans="1:12" x14ac:dyDescent="0.25">
      <c r="A2341">
        <f>80510983*0.00001</f>
        <v>805.1098300000001</v>
      </c>
      <c r="B2341">
        <v>3501</v>
      </c>
      <c r="C2341">
        <v>22</v>
      </c>
      <c r="D2341">
        <v>240.715</v>
      </c>
      <c r="E2341" s="1">
        <f>5060</f>
        <v>5060</v>
      </c>
      <c r="F2341" s="1">
        <f>1611</f>
        <v>1611</v>
      </c>
      <c r="G2341">
        <v>1</v>
      </c>
      <c r="H2341">
        <v>0.2</v>
      </c>
      <c r="I2341">
        <v>0</v>
      </c>
      <c r="J2341">
        <v>2.6376499999999998</v>
      </c>
      <c r="K2341">
        <v>515.52700000000004</v>
      </c>
      <c r="L2341">
        <v>0</v>
      </c>
    </row>
    <row r="2342" spans="1:12" x14ac:dyDescent="0.25">
      <c r="A2342">
        <f>80511121*0.00001</f>
        <v>805.11121000000003</v>
      </c>
      <c r="B2342">
        <v>3501</v>
      </c>
      <c r="C2342">
        <v>23</v>
      </c>
      <c r="D2342">
        <v>240.715</v>
      </c>
      <c r="E2342">
        <v>5060</v>
      </c>
      <c r="F2342">
        <v>1611</v>
      </c>
      <c r="G2342">
        <v>1</v>
      </c>
      <c r="H2342" s="1">
        <f>0.2</f>
        <v>0.2</v>
      </c>
      <c r="I2342">
        <v>0</v>
      </c>
      <c r="J2342">
        <v>2.6376499999999998</v>
      </c>
      <c r="K2342">
        <v>515.52700000000004</v>
      </c>
      <c r="L2342">
        <v>0</v>
      </c>
    </row>
    <row r="2343" spans="1:12" x14ac:dyDescent="0.25">
      <c r="A2343">
        <f>80511259*0.00001</f>
        <v>805.11259000000007</v>
      </c>
      <c r="B2343">
        <v>3501</v>
      </c>
      <c r="C2343">
        <v>24</v>
      </c>
      <c r="D2343">
        <v>240.715</v>
      </c>
      <c r="E2343">
        <v>5060</v>
      </c>
      <c r="F2343">
        <v>1611</v>
      </c>
      <c r="G2343">
        <v>1</v>
      </c>
      <c r="H2343">
        <v>0.2</v>
      </c>
      <c r="I2343">
        <v>0</v>
      </c>
      <c r="J2343" s="1">
        <f>2.76062</f>
        <v>2.7606199999999999</v>
      </c>
      <c r="K2343">
        <v>515.52700000000004</v>
      </c>
      <c r="L2343">
        <v>0</v>
      </c>
    </row>
    <row r="2344" spans="1:12" x14ac:dyDescent="0.25">
      <c r="A2344">
        <f>80511397*0.00001</f>
        <v>805.11397000000011</v>
      </c>
      <c r="B2344">
        <v>3501</v>
      </c>
      <c r="C2344">
        <v>25</v>
      </c>
      <c r="D2344">
        <v>240.715</v>
      </c>
      <c r="E2344">
        <v>5060</v>
      </c>
      <c r="F2344">
        <v>1611</v>
      </c>
      <c r="G2344">
        <v>1</v>
      </c>
      <c r="H2344">
        <v>0.2</v>
      </c>
      <c r="I2344">
        <v>0</v>
      </c>
      <c r="J2344">
        <v>2.7606199999999999</v>
      </c>
      <c r="K2344">
        <v>515.52700000000004</v>
      </c>
      <c r="L2344" s="1">
        <f>0</f>
        <v>0</v>
      </c>
    </row>
    <row r="2345" spans="1:12" x14ac:dyDescent="0.25">
      <c r="A2345">
        <f>80511535*0.00001</f>
        <v>805.11535000000003</v>
      </c>
      <c r="B2345">
        <v>3501</v>
      </c>
      <c r="C2345">
        <v>26</v>
      </c>
      <c r="D2345">
        <v>240.715</v>
      </c>
      <c r="E2345" s="1">
        <f>5061</f>
        <v>5061</v>
      </c>
      <c r="F2345">
        <v>1611</v>
      </c>
      <c r="G2345">
        <v>1</v>
      </c>
      <c r="H2345">
        <v>0.2</v>
      </c>
      <c r="I2345">
        <v>0</v>
      </c>
      <c r="J2345">
        <v>2.7606199999999999</v>
      </c>
      <c r="K2345">
        <v>515.52700000000004</v>
      </c>
      <c r="L2345">
        <v>0</v>
      </c>
    </row>
    <row r="2346" spans="1:12" x14ac:dyDescent="0.25">
      <c r="A2346">
        <f>80511673*0.00001</f>
        <v>805.11673000000008</v>
      </c>
      <c r="B2346">
        <v>3501</v>
      </c>
      <c r="C2346">
        <v>27</v>
      </c>
      <c r="D2346" s="1">
        <f>240.719</f>
        <v>240.71899999999999</v>
      </c>
      <c r="E2346" s="1">
        <f>5061</f>
        <v>5061</v>
      </c>
      <c r="F2346" s="1">
        <f>1611</f>
        <v>1611</v>
      </c>
      <c r="G2346" s="1">
        <f>1</f>
        <v>1</v>
      </c>
      <c r="H2346" s="1">
        <f>0.2</f>
        <v>0.2</v>
      </c>
      <c r="I2346" s="1">
        <f>0</f>
        <v>0</v>
      </c>
      <c r="J2346" s="1">
        <f>2.91072</f>
        <v>2.91072</v>
      </c>
      <c r="K2346" s="1">
        <f>515.531</f>
        <v>515.53099999999995</v>
      </c>
      <c r="L2346" s="1">
        <f>0</f>
        <v>0</v>
      </c>
    </row>
    <row r="2347" spans="1:12" x14ac:dyDescent="0.25">
      <c r="A2347">
        <f>80512501*0.00001</f>
        <v>805.12501000000009</v>
      </c>
      <c r="B2347">
        <v>3501</v>
      </c>
      <c r="C2347">
        <v>33</v>
      </c>
      <c r="D2347">
        <v>240.71899999999999</v>
      </c>
      <c r="E2347">
        <v>5061</v>
      </c>
      <c r="F2347">
        <v>1611</v>
      </c>
      <c r="G2347">
        <v>1</v>
      </c>
      <c r="H2347">
        <v>0.2</v>
      </c>
      <c r="I2347">
        <v>0</v>
      </c>
      <c r="J2347" s="1">
        <f>3.08569</f>
        <v>3.08569</v>
      </c>
      <c r="K2347" s="1">
        <f>515.533</f>
        <v>515.53300000000002</v>
      </c>
      <c r="L2347">
        <v>0</v>
      </c>
    </row>
    <row r="2348" spans="1:12" x14ac:dyDescent="0.25">
      <c r="A2348">
        <f>80512639*0.00001</f>
        <v>805.12639000000001</v>
      </c>
      <c r="B2348">
        <v>3501</v>
      </c>
      <c r="C2348">
        <v>34</v>
      </c>
      <c r="D2348" s="1">
        <f>240.719</f>
        <v>240.71899999999999</v>
      </c>
      <c r="E2348">
        <v>5061</v>
      </c>
      <c r="F2348">
        <v>1611</v>
      </c>
      <c r="G2348">
        <v>1</v>
      </c>
      <c r="H2348">
        <v>0.2</v>
      </c>
      <c r="I2348">
        <v>0</v>
      </c>
      <c r="J2348">
        <v>3.08569</v>
      </c>
      <c r="K2348">
        <v>515.53300000000002</v>
      </c>
      <c r="L2348" s="1">
        <f>0</f>
        <v>0</v>
      </c>
    </row>
    <row r="2349" spans="1:12" x14ac:dyDescent="0.25">
      <c r="A2349">
        <f>80512777*0.00001</f>
        <v>805.12777000000006</v>
      </c>
      <c r="B2349">
        <v>3501</v>
      </c>
      <c r="C2349">
        <v>35</v>
      </c>
      <c r="D2349">
        <v>240.71899999999999</v>
      </c>
      <c r="E2349" s="1">
        <f>5062</f>
        <v>5062</v>
      </c>
      <c r="F2349" s="1">
        <f>1611</f>
        <v>1611</v>
      </c>
      <c r="G2349">
        <v>1</v>
      </c>
      <c r="H2349">
        <v>0.2</v>
      </c>
      <c r="I2349">
        <v>0</v>
      </c>
      <c r="J2349">
        <v>3.08569</v>
      </c>
      <c r="K2349">
        <v>515.53300000000002</v>
      </c>
      <c r="L2349">
        <v>0</v>
      </c>
    </row>
    <row r="2350" spans="1:12" x14ac:dyDescent="0.25">
      <c r="A2350">
        <f>80512915*0.00001</f>
        <v>805.1291500000001</v>
      </c>
      <c r="B2350">
        <v>3501</v>
      </c>
      <c r="C2350">
        <v>36</v>
      </c>
      <c r="D2350">
        <v>240.71899999999999</v>
      </c>
      <c r="E2350">
        <v>5062</v>
      </c>
      <c r="F2350">
        <v>1611</v>
      </c>
      <c r="G2350" s="1">
        <f>1</f>
        <v>1</v>
      </c>
      <c r="H2350" s="1">
        <f>0.2</f>
        <v>0.2</v>
      </c>
      <c r="I2350">
        <v>0</v>
      </c>
      <c r="J2350">
        <v>3.08569</v>
      </c>
      <c r="K2350">
        <v>515.53300000000002</v>
      </c>
      <c r="L2350">
        <v>0</v>
      </c>
    </row>
    <row r="2351" spans="1:12" x14ac:dyDescent="0.25">
      <c r="A2351">
        <f>80513053*0.00001</f>
        <v>805.13053000000002</v>
      </c>
      <c r="B2351">
        <v>3501</v>
      </c>
      <c r="C2351">
        <v>37</v>
      </c>
      <c r="D2351">
        <v>240.71899999999999</v>
      </c>
      <c r="E2351">
        <v>5062</v>
      </c>
      <c r="F2351">
        <v>1611</v>
      </c>
      <c r="G2351">
        <v>1</v>
      </c>
      <c r="H2351">
        <v>0.2</v>
      </c>
      <c r="I2351">
        <v>0</v>
      </c>
      <c r="J2351" s="1">
        <f>3.16895</f>
        <v>3.1689500000000002</v>
      </c>
      <c r="K2351">
        <v>515.53300000000002</v>
      </c>
      <c r="L2351">
        <v>0</v>
      </c>
    </row>
    <row r="2352" spans="1:12" x14ac:dyDescent="0.25">
      <c r="A2352">
        <f>80513190*0.00001</f>
        <v>805.13190000000009</v>
      </c>
      <c r="B2352">
        <v>3501</v>
      </c>
      <c r="C2352">
        <v>38</v>
      </c>
      <c r="D2352">
        <v>240.71899999999999</v>
      </c>
      <c r="E2352">
        <v>5062</v>
      </c>
      <c r="F2352">
        <v>1611</v>
      </c>
      <c r="G2352">
        <v>1</v>
      </c>
      <c r="H2352">
        <v>0.2</v>
      </c>
      <c r="I2352">
        <v>0</v>
      </c>
      <c r="J2352">
        <v>3.1689500000000002</v>
      </c>
      <c r="K2352">
        <v>515.53300000000002</v>
      </c>
      <c r="L2352" s="1">
        <f>0</f>
        <v>0</v>
      </c>
    </row>
    <row r="2353" spans="1:12" x14ac:dyDescent="0.25">
      <c r="A2353">
        <f>80513328*0.00001</f>
        <v>805.13328000000001</v>
      </c>
      <c r="B2353">
        <v>3501</v>
      </c>
      <c r="C2353">
        <v>39</v>
      </c>
      <c r="D2353">
        <v>240.71899999999999</v>
      </c>
      <c r="E2353" s="1">
        <f>5061</f>
        <v>5061</v>
      </c>
      <c r="F2353">
        <v>1611</v>
      </c>
      <c r="G2353">
        <v>1</v>
      </c>
      <c r="H2353">
        <v>0.2</v>
      </c>
      <c r="I2353">
        <v>0</v>
      </c>
      <c r="J2353">
        <v>3.1689500000000002</v>
      </c>
      <c r="K2353">
        <v>515.53300000000002</v>
      </c>
      <c r="L2353">
        <v>0</v>
      </c>
    </row>
    <row r="2354" spans="1:12" x14ac:dyDescent="0.25">
      <c r="A2354">
        <f>80513466*0.00001</f>
        <v>805.13466000000005</v>
      </c>
      <c r="B2354">
        <v>3501</v>
      </c>
      <c r="C2354">
        <v>40</v>
      </c>
      <c r="D2354">
        <v>240.71899999999999</v>
      </c>
      <c r="E2354">
        <v>5061</v>
      </c>
      <c r="F2354">
        <v>1611</v>
      </c>
      <c r="G2354" s="1">
        <f>1</f>
        <v>1</v>
      </c>
      <c r="H2354">
        <v>0.2</v>
      </c>
      <c r="I2354">
        <v>0</v>
      </c>
      <c r="J2354">
        <v>3.1689500000000002</v>
      </c>
      <c r="K2354">
        <v>515.53300000000002</v>
      </c>
      <c r="L2354">
        <v>0</v>
      </c>
    </row>
    <row r="2355" spans="1:12" x14ac:dyDescent="0.25">
      <c r="A2355">
        <f>80513603*0.00001</f>
        <v>805.13603000000012</v>
      </c>
      <c r="B2355">
        <v>3501</v>
      </c>
      <c r="C2355">
        <v>41</v>
      </c>
      <c r="D2355" s="1">
        <f>240.842</f>
        <v>240.84200000000001</v>
      </c>
      <c r="E2355" s="1">
        <f>5060</f>
        <v>5060</v>
      </c>
      <c r="F2355" s="1">
        <f>1611</f>
        <v>1611</v>
      </c>
      <c r="G2355" s="1">
        <f>1</f>
        <v>1</v>
      </c>
      <c r="H2355" s="1">
        <f>0.2</f>
        <v>0.2</v>
      </c>
      <c r="I2355" s="1">
        <f>0</f>
        <v>0</v>
      </c>
      <c r="J2355" s="1">
        <f>3.35579</f>
        <v>3.3557899999999998</v>
      </c>
      <c r="K2355" s="1">
        <f>515.54</f>
        <v>515.54</v>
      </c>
      <c r="L2355" s="1">
        <f>0</f>
        <v>0</v>
      </c>
    </row>
    <row r="2356" spans="1:12" x14ac:dyDescent="0.25">
      <c r="A2356">
        <f>80514429*0.00001</f>
        <v>805.14429000000007</v>
      </c>
      <c r="B2356">
        <v>3501</v>
      </c>
      <c r="C2356">
        <v>47</v>
      </c>
      <c r="D2356" s="1">
        <f>240.884</f>
        <v>240.88399999999999</v>
      </c>
      <c r="E2356">
        <v>5060</v>
      </c>
      <c r="F2356">
        <v>1611</v>
      </c>
      <c r="G2356">
        <v>1</v>
      </c>
      <c r="H2356">
        <v>0.2</v>
      </c>
      <c r="I2356">
        <v>0</v>
      </c>
      <c r="J2356">
        <v>3.3557899999999998</v>
      </c>
      <c r="K2356">
        <v>515.54</v>
      </c>
      <c r="L2356" s="1">
        <f>0</f>
        <v>0</v>
      </c>
    </row>
    <row r="2357" spans="1:12" x14ac:dyDescent="0.25">
      <c r="A2357">
        <f>80514567*0.00001</f>
        <v>805.14567000000011</v>
      </c>
      <c r="B2357">
        <v>3501</v>
      </c>
      <c r="C2357">
        <v>48</v>
      </c>
      <c r="D2357">
        <v>240.88399999999999</v>
      </c>
      <c r="E2357" s="1">
        <f>5059</f>
        <v>5059</v>
      </c>
      <c r="F2357" s="1">
        <f>1611</f>
        <v>1611</v>
      </c>
      <c r="G2357">
        <v>1</v>
      </c>
      <c r="H2357">
        <v>0.2</v>
      </c>
      <c r="I2357">
        <v>0</v>
      </c>
      <c r="J2357">
        <v>3.3557899999999998</v>
      </c>
      <c r="K2357">
        <v>515.54</v>
      </c>
      <c r="L2357">
        <v>0</v>
      </c>
    </row>
    <row r="2358" spans="1:12" x14ac:dyDescent="0.25">
      <c r="A2358">
        <f>80514705*0.00001</f>
        <v>805.14705000000004</v>
      </c>
      <c r="B2358">
        <v>3501</v>
      </c>
      <c r="C2358">
        <v>49</v>
      </c>
      <c r="D2358">
        <v>240.88399999999999</v>
      </c>
      <c r="E2358">
        <v>5059</v>
      </c>
      <c r="F2358">
        <v>1611</v>
      </c>
      <c r="G2358" s="1">
        <f>1</f>
        <v>1</v>
      </c>
      <c r="H2358" s="1">
        <f>0.2</f>
        <v>0.2</v>
      </c>
      <c r="I2358">
        <v>0</v>
      </c>
      <c r="J2358">
        <v>3.3557899999999998</v>
      </c>
      <c r="K2358">
        <v>515.54</v>
      </c>
      <c r="L2358">
        <v>0</v>
      </c>
    </row>
    <row r="2359" spans="1:12" x14ac:dyDescent="0.25">
      <c r="A2359">
        <f>80514842*0.00001</f>
        <v>805.1484200000001</v>
      </c>
      <c r="B2359">
        <v>3501</v>
      </c>
      <c r="C2359">
        <v>50</v>
      </c>
      <c r="D2359">
        <v>240.88399999999999</v>
      </c>
      <c r="E2359">
        <v>5059</v>
      </c>
      <c r="F2359">
        <v>1611</v>
      </c>
      <c r="G2359">
        <v>1</v>
      </c>
      <c r="H2359">
        <v>0.2</v>
      </c>
      <c r="I2359" s="1">
        <f>0</f>
        <v>0</v>
      </c>
      <c r="J2359" s="1">
        <f>3.47</f>
        <v>3.47</v>
      </c>
      <c r="K2359">
        <v>515.54</v>
      </c>
      <c r="L2359">
        <v>0</v>
      </c>
    </row>
    <row r="2360" spans="1:12" x14ac:dyDescent="0.25">
      <c r="A2360">
        <f>80514980*0.00001</f>
        <v>805.14980000000003</v>
      </c>
      <c r="B2360">
        <v>3501</v>
      </c>
      <c r="C2360">
        <v>51</v>
      </c>
      <c r="D2360">
        <v>240.88399999999999</v>
      </c>
      <c r="E2360">
        <v>5059</v>
      </c>
      <c r="F2360">
        <v>1611</v>
      </c>
      <c r="G2360">
        <v>1</v>
      </c>
      <c r="H2360">
        <v>0.2</v>
      </c>
      <c r="I2360">
        <v>0</v>
      </c>
      <c r="J2360">
        <v>3.47</v>
      </c>
      <c r="K2360" s="1">
        <f>515.543</f>
        <v>515.54300000000001</v>
      </c>
      <c r="L2360" s="1">
        <f>0</f>
        <v>0</v>
      </c>
    </row>
    <row r="2361" spans="1:12" x14ac:dyDescent="0.25">
      <c r="A2361">
        <f>80515118*0.00001</f>
        <v>805.15118000000007</v>
      </c>
      <c r="B2361">
        <v>3501</v>
      </c>
      <c r="C2361">
        <v>52</v>
      </c>
      <c r="D2361">
        <v>240.88399999999999</v>
      </c>
      <c r="E2361" s="1">
        <f>5059</f>
        <v>5059</v>
      </c>
      <c r="F2361">
        <v>1611</v>
      </c>
      <c r="G2361">
        <v>1</v>
      </c>
      <c r="H2361">
        <v>0.2</v>
      </c>
      <c r="I2361">
        <v>0</v>
      </c>
      <c r="J2361">
        <v>3.47</v>
      </c>
      <c r="K2361">
        <v>515.54300000000001</v>
      </c>
      <c r="L2361">
        <v>0</v>
      </c>
    </row>
    <row r="2362" spans="1:12" x14ac:dyDescent="0.25">
      <c r="A2362">
        <f>80515255*0.00001</f>
        <v>805.15255000000002</v>
      </c>
      <c r="B2362">
        <v>3501</v>
      </c>
      <c r="C2362">
        <v>53</v>
      </c>
      <c r="D2362">
        <v>240.88399999999999</v>
      </c>
      <c r="E2362">
        <v>5059</v>
      </c>
      <c r="F2362">
        <v>1611</v>
      </c>
      <c r="G2362" s="1">
        <f>1</f>
        <v>1</v>
      </c>
      <c r="H2362">
        <v>0.2</v>
      </c>
      <c r="I2362">
        <v>0</v>
      </c>
      <c r="J2362">
        <v>3.47</v>
      </c>
      <c r="K2362">
        <v>515.54300000000001</v>
      </c>
      <c r="L2362">
        <v>0</v>
      </c>
    </row>
    <row r="2363" spans="1:12" x14ac:dyDescent="0.25">
      <c r="A2363">
        <f>80515393*0.00001</f>
        <v>805.15393000000006</v>
      </c>
      <c r="B2363">
        <v>3501</v>
      </c>
      <c r="C2363">
        <v>54</v>
      </c>
      <c r="D2363">
        <v>240.88399999999999</v>
      </c>
      <c r="E2363">
        <v>5059</v>
      </c>
      <c r="F2363">
        <v>1611</v>
      </c>
      <c r="G2363">
        <v>1</v>
      </c>
      <c r="H2363">
        <v>0.2</v>
      </c>
      <c r="I2363" s="1">
        <f>0</f>
        <v>0</v>
      </c>
      <c r="J2363">
        <v>3.47</v>
      </c>
      <c r="K2363">
        <v>515.54300000000001</v>
      </c>
      <c r="L2363">
        <v>0</v>
      </c>
    </row>
    <row r="2364" spans="1:12" x14ac:dyDescent="0.25">
      <c r="A2364">
        <f>80515531*0.00001</f>
        <v>805.1553100000001</v>
      </c>
      <c r="B2364">
        <v>3501</v>
      </c>
      <c r="C2364">
        <v>55</v>
      </c>
      <c r="D2364">
        <v>240.88399999999999</v>
      </c>
      <c r="E2364">
        <v>5059</v>
      </c>
      <c r="F2364">
        <v>1611</v>
      </c>
      <c r="G2364">
        <v>1</v>
      </c>
      <c r="H2364">
        <v>0.2</v>
      </c>
      <c r="I2364">
        <v>0</v>
      </c>
      <c r="J2364">
        <v>3.47</v>
      </c>
      <c r="K2364" s="1">
        <f>515.546</f>
        <v>515.54600000000005</v>
      </c>
      <c r="L2364">
        <v>0</v>
      </c>
    </row>
    <row r="2365" spans="1:12" x14ac:dyDescent="0.25">
      <c r="A2365">
        <f>80515668*0.00001</f>
        <v>805.15668000000005</v>
      </c>
      <c r="B2365">
        <v>3501</v>
      </c>
      <c r="C2365">
        <v>56</v>
      </c>
      <c r="D2365" s="1">
        <f>240.974</f>
        <v>240.97399999999999</v>
      </c>
      <c r="E2365" s="1">
        <f>5059</f>
        <v>5059</v>
      </c>
      <c r="F2365" s="1">
        <f>1611</f>
        <v>1611</v>
      </c>
      <c r="G2365" s="1">
        <f>1</f>
        <v>1</v>
      </c>
      <c r="H2365" s="1">
        <f>0.2</f>
        <v>0.2</v>
      </c>
      <c r="I2365" s="1">
        <f>0</f>
        <v>0</v>
      </c>
      <c r="J2365" s="1">
        <f>3.71114</f>
        <v>3.7111399999999999</v>
      </c>
      <c r="K2365" s="1">
        <f>515.548</f>
        <v>515.548</v>
      </c>
      <c r="L2365" s="1">
        <f>0</f>
        <v>0</v>
      </c>
    </row>
    <row r="2366" spans="1:12" x14ac:dyDescent="0.25">
      <c r="A2366">
        <f>80516494*0.00001</f>
        <v>805.16494000000012</v>
      </c>
      <c r="B2366">
        <v>3501</v>
      </c>
      <c r="C2366">
        <v>62</v>
      </c>
      <c r="D2366">
        <v>240.97399999999999</v>
      </c>
      <c r="E2366">
        <v>5059</v>
      </c>
      <c r="F2366">
        <v>1611</v>
      </c>
      <c r="G2366" s="1">
        <f>1</f>
        <v>1</v>
      </c>
      <c r="H2366" s="1">
        <f>0.2</f>
        <v>0.2</v>
      </c>
      <c r="I2366">
        <v>0</v>
      </c>
      <c r="J2366">
        <v>3.7111399999999999</v>
      </c>
      <c r="K2366">
        <v>515.548</v>
      </c>
      <c r="L2366">
        <v>0</v>
      </c>
    </row>
    <row r="2367" spans="1:12" x14ac:dyDescent="0.25">
      <c r="A2367">
        <f>80516632*0.00001</f>
        <v>805.16632000000004</v>
      </c>
      <c r="B2367">
        <v>3501</v>
      </c>
      <c r="C2367">
        <v>63</v>
      </c>
      <c r="D2367">
        <v>240.97399999999999</v>
      </c>
      <c r="E2367">
        <v>5059</v>
      </c>
      <c r="F2367">
        <v>1611</v>
      </c>
      <c r="G2367">
        <v>1</v>
      </c>
      <c r="H2367">
        <v>0.2</v>
      </c>
      <c r="I2367" s="1">
        <f>0</f>
        <v>0</v>
      </c>
      <c r="J2367" s="1">
        <f>3.84291</f>
        <v>3.8429099999999998</v>
      </c>
      <c r="K2367">
        <v>515.548</v>
      </c>
      <c r="L2367">
        <v>0</v>
      </c>
    </row>
    <row r="2368" spans="1:12" x14ac:dyDescent="0.25">
      <c r="A2368">
        <f>80516770*0.00001</f>
        <v>805.16770000000008</v>
      </c>
      <c r="B2368">
        <v>3501</v>
      </c>
      <c r="C2368">
        <v>64</v>
      </c>
      <c r="D2368">
        <v>240.97399999999999</v>
      </c>
      <c r="E2368">
        <v>5059</v>
      </c>
      <c r="F2368">
        <v>1611</v>
      </c>
      <c r="G2368">
        <v>1</v>
      </c>
      <c r="H2368">
        <v>0.2</v>
      </c>
      <c r="I2368">
        <v>0</v>
      </c>
      <c r="J2368">
        <v>3.8429099999999998</v>
      </c>
      <c r="K2368" s="1">
        <f>515.551</f>
        <v>515.55100000000004</v>
      </c>
      <c r="L2368" s="1">
        <f>0</f>
        <v>0</v>
      </c>
    </row>
    <row r="2369" spans="1:12" x14ac:dyDescent="0.25">
      <c r="A2369">
        <f>80516908*0.00001</f>
        <v>805.16908000000012</v>
      </c>
      <c r="B2369">
        <v>3501</v>
      </c>
      <c r="C2369">
        <v>65</v>
      </c>
      <c r="D2369" s="1">
        <f>240.995</f>
        <v>240.995</v>
      </c>
      <c r="E2369" s="1">
        <f>5059</f>
        <v>5059</v>
      </c>
      <c r="F2369">
        <v>1611</v>
      </c>
      <c r="G2369">
        <v>1</v>
      </c>
      <c r="H2369">
        <v>0.2</v>
      </c>
      <c r="I2369">
        <v>0</v>
      </c>
      <c r="J2369">
        <v>3.8429099999999998</v>
      </c>
      <c r="K2369">
        <v>515.55100000000004</v>
      </c>
      <c r="L2369">
        <v>0</v>
      </c>
    </row>
    <row r="2370" spans="1:12" x14ac:dyDescent="0.25">
      <c r="A2370">
        <f>80517046*0.00001</f>
        <v>805.17046000000005</v>
      </c>
      <c r="B2370">
        <v>3501</v>
      </c>
      <c r="C2370">
        <v>66</v>
      </c>
      <c r="D2370">
        <v>240.995</v>
      </c>
      <c r="E2370">
        <v>5059</v>
      </c>
      <c r="F2370" s="1">
        <f>1611</f>
        <v>1611</v>
      </c>
      <c r="G2370" s="1">
        <f>1</f>
        <v>1</v>
      </c>
      <c r="H2370">
        <v>0.2</v>
      </c>
      <c r="I2370">
        <v>0</v>
      </c>
      <c r="J2370">
        <v>3.8429099999999998</v>
      </c>
      <c r="K2370">
        <v>515.55100000000004</v>
      </c>
      <c r="L2370">
        <v>0</v>
      </c>
    </row>
    <row r="2371" spans="1:12" x14ac:dyDescent="0.25">
      <c r="A2371">
        <f>80517184*0.00001</f>
        <v>805.17184000000009</v>
      </c>
      <c r="B2371">
        <v>3501</v>
      </c>
      <c r="C2371">
        <v>67</v>
      </c>
      <c r="D2371">
        <v>240.995</v>
      </c>
      <c r="E2371">
        <v>5059</v>
      </c>
      <c r="F2371">
        <v>1611</v>
      </c>
      <c r="G2371">
        <v>1</v>
      </c>
      <c r="H2371">
        <v>0.2</v>
      </c>
      <c r="I2371" s="1">
        <f>0</f>
        <v>0</v>
      </c>
      <c r="J2371">
        <v>3.8429099999999998</v>
      </c>
      <c r="K2371">
        <v>515.55100000000004</v>
      </c>
      <c r="L2371">
        <v>0</v>
      </c>
    </row>
    <row r="2372" spans="1:12" x14ac:dyDescent="0.25">
      <c r="A2372">
        <f>80517321*0.00001</f>
        <v>805.17321000000004</v>
      </c>
      <c r="B2372">
        <v>3501</v>
      </c>
      <c r="C2372">
        <v>68</v>
      </c>
      <c r="D2372">
        <v>240.995</v>
      </c>
      <c r="E2372">
        <v>5059</v>
      </c>
      <c r="F2372">
        <v>1611</v>
      </c>
      <c r="G2372">
        <v>1</v>
      </c>
      <c r="H2372">
        <v>0.2</v>
      </c>
      <c r="I2372">
        <v>0</v>
      </c>
      <c r="J2372">
        <v>3.8429099999999998</v>
      </c>
      <c r="K2372" s="1">
        <f>515.554</f>
        <v>515.55399999999997</v>
      </c>
      <c r="L2372">
        <v>0</v>
      </c>
    </row>
    <row r="2373" spans="1:12" x14ac:dyDescent="0.25">
      <c r="A2373">
        <f>80517459*0.00001</f>
        <v>805.17459000000008</v>
      </c>
      <c r="B2373">
        <v>3501</v>
      </c>
      <c r="C2373">
        <v>69</v>
      </c>
      <c r="D2373" s="1">
        <f>241.008</f>
        <v>241.00800000000001</v>
      </c>
      <c r="E2373">
        <v>5059</v>
      </c>
      <c r="F2373">
        <v>1611</v>
      </c>
      <c r="G2373">
        <v>1</v>
      </c>
      <c r="H2373">
        <v>0.2</v>
      </c>
      <c r="I2373">
        <v>0</v>
      </c>
      <c r="J2373">
        <v>3.8429099999999998</v>
      </c>
      <c r="K2373">
        <v>515.55399999999997</v>
      </c>
      <c r="L2373">
        <v>0</v>
      </c>
    </row>
    <row r="2374" spans="1:12" x14ac:dyDescent="0.25">
      <c r="A2374">
        <f>80517597*0.00001</f>
        <v>805.17597000000012</v>
      </c>
      <c r="B2374">
        <v>3501</v>
      </c>
      <c r="C2374">
        <v>70</v>
      </c>
      <c r="D2374">
        <v>241.00800000000001</v>
      </c>
      <c r="E2374">
        <v>5059</v>
      </c>
      <c r="F2374" s="1">
        <f>1611</f>
        <v>1611</v>
      </c>
      <c r="G2374">
        <v>1</v>
      </c>
      <c r="H2374">
        <v>0.2</v>
      </c>
      <c r="I2374">
        <v>0</v>
      </c>
      <c r="J2374">
        <v>3.8429099999999998</v>
      </c>
      <c r="K2374">
        <v>515.55399999999997</v>
      </c>
      <c r="L2374">
        <v>0</v>
      </c>
    </row>
    <row r="2375" spans="1:12" x14ac:dyDescent="0.25">
      <c r="A2375">
        <f>80517735*0.00001</f>
        <v>805.17735000000005</v>
      </c>
      <c r="B2375">
        <v>3501</v>
      </c>
      <c r="C2375">
        <v>71</v>
      </c>
      <c r="D2375" s="1">
        <f>241.019</f>
        <v>241.01900000000001</v>
      </c>
      <c r="E2375" s="1">
        <f>5059</f>
        <v>5059</v>
      </c>
      <c r="F2375" s="1">
        <f>1611</f>
        <v>1611</v>
      </c>
      <c r="G2375" s="1">
        <f>1</f>
        <v>1</v>
      </c>
      <c r="H2375" s="1">
        <f>0.2</f>
        <v>0.2</v>
      </c>
      <c r="I2375" s="1">
        <f>0</f>
        <v>0</v>
      </c>
      <c r="J2375" s="1">
        <f>4.25378</f>
        <v>4.2537799999999999</v>
      </c>
      <c r="K2375" s="1">
        <f>515.557</f>
        <v>515.55700000000002</v>
      </c>
      <c r="L2375" s="1">
        <f>0</f>
        <v>0</v>
      </c>
    </row>
    <row r="2376" spans="1:12" x14ac:dyDescent="0.25">
      <c r="A2376">
        <f>80518562*0.00001</f>
        <v>805.18562000000009</v>
      </c>
      <c r="B2376">
        <v>3501</v>
      </c>
      <c r="C2376">
        <v>77</v>
      </c>
      <c r="D2376">
        <v>241.01900000000001</v>
      </c>
      <c r="E2376">
        <v>5059</v>
      </c>
      <c r="F2376">
        <v>1611</v>
      </c>
      <c r="G2376">
        <v>1</v>
      </c>
      <c r="H2376">
        <v>0.2</v>
      </c>
      <c r="I2376">
        <v>0</v>
      </c>
      <c r="J2376">
        <v>4.2537799999999999</v>
      </c>
      <c r="K2376" s="1">
        <f>515.56</f>
        <v>515.55999999999995</v>
      </c>
      <c r="L2376" s="1">
        <f>0</f>
        <v>0</v>
      </c>
    </row>
    <row r="2377" spans="1:12" x14ac:dyDescent="0.25">
      <c r="A2377">
        <f>80518700*0.00001</f>
        <v>805.18700000000001</v>
      </c>
      <c r="B2377">
        <v>3501</v>
      </c>
      <c r="C2377">
        <v>78</v>
      </c>
      <c r="D2377" s="1">
        <f>241.029</f>
        <v>241.029</v>
      </c>
      <c r="E2377" s="1">
        <f>5060</f>
        <v>5060</v>
      </c>
      <c r="F2377">
        <v>1611</v>
      </c>
      <c r="G2377">
        <v>1</v>
      </c>
      <c r="H2377">
        <v>0.2</v>
      </c>
      <c r="I2377">
        <v>0</v>
      </c>
      <c r="J2377">
        <v>4.2537799999999999</v>
      </c>
      <c r="K2377">
        <v>515.55999999999995</v>
      </c>
      <c r="L2377">
        <v>0</v>
      </c>
    </row>
    <row r="2378" spans="1:12" x14ac:dyDescent="0.25">
      <c r="A2378">
        <f>80518838*0.00001</f>
        <v>805.18838000000005</v>
      </c>
      <c r="B2378">
        <v>3501</v>
      </c>
      <c r="C2378">
        <v>79</v>
      </c>
      <c r="D2378">
        <v>241.029</v>
      </c>
      <c r="E2378">
        <v>5060</v>
      </c>
      <c r="F2378" s="1">
        <f>1611</f>
        <v>1611</v>
      </c>
      <c r="G2378" s="1">
        <f>1</f>
        <v>1</v>
      </c>
      <c r="H2378">
        <v>0.2</v>
      </c>
      <c r="I2378">
        <v>0</v>
      </c>
      <c r="J2378">
        <v>4.2537799999999999</v>
      </c>
      <c r="K2378">
        <v>515.55999999999995</v>
      </c>
      <c r="L2378">
        <v>0</v>
      </c>
    </row>
    <row r="2379" spans="1:12" x14ac:dyDescent="0.25">
      <c r="A2379">
        <f>80518975*0.00001</f>
        <v>805.18975000000012</v>
      </c>
      <c r="B2379">
        <v>3501</v>
      </c>
      <c r="C2379">
        <v>80</v>
      </c>
      <c r="D2379">
        <v>241.029</v>
      </c>
      <c r="E2379">
        <v>5060</v>
      </c>
      <c r="F2379">
        <v>1611</v>
      </c>
      <c r="G2379">
        <v>1</v>
      </c>
      <c r="H2379" s="1">
        <f>0.2</f>
        <v>0.2</v>
      </c>
      <c r="I2379" s="1">
        <f>0</f>
        <v>0</v>
      </c>
      <c r="J2379">
        <v>4.2537799999999999</v>
      </c>
      <c r="K2379">
        <v>515.55999999999995</v>
      </c>
      <c r="L2379">
        <v>0</v>
      </c>
    </row>
    <row r="2380" spans="1:12" x14ac:dyDescent="0.25">
      <c r="A2380">
        <f>80519113*0.00001</f>
        <v>805.19113000000004</v>
      </c>
      <c r="B2380">
        <v>3501</v>
      </c>
      <c r="C2380">
        <v>81</v>
      </c>
      <c r="D2380">
        <v>241.029</v>
      </c>
      <c r="E2380">
        <v>5060</v>
      </c>
      <c r="F2380">
        <v>1611</v>
      </c>
      <c r="G2380">
        <v>1</v>
      </c>
      <c r="H2380">
        <v>0.2</v>
      </c>
      <c r="I2380">
        <v>0</v>
      </c>
      <c r="J2380" s="1">
        <f>4.41922</f>
        <v>4.4192200000000001</v>
      </c>
      <c r="K2380" s="1">
        <f>515.563</f>
        <v>515.56299999999999</v>
      </c>
      <c r="L2380">
        <v>0</v>
      </c>
    </row>
    <row r="2381" spans="1:12" x14ac:dyDescent="0.25">
      <c r="A2381">
        <f>80519251*0.00001</f>
        <v>805.19251000000008</v>
      </c>
      <c r="B2381">
        <v>3501</v>
      </c>
      <c r="C2381">
        <v>82</v>
      </c>
      <c r="D2381" s="1">
        <f>241.037</f>
        <v>241.03700000000001</v>
      </c>
      <c r="E2381">
        <v>5060</v>
      </c>
      <c r="F2381">
        <v>1611</v>
      </c>
      <c r="G2381">
        <v>1</v>
      </c>
      <c r="H2381">
        <v>0.2</v>
      </c>
      <c r="I2381">
        <v>0</v>
      </c>
      <c r="J2381">
        <v>4.4192200000000001</v>
      </c>
      <c r="K2381">
        <v>515.56299999999999</v>
      </c>
      <c r="L2381">
        <v>0</v>
      </c>
    </row>
    <row r="2382" spans="1:12" x14ac:dyDescent="0.25">
      <c r="A2382">
        <f>80519389*0.00001</f>
        <v>805.19389000000001</v>
      </c>
      <c r="B2382">
        <v>3501</v>
      </c>
      <c r="C2382">
        <v>83</v>
      </c>
      <c r="D2382">
        <v>241.03700000000001</v>
      </c>
      <c r="E2382">
        <v>5060</v>
      </c>
      <c r="F2382" s="1">
        <f>1611</f>
        <v>1611</v>
      </c>
      <c r="G2382">
        <v>1</v>
      </c>
      <c r="H2382">
        <v>0.2</v>
      </c>
      <c r="I2382">
        <v>0</v>
      </c>
      <c r="J2382">
        <v>4.4192200000000001</v>
      </c>
      <c r="K2382">
        <v>515.56299999999999</v>
      </c>
      <c r="L2382">
        <v>0</v>
      </c>
    </row>
    <row r="2383" spans="1:12" x14ac:dyDescent="0.25">
      <c r="A2383">
        <f>80519527*0.00001</f>
        <v>805.19527000000005</v>
      </c>
      <c r="B2383">
        <v>3501</v>
      </c>
      <c r="C2383">
        <v>84</v>
      </c>
      <c r="D2383">
        <v>241.03700000000001</v>
      </c>
      <c r="E2383">
        <v>5060</v>
      </c>
      <c r="F2383">
        <v>1611</v>
      </c>
      <c r="G2383">
        <v>1</v>
      </c>
      <c r="H2383" s="1">
        <f>0.2</f>
        <v>0.2</v>
      </c>
      <c r="I2383">
        <v>0</v>
      </c>
      <c r="J2383">
        <v>4.4192200000000001</v>
      </c>
      <c r="K2383">
        <v>515.56299999999999</v>
      </c>
      <c r="L2383">
        <v>0</v>
      </c>
    </row>
    <row r="2384" spans="1:12" x14ac:dyDescent="0.25">
      <c r="A2384">
        <f>80519665*0.00001</f>
        <v>805.19665000000009</v>
      </c>
      <c r="B2384">
        <v>3501</v>
      </c>
      <c r="C2384">
        <v>85</v>
      </c>
      <c r="D2384">
        <v>241.03700000000001</v>
      </c>
      <c r="E2384">
        <v>5060</v>
      </c>
      <c r="F2384">
        <v>1611</v>
      </c>
      <c r="G2384">
        <v>1</v>
      </c>
      <c r="H2384">
        <v>0.2</v>
      </c>
      <c r="I2384">
        <v>0</v>
      </c>
      <c r="J2384" s="1">
        <f>4.53841</f>
        <v>4.5384099999999998</v>
      </c>
      <c r="K2384">
        <v>515.56299999999999</v>
      </c>
      <c r="L2384">
        <v>0</v>
      </c>
    </row>
    <row r="2385" spans="1:12" x14ac:dyDescent="0.25">
      <c r="A2385">
        <f>80519803*0.00001</f>
        <v>805.19803000000002</v>
      </c>
      <c r="B2385">
        <v>3501</v>
      </c>
      <c r="C2385">
        <v>86</v>
      </c>
      <c r="D2385" s="1">
        <f>241.048</f>
        <v>241.048</v>
      </c>
      <c r="E2385" s="1">
        <f>5061</f>
        <v>5061</v>
      </c>
      <c r="F2385" s="1">
        <f>1611</f>
        <v>1611</v>
      </c>
      <c r="G2385" s="1">
        <f>1</f>
        <v>1</v>
      </c>
      <c r="H2385" s="1">
        <f>0.2</f>
        <v>0.2</v>
      </c>
      <c r="I2385" s="1">
        <f>0</f>
        <v>0</v>
      </c>
      <c r="J2385" s="1">
        <f>4.6833</f>
        <v>4.6833</v>
      </c>
      <c r="K2385" s="1">
        <f>515.57</f>
        <v>515.57000000000005</v>
      </c>
      <c r="L2385" s="1">
        <f>0</f>
        <v>0</v>
      </c>
    </row>
    <row r="2386" spans="1:12" x14ac:dyDescent="0.25">
      <c r="A2386">
        <f>80520631*0.00001</f>
        <v>805.20631000000003</v>
      </c>
      <c r="B2386">
        <v>3501</v>
      </c>
      <c r="C2386">
        <v>92</v>
      </c>
      <c r="D2386">
        <v>241.048</v>
      </c>
      <c r="E2386">
        <v>5061</v>
      </c>
      <c r="F2386" s="1">
        <f>1611</f>
        <v>1611</v>
      </c>
      <c r="G2386" s="1">
        <f>1</f>
        <v>1</v>
      </c>
      <c r="H2386">
        <v>0.2</v>
      </c>
      <c r="I2386">
        <v>0</v>
      </c>
      <c r="J2386">
        <v>4.6833</v>
      </c>
      <c r="K2386">
        <v>515.57000000000005</v>
      </c>
      <c r="L2386">
        <v>0</v>
      </c>
    </row>
    <row r="2387" spans="1:12" x14ac:dyDescent="0.25">
      <c r="A2387">
        <f>80520769*0.00001</f>
        <v>805.20769000000007</v>
      </c>
      <c r="B2387">
        <v>3501</v>
      </c>
      <c r="C2387">
        <v>93</v>
      </c>
      <c r="D2387">
        <v>241.048</v>
      </c>
      <c r="E2387">
        <v>5061</v>
      </c>
      <c r="F2387">
        <v>1611</v>
      </c>
      <c r="G2387">
        <v>1</v>
      </c>
      <c r="H2387" s="1">
        <f>0.2</f>
        <v>0.2</v>
      </c>
      <c r="I2387" s="1">
        <f>0</f>
        <v>0</v>
      </c>
      <c r="J2387">
        <v>4.6833</v>
      </c>
      <c r="K2387">
        <v>515.57000000000005</v>
      </c>
      <c r="L2387">
        <v>0</v>
      </c>
    </row>
    <row r="2388" spans="1:12" x14ac:dyDescent="0.25">
      <c r="A2388">
        <f>80520907*0.00001</f>
        <v>805.20907000000011</v>
      </c>
      <c r="B2388">
        <v>3501</v>
      </c>
      <c r="C2388">
        <v>94</v>
      </c>
      <c r="D2388">
        <v>241.048</v>
      </c>
      <c r="E2388">
        <v>5061</v>
      </c>
      <c r="F2388">
        <v>1611</v>
      </c>
      <c r="G2388">
        <v>1</v>
      </c>
      <c r="H2388">
        <v>0.2</v>
      </c>
      <c r="I2388">
        <v>0</v>
      </c>
      <c r="J2388" s="1">
        <f>4.85336</f>
        <v>4.8533600000000003</v>
      </c>
      <c r="K2388" s="1">
        <f>515.573</f>
        <v>515.57299999999998</v>
      </c>
      <c r="L2388">
        <v>0</v>
      </c>
    </row>
    <row r="2389" spans="1:12" x14ac:dyDescent="0.25">
      <c r="A2389">
        <f>80521045*0.00001</f>
        <v>805.21045000000004</v>
      </c>
      <c r="B2389">
        <v>3501</v>
      </c>
      <c r="C2389">
        <v>95</v>
      </c>
      <c r="D2389" s="1">
        <f>241.052</f>
        <v>241.05199999999999</v>
      </c>
      <c r="E2389">
        <v>5061</v>
      </c>
      <c r="F2389">
        <v>1611</v>
      </c>
      <c r="G2389">
        <v>1</v>
      </c>
      <c r="H2389">
        <v>0.2</v>
      </c>
      <c r="I2389">
        <v>0</v>
      </c>
      <c r="J2389">
        <v>4.8533600000000003</v>
      </c>
      <c r="K2389">
        <v>515.57299999999998</v>
      </c>
      <c r="L2389" s="1">
        <f>0</f>
        <v>0</v>
      </c>
    </row>
    <row r="2390" spans="1:12" x14ac:dyDescent="0.25">
      <c r="A2390">
        <f>80521183*0.00001</f>
        <v>805.21183000000008</v>
      </c>
      <c r="B2390">
        <v>3501</v>
      </c>
      <c r="C2390">
        <v>96</v>
      </c>
      <c r="D2390">
        <v>241.05199999999999</v>
      </c>
      <c r="E2390" s="1">
        <f>5061</f>
        <v>5061</v>
      </c>
      <c r="F2390" s="1">
        <f>1611</f>
        <v>1611</v>
      </c>
      <c r="G2390">
        <v>1</v>
      </c>
      <c r="H2390">
        <v>0.2</v>
      </c>
      <c r="I2390">
        <v>0</v>
      </c>
      <c r="J2390">
        <v>4.8533600000000003</v>
      </c>
      <c r="K2390">
        <v>515.57299999999998</v>
      </c>
      <c r="L2390">
        <v>0</v>
      </c>
    </row>
    <row r="2391" spans="1:12" x14ac:dyDescent="0.25">
      <c r="A2391">
        <f>80521321*0.00001</f>
        <v>805.21321000000012</v>
      </c>
      <c r="B2391">
        <v>3501</v>
      </c>
      <c r="C2391">
        <v>97</v>
      </c>
      <c r="D2391">
        <v>241.05199999999999</v>
      </c>
      <c r="E2391">
        <v>5061</v>
      </c>
      <c r="F2391">
        <v>1611</v>
      </c>
      <c r="G2391">
        <v>1</v>
      </c>
      <c r="H2391" s="1">
        <f>0.2</f>
        <v>0.2</v>
      </c>
      <c r="I2391">
        <v>0</v>
      </c>
      <c r="J2391">
        <v>4.8533600000000003</v>
      </c>
      <c r="K2391">
        <v>515.57299999999998</v>
      </c>
      <c r="L2391">
        <v>0</v>
      </c>
    </row>
    <row r="2392" spans="1:12" x14ac:dyDescent="0.25">
      <c r="A2392">
        <f>80521459*0.00001</f>
        <v>805.21459000000004</v>
      </c>
      <c r="B2392">
        <v>3501</v>
      </c>
      <c r="C2392">
        <v>98</v>
      </c>
      <c r="D2392">
        <v>241.05199999999999</v>
      </c>
      <c r="E2392">
        <v>5061</v>
      </c>
      <c r="F2392">
        <v>1611</v>
      </c>
      <c r="G2392">
        <v>1</v>
      </c>
      <c r="H2392">
        <v>0.2</v>
      </c>
      <c r="I2392">
        <v>0</v>
      </c>
      <c r="J2392" s="1">
        <f>4.97507</f>
        <v>4.9750699999999997</v>
      </c>
      <c r="K2392">
        <v>515.57299999999998</v>
      </c>
      <c r="L2392">
        <v>0</v>
      </c>
    </row>
    <row r="2393" spans="1:12" x14ac:dyDescent="0.25">
      <c r="A2393">
        <f>80521596*0.00001</f>
        <v>805.21596000000011</v>
      </c>
      <c r="B2393">
        <v>3501</v>
      </c>
      <c r="C2393">
        <v>99</v>
      </c>
      <c r="D2393">
        <v>241.05199999999999</v>
      </c>
      <c r="E2393">
        <v>5061</v>
      </c>
      <c r="F2393">
        <v>1611</v>
      </c>
      <c r="G2393">
        <v>1</v>
      </c>
      <c r="H2393">
        <v>0.2</v>
      </c>
      <c r="I2393">
        <v>0</v>
      </c>
      <c r="J2393">
        <v>4.9750699999999997</v>
      </c>
      <c r="K2393">
        <v>515.57299999999998</v>
      </c>
      <c r="L2393" s="1">
        <f>0</f>
        <v>0</v>
      </c>
    </row>
    <row r="2394" spans="1:12" x14ac:dyDescent="0.25">
      <c r="A2394">
        <f>80521734*0.00001</f>
        <v>805.21734000000004</v>
      </c>
      <c r="B2394">
        <v>3501</v>
      </c>
      <c r="C2394">
        <v>100</v>
      </c>
      <c r="D2394">
        <v>241.05199999999999</v>
      </c>
      <c r="E2394" s="1">
        <f>5062</f>
        <v>5062</v>
      </c>
      <c r="F2394">
        <v>1611</v>
      </c>
      <c r="G2394">
        <v>1</v>
      </c>
      <c r="H2394">
        <v>0.2</v>
      </c>
      <c r="I2394">
        <v>0</v>
      </c>
      <c r="J2394">
        <v>4.9750699999999997</v>
      </c>
      <c r="K2394">
        <v>515.57299999999998</v>
      </c>
      <c r="L2394">
        <v>0</v>
      </c>
    </row>
    <row r="2395" spans="1:12" x14ac:dyDescent="0.25">
      <c r="A2395">
        <f>80521872*0.00001</f>
        <v>805.21872000000008</v>
      </c>
      <c r="B2395">
        <v>3501</v>
      </c>
      <c r="C2395">
        <v>101</v>
      </c>
      <c r="D2395" s="1">
        <f>241.058</f>
        <v>241.05799999999999</v>
      </c>
      <c r="E2395" s="1">
        <f>5062</f>
        <v>5062</v>
      </c>
      <c r="F2395" s="1">
        <f>1611</f>
        <v>1611</v>
      </c>
      <c r="G2395" s="1">
        <f>1</f>
        <v>1</v>
      </c>
      <c r="H2395" s="1">
        <f>0.2</f>
        <v>0.2</v>
      </c>
      <c r="I2395" s="1">
        <f>0</f>
        <v>0</v>
      </c>
      <c r="J2395" s="1">
        <f>5.27032</f>
        <v>5.2703199999999999</v>
      </c>
      <c r="K2395" s="1">
        <f>515.584</f>
        <v>515.58399999999995</v>
      </c>
      <c r="L2395" s="1">
        <f>0</f>
        <v>0</v>
      </c>
    </row>
    <row r="2396" spans="1:12" x14ac:dyDescent="0.25">
      <c r="A2396">
        <f>80522836*0.00001</f>
        <v>805.22836000000007</v>
      </c>
      <c r="B2396">
        <v>3501</v>
      </c>
      <c r="C2396">
        <v>108</v>
      </c>
      <c r="D2396" s="1">
        <f>241.06</f>
        <v>241.06</v>
      </c>
      <c r="E2396">
        <v>5062</v>
      </c>
      <c r="F2396">
        <v>1611</v>
      </c>
      <c r="G2396">
        <v>1</v>
      </c>
      <c r="H2396">
        <v>0.2</v>
      </c>
      <c r="I2396">
        <v>0</v>
      </c>
      <c r="J2396">
        <v>5.2703199999999999</v>
      </c>
      <c r="K2396">
        <v>515.58399999999995</v>
      </c>
      <c r="L2396" s="1">
        <f>0</f>
        <v>0</v>
      </c>
    </row>
    <row r="2397" spans="1:12" x14ac:dyDescent="0.25">
      <c r="A2397">
        <f>80522974*0.00001</f>
        <v>805.22974000000011</v>
      </c>
      <c r="B2397">
        <v>3501</v>
      </c>
      <c r="C2397">
        <v>109</v>
      </c>
      <c r="D2397">
        <v>241.06</v>
      </c>
      <c r="E2397" s="1">
        <f>5063</f>
        <v>5063</v>
      </c>
      <c r="F2397" s="1">
        <f>1611</f>
        <v>1611</v>
      </c>
      <c r="G2397">
        <v>1</v>
      </c>
      <c r="H2397">
        <v>0.2</v>
      </c>
      <c r="I2397">
        <v>0</v>
      </c>
      <c r="J2397">
        <v>5.2703199999999999</v>
      </c>
      <c r="K2397">
        <v>515.58399999999995</v>
      </c>
      <c r="L2397">
        <v>0</v>
      </c>
    </row>
    <row r="2398" spans="1:12" x14ac:dyDescent="0.25">
      <c r="A2398">
        <f>80523112*0.00001</f>
        <v>805.23112000000003</v>
      </c>
      <c r="B2398">
        <v>3501</v>
      </c>
      <c r="C2398">
        <v>110</v>
      </c>
      <c r="D2398">
        <v>241.06</v>
      </c>
      <c r="E2398">
        <v>5063</v>
      </c>
      <c r="F2398">
        <v>1611</v>
      </c>
      <c r="G2398" s="1">
        <f>1</f>
        <v>1</v>
      </c>
      <c r="H2398" s="1">
        <f>0.2</f>
        <v>0.2</v>
      </c>
      <c r="I2398">
        <v>0</v>
      </c>
      <c r="J2398">
        <v>5.2703199999999999</v>
      </c>
      <c r="K2398">
        <v>515.58399999999995</v>
      </c>
      <c r="L2398">
        <v>0</v>
      </c>
    </row>
    <row r="2399" spans="1:12" x14ac:dyDescent="0.25">
      <c r="A2399">
        <f>80523249*0.00001</f>
        <v>805.2324900000001</v>
      </c>
      <c r="B2399">
        <v>3501</v>
      </c>
      <c r="C2399">
        <v>111</v>
      </c>
      <c r="D2399">
        <v>241.06</v>
      </c>
      <c r="E2399">
        <v>5063</v>
      </c>
      <c r="F2399">
        <v>1611</v>
      </c>
      <c r="G2399">
        <v>1</v>
      </c>
      <c r="H2399">
        <v>0.2</v>
      </c>
      <c r="I2399" s="1">
        <f>0</f>
        <v>0</v>
      </c>
      <c r="J2399" s="1">
        <f>5.41878</f>
        <v>5.4187799999999999</v>
      </c>
      <c r="K2399">
        <v>515.58399999999995</v>
      </c>
      <c r="L2399">
        <v>0</v>
      </c>
    </row>
    <row r="2400" spans="1:12" x14ac:dyDescent="0.25">
      <c r="A2400">
        <f>80523387*0.00001</f>
        <v>805.23387000000002</v>
      </c>
      <c r="B2400">
        <v>3501</v>
      </c>
      <c r="C2400">
        <v>112</v>
      </c>
      <c r="D2400">
        <v>241.06</v>
      </c>
      <c r="E2400">
        <v>5063</v>
      </c>
      <c r="F2400">
        <v>1611</v>
      </c>
      <c r="G2400">
        <v>1</v>
      </c>
      <c r="H2400">
        <v>0.2</v>
      </c>
      <c r="I2400">
        <v>0</v>
      </c>
      <c r="J2400">
        <v>5.4187799999999999</v>
      </c>
      <c r="K2400">
        <v>515.58399999999995</v>
      </c>
      <c r="L2400" s="1">
        <f>0</f>
        <v>0</v>
      </c>
    </row>
    <row r="2401" spans="1:12" x14ac:dyDescent="0.25">
      <c r="A2401">
        <f>80523525*0.00001</f>
        <v>805.23525000000006</v>
      </c>
      <c r="B2401">
        <v>3501</v>
      </c>
      <c r="C2401">
        <v>113</v>
      </c>
      <c r="D2401">
        <v>241.06</v>
      </c>
      <c r="E2401" s="1">
        <f>5063</f>
        <v>5063</v>
      </c>
      <c r="F2401">
        <v>1611</v>
      </c>
      <c r="G2401">
        <v>1</v>
      </c>
      <c r="H2401">
        <v>0.2</v>
      </c>
      <c r="I2401">
        <v>0</v>
      </c>
      <c r="J2401">
        <v>5.4187799999999999</v>
      </c>
      <c r="K2401">
        <v>515.58399999999995</v>
      </c>
      <c r="L2401">
        <v>0</v>
      </c>
    </row>
    <row r="2402" spans="1:12" x14ac:dyDescent="0.25">
      <c r="A2402">
        <f>80523662*0.00001</f>
        <v>805.23662000000002</v>
      </c>
      <c r="B2402">
        <v>3501</v>
      </c>
      <c r="C2402">
        <v>114</v>
      </c>
      <c r="D2402">
        <v>241.06</v>
      </c>
      <c r="E2402">
        <v>5063</v>
      </c>
      <c r="F2402">
        <v>1611</v>
      </c>
      <c r="G2402" s="1">
        <f>1</f>
        <v>1</v>
      </c>
      <c r="H2402">
        <v>0.2</v>
      </c>
      <c r="I2402">
        <v>0</v>
      </c>
      <c r="J2402">
        <v>5.4187799999999999</v>
      </c>
      <c r="K2402">
        <v>515.58399999999995</v>
      </c>
      <c r="L2402">
        <v>0</v>
      </c>
    </row>
    <row r="2403" spans="1:12" x14ac:dyDescent="0.25">
      <c r="A2403">
        <f>80523800*0.00001</f>
        <v>805.23800000000006</v>
      </c>
      <c r="B2403">
        <v>3501</v>
      </c>
      <c r="C2403">
        <v>115</v>
      </c>
      <c r="D2403">
        <v>241.06</v>
      </c>
      <c r="E2403">
        <v>5063</v>
      </c>
      <c r="F2403">
        <v>1611</v>
      </c>
      <c r="G2403">
        <v>1</v>
      </c>
      <c r="H2403">
        <v>0.2</v>
      </c>
      <c r="I2403" s="1">
        <f>0</f>
        <v>0</v>
      </c>
      <c r="J2403">
        <v>5.4187799999999999</v>
      </c>
      <c r="K2403">
        <v>515.58399999999995</v>
      </c>
      <c r="L2403">
        <v>0</v>
      </c>
    </row>
    <row r="2404" spans="1:12" x14ac:dyDescent="0.25">
      <c r="A2404">
        <f>80523938*0.00001</f>
        <v>805.2393800000001</v>
      </c>
      <c r="B2404">
        <v>3501</v>
      </c>
      <c r="C2404">
        <v>116</v>
      </c>
      <c r="D2404" s="1">
        <f>241.063</f>
        <v>241.06299999999999</v>
      </c>
      <c r="E2404" s="1">
        <f>5064</f>
        <v>5064</v>
      </c>
      <c r="F2404" s="1">
        <f>1611</f>
        <v>1611</v>
      </c>
      <c r="G2404" s="1">
        <f>1</f>
        <v>1</v>
      </c>
      <c r="H2404" s="1">
        <f>0.2</f>
        <v>0.2</v>
      </c>
      <c r="I2404" s="1">
        <f>0</f>
        <v>0</v>
      </c>
      <c r="J2404" s="1">
        <f>5.71626</f>
        <v>5.7162600000000001</v>
      </c>
      <c r="K2404" s="1">
        <f>515.596</f>
        <v>515.596</v>
      </c>
      <c r="L2404" s="1">
        <f>0</f>
        <v>0</v>
      </c>
    </row>
    <row r="2405" spans="1:12" x14ac:dyDescent="0.25">
      <c r="A2405">
        <f>80524765*0.00001</f>
        <v>805.24765000000002</v>
      </c>
      <c r="B2405">
        <v>3501</v>
      </c>
      <c r="C2405">
        <v>122</v>
      </c>
      <c r="D2405">
        <v>241.06299999999999</v>
      </c>
      <c r="E2405" s="1">
        <f>5064</f>
        <v>5064</v>
      </c>
      <c r="F2405" s="1">
        <f>1611</f>
        <v>1611</v>
      </c>
      <c r="G2405">
        <v>1</v>
      </c>
      <c r="H2405">
        <v>0.2</v>
      </c>
      <c r="I2405">
        <v>0</v>
      </c>
      <c r="J2405">
        <v>5.7162600000000001</v>
      </c>
      <c r="K2405">
        <v>515.596</v>
      </c>
      <c r="L2405">
        <v>0</v>
      </c>
    </row>
    <row r="2406" spans="1:12" x14ac:dyDescent="0.25">
      <c r="A2406">
        <f>80524902*0.00001</f>
        <v>805.24902000000009</v>
      </c>
      <c r="B2406">
        <v>3501</v>
      </c>
      <c r="C2406">
        <v>123</v>
      </c>
      <c r="D2406">
        <v>241.06299999999999</v>
      </c>
      <c r="E2406">
        <v>5064</v>
      </c>
      <c r="F2406">
        <v>1611</v>
      </c>
      <c r="G2406" s="1">
        <f>1</f>
        <v>1</v>
      </c>
      <c r="H2406" s="1">
        <f>0.2</f>
        <v>0.2</v>
      </c>
      <c r="I2406">
        <v>0</v>
      </c>
      <c r="J2406">
        <v>5.7162600000000001</v>
      </c>
      <c r="K2406">
        <v>515.596</v>
      </c>
      <c r="L2406">
        <v>0</v>
      </c>
    </row>
    <row r="2407" spans="1:12" x14ac:dyDescent="0.25">
      <c r="A2407">
        <f>80525040*0.00001</f>
        <v>805.25040000000001</v>
      </c>
      <c r="B2407">
        <v>3501</v>
      </c>
      <c r="C2407">
        <v>124</v>
      </c>
      <c r="D2407">
        <v>241.06299999999999</v>
      </c>
      <c r="E2407">
        <v>5064</v>
      </c>
      <c r="F2407">
        <v>1611</v>
      </c>
      <c r="G2407">
        <v>1</v>
      </c>
      <c r="H2407">
        <v>0.2</v>
      </c>
      <c r="I2407" s="1">
        <f>0</f>
        <v>0</v>
      </c>
      <c r="J2407" s="1">
        <f>5.86548</f>
        <v>5.8654799999999998</v>
      </c>
      <c r="K2407">
        <v>515.596</v>
      </c>
      <c r="L2407">
        <v>0</v>
      </c>
    </row>
    <row r="2408" spans="1:12" x14ac:dyDescent="0.25">
      <c r="A2408">
        <f>80525178*0.00001</f>
        <v>805.25178000000005</v>
      </c>
      <c r="B2408">
        <v>3501</v>
      </c>
      <c r="C2408">
        <v>125</v>
      </c>
      <c r="D2408">
        <v>241.06299999999999</v>
      </c>
      <c r="E2408">
        <v>5064</v>
      </c>
      <c r="F2408">
        <v>1611</v>
      </c>
      <c r="G2408">
        <v>1</v>
      </c>
      <c r="H2408">
        <v>0.2</v>
      </c>
      <c r="I2408">
        <v>0</v>
      </c>
      <c r="J2408">
        <v>5.8654799999999998</v>
      </c>
      <c r="K2408" s="1">
        <f>515.601</f>
        <v>515.601</v>
      </c>
      <c r="L2408" s="1">
        <f>0</f>
        <v>0</v>
      </c>
    </row>
    <row r="2409" spans="1:12" x14ac:dyDescent="0.25">
      <c r="A2409">
        <f>80525315*0.00001</f>
        <v>805.25315000000012</v>
      </c>
      <c r="B2409">
        <v>3501</v>
      </c>
      <c r="C2409">
        <v>126</v>
      </c>
      <c r="D2409" s="1">
        <f>241.064</f>
        <v>241.06399999999999</v>
      </c>
      <c r="E2409" s="1">
        <f>5065</f>
        <v>5065</v>
      </c>
      <c r="F2409">
        <v>1611</v>
      </c>
      <c r="G2409">
        <v>1</v>
      </c>
      <c r="H2409">
        <v>0.2</v>
      </c>
      <c r="I2409">
        <v>0</v>
      </c>
      <c r="J2409">
        <v>5.8654799999999998</v>
      </c>
      <c r="K2409">
        <v>515.601</v>
      </c>
      <c r="L2409">
        <v>0</v>
      </c>
    </row>
    <row r="2410" spans="1:12" x14ac:dyDescent="0.25">
      <c r="A2410">
        <f>80525453*0.00001</f>
        <v>805.25453000000005</v>
      </c>
      <c r="B2410">
        <v>3501</v>
      </c>
      <c r="C2410">
        <v>127</v>
      </c>
      <c r="D2410">
        <v>241.06399999999999</v>
      </c>
      <c r="E2410">
        <v>5065</v>
      </c>
      <c r="F2410">
        <v>1611</v>
      </c>
      <c r="G2410" s="1">
        <f>1</f>
        <v>1</v>
      </c>
      <c r="H2410">
        <v>0.2</v>
      </c>
      <c r="I2410">
        <v>0</v>
      </c>
      <c r="J2410">
        <v>5.8654799999999998</v>
      </c>
      <c r="K2410">
        <v>515.601</v>
      </c>
      <c r="L2410">
        <v>0</v>
      </c>
    </row>
    <row r="2411" spans="1:12" x14ac:dyDescent="0.25">
      <c r="A2411">
        <f>80525591*0.00001</f>
        <v>805.25591000000009</v>
      </c>
      <c r="B2411">
        <v>3501</v>
      </c>
      <c r="C2411">
        <v>128</v>
      </c>
      <c r="D2411">
        <v>241.06399999999999</v>
      </c>
      <c r="E2411">
        <v>5065</v>
      </c>
      <c r="F2411">
        <v>1611</v>
      </c>
      <c r="G2411">
        <v>1</v>
      </c>
      <c r="H2411">
        <v>0.2</v>
      </c>
      <c r="I2411" s="1">
        <f>0</f>
        <v>0</v>
      </c>
      <c r="J2411">
        <v>5.8654799999999998</v>
      </c>
      <c r="K2411">
        <v>515.601</v>
      </c>
      <c r="L2411">
        <v>0</v>
      </c>
    </row>
    <row r="2412" spans="1:12" x14ac:dyDescent="0.25">
      <c r="A2412">
        <f>80525728*0.00001</f>
        <v>805.25728000000004</v>
      </c>
      <c r="B2412">
        <v>3501</v>
      </c>
      <c r="C2412">
        <v>129</v>
      </c>
      <c r="D2412">
        <v>241.06399999999999</v>
      </c>
      <c r="E2412">
        <v>5065</v>
      </c>
      <c r="F2412">
        <v>1611</v>
      </c>
      <c r="G2412">
        <v>1</v>
      </c>
      <c r="H2412">
        <v>0.2</v>
      </c>
      <c r="I2412">
        <v>0</v>
      </c>
      <c r="J2412">
        <v>5.8654799999999998</v>
      </c>
      <c r="K2412" s="1">
        <f>515.605</f>
        <v>515.60500000000002</v>
      </c>
      <c r="L2412">
        <v>0</v>
      </c>
    </row>
    <row r="2413" spans="1:12" x14ac:dyDescent="0.25">
      <c r="A2413">
        <f>80525866*0.00001</f>
        <v>805.25866000000008</v>
      </c>
      <c r="B2413">
        <v>3501</v>
      </c>
      <c r="C2413">
        <v>130</v>
      </c>
      <c r="D2413" s="1">
        <f>241.065</f>
        <v>241.065</v>
      </c>
      <c r="E2413">
        <v>5065</v>
      </c>
      <c r="F2413">
        <v>1611</v>
      </c>
      <c r="G2413">
        <v>1</v>
      </c>
      <c r="H2413">
        <v>0.2</v>
      </c>
      <c r="I2413">
        <v>0</v>
      </c>
      <c r="J2413">
        <v>5.8654799999999998</v>
      </c>
      <c r="K2413">
        <v>515.60500000000002</v>
      </c>
      <c r="L2413">
        <v>0</v>
      </c>
    </row>
    <row r="2414" spans="1:12" x14ac:dyDescent="0.25">
      <c r="A2414">
        <f>80526004*0.00001</f>
        <v>805.26004000000012</v>
      </c>
      <c r="B2414">
        <v>3501</v>
      </c>
      <c r="C2414">
        <v>131</v>
      </c>
      <c r="D2414" s="1">
        <f>241.066</f>
        <v>241.066</v>
      </c>
      <c r="E2414" s="1">
        <f>5066</f>
        <v>5066</v>
      </c>
      <c r="F2414" s="1">
        <f>1611</f>
        <v>1611</v>
      </c>
      <c r="G2414" s="1">
        <f>1</f>
        <v>1</v>
      </c>
      <c r="H2414" s="1">
        <f>0.2</f>
        <v>0.2</v>
      </c>
      <c r="I2414" s="1">
        <f>0</f>
        <v>0</v>
      </c>
      <c r="J2414" s="1">
        <f>6.16411</f>
        <v>6.16411</v>
      </c>
      <c r="K2414" s="1">
        <f>515.61</f>
        <v>515.61</v>
      </c>
      <c r="L2414" s="1">
        <f>0</f>
        <v>0</v>
      </c>
    </row>
    <row r="2415" spans="1:12" x14ac:dyDescent="0.25">
      <c r="A2415">
        <f>80526830*0.00001</f>
        <v>805.26830000000007</v>
      </c>
      <c r="B2415">
        <v>3501</v>
      </c>
      <c r="C2415">
        <v>137</v>
      </c>
      <c r="D2415">
        <v>241.066</v>
      </c>
      <c r="E2415">
        <v>5066</v>
      </c>
      <c r="F2415">
        <v>1611</v>
      </c>
      <c r="G2415">
        <v>1</v>
      </c>
      <c r="H2415" s="1">
        <f>0.2</f>
        <v>0.2</v>
      </c>
      <c r="I2415" s="1">
        <f>0</f>
        <v>0</v>
      </c>
      <c r="J2415">
        <v>6.16411</v>
      </c>
      <c r="K2415">
        <v>515.61</v>
      </c>
      <c r="L2415">
        <v>0</v>
      </c>
    </row>
    <row r="2416" spans="1:12" x14ac:dyDescent="0.25">
      <c r="A2416">
        <f>80526967*0.00001</f>
        <v>805.26967000000002</v>
      </c>
      <c r="B2416">
        <v>3501</v>
      </c>
      <c r="C2416">
        <v>138</v>
      </c>
      <c r="D2416">
        <v>241.066</v>
      </c>
      <c r="E2416">
        <v>5066</v>
      </c>
      <c r="F2416">
        <v>1611</v>
      </c>
      <c r="G2416">
        <v>1</v>
      </c>
      <c r="H2416">
        <v>0.2</v>
      </c>
      <c r="I2416">
        <v>0</v>
      </c>
      <c r="J2416" s="1">
        <f>6.33838</f>
        <v>6.3383799999999999</v>
      </c>
      <c r="K2416" s="1">
        <f>515.614</f>
        <v>515.61400000000003</v>
      </c>
      <c r="L2416">
        <v>0</v>
      </c>
    </row>
    <row r="2417" spans="1:12" x14ac:dyDescent="0.25">
      <c r="A2417">
        <f>80527105*0.00001</f>
        <v>805.27105000000006</v>
      </c>
      <c r="B2417">
        <v>3501</v>
      </c>
      <c r="C2417">
        <v>139</v>
      </c>
      <c r="D2417" s="1">
        <f>241.066</f>
        <v>241.066</v>
      </c>
      <c r="E2417">
        <v>5066</v>
      </c>
      <c r="F2417">
        <v>1611</v>
      </c>
      <c r="G2417">
        <v>1</v>
      </c>
      <c r="H2417">
        <v>0.2</v>
      </c>
      <c r="I2417">
        <v>0</v>
      </c>
      <c r="J2417">
        <v>6.3383799999999999</v>
      </c>
      <c r="K2417">
        <v>515.61400000000003</v>
      </c>
      <c r="L2417" s="1">
        <f>0</f>
        <v>0</v>
      </c>
    </row>
    <row r="2418" spans="1:12" x14ac:dyDescent="0.25">
      <c r="A2418">
        <f>80527243*0.00001</f>
        <v>805.2724300000001</v>
      </c>
      <c r="B2418">
        <v>3501</v>
      </c>
      <c r="C2418">
        <v>140</v>
      </c>
      <c r="D2418">
        <v>241.066</v>
      </c>
      <c r="E2418" s="1">
        <f>5066</f>
        <v>5066</v>
      </c>
      <c r="F2418" s="1">
        <f>1611</f>
        <v>1611</v>
      </c>
      <c r="G2418">
        <v>1</v>
      </c>
      <c r="H2418">
        <v>0.2</v>
      </c>
      <c r="I2418">
        <v>0</v>
      </c>
      <c r="J2418">
        <v>6.3383799999999999</v>
      </c>
      <c r="K2418">
        <v>515.61400000000003</v>
      </c>
      <c r="L2418">
        <v>0</v>
      </c>
    </row>
    <row r="2419" spans="1:12" x14ac:dyDescent="0.25">
      <c r="A2419">
        <f>80527380*0.00001</f>
        <v>805.27380000000005</v>
      </c>
      <c r="B2419">
        <v>3501</v>
      </c>
      <c r="C2419">
        <v>141</v>
      </c>
      <c r="D2419">
        <v>241.066</v>
      </c>
      <c r="E2419">
        <v>5066</v>
      </c>
      <c r="F2419">
        <v>1611</v>
      </c>
      <c r="G2419">
        <v>1</v>
      </c>
      <c r="H2419" s="1">
        <f>0.2</f>
        <v>0.2</v>
      </c>
      <c r="I2419">
        <v>0</v>
      </c>
      <c r="J2419">
        <v>6.3383799999999999</v>
      </c>
      <c r="K2419">
        <v>515.61400000000003</v>
      </c>
      <c r="L2419">
        <v>0</v>
      </c>
    </row>
    <row r="2420" spans="1:12" x14ac:dyDescent="0.25">
      <c r="A2420">
        <f>80527518*0.00001</f>
        <v>805.27518000000009</v>
      </c>
      <c r="B2420">
        <v>3501</v>
      </c>
      <c r="C2420">
        <v>142</v>
      </c>
      <c r="D2420">
        <v>241.066</v>
      </c>
      <c r="E2420">
        <v>5066</v>
      </c>
      <c r="F2420">
        <v>1611</v>
      </c>
      <c r="G2420">
        <v>1</v>
      </c>
      <c r="H2420">
        <v>0.2</v>
      </c>
      <c r="I2420">
        <v>0</v>
      </c>
      <c r="J2420" s="1">
        <f>6.48782</f>
        <v>6.4878200000000001</v>
      </c>
      <c r="K2420">
        <v>515.61400000000003</v>
      </c>
      <c r="L2420">
        <v>0</v>
      </c>
    </row>
    <row r="2421" spans="1:12" x14ac:dyDescent="0.25">
      <c r="A2421">
        <f>80527656*0.00001</f>
        <v>805.27656000000002</v>
      </c>
      <c r="B2421">
        <v>3501</v>
      </c>
      <c r="C2421">
        <v>143</v>
      </c>
      <c r="D2421">
        <v>241.066</v>
      </c>
      <c r="E2421">
        <v>5066</v>
      </c>
      <c r="F2421">
        <v>1611</v>
      </c>
      <c r="G2421">
        <v>1</v>
      </c>
      <c r="H2421">
        <v>0.2</v>
      </c>
      <c r="I2421">
        <v>0</v>
      </c>
      <c r="J2421">
        <v>6.4878200000000001</v>
      </c>
      <c r="K2421">
        <v>515.61400000000003</v>
      </c>
      <c r="L2421" s="1">
        <f>0</f>
        <v>0</v>
      </c>
    </row>
    <row r="2422" spans="1:12" x14ac:dyDescent="0.25">
      <c r="A2422">
        <f>80527793*0.00001</f>
        <v>805.27793000000008</v>
      </c>
      <c r="B2422">
        <v>3501</v>
      </c>
      <c r="C2422">
        <v>144</v>
      </c>
      <c r="D2422">
        <v>241.066</v>
      </c>
      <c r="E2422" s="1">
        <f>5067</f>
        <v>5067</v>
      </c>
      <c r="F2422">
        <v>1611</v>
      </c>
      <c r="G2422">
        <v>1</v>
      </c>
      <c r="H2422">
        <v>0.2</v>
      </c>
      <c r="I2422">
        <v>0</v>
      </c>
      <c r="J2422">
        <v>6.4878200000000001</v>
      </c>
      <c r="K2422">
        <v>515.61400000000003</v>
      </c>
      <c r="L2422">
        <v>0</v>
      </c>
    </row>
    <row r="2423" spans="1:12" x14ac:dyDescent="0.25">
      <c r="A2423">
        <f>80527931*0.00001</f>
        <v>805.27931000000001</v>
      </c>
      <c r="B2423">
        <v>3501</v>
      </c>
      <c r="C2423">
        <v>145</v>
      </c>
      <c r="D2423" s="1">
        <f>241.067</f>
        <v>241.06700000000001</v>
      </c>
      <c r="E2423" s="1">
        <f>5067</f>
        <v>5067</v>
      </c>
      <c r="F2423" s="1">
        <f>1611</f>
        <v>1611</v>
      </c>
      <c r="G2423" s="1">
        <f>1</f>
        <v>1</v>
      </c>
      <c r="H2423" s="1">
        <f>0.2</f>
        <v>0.2</v>
      </c>
      <c r="I2423" s="1">
        <f>0</f>
        <v>0</v>
      </c>
      <c r="J2423" s="1">
        <f>6.61264</f>
        <v>6.6126399999999999</v>
      </c>
      <c r="K2423" s="1">
        <f>515.624</f>
        <v>515.62400000000002</v>
      </c>
      <c r="L2423" s="1">
        <f>0</f>
        <v>0</v>
      </c>
    </row>
    <row r="2424" spans="1:12" x14ac:dyDescent="0.25">
      <c r="A2424">
        <f>80528757*0.00001</f>
        <v>805.28757000000007</v>
      </c>
      <c r="B2424">
        <v>3501</v>
      </c>
      <c r="C2424">
        <v>151</v>
      </c>
      <c r="D2424">
        <v>241.06700000000001</v>
      </c>
      <c r="E2424">
        <v>5067</v>
      </c>
      <c r="F2424">
        <v>1611</v>
      </c>
      <c r="G2424">
        <v>1</v>
      </c>
      <c r="H2424">
        <v>0.2</v>
      </c>
      <c r="I2424">
        <v>0</v>
      </c>
      <c r="J2424" s="1">
        <f>6.78748</f>
        <v>6.7874800000000004</v>
      </c>
      <c r="K2424" s="1">
        <f>515.628</f>
        <v>515.62800000000004</v>
      </c>
      <c r="L2424">
        <v>0</v>
      </c>
    </row>
    <row r="2425" spans="1:12" x14ac:dyDescent="0.25">
      <c r="A2425">
        <f>80528895*0.00001</f>
        <v>805.28895000000011</v>
      </c>
      <c r="B2425">
        <v>3501</v>
      </c>
      <c r="C2425">
        <v>152</v>
      </c>
      <c r="D2425" s="1">
        <f>241.067</f>
        <v>241.06700000000001</v>
      </c>
      <c r="E2425">
        <v>5067</v>
      </c>
      <c r="F2425">
        <v>1611</v>
      </c>
      <c r="G2425">
        <v>1</v>
      </c>
      <c r="H2425">
        <v>0.2</v>
      </c>
      <c r="I2425">
        <v>0</v>
      </c>
      <c r="J2425">
        <v>6.7874800000000004</v>
      </c>
      <c r="K2425">
        <v>515.62800000000004</v>
      </c>
      <c r="L2425" s="1">
        <f>0</f>
        <v>0</v>
      </c>
    </row>
    <row r="2426" spans="1:12" x14ac:dyDescent="0.25">
      <c r="A2426">
        <f>80529032*0.00001</f>
        <v>805.29032000000007</v>
      </c>
      <c r="B2426">
        <v>3501</v>
      </c>
      <c r="C2426">
        <v>153</v>
      </c>
      <c r="D2426">
        <v>241.06700000000001</v>
      </c>
      <c r="E2426" s="1">
        <f>5068</f>
        <v>5068</v>
      </c>
      <c r="F2426" s="1">
        <f>1611</f>
        <v>1611</v>
      </c>
      <c r="G2426">
        <v>1</v>
      </c>
      <c r="H2426">
        <v>0.2</v>
      </c>
      <c r="I2426">
        <v>0</v>
      </c>
      <c r="J2426">
        <v>6.7874800000000004</v>
      </c>
      <c r="K2426">
        <v>515.62800000000004</v>
      </c>
      <c r="L2426">
        <v>0</v>
      </c>
    </row>
    <row r="2427" spans="1:12" x14ac:dyDescent="0.25">
      <c r="A2427">
        <f>80529170*0.00001</f>
        <v>805.29170000000011</v>
      </c>
      <c r="B2427">
        <v>3501</v>
      </c>
      <c r="C2427">
        <v>154</v>
      </c>
      <c r="D2427">
        <v>241.06700000000001</v>
      </c>
      <c r="E2427">
        <v>5068</v>
      </c>
      <c r="F2427">
        <v>1611</v>
      </c>
      <c r="G2427" s="1">
        <f>1</f>
        <v>1</v>
      </c>
      <c r="H2427" s="1">
        <f>0.2</f>
        <v>0.2</v>
      </c>
      <c r="I2427">
        <v>0</v>
      </c>
      <c r="J2427">
        <v>6.7874800000000004</v>
      </c>
      <c r="K2427">
        <v>515.62800000000004</v>
      </c>
      <c r="L2427">
        <v>0</v>
      </c>
    </row>
    <row r="2428" spans="1:12" x14ac:dyDescent="0.25">
      <c r="A2428">
        <f>80529308*0.00001</f>
        <v>805.29308000000003</v>
      </c>
      <c r="B2428">
        <v>3501</v>
      </c>
      <c r="C2428">
        <v>155</v>
      </c>
      <c r="D2428">
        <v>241.06700000000001</v>
      </c>
      <c r="E2428">
        <v>5068</v>
      </c>
      <c r="F2428">
        <v>1611</v>
      </c>
      <c r="G2428">
        <v>1</v>
      </c>
      <c r="H2428">
        <v>0.2</v>
      </c>
      <c r="I2428" s="1">
        <f>0</f>
        <v>0</v>
      </c>
      <c r="J2428" s="1">
        <f>6.93736</f>
        <v>6.93736</v>
      </c>
      <c r="K2428">
        <v>515.62800000000004</v>
      </c>
      <c r="L2428">
        <v>0</v>
      </c>
    </row>
    <row r="2429" spans="1:12" x14ac:dyDescent="0.25">
      <c r="A2429">
        <f>80529445*0.00001</f>
        <v>805.2944500000001</v>
      </c>
      <c r="B2429">
        <v>3501</v>
      </c>
      <c r="C2429">
        <v>156</v>
      </c>
      <c r="D2429">
        <v>241.06700000000001</v>
      </c>
      <c r="E2429">
        <v>5068</v>
      </c>
      <c r="F2429">
        <v>1611</v>
      </c>
      <c r="G2429">
        <v>1</v>
      </c>
      <c r="H2429">
        <v>0.2</v>
      </c>
      <c r="I2429">
        <v>0</v>
      </c>
      <c r="J2429">
        <v>6.93736</v>
      </c>
      <c r="K2429">
        <v>515.62800000000004</v>
      </c>
      <c r="L2429" s="1">
        <f>0</f>
        <v>0</v>
      </c>
    </row>
    <row r="2430" spans="1:12" x14ac:dyDescent="0.25">
      <c r="A2430">
        <f>80529583*0.00001</f>
        <v>805.29583000000002</v>
      </c>
      <c r="B2430">
        <v>3501</v>
      </c>
      <c r="C2430">
        <v>157</v>
      </c>
      <c r="D2430">
        <v>241.06700000000001</v>
      </c>
      <c r="E2430" s="1">
        <f>5069</f>
        <v>5069</v>
      </c>
      <c r="F2430">
        <v>1611</v>
      </c>
      <c r="G2430">
        <v>1</v>
      </c>
      <c r="H2430">
        <v>0.2</v>
      </c>
      <c r="I2430">
        <v>0</v>
      </c>
      <c r="J2430">
        <v>6.93736</v>
      </c>
      <c r="K2430">
        <v>515.62800000000004</v>
      </c>
      <c r="L2430">
        <v>0</v>
      </c>
    </row>
    <row r="2431" spans="1:12" x14ac:dyDescent="0.25">
      <c r="A2431">
        <f>80529721*0.00001</f>
        <v>805.29721000000006</v>
      </c>
      <c r="B2431">
        <v>3501</v>
      </c>
      <c r="C2431">
        <v>158</v>
      </c>
      <c r="D2431">
        <v>241.06700000000001</v>
      </c>
      <c r="E2431">
        <v>5069</v>
      </c>
      <c r="F2431">
        <v>1611</v>
      </c>
      <c r="G2431" s="1">
        <f>1</f>
        <v>1</v>
      </c>
      <c r="H2431">
        <v>0.2</v>
      </c>
      <c r="I2431">
        <v>0</v>
      </c>
      <c r="J2431">
        <v>6.93736</v>
      </c>
      <c r="K2431">
        <v>515.62800000000004</v>
      </c>
      <c r="L2431">
        <v>0</v>
      </c>
    </row>
    <row r="2432" spans="1:12" x14ac:dyDescent="0.25">
      <c r="A2432">
        <f>80529859*0.00001</f>
        <v>805.2985900000001</v>
      </c>
      <c r="B2432">
        <v>3501</v>
      </c>
      <c r="C2432">
        <v>159</v>
      </c>
      <c r="D2432">
        <v>241.06700000000001</v>
      </c>
      <c r="E2432">
        <v>5069</v>
      </c>
      <c r="F2432">
        <v>1611</v>
      </c>
      <c r="G2432">
        <v>1</v>
      </c>
      <c r="H2432">
        <v>0.2</v>
      </c>
      <c r="I2432" s="1">
        <f>0</f>
        <v>0</v>
      </c>
      <c r="J2432">
        <v>6.93736</v>
      </c>
      <c r="K2432">
        <v>515.62800000000004</v>
      </c>
      <c r="L2432">
        <v>0</v>
      </c>
    </row>
    <row r="2433" spans="1:12" x14ac:dyDescent="0.25">
      <c r="A2433">
        <f>80529997*0.00001</f>
        <v>805.29997000000003</v>
      </c>
      <c r="B2433">
        <v>3501</v>
      </c>
      <c r="C2433">
        <v>160</v>
      </c>
      <c r="D2433" s="1">
        <f>241.067</f>
        <v>241.06700000000001</v>
      </c>
      <c r="E2433" s="1">
        <f>5069</f>
        <v>5069</v>
      </c>
      <c r="F2433" s="1">
        <f>1612</f>
        <v>1612</v>
      </c>
      <c r="G2433" s="1">
        <f>1</f>
        <v>1</v>
      </c>
      <c r="H2433" s="1">
        <f>0.2</f>
        <v>0.2</v>
      </c>
      <c r="I2433" s="1">
        <f>0</f>
        <v>0</v>
      </c>
      <c r="J2433" s="1">
        <f>7.23703</f>
        <v>7.2370299999999999</v>
      </c>
      <c r="K2433" s="1">
        <f>515.643</f>
        <v>515.64300000000003</v>
      </c>
      <c r="L2433" s="1">
        <f>0</f>
        <v>0</v>
      </c>
    </row>
    <row r="2434" spans="1:12" x14ac:dyDescent="0.25">
      <c r="A2434">
        <f>80530824*0.00001</f>
        <v>805.30824000000007</v>
      </c>
      <c r="B2434">
        <v>3501</v>
      </c>
      <c r="C2434">
        <v>166</v>
      </c>
      <c r="D2434">
        <v>241.06700000000001</v>
      </c>
      <c r="E2434" s="1">
        <f>5070</f>
        <v>5070</v>
      </c>
      <c r="F2434" s="1">
        <f>1612</f>
        <v>1612</v>
      </c>
      <c r="G2434">
        <v>1</v>
      </c>
      <c r="H2434">
        <v>0.2</v>
      </c>
      <c r="I2434">
        <v>0</v>
      </c>
      <c r="J2434">
        <v>7.2370299999999999</v>
      </c>
      <c r="K2434">
        <v>515.64300000000003</v>
      </c>
      <c r="L2434">
        <v>0</v>
      </c>
    </row>
    <row r="2435" spans="1:12" x14ac:dyDescent="0.25">
      <c r="A2435">
        <f>80530962*0.00001</f>
        <v>805.30962000000011</v>
      </c>
      <c r="B2435">
        <v>3501</v>
      </c>
      <c r="C2435">
        <v>167</v>
      </c>
      <c r="D2435">
        <v>241.06700000000001</v>
      </c>
      <c r="E2435">
        <v>5070</v>
      </c>
      <c r="F2435">
        <v>1612</v>
      </c>
      <c r="G2435" s="1">
        <f>1</f>
        <v>1</v>
      </c>
      <c r="H2435" s="1">
        <f>0.2</f>
        <v>0.2</v>
      </c>
      <c r="I2435">
        <v>0</v>
      </c>
      <c r="J2435">
        <v>7.2370299999999999</v>
      </c>
      <c r="K2435">
        <v>515.64300000000003</v>
      </c>
      <c r="L2435">
        <v>0</v>
      </c>
    </row>
    <row r="2436" spans="1:12" x14ac:dyDescent="0.25">
      <c r="A2436">
        <f>80531100*0.00001</f>
        <v>805.31100000000004</v>
      </c>
      <c r="B2436">
        <v>3501</v>
      </c>
      <c r="C2436">
        <v>168</v>
      </c>
      <c r="D2436">
        <v>241.06700000000001</v>
      </c>
      <c r="E2436">
        <v>5070</v>
      </c>
      <c r="F2436">
        <v>1612</v>
      </c>
      <c r="G2436">
        <v>1</v>
      </c>
      <c r="H2436">
        <v>0.2</v>
      </c>
      <c r="I2436" s="1">
        <f>0</f>
        <v>0</v>
      </c>
      <c r="J2436" s="1">
        <f>7.38699</f>
        <v>7.3869899999999999</v>
      </c>
      <c r="K2436">
        <v>515.64300000000003</v>
      </c>
      <c r="L2436">
        <v>0</v>
      </c>
    </row>
    <row r="2437" spans="1:12" x14ac:dyDescent="0.25">
      <c r="A2437">
        <f>80531238*0.00001</f>
        <v>805.31238000000008</v>
      </c>
      <c r="B2437">
        <v>3501</v>
      </c>
      <c r="C2437">
        <v>169</v>
      </c>
      <c r="D2437">
        <v>241.06700000000001</v>
      </c>
      <c r="E2437">
        <v>5070</v>
      </c>
      <c r="F2437">
        <v>1612</v>
      </c>
      <c r="G2437">
        <v>1</v>
      </c>
      <c r="H2437">
        <v>0.2</v>
      </c>
      <c r="I2437">
        <v>0</v>
      </c>
      <c r="J2437">
        <v>7.3869899999999999</v>
      </c>
      <c r="K2437" s="1">
        <f>515.649</f>
        <v>515.649</v>
      </c>
      <c r="L2437" s="1">
        <f>0</f>
        <v>0</v>
      </c>
    </row>
    <row r="2438" spans="1:12" x14ac:dyDescent="0.25">
      <c r="A2438">
        <f>80531376*0.00001</f>
        <v>805.31376000000012</v>
      </c>
      <c r="B2438">
        <v>3501</v>
      </c>
      <c r="C2438">
        <v>170</v>
      </c>
      <c r="D2438" s="1">
        <f>241.067</f>
        <v>241.06700000000001</v>
      </c>
      <c r="E2438" s="1">
        <f>5070</f>
        <v>5070</v>
      </c>
      <c r="F2438">
        <v>1612</v>
      </c>
      <c r="G2438">
        <v>1</v>
      </c>
      <c r="H2438">
        <v>0.2</v>
      </c>
      <c r="I2438">
        <v>0</v>
      </c>
      <c r="J2438">
        <v>7.3869899999999999</v>
      </c>
      <c r="K2438">
        <v>515.649</v>
      </c>
      <c r="L2438">
        <v>0</v>
      </c>
    </row>
    <row r="2439" spans="1:12" x14ac:dyDescent="0.25">
      <c r="A2439">
        <f>80531514*0.00001</f>
        <v>805.31514000000004</v>
      </c>
      <c r="B2439">
        <v>3501</v>
      </c>
      <c r="C2439">
        <v>171</v>
      </c>
      <c r="D2439">
        <v>241.06700000000001</v>
      </c>
      <c r="E2439">
        <v>5070</v>
      </c>
      <c r="F2439">
        <v>1612</v>
      </c>
      <c r="G2439" s="1">
        <f>1</f>
        <v>1</v>
      </c>
      <c r="H2439">
        <v>0.2</v>
      </c>
      <c r="I2439">
        <v>0</v>
      </c>
      <c r="J2439">
        <v>7.3869899999999999</v>
      </c>
      <c r="K2439">
        <v>515.649</v>
      </c>
      <c r="L2439">
        <v>0</v>
      </c>
    </row>
    <row r="2440" spans="1:12" x14ac:dyDescent="0.25">
      <c r="A2440">
        <f>80531652*0.00001</f>
        <v>805.31652000000008</v>
      </c>
      <c r="B2440">
        <v>3501</v>
      </c>
      <c r="C2440">
        <v>172</v>
      </c>
      <c r="D2440">
        <v>241.06700000000001</v>
      </c>
      <c r="E2440">
        <v>5070</v>
      </c>
      <c r="F2440">
        <v>1612</v>
      </c>
      <c r="G2440">
        <v>1</v>
      </c>
      <c r="H2440">
        <v>0.2</v>
      </c>
      <c r="I2440" s="1">
        <f>0</f>
        <v>0</v>
      </c>
      <c r="J2440">
        <v>7.3869899999999999</v>
      </c>
      <c r="K2440">
        <v>515.649</v>
      </c>
      <c r="L2440">
        <v>0</v>
      </c>
    </row>
    <row r="2441" spans="1:12" x14ac:dyDescent="0.25">
      <c r="A2441">
        <f>80531790*0.00001</f>
        <v>805.31790000000012</v>
      </c>
      <c r="B2441">
        <v>3501</v>
      </c>
      <c r="C2441">
        <v>173</v>
      </c>
      <c r="D2441">
        <v>241.06700000000001</v>
      </c>
      <c r="E2441">
        <v>5070</v>
      </c>
      <c r="F2441">
        <v>1612</v>
      </c>
      <c r="G2441">
        <v>1</v>
      </c>
      <c r="H2441">
        <v>0.2</v>
      </c>
      <c r="I2441">
        <v>0</v>
      </c>
      <c r="J2441">
        <v>7.3869899999999999</v>
      </c>
      <c r="K2441" s="1">
        <f>515.654</f>
        <v>515.654</v>
      </c>
      <c r="L2441">
        <v>0</v>
      </c>
    </row>
    <row r="2442" spans="1:12" x14ac:dyDescent="0.25">
      <c r="A2442">
        <f>80531927*0.00001</f>
        <v>805.31927000000007</v>
      </c>
      <c r="B2442">
        <v>3501</v>
      </c>
      <c r="C2442">
        <v>174</v>
      </c>
      <c r="D2442" s="1">
        <f>241.067</f>
        <v>241.06700000000001</v>
      </c>
      <c r="E2442">
        <v>5070</v>
      </c>
      <c r="F2442">
        <v>1612</v>
      </c>
      <c r="G2442">
        <v>1</v>
      </c>
      <c r="H2442">
        <v>0.2</v>
      </c>
      <c r="I2442">
        <v>0</v>
      </c>
      <c r="J2442">
        <v>7.3869899999999999</v>
      </c>
      <c r="K2442">
        <v>515.654</v>
      </c>
      <c r="L2442">
        <v>0</v>
      </c>
    </row>
    <row r="2443" spans="1:12" x14ac:dyDescent="0.25">
      <c r="A2443">
        <f>80532065*0.00001</f>
        <v>805.32065000000011</v>
      </c>
      <c r="B2443">
        <v>3501</v>
      </c>
      <c r="C2443">
        <v>175</v>
      </c>
      <c r="D2443" s="1">
        <f>241.067</f>
        <v>241.06700000000001</v>
      </c>
      <c r="E2443" s="1">
        <f>5071</f>
        <v>5071</v>
      </c>
      <c r="F2443" s="1">
        <f>1612</f>
        <v>1612</v>
      </c>
      <c r="G2443" s="1">
        <f>1</f>
        <v>1</v>
      </c>
      <c r="H2443" s="1">
        <f>0.2</f>
        <v>0.2</v>
      </c>
      <c r="I2443" s="1">
        <f>0</f>
        <v>0</v>
      </c>
      <c r="J2443" s="1">
        <f>7.68689</f>
        <v>7.68689</v>
      </c>
      <c r="K2443" s="1">
        <f>515.661</f>
        <v>515.66099999999994</v>
      </c>
      <c r="L2443" s="1">
        <f>0</f>
        <v>0</v>
      </c>
    </row>
    <row r="2444" spans="1:12" s="2" customFormat="1" x14ac:dyDescent="0.25">
      <c r="A2444" s="2">
        <f>80532894*0.00001</f>
        <v>805.3289400000001</v>
      </c>
      <c r="B2444" s="2">
        <v>3502</v>
      </c>
      <c r="C2444" s="2">
        <v>1</v>
      </c>
      <c r="D2444" s="2">
        <v>241.06700000000001</v>
      </c>
      <c r="E2444" s="2">
        <v>5071</v>
      </c>
      <c r="F2444" s="2">
        <v>1612</v>
      </c>
      <c r="G2444" s="2">
        <v>1</v>
      </c>
      <c r="H2444" s="1">
        <f>0.2</f>
        <v>0.2</v>
      </c>
      <c r="I2444" s="1">
        <f>0</f>
        <v>0</v>
      </c>
      <c r="J2444" s="2">
        <v>7.68689</v>
      </c>
      <c r="K2444" s="2">
        <v>515.66099999999994</v>
      </c>
      <c r="L2444" s="2">
        <v>0</v>
      </c>
    </row>
    <row r="2445" spans="1:12" x14ac:dyDescent="0.25">
      <c r="A2445">
        <f>80533032*0.00001</f>
        <v>805.33032000000003</v>
      </c>
      <c r="B2445">
        <v>3502</v>
      </c>
      <c r="C2445">
        <v>2</v>
      </c>
      <c r="D2445">
        <v>241.06700000000001</v>
      </c>
      <c r="E2445">
        <v>5071</v>
      </c>
      <c r="F2445">
        <v>1612</v>
      </c>
      <c r="G2445">
        <v>1</v>
      </c>
      <c r="H2445">
        <v>0.2</v>
      </c>
      <c r="I2445">
        <v>0</v>
      </c>
      <c r="J2445" s="1">
        <f>7.86166</f>
        <v>7.8616599999999996</v>
      </c>
      <c r="K2445" s="1">
        <f>515.663</f>
        <v>515.66300000000001</v>
      </c>
      <c r="L2445">
        <v>0</v>
      </c>
    </row>
    <row r="2446" spans="1:12" x14ac:dyDescent="0.25">
      <c r="A2446">
        <f>80533170*0.00001</f>
        <v>805.33170000000007</v>
      </c>
      <c r="B2446">
        <v>3502</v>
      </c>
      <c r="C2446">
        <v>3</v>
      </c>
      <c r="D2446" s="1">
        <f>241.067</f>
        <v>241.06700000000001</v>
      </c>
      <c r="E2446">
        <v>5071</v>
      </c>
      <c r="F2446">
        <v>1612</v>
      </c>
      <c r="G2446">
        <v>1</v>
      </c>
      <c r="H2446">
        <v>0.2</v>
      </c>
      <c r="I2446">
        <v>0</v>
      </c>
      <c r="J2446">
        <v>7.8616599999999996</v>
      </c>
      <c r="K2446">
        <v>515.66300000000001</v>
      </c>
      <c r="L2446" s="1">
        <f>0</f>
        <v>0</v>
      </c>
    </row>
    <row r="2447" spans="1:12" x14ac:dyDescent="0.25">
      <c r="A2447">
        <f>80533308*0.00001</f>
        <v>805.33308000000011</v>
      </c>
      <c r="B2447">
        <v>3502</v>
      </c>
      <c r="C2447">
        <v>4</v>
      </c>
      <c r="D2447">
        <v>241.06700000000001</v>
      </c>
      <c r="E2447" s="1">
        <f>5072</f>
        <v>5072</v>
      </c>
      <c r="F2447" s="1">
        <f>1612</f>
        <v>1612</v>
      </c>
      <c r="G2447">
        <v>1</v>
      </c>
      <c r="H2447">
        <v>0.2</v>
      </c>
      <c r="I2447">
        <v>0</v>
      </c>
      <c r="J2447">
        <v>7.8616599999999996</v>
      </c>
      <c r="K2447">
        <v>515.66300000000001</v>
      </c>
      <c r="L2447">
        <v>0</v>
      </c>
    </row>
    <row r="2448" spans="1:12" x14ac:dyDescent="0.25">
      <c r="A2448">
        <f>80533446*0.00001</f>
        <v>805.33446000000004</v>
      </c>
      <c r="B2448">
        <v>3502</v>
      </c>
      <c r="C2448">
        <v>5</v>
      </c>
      <c r="D2448">
        <v>241.06700000000001</v>
      </c>
      <c r="E2448">
        <v>5072</v>
      </c>
      <c r="F2448">
        <v>1612</v>
      </c>
      <c r="G2448">
        <v>1</v>
      </c>
      <c r="H2448" s="1">
        <f>0.2</f>
        <v>0.2</v>
      </c>
      <c r="I2448">
        <v>0</v>
      </c>
      <c r="J2448">
        <v>7.8616599999999996</v>
      </c>
      <c r="K2448">
        <v>515.66300000000001</v>
      </c>
      <c r="L2448">
        <v>0</v>
      </c>
    </row>
    <row r="2449" spans="1:12" x14ac:dyDescent="0.25">
      <c r="A2449">
        <f>80533583*0.00001</f>
        <v>805.3358300000001</v>
      </c>
      <c r="B2449">
        <v>3502</v>
      </c>
      <c r="C2449">
        <v>6</v>
      </c>
      <c r="D2449">
        <v>241.06700000000001</v>
      </c>
      <c r="E2449">
        <v>5072</v>
      </c>
      <c r="F2449">
        <v>1612</v>
      </c>
      <c r="G2449">
        <v>1</v>
      </c>
      <c r="H2449">
        <v>0.2</v>
      </c>
      <c r="I2449">
        <v>0</v>
      </c>
      <c r="J2449" s="1">
        <f>7.98659</f>
        <v>7.9865899999999996</v>
      </c>
      <c r="K2449">
        <v>515.66300000000001</v>
      </c>
      <c r="L2449">
        <v>0</v>
      </c>
    </row>
    <row r="2450" spans="1:12" x14ac:dyDescent="0.25">
      <c r="A2450">
        <f>80533721*0.00001</f>
        <v>805.33721000000003</v>
      </c>
      <c r="B2450">
        <v>3502</v>
      </c>
      <c r="C2450">
        <v>7</v>
      </c>
      <c r="D2450">
        <v>241.06700000000001</v>
      </c>
      <c r="E2450">
        <v>5072</v>
      </c>
      <c r="F2450">
        <v>1612</v>
      </c>
      <c r="G2450">
        <v>1</v>
      </c>
      <c r="H2450">
        <v>0.2</v>
      </c>
      <c r="I2450">
        <v>0</v>
      </c>
      <c r="J2450">
        <v>7.9865899999999996</v>
      </c>
      <c r="K2450">
        <v>515.66300000000001</v>
      </c>
      <c r="L2450" s="1">
        <f>0</f>
        <v>0</v>
      </c>
    </row>
    <row r="2451" spans="1:12" x14ac:dyDescent="0.25">
      <c r="A2451">
        <f>80533859*0.00001</f>
        <v>805.33859000000007</v>
      </c>
      <c r="B2451">
        <v>3502</v>
      </c>
      <c r="C2451">
        <v>8</v>
      </c>
      <c r="D2451">
        <v>241.06700000000001</v>
      </c>
      <c r="E2451" s="1">
        <f>5091</f>
        <v>5091</v>
      </c>
      <c r="F2451">
        <v>1612</v>
      </c>
      <c r="G2451">
        <v>1</v>
      </c>
      <c r="H2451">
        <v>0.2</v>
      </c>
      <c r="I2451">
        <v>0</v>
      </c>
      <c r="J2451">
        <v>7.9865899999999996</v>
      </c>
      <c r="K2451">
        <v>515.66300000000001</v>
      </c>
      <c r="L2451">
        <v>0</v>
      </c>
    </row>
    <row r="2452" spans="1:12" x14ac:dyDescent="0.25">
      <c r="A2452">
        <f>80533997*0.00001</f>
        <v>805.33997000000011</v>
      </c>
      <c r="B2452">
        <v>3502</v>
      </c>
      <c r="C2452">
        <v>9</v>
      </c>
      <c r="D2452" s="1">
        <f>241.067</f>
        <v>241.06700000000001</v>
      </c>
      <c r="E2452" s="1">
        <f>5092</f>
        <v>5092</v>
      </c>
      <c r="F2452" s="1">
        <f>1612</f>
        <v>1612</v>
      </c>
      <c r="G2452" s="1">
        <f>1</f>
        <v>1</v>
      </c>
      <c r="H2452" s="1">
        <f>0.2</f>
        <v>0.2</v>
      </c>
      <c r="I2452" s="1">
        <f>0</f>
        <v>0</v>
      </c>
      <c r="J2452" s="1">
        <f>8.31105</f>
        <v>8.3110499999999998</v>
      </c>
      <c r="K2452" s="1">
        <f>515.688</f>
        <v>515.68799999999999</v>
      </c>
      <c r="L2452" s="1">
        <f>0</f>
        <v>0</v>
      </c>
    </row>
    <row r="2453" spans="1:12" x14ac:dyDescent="0.25">
      <c r="A2453">
        <f>80534961*0.00001</f>
        <v>805.3496100000001</v>
      </c>
      <c r="B2453">
        <v>3502</v>
      </c>
      <c r="C2453">
        <v>16</v>
      </c>
      <c r="D2453" s="1">
        <f>241.068</f>
        <v>241.06800000000001</v>
      </c>
      <c r="E2453">
        <v>5092</v>
      </c>
      <c r="F2453">
        <v>1612</v>
      </c>
      <c r="G2453">
        <v>1</v>
      </c>
      <c r="H2453">
        <v>0.2</v>
      </c>
      <c r="I2453">
        <v>0</v>
      </c>
      <c r="J2453">
        <v>8.3110499999999998</v>
      </c>
      <c r="K2453">
        <v>515.68799999999999</v>
      </c>
      <c r="L2453" s="1">
        <f>0</f>
        <v>0</v>
      </c>
    </row>
    <row r="2454" spans="1:12" x14ac:dyDescent="0.25">
      <c r="A2454">
        <f>80535099*0.00001</f>
        <v>805.35099000000002</v>
      </c>
      <c r="B2454">
        <v>3502</v>
      </c>
      <c r="C2454">
        <v>17</v>
      </c>
      <c r="D2454">
        <v>241.06800000000001</v>
      </c>
      <c r="E2454" s="1">
        <f>5093</f>
        <v>5093</v>
      </c>
      <c r="F2454" s="1">
        <f>1612</f>
        <v>1612</v>
      </c>
      <c r="G2454">
        <v>1</v>
      </c>
      <c r="H2454">
        <v>0.2</v>
      </c>
      <c r="I2454">
        <v>0</v>
      </c>
      <c r="J2454">
        <v>8.3110499999999998</v>
      </c>
      <c r="K2454">
        <v>515.68799999999999</v>
      </c>
      <c r="L2454">
        <v>0</v>
      </c>
    </row>
    <row r="2455" spans="1:12" x14ac:dyDescent="0.25">
      <c r="A2455">
        <f>80535237*0.00001</f>
        <v>805.35237000000006</v>
      </c>
      <c r="B2455">
        <v>3502</v>
      </c>
      <c r="C2455">
        <v>18</v>
      </c>
      <c r="D2455">
        <v>241.06800000000001</v>
      </c>
      <c r="E2455">
        <v>5093</v>
      </c>
      <c r="F2455">
        <v>1612</v>
      </c>
      <c r="G2455" s="1">
        <f>1</f>
        <v>1</v>
      </c>
      <c r="H2455" s="1">
        <f>0.2</f>
        <v>0.2</v>
      </c>
      <c r="I2455">
        <v>0</v>
      </c>
      <c r="J2455">
        <v>8.3110499999999998</v>
      </c>
      <c r="K2455">
        <v>515.68799999999999</v>
      </c>
      <c r="L2455">
        <v>0</v>
      </c>
    </row>
    <row r="2456" spans="1:12" x14ac:dyDescent="0.25">
      <c r="A2456">
        <f>80535374*0.00001</f>
        <v>805.35374000000002</v>
      </c>
      <c r="B2456">
        <v>3502</v>
      </c>
      <c r="C2456">
        <v>19</v>
      </c>
      <c r="D2456">
        <v>241.06800000000001</v>
      </c>
      <c r="E2456">
        <v>5093</v>
      </c>
      <c r="F2456">
        <v>1612</v>
      </c>
      <c r="G2456">
        <v>1</v>
      </c>
      <c r="H2456">
        <v>0.2</v>
      </c>
      <c r="I2456" s="1">
        <f>0</f>
        <v>0</v>
      </c>
      <c r="J2456" s="1">
        <f>8.43573</f>
        <v>8.4357299999999995</v>
      </c>
      <c r="K2456">
        <v>515.68799999999999</v>
      </c>
      <c r="L2456">
        <v>0</v>
      </c>
    </row>
    <row r="2457" spans="1:12" x14ac:dyDescent="0.25">
      <c r="A2457">
        <f>80535512*0.00001</f>
        <v>805.35512000000006</v>
      </c>
      <c r="B2457">
        <v>3502</v>
      </c>
      <c r="C2457">
        <v>20</v>
      </c>
      <c r="D2457">
        <v>241.06800000000001</v>
      </c>
      <c r="E2457">
        <v>5093</v>
      </c>
      <c r="F2457">
        <v>1612</v>
      </c>
      <c r="G2457">
        <v>1</v>
      </c>
      <c r="H2457">
        <v>0.2</v>
      </c>
      <c r="I2457">
        <v>0</v>
      </c>
      <c r="J2457">
        <v>8.4357299999999995</v>
      </c>
      <c r="K2457">
        <v>515.68799999999999</v>
      </c>
      <c r="L2457" s="1">
        <f>0</f>
        <v>0</v>
      </c>
    </row>
    <row r="2458" spans="1:12" x14ac:dyDescent="0.25">
      <c r="A2458">
        <f>80535650*0.00001</f>
        <v>805.3565000000001</v>
      </c>
      <c r="B2458">
        <v>3502</v>
      </c>
      <c r="C2458">
        <v>21</v>
      </c>
      <c r="D2458">
        <v>241.06800000000001</v>
      </c>
      <c r="E2458" s="1">
        <f>5093</f>
        <v>5093</v>
      </c>
      <c r="F2458">
        <v>1612</v>
      </c>
      <c r="G2458">
        <v>1</v>
      </c>
      <c r="H2458">
        <v>0.2</v>
      </c>
      <c r="I2458">
        <v>0</v>
      </c>
      <c r="J2458">
        <v>8.4357299999999995</v>
      </c>
      <c r="K2458">
        <v>515.68799999999999</v>
      </c>
      <c r="L2458">
        <v>0</v>
      </c>
    </row>
    <row r="2459" spans="1:12" x14ac:dyDescent="0.25">
      <c r="A2459">
        <f>80535788*0.00001</f>
        <v>805.35788000000002</v>
      </c>
      <c r="B2459">
        <v>3502</v>
      </c>
      <c r="C2459">
        <v>22</v>
      </c>
      <c r="D2459">
        <v>241.06800000000001</v>
      </c>
      <c r="E2459">
        <v>5093</v>
      </c>
      <c r="F2459">
        <v>1612</v>
      </c>
      <c r="G2459" s="1">
        <f>1</f>
        <v>1</v>
      </c>
      <c r="H2459">
        <v>0.2</v>
      </c>
      <c r="I2459">
        <v>0</v>
      </c>
      <c r="J2459">
        <v>8.4357299999999995</v>
      </c>
      <c r="K2459">
        <v>515.68799999999999</v>
      </c>
      <c r="L2459">
        <v>0</v>
      </c>
    </row>
    <row r="2460" spans="1:12" x14ac:dyDescent="0.25">
      <c r="A2460">
        <f>80535925*0.00001</f>
        <v>805.35925000000009</v>
      </c>
      <c r="B2460">
        <v>3502</v>
      </c>
      <c r="C2460">
        <v>23</v>
      </c>
      <c r="D2460">
        <v>241.06800000000001</v>
      </c>
      <c r="E2460">
        <v>5093</v>
      </c>
      <c r="F2460">
        <v>1612</v>
      </c>
      <c r="G2460">
        <v>1</v>
      </c>
      <c r="H2460">
        <v>0.2</v>
      </c>
      <c r="I2460" s="1">
        <f>0</f>
        <v>0</v>
      </c>
      <c r="J2460">
        <v>8.4357299999999995</v>
      </c>
      <c r="K2460">
        <v>515.68799999999999</v>
      </c>
      <c r="L2460">
        <v>0</v>
      </c>
    </row>
    <row r="2461" spans="1:12" x14ac:dyDescent="0.25">
      <c r="A2461">
        <f>80536062*0.00001</f>
        <v>805.36062000000004</v>
      </c>
      <c r="B2461">
        <v>3502</v>
      </c>
      <c r="C2461">
        <v>24</v>
      </c>
      <c r="D2461" s="1">
        <f>241.197</f>
        <v>241.197</v>
      </c>
      <c r="E2461" s="1">
        <f>5092</f>
        <v>5092</v>
      </c>
      <c r="F2461" s="1">
        <f>1612</f>
        <v>1612</v>
      </c>
      <c r="G2461" s="1">
        <f>1</f>
        <v>1</v>
      </c>
      <c r="H2461" s="1">
        <f>0.2</f>
        <v>0.2</v>
      </c>
      <c r="I2461" s="1">
        <f>0</f>
        <v>0</v>
      </c>
      <c r="J2461" s="1">
        <f>8.64352</f>
        <v>8.6435200000000005</v>
      </c>
      <c r="K2461" s="1">
        <f>515.719</f>
        <v>515.71900000000005</v>
      </c>
      <c r="L2461" s="1">
        <f>0</f>
        <v>0</v>
      </c>
    </row>
    <row r="2462" spans="1:12" x14ac:dyDescent="0.25">
      <c r="A2462">
        <f>80537026*0.00001</f>
        <v>805.37026000000003</v>
      </c>
      <c r="B2462">
        <v>3502</v>
      </c>
      <c r="C2462">
        <v>31</v>
      </c>
      <c r="D2462">
        <v>241.197</v>
      </c>
      <c r="E2462">
        <v>5092</v>
      </c>
      <c r="F2462">
        <v>1612</v>
      </c>
      <c r="G2462" s="1">
        <f>1</f>
        <v>1</v>
      </c>
      <c r="H2462" s="1">
        <f>0.2</f>
        <v>0.2</v>
      </c>
      <c r="I2462">
        <v>0</v>
      </c>
      <c r="J2462">
        <v>8.6435200000000005</v>
      </c>
      <c r="K2462">
        <v>515.71900000000005</v>
      </c>
      <c r="L2462">
        <v>0</v>
      </c>
    </row>
    <row r="2463" spans="1:12" x14ac:dyDescent="0.25">
      <c r="A2463">
        <f>80537163*0.00001</f>
        <v>805.3716300000001</v>
      </c>
      <c r="B2463">
        <v>3502</v>
      </c>
      <c r="C2463">
        <v>32</v>
      </c>
      <c r="D2463">
        <v>241.197</v>
      </c>
      <c r="E2463">
        <v>5092</v>
      </c>
      <c r="F2463">
        <v>1612</v>
      </c>
      <c r="G2463">
        <v>1</v>
      </c>
      <c r="H2463">
        <v>0.2</v>
      </c>
      <c r="I2463" s="1">
        <f>0</f>
        <v>0</v>
      </c>
      <c r="J2463" s="1">
        <f>8.72552</f>
        <v>8.7255199999999995</v>
      </c>
      <c r="K2463">
        <v>515.71900000000005</v>
      </c>
      <c r="L2463">
        <v>0</v>
      </c>
    </row>
    <row r="2464" spans="1:12" x14ac:dyDescent="0.25">
      <c r="A2464">
        <f>80537301*0.00001</f>
        <v>805.37301000000002</v>
      </c>
      <c r="B2464">
        <v>3502</v>
      </c>
      <c r="C2464">
        <v>33</v>
      </c>
      <c r="D2464">
        <v>241.197</v>
      </c>
      <c r="E2464">
        <v>5092</v>
      </c>
      <c r="F2464">
        <v>1612</v>
      </c>
      <c r="G2464">
        <v>1</v>
      </c>
      <c r="H2464">
        <v>0.2</v>
      </c>
      <c r="I2464">
        <v>0</v>
      </c>
      <c r="J2464">
        <v>8.7255199999999995</v>
      </c>
      <c r="K2464" s="1">
        <f>515.731</f>
        <v>515.73099999999999</v>
      </c>
      <c r="L2464" s="1">
        <f>0</f>
        <v>0</v>
      </c>
    </row>
    <row r="2465" spans="1:12" x14ac:dyDescent="0.25">
      <c r="A2465">
        <f>80537439*0.00001</f>
        <v>805.37439000000006</v>
      </c>
      <c r="B2465">
        <v>3502</v>
      </c>
      <c r="C2465">
        <v>34</v>
      </c>
      <c r="D2465" s="1">
        <f>241.247</f>
        <v>241.24700000000001</v>
      </c>
      <c r="E2465" s="1">
        <f>5092</f>
        <v>5092</v>
      </c>
      <c r="F2465">
        <v>1612</v>
      </c>
      <c r="G2465">
        <v>1</v>
      </c>
      <c r="H2465">
        <v>0.2</v>
      </c>
      <c r="I2465">
        <v>0</v>
      </c>
      <c r="J2465">
        <v>8.7255199999999995</v>
      </c>
      <c r="K2465">
        <v>515.73099999999999</v>
      </c>
      <c r="L2465">
        <v>0</v>
      </c>
    </row>
    <row r="2466" spans="1:12" x14ac:dyDescent="0.25">
      <c r="A2466">
        <f>80537577*0.00001</f>
        <v>805.3757700000001</v>
      </c>
      <c r="B2466">
        <v>3502</v>
      </c>
      <c r="C2466">
        <v>35</v>
      </c>
      <c r="D2466">
        <v>241.24700000000001</v>
      </c>
      <c r="E2466">
        <v>5092</v>
      </c>
      <c r="F2466">
        <v>1612</v>
      </c>
      <c r="G2466" s="1">
        <f>1</f>
        <v>1</v>
      </c>
      <c r="H2466">
        <v>0.2</v>
      </c>
      <c r="I2466">
        <v>0</v>
      </c>
      <c r="J2466">
        <v>8.7255199999999995</v>
      </c>
      <c r="K2466">
        <v>515.73099999999999</v>
      </c>
      <c r="L2466">
        <v>0</v>
      </c>
    </row>
    <row r="2467" spans="1:12" x14ac:dyDescent="0.25">
      <c r="A2467">
        <f>80537715*0.00001</f>
        <v>805.37715000000003</v>
      </c>
      <c r="B2467">
        <v>3502</v>
      </c>
      <c r="C2467">
        <v>36</v>
      </c>
      <c r="D2467">
        <v>241.24700000000001</v>
      </c>
      <c r="E2467">
        <v>5092</v>
      </c>
      <c r="F2467">
        <v>1612</v>
      </c>
      <c r="G2467">
        <v>1</v>
      </c>
      <c r="H2467">
        <v>0.2</v>
      </c>
      <c r="I2467" s="1">
        <f>0</f>
        <v>0</v>
      </c>
      <c r="J2467">
        <v>8.7255199999999995</v>
      </c>
      <c r="K2467">
        <v>515.73099999999999</v>
      </c>
      <c r="L2467">
        <v>0</v>
      </c>
    </row>
    <row r="2468" spans="1:12" x14ac:dyDescent="0.25">
      <c r="A2468">
        <f>80537853*0.00001</f>
        <v>805.37853000000007</v>
      </c>
      <c r="B2468">
        <v>3502</v>
      </c>
      <c r="C2468">
        <v>37</v>
      </c>
      <c r="D2468">
        <v>241.24700000000001</v>
      </c>
      <c r="E2468">
        <v>5092</v>
      </c>
      <c r="F2468">
        <v>1612</v>
      </c>
      <c r="G2468">
        <v>1</v>
      </c>
      <c r="H2468">
        <v>0.2</v>
      </c>
      <c r="I2468">
        <v>0</v>
      </c>
      <c r="J2468">
        <v>8.7255199999999995</v>
      </c>
      <c r="K2468" s="1">
        <f>515.74</f>
        <v>515.74</v>
      </c>
      <c r="L2468">
        <v>0</v>
      </c>
    </row>
    <row r="2469" spans="1:12" x14ac:dyDescent="0.25">
      <c r="A2469">
        <f>80537990*0.00001</f>
        <v>805.37990000000002</v>
      </c>
      <c r="B2469">
        <v>3502</v>
      </c>
      <c r="C2469">
        <v>38</v>
      </c>
      <c r="D2469" s="1">
        <f>241.278</f>
        <v>241.27799999999999</v>
      </c>
      <c r="E2469">
        <v>5092</v>
      </c>
      <c r="F2469">
        <v>1612</v>
      </c>
      <c r="G2469">
        <v>1</v>
      </c>
      <c r="H2469">
        <v>0.2</v>
      </c>
      <c r="I2469">
        <v>0</v>
      </c>
      <c r="J2469">
        <v>8.7255199999999995</v>
      </c>
      <c r="K2469">
        <v>515.74</v>
      </c>
      <c r="L2469">
        <v>0</v>
      </c>
    </row>
    <row r="2470" spans="1:12" x14ac:dyDescent="0.25">
      <c r="A2470">
        <f>80538127*0.00001</f>
        <v>805.38127000000009</v>
      </c>
      <c r="B2470">
        <v>3502</v>
      </c>
      <c r="C2470">
        <v>39</v>
      </c>
      <c r="D2470" s="1">
        <f>241.304</f>
        <v>241.304</v>
      </c>
      <c r="E2470" s="1">
        <f>5092</f>
        <v>5092</v>
      </c>
      <c r="F2470" s="1">
        <f>1612</f>
        <v>1612</v>
      </c>
      <c r="G2470" s="1">
        <f>1</f>
        <v>1</v>
      </c>
      <c r="H2470" s="1">
        <f>0.2</f>
        <v>0.2</v>
      </c>
      <c r="I2470" s="1">
        <f>0</f>
        <v>0</v>
      </c>
      <c r="J2470" s="1">
        <f>8.98155</f>
        <v>8.9815500000000004</v>
      </c>
      <c r="K2470" s="1">
        <f>515.75</f>
        <v>515.75</v>
      </c>
      <c r="L2470" s="1">
        <f>0</f>
        <v>0</v>
      </c>
    </row>
    <row r="2471" spans="1:12" x14ac:dyDescent="0.25">
      <c r="A2471">
        <f>80538954*0.00001</f>
        <v>805.38954000000001</v>
      </c>
      <c r="B2471">
        <v>3502</v>
      </c>
      <c r="C2471">
        <v>45</v>
      </c>
      <c r="D2471">
        <v>241.304</v>
      </c>
      <c r="E2471">
        <v>5092</v>
      </c>
      <c r="F2471">
        <v>1612</v>
      </c>
      <c r="G2471">
        <v>1</v>
      </c>
      <c r="H2471">
        <v>0.2</v>
      </c>
      <c r="I2471" s="1">
        <f>0</f>
        <v>0</v>
      </c>
      <c r="J2471" s="1">
        <f>9.09265</f>
        <v>9.0926500000000008</v>
      </c>
      <c r="K2471">
        <v>515.75</v>
      </c>
      <c r="L2471">
        <v>0</v>
      </c>
    </row>
    <row r="2472" spans="1:12" x14ac:dyDescent="0.25">
      <c r="A2472">
        <f>80539091*0.00001</f>
        <v>805.39091000000008</v>
      </c>
      <c r="B2472">
        <v>3502</v>
      </c>
      <c r="C2472">
        <v>46</v>
      </c>
      <c r="D2472">
        <v>241.304</v>
      </c>
      <c r="E2472">
        <v>5092</v>
      </c>
      <c r="F2472">
        <v>1612</v>
      </c>
      <c r="G2472">
        <v>1</v>
      </c>
      <c r="H2472">
        <v>0.2</v>
      </c>
      <c r="I2472">
        <v>0</v>
      </c>
      <c r="J2472">
        <v>9.0926500000000008</v>
      </c>
      <c r="K2472" s="1">
        <f>515.763</f>
        <v>515.76300000000003</v>
      </c>
      <c r="L2472" s="1">
        <f>0</f>
        <v>0</v>
      </c>
    </row>
    <row r="2473" spans="1:12" x14ac:dyDescent="0.25">
      <c r="A2473">
        <f>80539228*0.00001</f>
        <v>805.39228000000003</v>
      </c>
      <c r="B2473">
        <v>3502</v>
      </c>
      <c r="C2473">
        <v>47</v>
      </c>
      <c r="D2473" s="1">
        <f>241.33</f>
        <v>241.33</v>
      </c>
      <c r="E2473" s="1">
        <f>5092</f>
        <v>5092</v>
      </c>
      <c r="F2473">
        <v>1612</v>
      </c>
      <c r="G2473">
        <v>1</v>
      </c>
      <c r="H2473">
        <v>0.2</v>
      </c>
      <c r="I2473">
        <v>0</v>
      </c>
      <c r="J2473">
        <v>9.0926500000000008</v>
      </c>
      <c r="K2473">
        <v>515.76300000000003</v>
      </c>
      <c r="L2473">
        <v>0</v>
      </c>
    </row>
    <row r="2474" spans="1:12" x14ac:dyDescent="0.25">
      <c r="A2474">
        <f>80539365*0.00001</f>
        <v>805.39365000000009</v>
      </c>
      <c r="B2474">
        <v>3502</v>
      </c>
      <c r="C2474">
        <v>48</v>
      </c>
      <c r="D2474">
        <v>241.33</v>
      </c>
      <c r="E2474">
        <v>5092</v>
      </c>
      <c r="F2474" s="1">
        <f>1612</f>
        <v>1612</v>
      </c>
      <c r="G2474" s="1">
        <f>1</f>
        <v>1</v>
      </c>
      <c r="H2474">
        <v>0.2</v>
      </c>
      <c r="I2474">
        <v>0</v>
      </c>
      <c r="J2474">
        <v>9.0926500000000008</v>
      </c>
      <c r="K2474">
        <v>515.76300000000003</v>
      </c>
      <c r="L2474">
        <v>0</v>
      </c>
    </row>
    <row r="2475" spans="1:12" x14ac:dyDescent="0.25">
      <c r="A2475">
        <f>80539503*0.00001</f>
        <v>805.39503000000002</v>
      </c>
      <c r="B2475">
        <v>3502</v>
      </c>
      <c r="C2475">
        <v>49</v>
      </c>
      <c r="D2475">
        <v>241.33</v>
      </c>
      <c r="E2475">
        <v>5092</v>
      </c>
      <c r="F2475">
        <v>1612</v>
      </c>
      <c r="G2475">
        <v>1</v>
      </c>
      <c r="H2475" s="1">
        <f>0.2</f>
        <v>0.2</v>
      </c>
      <c r="I2475" s="1">
        <f>0</f>
        <v>0</v>
      </c>
      <c r="J2475">
        <v>9.0926500000000008</v>
      </c>
      <c r="K2475">
        <v>515.76300000000003</v>
      </c>
      <c r="L2475">
        <v>0</v>
      </c>
    </row>
    <row r="2476" spans="1:12" x14ac:dyDescent="0.25">
      <c r="A2476">
        <f>80539641*0.00001</f>
        <v>805.39641000000006</v>
      </c>
      <c r="B2476">
        <v>3502</v>
      </c>
      <c r="C2476">
        <v>50</v>
      </c>
      <c r="D2476">
        <v>241.33</v>
      </c>
      <c r="E2476">
        <v>5092</v>
      </c>
      <c r="F2476">
        <v>1612</v>
      </c>
      <c r="G2476">
        <v>1</v>
      </c>
      <c r="H2476">
        <v>0.2</v>
      </c>
      <c r="I2476">
        <v>0</v>
      </c>
      <c r="J2476">
        <v>9.0926500000000008</v>
      </c>
      <c r="K2476" s="1">
        <f>515.773</f>
        <v>515.77300000000002</v>
      </c>
      <c r="L2476">
        <v>0</v>
      </c>
    </row>
    <row r="2477" spans="1:12" x14ac:dyDescent="0.25">
      <c r="A2477">
        <f>80539779*0.00001</f>
        <v>805.3977900000001</v>
      </c>
      <c r="B2477">
        <v>3502</v>
      </c>
      <c r="C2477">
        <v>51</v>
      </c>
      <c r="D2477" s="1">
        <f>241.346</f>
        <v>241.346</v>
      </c>
      <c r="E2477">
        <v>5092</v>
      </c>
      <c r="F2477">
        <v>1612</v>
      </c>
      <c r="G2477">
        <v>1</v>
      </c>
      <c r="H2477">
        <v>0.2</v>
      </c>
      <c r="I2477">
        <v>0</v>
      </c>
      <c r="J2477">
        <v>9.0926500000000008</v>
      </c>
      <c r="K2477">
        <v>515.77300000000002</v>
      </c>
      <c r="L2477">
        <v>0</v>
      </c>
    </row>
    <row r="2478" spans="1:12" x14ac:dyDescent="0.25">
      <c r="A2478">
        <f>80539916*0.00001</f>
        <v>805.39916000000005</v>
      </c>
      <c r="B2478">
        <v>3502</v>
      </c>
      <c r="C2478">
        <v>52</v>
      </c>
      <c r="D2478">
        <v>241.346</v>
      </c>
      <c r="E2478">
        <v>5092</v>
      </c>
      <c r="F2478" s="1">
        <f>1612</f>
        <v>1612</v>
      </c>
      <c r="G2478">
        <v>1</v>
      </c>
      <c r="H2478">
        <v>0.2</v>
      </c>
      <c r="I2478">
        <v>0</v>
      </c>
      <c r="J2478">
        <v>9.0926500000000008</v>
      </c>
      <c r="K2478">
        <v>515.77300000000002</v>
      </c>
      <c r="L2478">
        <v>0</v>
      </c>
    </row>
    <row r="2479" spans="1:12" x14ac:dyDescent="0.25">
      <c r="A2479">
        <f>80540053*0.00001</f>
        <v>805.40053000000012</v>
      </c>
      <c r="B2479">
        <v>3502</v>
      </c>
      <c r="C2479">
        <v>53</v>
      </c>
      <c r="D2479">
        <v>241.346</v>
      </c>
      <c r="E2479">
        <v>5092</v>
      </c>
      <c r="F2479">
        <v>1612</v>
      </c>
      <c r="G2479">
        <v>1</v>
      </c>
      <c r="H2479" s="1">
        <f>0.2</f>
        <v>0.2</v>
      </c>
      <c r="I2479">
        <v>0</v>
      </c>
      <c r="J2479">
        <v>9.0926500000000008</v>
      </c>
      <c r="K2479">
        <v>515.77300000000002</v>
      </c>
      <c r="L2479">
        <v>0</v>
      </c>
    </row>
    <row r="2480" spans="1:12" x14ac:dyDescent="0.25">
      <c r="A2480">
        <f>80540190*0.00001</f>
        <v>805.40190000000007</v>
      </c>
      <c r="B2480">
        <v>3502</v>
      </c>
      <c r="C2480">
        <v>54</v>
      </c>
      <c r="D2480" s="1">
        <f>241.372</f>
        <v>241.37200000000001</v>
      </c>
      <c r="E2480" s="1">
        <f>5094</f>
        <v>5094</v>
      </c>
      <c r="F2480" s="1">
        <f>1612</f>
        <v>1612</v>
      </c>
      <c r="G2480" s="1">
        <f>1</f>
        <v>1</v>
      </c>
      <c r="H2480" s="1">
        <f>0.2</f>
        <v>0.2</v>
      </c>
      <c r="I2480" s="1">
        <f>0</f>
        <v>0</v>
      </c>
      <c r="J2480" s="1">
        <f>9.4863</f>
        <v>9.4863</v>
      </c>
      <c r="K2480" s="1">
        <f>515.796</f>
        <v>515.79600000000005</v>
      </c>
      <c r="L2480" s="1">
        <f>0</f>
        <v>0</v>
      </c>
    </row>
    <row r="2481" spans="1:12" x14ac:dyDescent="0.25">
      <c r="A2481">
        <f>80541154*0.00001</f>
        <v>805.41154000000006</v>
      </c>
      <c r="B2481">
        <v>3502</v>
      </c>
      <c r="C2481">
        <v>61</v>
      </c>
      <c r="D2481">
        <v>241.37200000000001</v>
      </c>
      <c r="E2481">
        <v>5094</v>
      </c>
      <c r="F2481" s="1">
        <f>1612</f>
        <v>1612</v>
      </c>
      <c r="G2481" s="1">
        <f>1</f>
        <v>1</v>
      </c>
      <c r="H2481">
        <v>0.2</v>
      </c>
      <c r="I2481">
        <v>0</v>
      </c>
      <c r="J2481">
        <v>9.4863</v>
      </c>
      <c r="K2481">
        <v>515.79600000000005</v>
      </c>
      <c r="L2481">
        <v>0</v>
      </c>
    </row>
    <row r="2482" spans="1:12" x14ac:dyDescent="0.25">
      <c r="A2482">
        <f>80541291*0.00001</f>
        <v>805.41291000000001</v>
      </c>
      <c r="B2482">
        <v>3502</v>
      </c>
      <c r="C2482">
        <v>62</v>
      </c>
      <c r="D2482">
        <v>241.37200000000001</v>
      </c>
      <c r="E2482">
        <v>5094</v>
      </c>
      <c r="F2482">
        <v>1612</v>
      </c>
      <c r="G2482">
        <v>1</v>
      </c>
      <c r="H2482" s="1">
        <f>0.2</f>
        <v>0.2</v>
      </c>
      <c r="I2482" s="1">
        <f>0</f>
        <v>0</v>
      </c>
      <c r="J2482">
        <v>9.4863</v>
      </c>
      <c r="K2482">
        <v>515.79600000000005</v>
      </c>
      <c r="L2482">
        <v>0</v>
      </c>
    </row>
    <row r="2483" spans="1:12" x14ac:dyDescent="0.25">
      <c r="A2483">
        <f>80541428*0.00001</f>
        <v>805.41428000000008</v>
      </c>
      <c r="B2483">
        <v>3502</v>
      </c>
      <c r="C2483">
        <v>63</v>
      </c>
      <c r="D2483">
        <v>241.37200000000001</v>
      </c>
      <c r="E2483">
        <v>5094</v>
      </c>
      <c r="F2483">
        <v>1612</v>
      </c>
      <c r="G2483">
        <v>1</v>
      </c>
      <c r="H2483">
        <v>0.2</v>
      </c>
      <c r="I2483">
        <v>0</v>
      </c>
      <c r="J2483" s="1">
        <f>9.65009</f>
        <v>9.6500900000000005</v>
      </c>
      <c r="K2483" s="1">
        <f>515.807</f>
        <v>515.80700000000002</v>
      </c>
      <c r="L2483">
        <v>0</v>
      </c>
    </row>
    <row r="2484" spans="1:12" x14ac:dyDescent="0.25">
      <c r="A2484">
        <f>80541566*0.00001</f>
        <v>805.41566000000012</v>
      </c>
      <c r="B2484">
        <v>3502</v>
      </c>
      <c r="C2484">
        <v>64</v>
      </c>
      <c r="D2484" s="1">
        <f>241.378</f>
        <v>241.37799999999999</v>
      </c>
      <c r="E2484">
        <v>5094</v>
      </c>
      <c r="F2484">
        <v>1612</v>
      </c>
      <c r="G2484">
        <v>1</v>
      </c>
      <c r="H2484">
        <v>0.2</v>
      </c>
      <c r="I2484">
        <v>0</v>
      </c>
      <c r="J2484">
        <v>9.6500900000000005</v>
      </c>
      <c r="K2484">
        <v>515.80700000000002</v>
      </c>
      <c r="L2484" s="1">
        <f>0</f>
        <v>0</v>
      </c>
    </row>
    <row r="2485" spans="1:12" x14ac:dyDescent="0.25">
      <c r="A2485">
        <f>80541704*0.00001</f>
        <v>805.41704000000004</v>
      </c>
      <c r="B2485">
        <v>3502</v>
      </c>
      <c r="C2485">
        <v>65</v>
      </c>
      <c r="D2485">
        <v>241.37799999999999</v>
      </c>
      <c r="E2485">
        <v>5094</v>
      </c>
      <c r="F2485" s="1">
        <f>1612</f>
        <v>1612</v>
      </c>
      <c r="G2485">
        <v>1</v>
      </c>
      <c r="H2485">
        <v>0.2</v>
      </c>
      <c r="I2485">
        <v>0</v>
      </c>
      <c r="J2485">
        <v>9.6500900000000005</v>
      </c>
      <c r="K2485">
        <v>515.80700000000002</v>
      </c>
      <c r="L2485">
        <v>0</v>
      </c>
    </row>
    <row r="2486" spans="1:12" x14ac:dyDescent="0.25">
      <c r="A2486">
        <f>80541842*0.00001</f>
        <v>805.41842000000008</v>
      </c>
      <c r="B2486">
        <v>3502</v>
      </c>
      <c r="C2486">
        <v>66</v>
      </c>
      <c r="D2486">
        <v>241.37799999999999</v>
      </c>
      <c r="E2486">
        <v>5094</v>
      </c>
      <c r="F2486">
        <v>1612</v>
      </c>
      <c r="G2486">
        <v>1</v>
      </c>
      <c r="H2486" s="1">
        <f>0.2</f>
        <v>0.2</v>
      </c>
      <c r="I2486">
        <v>0</v>
      </c>
      <c r="J2486">
        <v>9.6500900000000005</v>
      </c>
      <c r="K2486">
        <v>515.80700000000002</v>
      </c>
      <c r="L2486">
        <v>0</v>
      </c>
    </row>
    <row r="2487" spans="1:12" x14ac:dyDescent="0.25">
      <c r="A2487">
        <f>80541980*0.00001</f>
        <v>805.41980000000001</v>
      </c>
      <c r="B2487">
        <v>3502</v>
      </c>
      <c r="C2487">
        <v>67</v>
      </c>
      <c r="D2487">
        <v>241.37799999999999</v>
      </c>
      <c r="E2487">
        <v>5094</v>
      </c>
      <c r="F2487">
        <v>1612</v>
      </c>
      <c r="G2487">
        <v>1</v>
      </c>
      <c r="H2487">
        <v>0.2</v>
      </c>
      <c r="I2487">
        <v>0</v>
      </c>
      <c r="J2487" s="1">
        <f>9.76796</f>
        <v>9.7679600000000004</v>
      </c>
      <c r="K2487">
        <v>515.80700000000002</v>
      </c>
      <c r="L2487">
        <v>0</v>
      </c>
    </row>
    <row r="2488" spans="1:12" x14ac:dyDescent="0.25">
      <c r="A2488">
        <f>80542118*0.00001</f>
        <v>805.42118000000005</v>
      </c>
      <c r="B2488">
        <v>3502</v>
      </c>
      <c r="C2488">
        <v>68</v>
      </c>
      <c r="D2488">
        <v>241.37799999999999</v>
      </c>
      <c r="E2488">
        <v>5094</v>
      </c>
      <c r="F2488">
        <v>1612</v>
      </c>
      <c r="G2488">
        <v>1</v>
      </c>
      <c r="H2488">
        <v>0.2</v>
      </c>
      <c r="I2488">
        <v>0</v>
      </c>
      <c r="J2488">
        <v>9.7679600000000004</v>
      </c>
      <c r="K2488">
        <v>515.80700000000002</v>
      </c>
      <c r="L2488" s="1">
        <f>0</f>
        <v>0</v>
      </c>
    </row>
    <row r="2489" spans="1:12" x14ac:dyDescent="0.25">
      <c r="A2489">
        <f>80542255*0.00001</f>
        <v>805.42255000000011</v>
      </c>
      <c r="B2489">
        <v>3502</v>
      </c>
      <c r="C2489">
        <v>69</v>
      </c>
      <c r="D2489" s="1">
        <f>241.394</f>
        <v>241.39400000000001</v>
      </c>
      <c r="E2489" s="1">
        <f>5096</f>
        <v>5096</v>
      </c>
      <c r="F2489" s="1">
        <f>1612</f>
        <v>1612</v>
      </c>
      <c r="G2489" s="1">
        <f>1</f>
        <v>1</v>
      </c>
      <c r="H2489" s="1">
        <f>0.2</f>
        <v>0.2</v>
      </c>
      <c r="I2489" s="1">
        <f>0</f>
        <v>0</v>
      </c>
      <c r="J2489" s="1">
        <f>9.91203</f>
        <v>9.9120299999999997</v>
      </c>
      <c r="K2489" s="1">
        <f>515.831</f>
        <v>515.83100000000002</v>
      </c>
      <c r="L2489" s="1">
        <f>0</f>
        <v>0</v>
      </c>
    </row>
    <row r="2490" spans="1:12" x14ac:dyDescent="0.25">
      <c r="A2490">
        <f>80543219*0.00001</f>
        <v>805.43219000000011</v>
      </c>
      <c r="B2490">
        <v>3502</v>
      </c>
      <c r="C2490">
        <v>76</v>
      </c>
      <c r="D2490">
        <v>241.39400000000001</v>
      </c>
      <c r="E2490">
        <v>5096</v>
      </c>
      <c r="F2490">
        <v>1612</v>
      </c>
      <c r="G2490">
        <v>1</v>
      </c>
      <c r="H2490">
        <v>0.2</v>
      </c>
      <c r="I2490">
        <v>0</v>
      </c>
      <c r="J2490" s="1">
        <f>10.0813</f>
        <v>10.081300000000001</v>
      </c>
      <c r="K2490" s="1">
        <f>515.842</f>
        <v>515.84199999999998</v>
      </c>
      <c r="L2490">
        <v>0</v>
      </c>
    </row>
    <row r="2491" spans="1:12" x14ac:dyDescent="0.25">
      <c r="A2491">
        <f>80543356*0.00001</f>
        <v>805.43356000000006</v>
      </c>
      <c r="B2491">
        <v>3502</v>
      </c>
      <c r="C2491">
        <v>77</v>
      </c>
      <c r="D2491" s="1">
        <f>241.398</f>
        <v>241.398</v>
      </c>
      <c r="E2491">
        <v>5096</v>
      </c>
      <c r="F2491">
        <v>1612</v>
      </c>
      <c r="G2491">
        <v>1</v>
      </c>
      <c r="H2491">
        <v>0.2</v>
      </c>
      <c r="I2491">
        <v>0</v>
      </c>
      <c r="J2491">
        <v>10.081300000000001</v>
      </c>
      <c r="K2491">
        <v>515.84199999999998</v>
      </c>
      <c r="L2491" s="1">
        <f>0</f>
        <v>0</v>
      </c>
    </row>
    <row r="2492" spans="1:12" x14ac:dyDescent="0.25">
      <c r="A2492">
        <f>80543493*0.00001</f>
        <v>805.43493000000012</v>
      </c>
      <c r="B2492">
        <v>3502</v>
      </c>
      <c r="C2492">
        <v>78</v>
      </c>
      <c r="D2492">
        <v>241.398</v>
      </c>
      <c r="E2492" s="1">
        <f>5097</f>
        <v>5097</v>
      </c>
      <c r="F2492" s="1">
        <f>1612</f>
        <v>1612</v>
      </c>
      <c r="G2492">
        <v>1</v>
      </c>
      <c r="H2492">
        <v>0.2</v>
      </c>
      <c r="I2492">
        <v>0</v>
      </c>
      <c r="J2492">
        <v>10.081300000000001</v>
      </c>
      <c r="K2492">
        <v>515.84199999999998</v>
      </c>
      <c r="L2492">
        <v>0</v>
      </c>
    </row>
    <row r="2493" spans="1:12" x14ac:dyDescent="0.25">
      <c r="A2493">
        <f>80543630*0.00001</f>
        <v>805.43630000000007</v>
      </c>
      <c r="B2493">
        <v>3502</v>
      </c>
      <c r="C2493">
        <v>79</v>
      </c>
      <c r="D2493">
        <v>241.398</v>
      </c>
      <c r="E2493">
        <v>5097</v>
      </c>
      <c r="F2493">
        <v>1612</v>
      </c>
      <c r="G2493" s="1">
        <f>1</f>
        <v>1</v>
      </c>
      <c r="H2493" s="1">
        <f>0.2</f>
        <v>0.2</v>
      </c>
      <c r="I2493">
        <v>0</v>
      </c>
      <c r="J2493">
        <v>10.081300000000001</v>
      </c>
      <c r="K2493">
        <v>515.84199999999998</v>
      </c>
      <c r="L2493">
        <v>0</v>
      </c>
    </row>
    <row r="2494" spans="1:12" x14ac:dyDescent="0.25">
      <c r="A2494">
        <f>80543768*0.00001</f>
        <v>805.43768000000011</v>
      </c>
      <c r="B2494">
        <v>3502</v>
      </c>
      <c r="C2494">
        <v>80</v>
      </c>
      <c r="D2494">
        <v>241.398</v>
      </c>
      <c r="E2494">
        <v>5097</v>
      </c>
      <c r="F2494">
        <v>1612</v>
      </c>
      <c r="G2494">
        <v>1</v>
      </c>
      <c r="H2494">
        <v>0.2</v>
      </c>
      <c r="I2494">
        <v>0</v>
      </c>
      <c r="J2494" s="1">
        <f>10.2026</f>
        <v>10.2026</v>
      </c>
      <c r="K2494">
        <v>515.84199999999998</v>
      </c>
      <c r="L2494">
        <v>0</v>
      </c>
    </row>
    <row r="2495" spans="1:12" x14ac:dyDescent="0.25">
      <c r="A2495">
        <f>80543906*0.00001</f>
        <v>805.43906000000004</v>
      </c>
      <c r="B2495">
        <v>3502</v>
      </c>
      <c r="C2495">
        <v>81</v>
      </c>
      <c r="D2495">
        <v>241.398</v>
      </c>
      <c r="E2495">
        <v>5097</v>
      </c>
      <c r="F2495">
        <v>1612</v>
      </c>
      <c r="G2495">
        <v>1</v>
      </c>
      <c r="H2495">
        <v>0.2</v>
      </c>
      <c r="I2495">
        <v>0</v>
      </c>
      <c r="J2495">
        <v>10.2026</v>
      </c>
      <c r="K2495">
        <v>515.84199999999998</v>
      </c>
      <c r="L2495" s="1">
        <f>0</f>
        <v>0</v>
      </c>
    </row>
    <row r="2496" spans="1:12" x14ac:dyDescent="0.25">
      <c r="A2496">
        <f>80544044*0.00001</f>
        <v>805.44044000000008</v>
      </c>
      <c r="B2496">
        <v>3502</v>
      </c>
      <c r="C2496">
        <v>82</v>
      </c>
      <c r="D2496">
        <v>241.398</v>
      </c>
      <c r="E2496" s="1">
        <f>5098</f>
        <v>5098</v>
      </c>
      <c r="F2496">
        <v>1612</v>
      </c>
      <c r="G2496">
        <v>1</v>
      </c>
      <c r="H2496">
        <v>0.2</v>
      </c>
      <c r="I2496">
        <v>0</v>
      </c>
      <c r="J2496">
        <v>10.2026</v>
      </c>
      <c r="K2496">
        <v>515.84199999999998</v>
      </c>
      <c r="L2496">
        <v>0</v>
      </c>
    </row>
    <row r="2497" spans="1:12" x14ac:dyDescent="0.25">
      <c r="A2497">
        <f>80544182*0.00001</f>
        <v>805.44182000000012</v>
      </c>
      <c r="B2497">
        <v>3502</v>
      </c>
      <c r="C2497">
        <v>83</v>
      </c>
      <c r="D2497">
        <v>241.398</v>
      </c>
      <c r="E2497">
        <v>5098</v>
      </c>
      <c r="F2497">
        <v>1612</v>
      </c>
      <c r="G2497" s="1">
        <f>1</f>
        <v>1</v>
      </c>
      <c r="H2497">
        <v>0.2</v>
      </c>
      <c r="I2497">
        <v>0</v>
      </c>
      <c r="J2497">
        <v>10.2026</v>
      </c>
      <c r="K2497">
        <v>515.84199999999998</v>
      </c>
      <c r="L2497">
        <v>0</v>
      </c>
    </row>
    <row r="2498" spans="1:12" x14ac:dyDescent="0.25">
      <c r="A2498">
        <f>80544319*0.00001</f>
        <v>805.44319000000007</v>
      </c>
      <c r="B2498">
        <v>3502</v>
      </c>
      <c r="C2498">
        <v>84</v>
      </c>
      <c r="D2498" s="1">
        <f>241.407</f>
        <v>241.40700000000001</v>
      </c>
      <c r="E2498" s="1">
        <f>5099</f>
        <v>5099</v>
      </c>
      <c r="F2498" s="1">
        <f>1612</f>
        <v>1612</v>
      </c>
      <c r="G2498" s="1">
        <f>1</f>
        <v>1</v>
      </c>
      <c r="H2498" s="1">
        <f>0.2</f>
        <v>0.2</v>
      </c>
      <c r="I2498" s="1">
        <f>0</f>
        <v>0</v>
      </c>
      <c r="J2498" s="1">
        <f>10.5217</f>
        <v>10.521699999999999</v>
      </c>
      <c r="K2498" s="1">
        <f>515.879</f>
        <v>515.87900000000002</v>
      </c>
      <c r="L2498" s="1">
        <f>0</f>
        <v>0</v>
      </c>
    </row>
    <row r="2499" spans="1:12" x14ac:dyDescent="0.25">
      <c r="A2499">
        <f>80545283*0.00001</f>
        <v>805.45283000000006</v>
      </c>
      <c r="B2499">
        <v>3502</v>
      </c>
      <c r="C2499">
        <v>91</v>
      </c>
      <c r="D2499">
        <v>241.40700000000001</v>
      </c>
      <c r="E2499" s="1">
        <f>5099</f>
        <v>5099</v>
      </c>
      <c r="F2499" s="1">
        <f>1612</f>
        <v>1612</v>
      </c>
      <c r="G2499">
        <v>1</v>
      </c>
      <c r="H2499">
        <v>0.2</v>
      </c>
      <c r="I2499">
        <v>0</v>
      </c>
      <c r="J2499">
        <v>10.521699999999999</v>
      </c>
      <c r="K2499">
        <v>515.87900000000002</v>
      </c>
      <c r="L2499">
        <v>0</v>
      </c>
    </row>
    <row r="2500" spans="1:12" x14ac:dyDescent="0.25">
      <c r="A2500">
        <f>80545420*0.00001</f>
        <v>805.45420000000001</v>
      </c>
      <c r="B2500">
        <v>3502</v>
      </c>
      <c r="C2500">
        <v>92</v>
      </c>
      <c r="D2500">
        <v>241.40700000000001</v>
      </c>
      <c r="E2500">
        <v>5099</v>
      </c>
      <c r="F2500">
        <v>1612</v>
      </c>
      <c r="G2500" s="1">
        <f>1</f>
        <v>1</v>
      </c>
      <c r="H2500" s="1">
        <f>0.2</f>
        <v>0.2</v>
      </c>
      <c r="I2500">
        <v>0</v>
      </c>
      <c r="J2500">
        <v>10.521699999999999</v>
      </c>
      <c r="K2500">
        <v>515.87900000000002</v>
      </c>
      <c r="L2500">
        <v>0</v>
      </c>
    </row>
    <row r="2501" spans="1:12" x14ac:dyDescent="0.25">
      <c r="A2501">
        <f>80545557*0.00001</f>
        <v>805.45557000000008</v>
      </c>
      <c r="B2501">
        <v>3502</v>
      </c>
      <c r="C2501">
        <v>93</v>
      </c>
      <c r="D2501">
        <v>241.40700000000001</v>
      </c>
      <c r="E2501">
        <v>5099</v>
      </c>
      <c r="F2501">
        <v>1612</v>
      </c>
      <c r="G2501">
        <v>1</v>
      </c>
      <c r="H2501">
        <v>0.2</v>
      </c>
      <c r="I2501" s="1">
        <f>0</f>
        <v>0</v>
      </c>
      <c r="J2501" s="1">
        <f>10.6448</f>
        <v>10.6448</v>
      </c>
      <c r="K2501">
        <v>515.87900000000002</v>
      </c>
      <c r="L2501">
        <v>0</v>
      </c>
    </row>
    <row r="2502" spans="1:12" x14ac:dyDescent="0.25">
      <c r="A2502">
        <f>80545694*0.00001</f>
        <v>805.45694000000003</v>
      </c>
      <c r="B2502">
        <v>3502</v>
      </c>
      <c r="C2502">
        <v>94</v>
      </c>
      <c r="D2502">
        <v>241.40700000000001</v>
      </c>
      <c r="E2502">
        <v>5099</v>
      </c>
      <c r="F2502">
        <v>1612</v>
      </c>
      <c r="G2502">
        <v>1</v>
      </c>
      <c r="H2502">
        <v>0.2</v>
      </c>
      <c r="I2502">
        <v>0</v>
      </c>
      <c r="J2502">
        <v>10.6448</v>
      </c>
      <c r="K2502" s="1">
        <f>515.894</f>
        <v>515.89400000000001</v>
      </c>
      <c r="L2502" s="1">
        <f>0</f>
        <v>0</v>
      </c>
    </row>
    <row r="2503" spans="1:12" x14ac:dyDescent="0.25">
      <c r="A2503">
        <f>80545832*0.00001</f>
        <v>805.45832000000007</v>
      </c>
      <c r="B2503">
        <v>3502</v>
      </c>
      <c r="C2503">
        <v>95</v>
      </c>
      <c r="D2503">
        <v>241.40700000000001</v>
      </c>
      <c r="E2503" s="1">
        <f>5100</f>
        <v>5100</v>
      </c>
      <c r="F2503">
        <v>1612</v>
      </c>
      <c r="G2503">
        <v>1</v>
      </c>
      <c r="H2503">
        <v>0.2</v>
      </c>
      <c r="I2503">
        <v>0</v>
      </c>
      <c r="J2503">
        <v>10.6448</v>
      </c>
      <c r="K2503">
        <v>515.89400000000001</v>
      </c>
      <c r="L2503">
        <v>0</v>
      </c>
    </row>
    <row r="2504" spans="1:12" x14ac:dyDescent="0.25">
      <c r="A2504">
        <f>80545970*0.00001</f>
        <v>805.45970000000011</v>
      </c>
      <c r="B2504">
        <v>3502</v>
      </c>
      <c r="C2504">
        <v>96</v>
      </c>
      <c r="D2504">
        <v>241.40700000000001</v>
      </c>
      <c r="E2504">
        <v>5100</v>
      </c>
      <c r="F2504">
        <v>1612</v>
      </c>
      <c r="G2504" s="1">
        <f>1</f>
        <v>1</v>
      </c>
      <c r="H2504">
        <v>0.2</v>
      </c>
      <c r="I2504">
        <v>0</v>
      </c>
      <c r="J2504">
        <v>10.6448</v>
      </c>
      <c r="K2504">
        <v>515.89400000000001</v>
      </c>
      <c r="L2504">
        <v>0</v>
      </c>
    </row>
    <row r="2505" spans="1:12" x14ac:dyDescent="0.25">
      <c r="A2505">
        <f>80546108*0.00001</f>
        <v>805.46108000000004</v>
      </c>
      <c r="B2505">
        <v>3502</v>
      </c>
      <c r="C2505">
        <v>97</v>
      </c>
      <c r="D2505">
        <v>241.40700000000001</v>
      </c>
      <c r="E2505">
        <v>5100</v>
      </c>
      <c r="F2505">
        <v>1612</v>
      </c>
      <c r="G2505">
        <v>1</v>
      </c>
      <c r="H2505">
        <v>0.2</v>
      </c>
      <c r="I2505" s="1">
        <f>0</f>
        <v>0</v>
      </c>
      <c r="J2505">
        <v>10.6448</v>
      </c>
      <c r="K2505">
        <v>515.89400000000001</v>
      </c>
      <c r="L2505">
        <v>0</v>
      </c>
    </row>
    <row r="2506" spans="1:12" x14ac:dyDescent="0.25">
      <c r="A2506">
        <f>80546246*0.00001</f>
        <v>805.46246000000008</v>
      </c>
      <c r="B2506">
        <v>3502</v>
      </c>
      <c r="C2506">
        <v>98</v>
      </c>
      <c r="D2506">
        <v>241.40700000000001</v>
      </c>
      <c r="E2506">
        <v>5100</v>
      </c>
      <c r="F2506">
        <v>1612</v>
      </c>
      <c r="G2506">
        <v>1</v>
      </c>
      <c r="H2506">
        <v>0.2</v>
      </c>
      <c r="I2506">
        <v>0</v>
      </c>
      <c r="J2506">
        <v>10.6448</v>
      </c>
      <c r="K2506" s="1">
        <f>515.906</f>
        <v>515.90599999999995</v>
      </c>
      <c r="L2506">
        <v>0</v>
      </c>
    </row>
    <row r="2507" spans="1:12" x14ac:dyDescent="0.25">
      <c r="A2507">
        <f>80546384*0.00001</f>
        <v>805.46384000000012</v>
      </c>
      <c r="B2507">
        <v>3502</v>
      </c>
      <c r="C2507">
        <v>99</v>
      </c>
      <c r="D2507" s="1">
        <f>241.412</f>
        <v>241.41200000000001</v>
      </c>
      <c r="E2507" s="1">
        <f>5102</f>
        <v>5102</v>
      </c>
      <c r="F2507" s="1">
        <f>1612</f>
        <v>1612</v>
      </c>
      <c r="G2507" s="1">
        <f>1</f>
        <v>1</v>
      </c>
      <c r="H2507" s="1">
        <f>0.2</f>
        <v>0.2</v>
      </c>
      <c r="I2507" s="1">
        <f>0</f>
        <v>0</v>
      </c>
      <c r="J2507" s="1">
        <f>10.9426</f>
        <v>10.942600000000001</v>
      </c>
      <c r="K2507" s="1">
        <f>515.918</f>
        <v>515.91800000000001</v>
      </c>
      <c r="L2507" s="1">
        <f>0</f>
        <v>0</v>
      </c>
    </row>
    <row r="2508" spans="1:12" x14ac:dyDescent="0.25">
      <c r="A2508">
        <f>80547210*0.00001</f>
        <v>805.47210000000007</v>
      </c>
      <c r="B2508">
        <v>3502</v>
      </c>
      <c r="C2508">
        <v>105</v>
      </c>
      <c r="D2508">
        <v>241.41200000000001</v>
      </c>
      <c r="E2508">
        <v>5102</v>
      </c>
      <c r="F2508">
        <v>1612</v>
      </c>
      <c r="G2508" s="1">
        <f>1</f>
        <v>1</v>
      </c>
      <c r="H2508" s="1">
        <f>0.2</f>
        <v>0.2</v>
      </c>
      <c r="I2508">
        <v>0</v>
      </c>
      <c r="J2508">
        <v>10.942600000000001</v>
      </c>
      <c r="K2508">
        <v>515.91800000000001</v>
      </c>
      <c r="L2508">
        <v>0</v>
      </c>
    </row>
    <row r="2509" spans="1:12" x14ac:dyDescent="0.25">
      <c r="A2509">
        <f>80547348*0.00001</f>
        <v>805.47348000000011</v>
      </c>
      <c r="B2509">
        <v>3502</v>
      </c>
      <c r="C2509">
        <v>106</v>
      </c>
      <c r="D2509">
        <v>241.41200000000001</v>
      </c>
      <c r="E2509">
        <v>5102</v>
      </c>
      <c r="F2509">
        <v>1612</v>
      </c>
      <c r="G2509">
        <v>1</v>
      </c>
      <c r="H2509">
        <v>0.2</v>
      </c>
      <c r="I2509" s="1">
        <f>0</f>
        <v>0</v>
      </c>
      <c r="J2509" s="1">
        <f>11.0906</f>
        <v>11.0906</v>
      </c>
      <c r="K2509">
        <v>515.91800000000001</v>
      </c>
      <c r="L2509">
        <v>0</v>
      </c>
    </row>
    <row r="2510" spans="1:12" x14ac:dyDescent="0.25">
      <c r="A2510">
        <f>80547485*0.00001</f>
        <v>805.47485000000006</v>
      </c>
      <c r="B2510">
        <v>3502</v>
      </c>
      <c r="C2510">
        <v>107</v>
      </c>
      <c r="D2510">
        <v>241.41200000000001</v>
      </c>
      <c r="E2510">
        <v>5102</v>
      </c>
      <c r="F2510">
        <v>1612</v>
      </c>
      <c r="G2510">
        <v>1</v>
      </c>
      <c r="H2510">
        <v>0.2</v>
      </c>
      <c r="I2510">
        <v>0</v>
      </c>
      <c r="J2510">
        <v>11.0906</v>
      </c>
      <c r="K2510" s="1">
        <f>515.933</f>
        <v>515.93299999999999</v>
      </c>
      <c r="L2510" s="1">
        <f>0</f>
        <v>0</v>
      </c>
    </row>
    <row r="2511" spans="1:12" x14ac:dyDescent="0.25">
      <c r="A2511">
        <f>80547622*0.00001</f>
        <v>805.47622000000001</v>
      </c>
      <c r="B2511">
        <v>3502</v>
      </c>
      <c r="C2511">
        <v>108</v>
      </c>
      <c r="D2511" s="1">
        <f>241.413</f>
        <v>241.41300000000001</v>
      </c>
      <c r="E2511" s="1">
        <f>5103</f>
        <v>5103</v>
      </c>
      <c r="F2511">
        <v>1612</v>
      </c>
      <c r="G2511">
        <v>1</v>
      </c>
      <c r="H2511">
        <v>0.2</v>
      </c>
      <c r="I2511">
        <v>0</v>
      </c>
      <c r="J2511">
        <v>11.0906</v>
      </c>
      <c r="K2511">
        <v>515.93299999999999</v>
      </c>
      <c r="L2511">
        <v>0</v>
      </c>
    </row>
    <row r="2512" spans="1:12" x14ac:dyDescent="0.25">
      <c r="A2512">
        <f>80547759*0.00001</f>
        <v>805.47759000000008</v>
      </c>
      <c r="B2512">
        <v>3502</v>
      </c>
      <c r="C2512">
        <v>109</v>
      </c>
      <c r="D2512">
        <v>241.41300000000001</v>
      </c>
      <c r="E2512">
        <v>5103</v>
      </c>
      <c r="F2512" s="1">
        <f>1612</f>
        <v>1612</v>
      </c>
      <c r="G2512" s="1">
        <f>1</f>
        <v>1</v>
      </c>
      <c r="H2512">
        <v>0.2</v>
      </c>
      <c r="I2512">
        <v>0</v>
      </c>
      <c r="J2512">
        <v>11.0906</v>
      </c>
      <c r="K2512">
        <v>515.93299999999999</v>
      </c>
      <c r="L2512">
        <v>0</v>
      </c>
    </row>
    <row r="2513" spans="1:12" x14ac:dyDescent="0.25">
      <c r="A2513">
        <f>80547897*0.00001</f>
        <v>805.47897000000012</v>
      </c>
      <c r="B2513">
        <v>3502</v>
      </c>
      <c r="C2513">
        <v>110</v>
      </c>
      <c r="D2513">
        <v>241.41300000000001</v>
      </c>
      <c r="E2513">
        <v>5103</v>
      </c>
      <c r="F2513">
        <v>1612</v>
      </c>
      <c r="G2513">
        <v>1</v>
      </c>
      <c r="H2513">
        <v>0.2</v>
      </c>
      <c r="I2513" s="1">
        <f>0</f>
        <v>0</v>
      </c>
      <c r="J2513">
        <v>11.0906</v>
      </c>
      <c r="K2513">
        <v>515.93299999999999</v>
      </c>
      <c r="L2513">
        <v>0</v>
      </c>
    </row>
    <row r="2514" spans="1:12" x14ac:dyDescent="0.25">
      <c r="A2514">
        <f>80548035*0.00001</f>
        <v>805.48035000000004</v>
      </c>
      <c r="B2514">
        <v>3502</v>
      </c>
      <c r="C2514">
        <v>111</v>
      </c>
      <c r="D2514">
        <v>241.41300000000001</v>
      </c>
      <c r="E2514">
        <v>5103</v>
      </c>
      <c r="F2514">
        <v>1612</v>
      </c>
      <c r="G2514">
        <v>1</v>
      </c>
      <c r="H2514">
        <v>0.2</v>
      </c>
      <c r="I2514">
        <v>0</v>
      </c>
      <c r="J2514">
        <v>11.0906</v>
      </c>
      <c r="K2514" s="1">
        <f>515.946</f>
        <v>515.94600000000003</v>
      </c>
      <c r="L2514">
        <v>0</v>
      </c>
    </row>
    <row r="2515" spans="1:12" x14ac:dyDescent="0.25">
      <c r="A2515">
        <f>80548173*0.00001</f>
        <v>805.48173000000008</v>
      </c>
      <c r="B2515">
        <v>3502</v>
      </c>
      <c r="C2515">
        <v>112</v>
      </c>
      <c r="D2515" s="1">
        <f>241.414</f>
        <v>241.41399999999999</v>
      </c>
      <c r="E2515">
        <v>5103</v>
      </c>
      <c r="F2515">
        <v>1612</v>
      </c>
      <c r="G2515">
        <v>1</v>
      </c>
      <c r="H2515">
        <v>0.2</v>
      </c>
      <c r="I2515">
        <v>0</v>
      </c>
      <c r="J2515">
        <v>11.0906</v>
      </c>
      <c r="K2515">
        <v>515.94600000000003</v>
      </c>
      <c r="L2515">
        <v>0</v>
      </c>
    </row>
    <row r="2516" spans="1:12" x14ac:dyDescent="0.25">
      <c r="A2516">
        <f>80548311*0.00001</f>
        <v>805.48311000000001</v>
      </c>
      <c r="B2516">
        <v>3502</v>
      </c>
      <c r="C2516">
        <v>113</v>
      </c>
      <c r="D2516">
        <v>241.41399999999999</v>
      </c>
      <c r="E2516">
        <v>5103</v>
      </c>
      <c r="F2516" s="1">
        <f>1612</f>
        <v>1612</v>
      </c>
      <c r="G2516">
        <v>1</v>
      </c>
      <c r="H2516">
        <v>0.2</v>
      </c>
      <c r="I2516">
        <v>0</v>
      </c>
      <c r="J2516">
        <v>11.0906</v>
      </c>
      <c r="K2516">
        <v>515.94600000000003</v>
      </c>
      <c r="L2516">
        <v>0</v>
      </c>
    </row>
    <row r="2517" spans="1:12" x14ac:dyDescent="0.25">
      <c r="A2517">
        <f>80548449*0.00001</f>
        <v>805.48449000000005</v>
      </c>
      <c r="B2517">
        <v>3502</v>
      </c>
      <c r="C2517">
        <v>114</v>
      </c>
      <c r="D2517" s="1">
        <f>241.414</f>
        <v>241.41399999999999</v>
      </c>
      <c r="E2517" s="1">
        <f>5105</f>
        <v>5105</v>
      </c>
      <c r="F2517" s="1">
        <f>1612</f>
        <v>1612</v>
      </c>
      <c r="G2517" s="1">
        <f>1</f>
        <v>1</v>
      </c>
      <c r="H2517" s="1">
        <f>0.2</f>
        <v>0.2</v>
      </c>
      <c r="I2517" s="1">
        <f>0</f>
        <v>0</v>
      </c>
      <c r="J2517" s="1">
        <f>11.5384</f>
        <v>11.538399999999999</v>
      </c>
      <c r="K2517" s="1">
        <f>515.974</f>
        <v>515.97400000000005</v>
      </c>
      <c r="L2517" s="1">
        <f>0</f>
        <v>0</v>
      </c>
    </row>
    <row r="2518" spans="1:12" x14ac:dyDescent="0.25">
      <c r="A2518">
        <f>80549413*0.00001</f>
        <v>805.49413000000004</v>
      </c>
      <c r="B2518">
        <v>3502</v>
      </c>
      <c r="C2518">
        <v>121</v>
      </c>
      <c r="D2518" s="1">
        <f>241.415</f>
        <v>241.41499999999999</v>
      </c>
      <c r="E2518" s="1">
        <f>5106</f>
        <v>5106</v>
      </c>
      <c r="F2518">
        <v>1612</v>
      </c>
      <c r="G2518">
        <v>1</v>
      </c>
      <c r="H2518">
        <v>0.2</v>
      </c>
      <c r="I2518">
        <v>0</v>
      </c>
      <c r="J2518">
        <v>11.538399999999999</v>
      </c>
      <c r="K2518">
        <v>515.97400000000005</v>
      </c>
      <c r="L2518">
        <v>0</v>
      </c>
    </row>
    <row r="2519" spans="1:12" x14ac:dyDescent="0.25">
      <c r="A2519">
        <f>80549551*0.00001</f>
        <v>805.49551000000008</v>
      </c>
      <c r="B2519">
        <v>3502</v>
      </c>
      <c r="C2519">
        <v>122</v>
      </c>
      <c r="D2519">
        <v>241.41499999999999</v>
      </c>
      <c r="E2519">
        <v>5106</v>
      </c>
      <c r="F2519" s="1">
        <f>1612</f>
        <v>1612</v>
      </c>
      <c r="G2519" s="1">
        <f>1</f>
        <v>1</v>
      </c>
      <c r="H2519">
        <v>0.2</v>
      </c>
      <c r="I2519">
        <v>0</v>
      </c>
      <c r="J2519">
        <v>11.538399999999999</v>
      </c>
      <c r="K2519">
        <v>515.97400000000005</v>
      </c>
      <c r="L2519">
        <v>0</v>
      </c>
    </row>
    <row r="2520" spans="1:12" x14ac:dyDescent="0.25">
      <c r="A2520">
        <f>80549688*0.00001</f>
        <v>805.49688000000003</v>
      </c>
      <c r="B2520">
        <v>3502</v>
      </c>
      <c r="C2520">
        <v>123</v>
      </c>
      <c r="D2520">
        <v>241.41499999999999</v>
      </c>
      <c r="E2520">
        <v>5106</v>
      </c>
      <c r="F2520">
        <v>1612</v>
      </c>
      <c r="G2520">
        <v>1</v>
      </c>
      <c r="H2520" s="1">
        <f>0.2</f>
        <v>0.2</v>
      </c>
      <c r="I2520" s="1">
        <f>0</f>
        <v>0</v>
      </c>
      <c r="J2520">
        <v>11.538399999999999</v>
      </c>
      <c r="K2520">
        <v>515.97400000000005</v>
      </c>
      <c r="L2520">
        <v>0</v>
      </c>
    </row>
    <row r="2521" spans="1:12" x14ac:dyDescent="0.25">
      <c r="A2521">
        <f>80549825*0.00001</f>
        <v>805.4982500000001</v>
      </c>
      <c r="B2521">
        <v>3502</v>
      </c>
      <c r="C2521">
        <v>124</v>
      </c>
      <c r="D2521">
        <v>241.41499999999999</v>
      </c>
      <c r="E2521">
        <v>5106</v>
      </c>
      <c r="F2521">
        <v>1612</v>
      </c>
      <c r="G2521">
        <v>1</v>
      </c>
      <c r="H2521">
        <v>0.2</v>
      </c>
      <c r="I2521">
        <v>0</v>
      </c>
      <c r="J2521" s="1">
        <f>11.713</f>
        <v>11.712999999999999</v>
      </c>
      <c r="K2521" s="1">
        <f>515.987</f>
        <v>515.98699999999997</v>
      </c>
      <c r="L2521">
        <v>0</v>
      </c>
    </row>
    <row r="2522" spans="1:12" x14ac:dyDescent="0.25">
      <c r="A2522">
        <f>80549962*0.00001</f>
        <v>805.49962000000005</v>
      </c>
      <c r="B2522">
        <v>3502</v>
      </c>
      <c r="C2522">
        <v>125</v>
      </c>
      <c r="D2522" s="1">
        <f>241.415</f>
        <v>241.41499999999999</v>
      </c>
      <c r="E2522">
        <v>5106</v>
      </c>
      <c r="F2522">
        <v>1612</v>
      </c>
      <c r="G2522">
        <v>1</v>
      </c>
      <c r="H2522">
        <v>0.2</v>
      </c>
      <c r="I2522">
        <v>0</v>
      </c>
      <c r="J2522">
        <v>11.712999999999999</v>
      </c>
      <c r="K2522">
        <v>515.98699999999997</v>
      </c>
      <c r="L2522">
        <v>0</v>
      </c>
    </row>
    <row r="2523" spans="1:12" x14ac:dyDescent="0.25">
      <c r="A2523">
        <f>80550100*0.00001</f>
        <v>805.50100000000009</v>
      </c>
      <c r="B2523">
        <v>3502</v>
      </c>
      <c r="C2523">
        <v>126</v>
      </c>
      <c r="D2523">
        <v>241.41499999999999</v>
      </c>
      <c r="E2523">
        <v>5106</v>
      </c>
      <c r="F2523" s="1">
        <f>1612</f>
        <v>1612</v>
      </c>
      <c r="G2523">
        <v>1</v>
      </c>
      <c r="H2523">
        <v>0.2</v>
      </c>
      <c r="I2523">
        <v>0</v>
      </c>
      <c r="J2523">
        <v>11.712999999999999</v>
      </c>
      <c r="K2523">
        <v>515.98699999999997</v>
      </c>
      <c r="L2523">
        <v>0</v>
      </c>
    </row>
    <row r="2524" spans="1:12" x14ac:dyDescent="0.25">
      <c r="A2524">
        <f>80550238*0.00001</f>
        <v>805.50238000000002</v>
      </c>
      <c r="B2524">
        <v>3502</v>
      </c>
      <c r="C2524">
        <v>127</v>
      </c>
      <c r="D2524">
        <v>241.41499999999999</v>
      </c>
      <c r="E2524">
        <v>5106</v>
      </c>
      <c r="F2524">
        <v>1612</v>
      </c>
      <c r="G2524">
        <v>1</v>
      </c>
      <c r="H2524" s="1">
        <f>0.2</f>
        <v>0.2</v>
      </c>
      <c r="I2524">
        <v>0</v>
      </c>
      <c r="J2524">
        <v>11.712999999999999</v>
      </c>
      <c r="K2524">
        <v>515.98699999999997</v>
      </c>
      <c r="L2524">
        <v>0</v>
      </c>
    </row>
    <row r="2525" spans="1:12" x14ac:dyDescent="0.25">
      <c r="A2525">
        <f>80550376*0.00001</f>
        <v>805.50376000000006</v>
      </c>
      <c r="B2525">
        <v>3502</v>
      </c>
      <c r="C2525">
        <v>128</v>
      </c>
      <c r="D2525">
        <v>241.41499999999999</v>
      </c>
      <c r="E2525">
        <v>5106</v>
      </c>
      <c r="F2525">
        <v>1612</v>
      </c>
      <c r="G2525">
        <v>1</v>
      </c>
      <c r="H2525">
        <v>0.2</v>
      </c>
      <c r="I2525">
        <v>0</v>
      </c>
      <c r="J2525" s="1">
        <f>11.8512</f>
        <v>11.8512</v>
      </c>
      <c r="K2525">
        <v>515.98699999999997</v>
      </c>
      <c r="L2525">
        <v>0</v>
      </c>
    </row>
    <row r="2526" spans="1:12" x14ac:dyDescent="0.25">
      <c r="A2526">
        <f>80550513*0.00001</f>
        <v>805.50513000000012</v>
      </c>
      <c r="B2526">
        <v>3502</v>
      </c>
      <c r="C2526">
        <v>129</v>
      </c>
      <c r="D2526" s="1">
        <f>241.416</f>
        <v>241.416</v>
      </c>
      <c r="E2526" s="1">
        <f>5109</f>
        <v>5109</v>
      </c>
      <c r="F2526" s="1">
        <f>1612</f>
        <v>1612</v>
      </c>
      <c r="G2526" s="1">
        <f>1</f>
        <v>1</v>
      </c>
      <c r="H2526" s="1">
        <f>0.2</f>
        <v>0.2</v>
      </c>
      <c r="I2526" s="1">
        <f>0</f>
        <v>0</v>
      </c>
      <c r="J2526" s="1">
        <f>11.9868</f>
        <v>11.986800000000001</v>
      </c>
      <c r="K2526" s="1">
        <f>516.016</f>
        <v>516.01599999999996</v>
      </c>
      <c r="L2526" s="1">
        <f>0</f>
        <v>0</v>
      </c>
    </row>
    <row r="2527" spans="1:12" x14ac:dyDescent="0.25">
      <c r="A2527">
        <f>80551477*0.00001</f>
        <v>805.51477000000011</v>
      </c>
      <c r="B2527">
        <v>3502</v>
      </c>
      <c r="C2527">
        <v>136</v>
      </c>
      <c r="D2527">
        <v>241.416</v>
      </c>
      <c r="E2527">
        <v>5109</v>
      </c>
      <c r="F2527">
        <v>1612</v>
      </c>
      <c r="G2527">
        <v>1</v>
      </c>
      <c r="H2527" s="1">
        <f>0.2</f>
        <v>0.2</v>
      </c>
      <c r="I2527" s="1">
        <f>0</f>
        <v>0</v>
      </c>
      <c r="J2527">
        <v>11.986800000000001</v>
      </c>
      <c r="K2527">
        <v>516.01599999999996</v>
      </c>
      <c r="L2527">
        <v>0</v>
      </c>
    </row>
    <row r="2528" spans="1:12" x14ac:dyDescent="0.25">
      <c r="A2528">
        <f>80551615*0.00001</f>
        <v>805.51615000000004</v>
      </c>
      <c r="B2528">
        <v>3502</v>
      </c>
      <c r="C2528">
        <v>137</v>
      </c>
      <c r="D2528">
        <v>241.416</v>
      </c>
      <c r="E2528">
        <v>5109</v>
      </c>
      <c r="F2528">
        <v>1612</v>
      </c>
      <c r="G2528">
        <v>1</v>
      </c>
      <c r="H2528">
        <v>0.2</v>
      </c>
      <c r="I2528">
        <v>0</v>
      </c>
      <c r="J2528" s="1">
        <f>12.1614</f>
        <v>12.1614</v>
      </c>
      <c r="K2528" s="1">
        <f>516.03</f>
        <v>516.03</v>
      </c>
      <c r="L2528">
        <v>0</v>
      </c>
    </row>
    <row r="2529" spans="1:12" x14ac:dyDescent="0.25">
      <c r="A2529">
        <f>80551752*0.00001</f>
        <v>805.5175200000001</v>
      </c>
      <c r="B2529">
        <v>3502</v>
      </c>
      <c r="C2529">
        <v>138</v>
      </c>
      <c r="D2529" s="1">
        <f>241.416</f>
        <v>241.416</v>
      </c>
      <c r="E2529">
        <v>5109</v>
      </c>
      <c r="F2529">
        <v>1612</v>
      </c>
      <c r="G2529">
        <v>1</v>
      </c>
      <c r="H2529">
        <v>0.2</v>
      </c>
      <c r="I2529">
        <v>0</v>
      </c>
      <c r="J2529">
        <v>12.1614</v>
      </c>
      <c r="K2529">
        <v>516.03</v>
      </c>
      <c r="L2529" s="1">
        <f>0</f>
        <v>0</v>
      </c>
    </row>
    <row r="2530" spans="1:12" x14ac:dyDescent="0.25">
      <c r="A2530">
        <f>80551889*0.00001</f>
        <v>805.51889000000006</v>
      </c>
      <c r="B2530">
        <v>3502</v>
      </c>
      <c r="C2530">
        <v>139</v>
      </c>
      <c r="D2530">
        <v>241.416</v>
      </c>
      <c r="E2530" s="1">
        <f>5110</f>
        <v>5110</v>
      </c>
      <c r="F2530" s="1">
        <f>1612</f>
        <v>1612</v>
      </c>
      <c r="G2530">
        <v>1</v>
      </c>
      <c r="H2530">
        <v>0.2</v>
      </c>
      <c r="I2530">
        <v>0</v>
      </c>
      <c r="J2530">
        <v>12.1614</v>
      </c>
      <c r="K2530">
        <v>516.03</v>
      </c>
      <c r="L2530">
        <v>0</v>
      </c>
    </row>
    <row r="2531" spans="1:12" x14ac:dyDescent="0.25">
      <c r="A2531">
        <f>80552026*0.00001</f>
        <v>805.52026000000012</v>
      </c>
      <c r="B2531">
        <v>3502</v>
      </c>
      <c r="C2531">
        <v>140</v>
      </c>
      <c r="D2531">
        <v>241.416</v>
      </c>
      <c r="E2531">
        <v>5110</v>
      </c>
      <c r="F2531">
        <v>1612</v>
      </c>
      <c r="G2531">
        <v>1</v>
      </c>
      <c r="H2531" s="1">
        <f>0.2</f>
        <v>0.2</v>
      </c>
      <c r="I2531">
        <v>0</v>
      </c>
      <c r="J2531">
        <v>12.1614</v>
      </c>
      <c r="K2531">
        <v>516.03</v>
      </c>
      <c r="L2531">
        <v>0</v>
      </c>
    </row>
    <row r="2532" spans="1:12" x14ac:dyDescent="0.25">
      <c r="A2532">
        <f>80552164*0.00001</f>
        <v>805.52164000000005</v>
      </c>
      <c r="B2532">
        <v>3502</v>
      </c>
      <c r="C2532">
        <v>141</v>
      </c>
      <c r="D2532">
        <v>241.416</v>
      </c>
      <c r="E2532">
        <v>5110</v>
      </c>
      <c r="F2532">
        <v>1612</v>
      </c>
      <c r="G2532">
        <v>1</v>
      </c>
      <c r="H2532">
        <v>0.2</v>
      </c>
      <c r="I2532">
        <v>0</v>
      </c>
      <c r="J2532" s="1">
        <f>12.2871</f>
        <v>12.287100000000001</v>
      </c>
      <c r="K2532">
        <v>516.03</v>
      </c>
      <c r="L2532">
        <v>0</v>
      </c>
    </row>
    <row r="2533" spans="1:12" x14ac:dyDescent="0.25">
      <c r="A2533">
        <f>80552302*0.00001</f>
        <v>805.52302000000009</v>
      </c>
      <c r="B2533">
        <v>3502</v>
      </c>
      <c r="C2533">
        <v>142</v>
      </c>
      <c r="D2533">
        <v>241.416</v>
      </c>
      <c r="E2533">
        <v>5110</v>
      </c>
      <c r="F2533">
        <v>1612</v>
      </c>
      <c r="G2533">
        <v>1</v>
      </c>
      <c r="H2533">
        <v>0.2</v>
      </c>
      <c r="I2533">
        <v>0</v>
      </c>
      <c r="J2533">
        <v>12.287100000000001</v>
      </c>
      <c r="K2533">
        <v>516.03</v>
      </c>
      <c r="L2533" s="1">
        <f>0</f>
        <v>0</v>
      </c>
    </row>
    <row r="2534" spans="1:12" x14ac:dyDescent="0.25">
      <c r="A2534">
        <f>80552440*0.00001</f>
        <v>805.52440000000001</v>
      </c>
      <c r="B2534">
        <v>3502</v>
      </c>
      <c r="C2534">
        <v>143</v>
      </c>
      <c r="D2534">
        <v>241.416</v>
      </c>
      <c r="E2534" s="1">
        <f>5111</f>
        <v>5111</v>
      </c>
      <c r="F2534">
        <v>1612</v>
      </c>
      <c r="G2534">
        <v>1</v>
      </c>
      <c r="H2534">
        <v>0.2</v>
      </c>
      <c r="I2534">
        <v>0</v>
      </c>
      <c r="J2534">
        <v>12.287100000000001</v>
      </c>
      <c r="K2534">
        <v>516.03</v>
      </c>
      <c r="L2534">
        <v>0</v>
      </c>
    </row>
    <row r="2535" spans="1:12" x14ac:dyDescent="0.25">
      <c r="A2535">
        <f>80552578*0.00001</f>
        <v>805.52578000000005</v>
      </c>
      <c r="B2535">
        <v>3502</v>
      </c>
      <c r="C2535">
        <v>144</v>
      </c>
      <c r="D2535" s="1">
        <f>241.416</f>
        <v>241.416</v>
      </c>
      <c r="E2535" s="1">
        <f>5111</f>
        <v>5111</v>
      </c>
      <c r="F2535" s="1">
        <f>1612</f>
        <v>1612</v>
      </c>
      <c r="G2535" s="1">
        <f>1</f>
        <v>1</v>
      </c>
      <c r="H2535" s="1">
        <f>0.2</f>
        <v>0.2</v>
      </c>
      <c r="I2535" s="1">
        <f>0</f>
        <v>0</v>
      </c>
      <c r="J2535" s="1">
        <f>12.6112</f>
        <v>12.6112</v>
      </c>
      <c r="K2535" s="1">
        <f>516.074</f>
        <v>516.07399999999996</v>
      </c>
      <c r="L2535" s="1">
        <f>0</f>
        <v>0</v>
      </c>
    </row>
    <row r="2536" spans="1:12" x14ac:dyDescent="0.25">
      <c r="A2536">
        <f>80553542*0.00001</f>
        <v>805.53542000000004</v>
      </c>
      <c r="B2536">
        <v>3502</v>
      </c>
      <c r="C2536">
        <v>151</v>
      </c>
      <c r="D2536" s="1">
        <f>241.416</f>
        <v>241.416</v>
      </c>
      <c r="E2536">
        <v>5111</v>
      </c>
      <c r="F2536">
        <v>1612</v>
      </c>
      <c r="G2536">
        <v>1</v>
      </c>
      <c r="H2536">
        <v>0.2</v>
      </c>
      <c r="I2536">
        <v>0</v>
      </c>
      <c r="J2536">
        <v>12.6112</v>
      </c>
      <c r="K2536">
        <v>516.07399999999996</v>
      </c>
      <c r="L2536" s="1">
        <f>0</f>
        <v>0</v>
      </c>
    </row>
    <row r="2537" spans="1:12" x14ac:dyDescent="0.25">
      <c r="A2537">
        <f>80553680*0.00001</f>
        <v>805.53680000000008</v>
      </c>
      <c r="B2537">
        <v>3502</v>
      </c>
      <c r="C2537">
        <v>152</v>
      </c>
      <c r="D2537">
        <v>241.416</v>
      </c>
      <c r="E2537" s="1">
        <f>5112</f>
        <v>5112</v>
      </c>
      <c r="F2537" s="1">
        <f>1612</f>
        <v>1612</v>
      </c>
      <c r="G2537">
        <v>1</v>
      </c>
      <c r="H2537">
        <v>0.2</v>
      </c>
      <c r="I2537">
        <v>0</v>
      </c>
      <c r="J2537">
        <v>12.6112</v>
      </c>
      <c r="K2537">
        <v>516.07399999999996</v>
      </c>
      <c r="L2537">
        <v>0</v>
      </c>
    </row>
    <row r="2538" spans="1:12" x14ac:dyDescent="0.25">
      <c r="A2538">
        <f>80553818*0.00001</f>
        <v>805.53818000000001</v>
      </c>
      <c r="B2538">
        <v>3502</v>
      </c>
      <c r="C2538">
        <v>153</v>
      </c>
      <c r="D2538">
        <v>241.416</v>
      </c>
      <c r="E2538">
        <v>5112</v>
      </c>
      <c r="F2538">
        <v>1612</v>
      </c>
      <c r="G2538" s="1">
        <f>1</f>
        <v>1</v>
      </c>
      <c r="H2538" s="1">
        <f>0.2</f>
        <v>0.2</v>
      </c>
      <c r="I2538">
        <v>0</v>
      </c>
      <c r="J2538">
        <v>12.6112</v>
      </c>
      <c r="K2538">
        <v>516.07399999999996</v>
      </c>
      <c r="L2538">
        <v>0</v>
      </c>
    </row>
    <row r="2539" spans="1:12" x14ac:dyDescent="0.25">
      <c r="A2539">
        <f>80553956*0.00001</f>
        <v>805.53956000000005</v>
      </c>
      <c r="B2539">
        <v>3502</v>
      </c>
      <c r="C2539">
        <v>154</v>
      </c>
      <c r="D2539">
        <v>241.416</v>
      </c>
      <c r="E2539">
        <v>5112</v>
      </c>
      <c r="F2539">
        <v>1612</v>
      </c>
      <c r="G2539">
        <v>1</v>
      </c>
      <c r="H2539">
        <v>0.2</v>
      </c>
      <c r="I2539" s="1">
        <f>0</f>
        <v>0</v>
      </c>
      <c r="J2539" s="1">
        <f>12.6862</f>
        <v>12.686199999999999</v>
      </c>
      <c r="K2539">
        <v>516.07399999999996</v>
      </c>
      <c r="L2539">
        <v>0</v>
      </c>
    </row>
    <row r="2540" spans="1:12" x14ac:dyDescent="0.25">
      <c r="A2540">
        <f>80554094*0.00001</f>
        <v>805.54094000000009</v>
      </c>
      <c r="B2540">
        <v>3502</v>
      </c>
      <c r="C2540">
        <v>155</v>
      </c>
      <c r="D2540">
        <v>241.416</v>
      </c>
      <c r="E2540">
        <v>5112</v>
      </c>
      <c r="F2540">
        <v>1612</v>
      </c>
      <c r="G2540">
        <v>1</v>
      </c>
      <c r="H2540">
        <v>0.2</v>
      </c>
      <c r="I2540">
        <v>0</v>
      </c>
      <c r="J2540">
        <v>12.686199999999999</v>
      </c>
      <c r="K2540">
        <v>516.07399999999996</v>
      </c>
      <c r="L2540" s="1">
        <f>0</f>
        <v>0</v>
      </c>
    </row>
    <row r="2541" spans="1:12" x14ac:dyDescent="0.25">
      <c r="A2541">
        <f>80554231*0.00001</f>
        <v>805.54231000000004</v>
      </c>
      <c r="B2541">
        <v>3502</v>
      </c>
      <c r="C2541">
        <v>156</v>
      </c>
      <c r="D2541">
        <v>241.416</v>
      </c>
      <c r="E2541" s="1">
        <f>5111</f>
        <v>5111</v>
      </c>
      <c r="F2541">
        <v>1612</v>
      </c>
      <c r="G2541">
        <v>1</v>
      </c>
      <c r="H2541">
        <v>0.2</v>
      </c>
      <c r="I2541">
        <v>0</v>
      </c>
      <c r="J2541">
        <v>12.686199999999999</v>
      </c>
      <c r="K2541">
        <v>516.07399999999996</v>
      </c>
      <c r="L2541">
        <v>0</v>
      </c>
    </row>
    <row r="2542" spans="1:12" x14ac:dyDescent="0.25">
      <c r="A2542">
        <f>80554368*0.00001</f>
        <v>805.54368000000011</v>
      </c>
      <c r="B2542">
        <v>3502</v>
      </c>
      <c r="C2542">
        <v>157</v>
      </c>
      <c r="D2542">
        <v>241.416</v>
      </c>
      <c r="E2542">
        <v>5111</v>
      </c>
      <c r="F2542">
        <v>1612</v>
      </c>
      <c r="G2542" s="1">
        <f>1</f>
        <v>1</v>
      </c>
      <c r="H2542">
        <v>0.2</v>
      </c>
      <c r="I2542">
        <v>0</v>
      </c>
      <c r="J2542">
        <v>12.686199999999999</v>
      </c>
      <c r="K2542">
        <v>516.07399999999996</v>
      </c>
      <c r="L2542">
        <v>0</v>
      </c>
    </row>
    <row r="2543" spans="1:12" x14ac:dyDescent="0.25">
      <c r="A2543">
        <f>80554505*0.00001</f>
        <v>805.54505000000006</v>
      </c>
      <c r="B2543">
        <v>3502</v>
      </c>
      <c r="C2543">
        <v>158</v>
      </c>
      <c r="D2543">
        <v>241.416</v>
      </c>
      <c r="E2543">
        <v>5111</v>
      </c>
      <c r="F2543">
        <v>1612</v>
      </c>
      <c r="G2543">
        <v>1</v>
      </c>
      <c r="H2543">
        <v>0.2</v>
      </c>
      <c r="I2543" s="1">
        <f>0</f>
        <v>0</v>
      </c>
      <c r="J2543">
        <v>12.686199999999999</v>
      </c>
      <c r="K2543">
        <v>516.07399999999996</v>
      </c>
      <c r="L2543">
        <v>0</v>
      </c>
    </row>
    <row r="2544" spans="1:12" x14ac:dyDescent="0.25">
      <c r="A2544">
        <f>80554642*0.00001</f>
        <v>805.54642000000001</v>
      </c>
      <c r="B2544">
        <v>3502</v>
      </c>
      <c r="C2544">
        <v>159</v>
      </c>
      <c r="D2544" s="1">
        <f>241.587</f>
        <v>241.58699999999999</v>
      </c>
      <c r="E2544" s="1">
        <f>5111</f>
        <v>5111</v>
      </c>
      <c r="F2544" s="1">
        <f>1612</f>
        <v>1612</v>
      </c>
      <c r="G2544" s="1">
        <f>1</f>
        <v>1</v>
      </c>
      <c r="H2544" s="1">
        <f>0.2</f>
        <v>0.2</v>
      </c>
      <c r="I2544" s="1">
        <f>0</f>
        <v>0</v>
      </c>
      <c r="J2544" s="1">
        <f>12.8751</f>
        <v>12.8751</v>
      </c>
      <c r="K2544" s="1">
        <f>516.12</f>
        <v>516.12</v>
      </c>
      <c r="L2544" s="1">
        <f>0</f>
        <v>0</v>
      </c>
    </row>
    <row r="2545" spans="1:12" x14ac:dyDescent="0.25">
      <c r="A2545">
        <f>80555604*0.00001</f>
        <v>805.55604000000005</v>
      </c>
      <c r="B2545">
        <v>3502</v>
      </c>
      <c r="C2545">
        <v>166</v>
      </c>
      <c r="D2545">
        <v>241.58699999999999</v>
      </c>
      <c r="E2545">
        <v>5111</v>
      </c>
      <c r="F2545">
        <v>1612</v>
      </c>
      <c r="G2545" s="1">
        <f>1</f>
        <v>1</v>
      </c>
      <c r="H2545" s="1">
        <f>0.2</f>
        <v>0.2</v>
      </c>
      <c r="I2545">
        <v>0</v>
      </c>
      <c r="J2545">
        <v>12.8751</v>
      </c>
      <c r="K2545">
        <v>516.12</v>
      </c>
      <c r="L2545">
        <v>0</v>
      </c>
    </row>
    <row r="2546" spans="1:12" x14ac:dyDescent="0.25">
      <c r="A2546">
        <f>80555742*0.00001</f>
        <v>805.55742000000009</v>
      </c>
      <c r="B2546">
        <v>3502</v>
      </c>
      <c r="C2546">
        <v>167</v>
      </c>
      <c r="D2546">
        <v>241.58699999999999</v>
      </c>
      <c r="E2546">
        <v>5111</v>
      </c>
      <c r="F2546">
        <v>1612</v>
      </c>
      <c r="G2546">
        <v>1</v>
      </c>
      <c r="H2546">
        <v>0.2</v>
      </c>
      <c r="I2546" s="1">
        <f>0</f>
        <v>0</v>
      </c>
      <c r="J2546" s="1">
        <f>12.99</f>
        <v>12.99</v>
      </c>
      <c r="K2546">
        <v>516.12</v>
      </c>
      <c r="L2546">
        <v>0</v>
      </c>
    </row>
    <row r="2547" spans="1:12" x14ac:dyDescent="0.25">
      <c r="A2547">
        <f>80555880*0.00001</f>
        <v>805.55880000000002</v>
      </c>
      <c r="B2547">
        <v>3502</v>
      </c>
      <c r="C2547">
        <v>168</v>
      </c>
      <c r="D2547">
        <v>241.58699999999999</v>
      </c>
      <c r="E2547">
        <v>5111</v>
      </c>
      <c r="F2547">
        <v>1612</v>
      </c>
      <c r="G2547">
        <v>1</v>
      </c>
      <c r="H2547">
        <v>0.2</v>
      </c>
      <c r="I2547">
        <v>0</v>
      </c>
      <c r="J2547">
        <v>12.99</v>
      </c>
      <c r="K2547" s="1">
        <f>516.138</f>
        <v>516.13800000000003</v>
      </c>
      <c r="L2547" s="1">
        <f>0</f>
        <v>0</v>
      </c>
    </row>
    <row r="2548" spans="1:12" x14ac:dyDescent="0.25">
      <c r="A2548">
        <f>80556018*0.00001</f>
        <v>805.56018000000006</v>
      </c>
      <c r="B2548">
        <v>3502</v>
      </c>
      <c r="C2548">
        <v>169</v>
      </c>
      <c r="D2548" s="1">
        <f>241.627</f>
        <v>241.62700000000001</v>
      </c>
      <c r="E2548" s="1">
        <f>5111</f>
        <v>5111</v>
      </c>
      <c r="F2548">
        <v>1612</v>
      </c>
      <c r="G2548">
        <v>1</v>
      </c>
      <c r="H2548">
        <v>0.2</v>
      </c>
      <c r="I2548">
        <v>0</v>
      </c>
      <c r="J2548">
        <v>12.99</v>
      </c>
      <c r="K2548">
        <v>516.13800000000003</v>
      </c>
      <c r="L2548">
        <v>0</v>
      </c>
    </row>
    <row r="2549" spans="1:12" x14ac:dyDescent="0.25">
      <c r="A2549">
        <f>80556156*0.00001</f>
        <v>805.5615600000001</v>
      </c>
      <c r="B2549">
        <v>3502</v>
      </c>
      <c r="C2549">
        <v>170</v>
      </c>
      <c r="D2549">
        <v>241.62700000000001</v>
      </c>
      <c r="E2549">
        <v>5111</v>
      </c>
      <c r="F2549" s="1">
        <f>1612</f>
        <v>1612</v>
      </c>
      <c r="G2549" s="1">
        <f>1</f>
        <v>1</v>
      </c>
      <c r="H2549">
        <v>0.2</v>
      </c>
      <c r="I2549">
        <v>0</v>
      </c>
      <c r="J2549">
        <v>12.99</v>
      </c>
      <c r="K2549">
        <v>516.13800000000003</v>
      </c>
      <c r="L2549">
        <v>0</v>
      </c>
    </row>
    <row r="2550" spans="1:12" x14ac:dyDescent="0.25">
      <c r="A2550">
        <f>80556293*0.00001</f>
        <v>805.56293000000005</v>
      </c>
      <c r="B2550">
        <v>3502</v>
      </c>
      <c r="C2550">
        <v>171</v>
      </c>
      <c r="D2550">
        <v>241.62700000000001</v>
      </c>
      <c r="E2550">
        <v>5111</v>
      </c>
      <c r="F2550">
        <v>1612</v>
      </c>
      <c r="G2550">
        <v>1</v>
      </c>
      <c r="H2550">
        <v>0.2</v>
      </c>
      <c r="I2550" s="1">
        <f>0</f>
        <v>0</v>
      </c>
      <c r="J2550">
        <v>12.99</v>
      </c>
      <c r="K2550">
        <v>516.13800000000003</v>
      </c>
      <c r="L2550">
        <v>0</v>
      </c>
    </row>
    <row r="2551" spans="1:12" x14ac:dyDescent="0.25">
      <c r="A2551">
        <f>80556430*0.00001</f>
        <v>805.56430000000012</v>
      </c>
      <c r="B2551">
        <v>3502</v>
      </c>
      <c r="C2551">
        <v>172</v>
      </c>
      <c r="D2551">
        <v>241.62700000000001</v>
      </c>
      <c r="E2551">
        <v>5111</v>
      </c>
      <c r="F2551">
        <v>1612</v>
      </c>
      <c r="G2551">
        <v>1</v>
      </c>
      <c r="H2551">
        <v>0.2</v>
      </c>
      <c r="I2551">
        <v>0</v>
      </c>
      <c r="J2551">
        <v>12.99</v>
      </c>
      <c r="K2551" s="1">
        <f>516.152</f>
        <v>516.15200000000004</v>
      </c>
      <c r="L2551">
        <v>0</v>
      </c>
    </row>
    <row r="2552" spans="1:12" x14ac:dyDescent="0.25">
      <c r="A2552">
        <f>80556567*0.00001</f>
        <v>805.56567000000007</v>
      </c>
      <c r="B2552">
        <v>3502</v>
      </c>
      <c r="C2552">
        <v>173</v>
      </c>
      <c r="D2552" s="1">
        <f>241.653</f>
        <v>241.65299999999999</v>
      </c>
      <c r="E2552">
        <v>5111</v>
      </c>
      <c r="F2552">
        <v>1612</v>
      </c>
      <c r="G2552">
        <v>1</v>
      </c>
      <c r="H2552">
        <v>0.2</v>
      </c>
      <c r="I2552">
        <v>0</v>
      </c>
      <c r="J2552">
        <v>12.99</v>
      </c>
      <c r="K2552">
        <v>516.15200000000004</v>
      </c>
      <c r="L2552">
        <v>0</v>
      </c>
    </row>
    <row r="2553" spans="1:12" x14ac:dyDescent="0.25">
      <c r="A2553">
        <f>80556704*0.00001</f>
        <v>805.56704000000002</v>
      </c>
      <c r="B2553">
        <v>3502</v>
      </c>
      <c r="C2553">
        <v>174</v>
      </c>
      <c r="D2553">
        <v>241.65299999999999</v>
      </c>
      <c r="E2553">
        <v>5111</v>
      </c>
      <c r="F2553" s="1">
        <f>1612</f>
        <v>1612</v>
      </c>
      <c r="G2553">
        <v>1</v>
      </c>
      <c r="H2553">
        <v>0.2</v>
      </c>
      <c r="I2553">
        <v>0</v>
      </c>
      <c r="J2553">
        <v>12.99</v>
      </c>
      <c r="K2553">
        <v>516.15200000000004</v>
      </c>
      <c r="L2553">
        <v>0</v>
      </c>
    </row>
    <row r="2554" spans="1:12" x14ac:dyDescent="0.25">
      <c r="A2554">
        <f>80556841*0.00001</f>
        <v>805.56841000000009</v>
      </c>
      <c r="B2554">
        <v>3502</v>
      </c>
      <c r="C2554">
        <v>175</v>
      </c>
      <c r="D2554" s="1">
        <f>241.674</f>
        <v>241.67400000000001</v>
      </c>
      <c r="E2554" s="1">
        <f>5111</f>
        <v>5111</v>
      </c>
      <c r="F2554" s="1">
        <f>1612</f>
        <v>1612</v>
      </c>
      <c r="G2554" s="1">
        <f>1</f>
        <v>1</v>
      </c>
      <c r="H2554" s="1">
        <f>0.2</f>
        <v>0.2</v>
      </c>
      <c r="I2554" s="1">
        <f>0</f>
        <v>0</v>
      </c>
      <c r="J2554" s="1">
        <f>13.2983</f>
        <v>13.298299999999999</v>
      </c>
      <c r="K2554" s="1">
        <f>516.167</f>
        <v>516.16700000000003</v>
      </c>
      <c r="L2554" s="1">
        <f>0</f>
        <v>0</v>
      </c>
    </row>
    <row r="2555" spans="1:12" s="2" customFormat="1" x14ac:dyDescent="0.25">
      <c r="A2555" s="2">
        <f>80557667*0.00001</f>
        <v>805.57667000000004</v>
      </c>
      <c r="B2555" s="2">
        <v>3503</v>
      </c>
      <c r="C2555" s="2">
        <v>1</v>
      </c>
      <c r="D2555" s="2">
        <v>241.67400000000001</v>
      </c>
      <c r="E2555" s="2">
        <v>5111</v>
      </c>
      <c r="F2555" s="2">
        <v>1612</v>
      </c>
      <c r="G2555" s="2">
        <v>1</v>
      </c>
      <c r="H2555" s="2">
        <v>0.2</v>
      </c>
      <c r="I2555" s="2">
        <v>0</v>
      </c>
      <c r="J2555" s="2">
        <v>13.298299999999999</v>
      </c>
      <c r="K2555" s="1">
        <f>516.178</f>
        <v>516.178</v>
      </c>
      <c r="L2555" s="1">
        <f>0</f>
        <v>0</v>
      </c>
    </row>
    <row r="2556" spans="1:12" x14ac:dyDescent="0.25">
      <c r="A2556">
        <f>80557805*0.00001</f>
        <v>805.57805000000008</v>
      </c>
      <c r="B2556">
        <v>3503</v>
      </c>
      <c r="C2556">
        <v>2</v>
      </c>
      <c r="D2556" s="1">
        <f>241.688</f>
        <v>241.68799999999999</v>
      </c>
      <c r="E2556" s="1">
        <f>5112</f>
        <v>5112</v>
      </c>
      <c r="F2556">
        <v>1612</v>
      </c>
      <c r="G2556">
        <v>1</v>
      </c>
      <c r="H2556">
        <v>0.2</v>
      </c>
      <c r="I2556">
        <v>0</v>
      </c>
      <c r="J2556">
        <v>13.298299999999999</v>
      </c>
      <c r="K2556">
        <v>516.178</v>
      </c>
      <c r="L2556">
        <v>0</v>
      </c>
    </row>
    <row r="2557" spans="1:12" x14ac:dyDescent="0.25">
      <c r="A2557">
        <f>80557943*0.00001</f>
        <v>805.57943000000012</v>
      </c>
      <c r="B2557">
        <v>3503</v>
      </c>
      <c r="C2557">
        <v>3</v>
      </c>
      <c r="D2557">
        <v>241.68799999999999</v>
      </c>
      <c r="E2557">
        <v>5112</v>
      </c>
      <c r="F2557" s="1">
        <f>1612</f>
        <v>1612</v>
      </c>
      <c r="G2557" s="1">
        <f>1</f>
        <v>1</v>
      </c>
      <c r="H2557">
        <v>0.2</v>
      </c>
      <c r="I2557">
        <v>0</v>
      </c>
      <c r="J2557">
        <v>13.298299999999999</v>
      </c>
      <c r="K2557">
        <v>516.178</v>
      </c>
      <c r="L2557">
        <v>0</v>
      </c>
    </row>
    <row r="2558" spans="1:12" x14ac:dyDescent="0.25">
      <c r="A2558">
        <f>80558081*0.00001</f>
        <v>805.58081000000004</v>
      </c>
      <c r="B2558">
        <v>3503</v>
      </c>
      <c r="C2558">
        <v>4</v>
      </c>
      <c r="D2558">
        <v>241.68799999999999</v>
      </c>
      <c r="E2558">
        <v>5112</v>
      </c>
      <c r="F2558">
        <v>1612</v>
      </c>
      <c r="G2558">
        <v>1</v>
      </c>
      <c r="H2558" s="1">
        <f>0.2</f>
        <v>0.2</v>
      </c>
      <c r="I2558" s="1">
        <f>0</f>
        <v>0</v>
      </c>
      <c r="J2558">
        <v>13.298299999999999</v>
      </c>
      <c r="K2558">
        <v>516.178</v>
      </c>
      <c r="L2558">
        <v>0</v>
      </c>
    </row>
    <row r="2559" spans="1:12" x14ac:dyDescent="0.25">
      <c r="A2559">
        <f>80558218*0.00001</f>
        <v>805.58218000000011</v>
      </c>
      <c r="B2559">
        <v>3503</v>
      </c>
      <c r="C2559">
        <v>5</v>
      </c>
      <c r="D2559">
        <v>241.68799999999999</v>
      </c>
      <c r="E2559">
        <v>5112</v>
      </c>
      <c r="F2559">
        <v>1612</v>
      </c>
      <c r="G2559">
        <v>1</v>
      </c>
      <c r="H2559">
        <v>0.2</v>
      </c>
      <c r="I2559">
        <v>0</v>
      </c>
      <c r="J2559" s="1">
        <f>13.5281</f>
        <v>13.5281</v>
      </c>
      <c r="K2559" s="1">
        <f>516.193</f>
        <v>516.19299999999998</v>
      </c>
      <c r="L2559">
        <v>0</v>
      </c>
    </row>
    <row r="2560" spans="1:12" x14ac:dyDescent="0.25">
      <c r="A2560">
        <f>80558355*0.00001</f>
        <v>805.58355000000006</v>
      </c>
      <c r="B2560">
        <v>3503</v>
      </c>
      <c r="C2560">
        <v>6</v>
      </c>
      <c r="D2560" s="1">
        <f>241.702</f>
        <v>241.702</v>
      </c>
      <c r="E2560">
        <v>5112</v>
      </c>
      <c r="F2560">
        <v>1612</v>
      </c>
      <c r="G2560">
        <v>1</v>
      </c>
      <c r="H2560">
        <v>0.2</v>
      </c>
      <c r="I2560">
        <v>0</v>
      </c>
      <c r="J2560">
        <v>13.5281</v>
      </c>
      <c r="K2560">
        <v>516.19299999999998</v>
      </c>
      <c r="L2560">
        <v>0</v>
      </c>
    </row>
    <row r="2561" spans="1:12" x14ac:dyDescent="0.25">
      <c r="A2561">
        <f>80558492*0.00001</f>
        <v>805.58492000000001</v>
      </c>
      <c r="B2561">
        <v>3503</v>
      </c>
      <c r="C2561">
        <v>7</v>
      </c>
      <c r="D2561">
        <v>241.702</v>
      </c>
      <c r="E2561">
        <v>5112</v>
      </c>
      <c r="F2561" s="1">
        <f>1612</f>
        <v>1612</v>
      </c>
      <c r="G2561">
        <v>1</v>
      </c>
      <c r="H2561">
        <v>0.2</v>
      </c>
      <c r="I2561">
        <v>0</v>
      </c>
      <c r="J2561">
        <v>13.5281</v>
      </c>
      <c r="K2561">
        <v>516.19299999999998</v>
      </c>
      <c r="L2561">
        <v>0</v>
      </c>
    </row>
    <row r="2562" spans="1:12" x14ac:dyDescent="0.25">
      <c r="A2562">
        <f>80558629*0.00001</f>
        <v>805.58629000000008</v>
      </c>
      <c r="B2562">
        <v>3503</v>
      </c>
      <c r="C2562">
        <v>8</v>
      </c>
      <c r="D2562">
        <v>241.702</v>
      </c>
      <c r="E2562">
        <v>5112</v>
      </c>
      <c r="F2562">
        <v>1612</v>
      </c>
      <c r="G2562">
        <v>1</v>
      </c>
      <c r="H2562" s="1">
        <f>0.2</f>
        <v>0.2</v>
      </c>
      <c r="I2562">
        <v>0</v>
      </c>
      <c r="J2562">
        <v>13.5281</v>
      </c>
      <c r="K2562">
        <v>516.19299999999998</v>
      </c>
      <c r="L2562">
        <v>0</v>
      </c>
    </row>
    <row r="2563" spans="1:12" x14ac:dyDescent="0.25">
      <c r="A2563">
        <f>80558766*0.00001</f>
        <v>805.58766000000003</v>
      </c>
      <c r="B2563">
        <v>3503</v>
      </c>
      <c r="C2563">
        <v>9</v>
      </c>
      <c r="D2563">
        <v>241.702</v>
      </c>
      <c r="E2563">
        <v>5112</v>
      </c>
      <c r="F2563">
        <v>1612</v>
      </c>
      <c r="G2563">
        <v>1</v>
      </c>
      <c r="H2563">
        <v>0.2</v>
      </c>
      <c r="I2563">
        <v>0</v>
      </c>
      <c r="J2563" s="1">
        <f>13.6406</f>
        <v>13.640599999999999</v>
      </c>
      <c r="K2563">
        <v>516.19299999999998</v>
      </c>
      <c r="L2563">
        <v>0</v>
      </c>
    </row>
    <row r="2564" spans="1:12" x14ac:dyDescent="0.25">
      <c r="A2564">
        <f>80558903*0.00001</f>
        <v>805.58903000000009</v>
      </c>
      <c r="B2564">
        <v>3503</v>
      </c>
      <c r="C2564">
        <v>10</v>
      </c>
      <c r="D2564" s="1">
        <f>241.72</f>
        <v>241.72</v>
      </c>
      <c r="E2564" s="1">
        <f>5114</f>
        <v>5114</v>
      </c>
      <c r="F2564" s="1">
        <f>1612</f>
        <v>1612</v>
      </c>
      <c r="G2564" s="1">
        <f>1</f>
        <v>1</v>
      </c>
      <c r="H2564" s="1">
        <f>0.2</f>
        <v>0.2</v>
      </c>
      <c r="I2564" s="1">
        <f>0</f>
        <v>0</v>
      </c>
      <c r="J2564" s="1">
        <f>13.7802</f>
        <v>13.780200000000001</v>
      </c>
      <c r="K2564" s="1">
        <f>516.227</f>
        <v>516.22699999999998</v>
      </c>
      <c r="L2564" s="1">
        <f>0</f>
        <v>0</v>
      </c>
    </row>
    <row r="2565" spans="1:12" x14ac:dyDescent="0.25">
      <c r="A2565">
        <f>80559867*0.00001</f>
        <v>805.59867000000008</v>
      </c>
      <c r="B2565">
        <v>3503</v>
      </c>
      <c r="C2565">
        <v>17</v>
      </c>
      <c r="D2565">
        <v>241.72</v>
      </c>
      <c r="E2565">
        <v>5114</v>
      </c>
      <c r="F2565">
        <v>1612</v>
      </c>
      <c r="G2565">
        <v>1</v>
      </c>
      <c r="H2565" s="1">
        <f>0.2</f>
        <v>0.2</v>
      </c>
      <c r="I2565" s="1">
        <f>0</f>
        <v>0</v>
      </c>
      <c r="J2565">
        <v>13.780200000000001</v>
      </c>
      <c r="K2565">
        <v>516.22699999999998</v>
      </c>
      <c r="L2565">
        <v>0</v>
      </c>
    </row>
    <row r="2566" spans="1:12" x14ac:dyDescent="0.25">
      <c r="A2566">
        <f>80560005*0.00001</f>
        <v>805.60005000000001</v>
      </c>
      <c r="B2566">
        <v>3503</v>
      </c>
      <c r="C2566">
        <v>18</v>
      </c>
      <c r="D2566">
        <v>241.72</v>
      </c>
      <c r="E2566">
        <v>5114</v>
      </c>
      <c r="F2566">
        <v>1612</v>
      </c>
      <c r="G2566">
        <v>1</v>
      </c>
      <c r="H2566">
        <v>0.2</v>
      </c>
      <c r="I2566">
        <v>0</v>
      </c>
      <c r="J2566" s="1">
        <f>13.9446</f>
        <v>13.944599999999999</v>
      </c>
      <c r="K2566" s="1">
        <f>516.242</f>
        <v>516.24199999999996</v>
      </c>
      <c r="L2566">
        <v>0</v>
      </c>
    </row>
    <row r="2567" spans="1:12" x14ac:dyDescent="0.25">
      <c r="A2567">
        <f>80560142*0.00001</f>
        <v>805.60142000000008</v>
      </c>
      <c r="B2567">
        <v>3503</v>
      </c>
      <c r="C2567">
        <v>19</v>
      </c>
      <c r="D2567" s="1">
        <f>241.734</f>
        <v>241.73400000000001</v>
      </c>
      <c r="E2567">
        <v>5114</v>
      </c>
      <c r="F2567">
        <v>1612</v>
      </c>
      <c r="G2567">
        <v>1</v>
      </c>
      <c r="H2567">
        <v>0.2</v>
      </c>
      <c r="I2567">
        <v>0</v>
      </c>
      <c r="J2567">
        <v>13.944599999999999</v>
      </c>
      <c r="K2567">
        <v>516.24199999999996</v>
      </c>
      <c r="L2567" s="1">
        <f>0</f>
        <v>0</v>
      </c>
    </row>
    <row r="2568" spans="1:12" x14ac:dyDescent="0.25">
      <c r="A2568">
        <f>80560279*0.00001</f>
        <v>805.60279000000003</v>
      </c>
      <c r="B2568">
        <v>3503</v>
      </c>
      <c r="C2568">
        <v>20</v>
      </c>
      <c r="D2568">
        <v>241.73400000000001</v>
      </c>
      <c r="E2568" s="1">
        <f>5114</f>
        <v>5114</v>
      </c>
      <c r="F2568" s="1">
        <f>1612</f>
        <v>1612</v>
      </c>
      <c r="G2568">
        <v>1</v>
      </c>
      <c r="H2568">
        <v>0.2</v>
      </c>
      <c r="I2568">
        <v>0</v>
      </c>
      <c r="J2568">
        <v>13.944599999999999</v>
      </c>
      <c r="K2568">
        <v>516.24199999999996</v>
      </c>
      <c r="L2568">
        <v>0</v>
      </c>
    </row>
    <row r="2569" spans="1:12" x14ac:dyDescent="0.25">
      <c r="A2569">
        <f>80560416*0.00001</f>
        <v>805.60416000000009</v>
      </c>
      <c r="B2569">
        <v>3503</v>
      </c>
      <c r="C2569">
        <v>21</v>
      </c>
      <c r="D2569">
        <v>241.73400000000001</v>
      </c>
      <c r="E2569">
        <v>5114</v>
      </c>
      <c r="F2569">
        <v>1612</v>
      </c>
      <c r="G2569" s="1">
        <f>1</f>
        <v>1</v>
      </c>
      <c r="H2569" s="1">
        <f>0.2</f>
        <v>0.2</v>
      </c>
      <c r="I2569">
        <v>0</v>
      </c>
      <c r="J2569">
        <v>13.944599999999999</v>
      </c>
      <c r="K2569">
        <v>516.24199999999996</v>
      </c>
      <c r="L2569">
        <v>0</v>
      </c>
    </row>
    <row r="2570" spans="1:12" x14ac:dyDescent="0.25">
      <c r="A2570">
        <f>80560553*0.00001</f>
        <v>805.60553000000004</v>
      </c>
      <c r="B2570">
        <v>3503</v>
      </c>
      <c r="C2570">
        <v>22</v>
      </c>
      <c r="D2570">
        <v>241.73400000000001</v>
      </c>
      <c r="E2570">
        <v>5114</v>
      </c>
      <c r="F2570">
        <v>1612</v>
      </c>
      <c r="G2570">
        <v>1</v>
      </c>
      <c r="H2570">
        <v>0.2</v>
      </c>
      <c r="I2570">
        <v>0</v>
      </c>
      <c r="J2570" s="1">
        <f>14.0628</f>
        <v>14.062799999999999</v>
      </c>
      <c r="K2570">
        <v>516.24199999999996</v>
      </c>
      <c r="L2570">
        <v>0</v>
      </c>
    </row>
    <row r="2571" spans="1:12" x14ac:dyDescent="0.25">
      <c r="A2571">
        <f>80560690*0.00001</f>
        <v>805.60690000000011</v>
      </c>
      <c r="B2571">
        <v>3503</v>
      </c>
      <c r="C2571">
        <v>23</v>
      </c>
      <c r="D2571">
        <v>241.73400000000001</v>
      </c>
      <c r="E2571">
        <v>5114</v>
      </c>
      <c r="F2571">
        <v>1612</v>
      </c>
      <c r="G2571">
        <v>1</v>
      </c>
      <c r="H2571">
        <v>0.2</v>
      </c>
      <c r="I2571">
        <v>0</v>
      </c>
      <c r="J2571">
        <v>14.062799999999999</v>
      </c>
      <c r="K2571">
        <v>516.24199999999996</v>
      </c>
      <c r="L2571" s="1">
        <f>0</f>
        <v>0</v>
      </c>
    </row>
    <row r="2572" spans="1:12" x14ac:dyDescent="0.25">
      <c r="A2572">
        <f>80560827*0.00001</f>
        <v>805.60827000000006</v>
      </c>
      <c r="B2572">
        <v>3503</v>
      </c>
      <c r="C2572">
        <v>24</v>
      </c>
      <c r="D2572">
        <v>241.73400000000001</v>
      </c>
      <c r="E2572" s="1">
        <f>5115</f>
        <v>5115</v>
      </c>
      <c r="F2572">
        <v>1612</v>
      </c>
      <c r="G2572">
        <v>1</v>
      </c>
      <c r="H2572">
        <v>0.2</v>
      </c>
      <c r="I2572">
        <v>0</v>
      </c>
      <c r="J2572">
        <v>14.062799999999999</v>
      </c>
      <c r="K2572">
        <v>516.24199999999996</v>
      </c>
      <c r="L2572">
        <v>0</v>
      </c>
    </row>
    <row r="2573" spans="1:12" x14ac:dyDescent="0.25">
      <c r="A2573">
        <f>80560964*0.00001</f>
        <v>805.60964000000001</v>
      </c>
      <c r="B2573">
        <v>3503</v>
      </c>
      <c r="C2573">
        <v>25</v>
      </c>
      <c r="D2573">
        <v>241.73400000000001</v>
      </c>
      <c r="E2573">
        <v>5115</v>
      </c>
      <c r="F2573">
        <v>1612</v>
      </c>
      <c r="G2573" s="1">
        <f>1</f>
        <v>1</v>
      </c>
      <c r="H2573">
        <v>0.2</v>
      </c>
      <c r="I2573">
        <v>0</v>
      </c>
      <c r="J2573">
        <v>14.062799999999999</v>
      </c>
      <c r="K2573">
        <v>516.24199999999996</v>
      </c>
      <c r="L2573">
        <v>0</v>
      </c>
    </row>
    <row r="2574" spans="1:12" x14ac:dyDescent="0.25">
      <c r="A2574">
        <f>80561101*0.00001</f>
        <v>805.61101000000008</v>
      </c>
      <c r="B2574">
        <v>3503</v>
      </c>
      <c r="C2574">
        <v>26</v>
      </c>
      <c r="D2574" s="1">
        <f>241.751</f>
        <v>241.751</v>
      </c>
      <c r="E2574" s="1">
        <f>5116</f>
        <v>5116</v>
      </c>
      <c r="F2574" s="1">
        <f>1612</f>
        <v>1612</v>
      </c>
      <c r="G2574" s="1">
        <f>1</f>
        <v>1</v>
      </c>
      <c r="H2574" s="1">
        <f>0.2</f>
        <v>0.2</v>
      </c>
      <c r="I2574" s="1">
        <f>0</f>
        <v>0</v>
      </c>
      <c r="J2574" s="1">
        <f>14.3521</f>
        <v>14.3521</v>
      </c>
      <c r="K2574" s="1">
        <f>516.293</f>
        <v>516.29300000000001</v>
      </c>
      <c r="L2574" s="1">
        <f>0</f>
        <v>0</v>
      </c>
    </row>
    <row r="2575" spans="1:12" x14ac:dyDescent="0.25">
      <c r="A2575">
        <f>80562066*0.00001</f>
        <v>805.62066000000004</v>
      </c>
      <c r="B2575">
        <v>3503</v>
      </c>
      <c r="C2575">
        <v>33</v>
      </c>
      <c r="D2575">
        <v>241.751</v>
      </c>
      <c r="E2575" s="1">
        <f>5117</f>
        <v>5117</v>
      </c>
      <c r="F2575" s="1">
        <f>1612</f>
        <v>1612</v>
      </c>
      <c r="G2575">
        <v>1</v>
      </c>
      <c r="H2575">
        <v>0.2</v>
      </c>
      <c r="I2575">
        <v>0</v>
      </c>
      <c r="J2575">
        <v>14.3521</v>
      </c>
      <c r="K2575">
        <v>516.29300000000001</v>
      </c>
      <c r="L2575">
        <v>0</v>
      </c>
    </row>
    <row r="2576" spans="1:12" x14ac:dyDescent="0.25">
      <c r="A2576">
        <f>80562203*0.00001</f>
        <v>805.62203000000011</v>
      </c>
      <c r="B2576">
        <v>3503</v>
      </c>
      <c r="C2576">
        <v>34</v>
      </c>
      <c r="D2576">
        <v>241.751</v>
      </c>
      <c r="E2576">
        <v>5117</v>
      </c>
      <c r="F2576">
        <v>1612</v>
      </c>
      <c r="G2576" s="1">
        <f>1</f>
        <v>1</v>
      </c>
      <c r="H2576" s="1">
        <f>0.2</f>
        <v>0.2</v>
      </c>
      <c r="I2576">
        <v>0</v>
      </c>
      <c r="J2576">
        <v>14.3521</v>
      </c>
      <c r="K2576">
        <v>516.29300000000001</v>
      </c>
      <c r="L2576">
        <v>0</v>
      </c>
    </row>
    <row r="2577" spans="1:12" x14ac:dyDescent="0.25">
      <c r="A2577">
        <f>80562340*0.00001</f>
        <v>805.62340000000006</v>
      </c>
      <c r="B2577">
        <v>3503</v>
      </c>
      <c r="C2577">
        <v>35</v>
      </c>
      <c r="D2577">
        <v>241.751</v>
      </c>
      <c r="E2577">
        <v>5117</v>
      </c>
      <c r="F2577">
        <v>1612</v>
      </c>
      <c r="G2577">
        <v>1</v>
      </c>
      <c r="H2577">
        <v>0.2</v>
      </c>
      <c r="I2577" s="1">
        <f>0</f>
        <v>0</v>
      </c>
      <c r="J2577" s="1">
        <f>14.4989</f>
        <v>14.498900000000001</v>
      </c>
      <c r="K2577">
        <v>516.29300000000001</v>
      </c>
      <c r="L2577">
        <v>0</v>
      </c>
    </row>
    <row r="2578" spans="1:12" x14ac:dyDescent="0.25">
      <c r="A2578">
        <f>80562477*0.00001</f>
        <v>805.62477000000001</v>
      </c>
      <c r="B2578">
        <v>3503</v>
      </c>
      <c r="C2578">
        <v>36</v>
      </c>
      <c r="D2578">
        <v>241.751</v>
      </c>
      <c r="E2578">
        <v>5117</v>
      </c>
      <c r="F2578">
        <v>1612</v>
      </c>
      <c r="G2578">
        <v>1</v>
      </c>
      <c r="H2578">
        <v>0.2</v>
      </c>
      <c r="I2578">
        <v>0</v>
      </c>
      <c r="J2578">
        <v>14.498900000000001</v>
      </c>
      <c r="K2578" s="1">
        <f>516.313</f>
        <v>516.31299999999999</v>
      </c>
      <c r="L2578" s="1">
        <f>0</f>
        <v>0</v>
      </c>
    </row>
    <row r="2579" spans="1:12" x14ac:dyDescent="0.25">
      <c r="A2579">
        <f>80562614*0.00001</f>
        <v>805.62614000000008</v>
      </c>
      <c r="B2579">
        <v>3503</v>
      </c>
      <c r="C2579">
        <v>37</v>
      </c>
      <c r="D2579" s="1">
        <f>241.755</f>
        <v>241.755</v>
      </c>
      <c r="E2579" s="1">
        <f>5118</f>
        <v>5118</v>
      </c>
      <c r="F2579">
        <v>1612</v>
      </c>
      <c r="G2579">
        <v>1</v>
      </c>
      <c r="H2579">
        <v>0.2</v>
      </c>
      <c r="I2579">
        <v>0</v>
      </c>
      <c r="J2579">
        <v>14.498900000000001</v>
      </c>
      <c r="K2579">
        <v>516.31299999999999</v>
      </c>
      <c r="L2579">
        <v>0</v>
      </c>
    </row>
    <row r="2580" spans="1:12" x14ac:dyDescent="0.25">
      <c r="A2580">
        <f>80562751*0.00001</f>
        <v>805.62751000000003</v>
      </c>
      <c r="B2580">
        <v>3503</v>
      </c>
      <c r="C2580">
        <v>38</v>
      </c>
      <c r="D2580">
        <v>241.755</v>
      </c>
      <c r="E2580">
        <v>5118</v>
      </c>
      <c r="F2580">
        <v>1612</v>
      </c>
      <c r="G2580" s="1">
        <f>1</f>
        <v>1</v>
      </c>
      <c r="H2580">
        <v>0.2</v>
      </c>
      <c r="I2580">
        <v>0</v>
      </c>
      <c r="J2580">
        <v>14.498900000000001</v>
      </c>
      <c r="K2580">
        <v>516.31299999999999</v>
      </c>
      <c r="L2580">
        <v>0</v>
      </c>
    </row>
    <row r="2581" spans="1:12" x14ac:dyDescent="0.25">
      <c r="A2581">
        <f>80562888*0.00001</f>
        <v>805.62888000000009</v>
      </c>
      <c r="B2581">
        <v>3503</v>
      </c>
      <c r="C2581">
        <v>39</v>
      </c>
      <c r="D2581">
        <v>241.755</v>
      </c>
      <c r="E2581">
        <v>5118</v>
      </c>
      <c r="F2581">
        <v>1612</v>
      </c>
      <c r="G2581">
        <v>1</v>
      </c>
      <c r="H2581">
        <v>0.2</v>
      </c>
      <c r="I2581" s="1">
        <f>0</f>
        <v>0</v>
      </c>
      <c r="J2581">
        <v>14.498900000000001</v>
      </c>
      <c r="K2581">
        <v>516.31299999999999</v>
      </c>
      <c r="L2581">
        <v>0</v>
      </c>
    </row>
    <row r="2582" spans="1:12" x14ac:dyDescent="0.25">
      <c r="A2582">
        <f>80563025*0.00001</f>
        <v>805.63025000000005</v>
      </c>
      <c r="B2582">
        <v>3503</v>
      </c>
      <c r="C2582">
        <v>40</v>
      </c>
      <c r="D2582">
        <v>241.755</v>
      </c>
      <c r="E2582">
        <v>5118</v>
      </c>
      <c r="F2582">
        <v>1612</v>
      </c>
      <c r="G2582">
        <v>1</v>
      </c>
      <c r="H2582">
        <v>0.2</v>
      </c>
      <c r="I2582">
        <v>0</v>
      </c>
      <c r="J2582">
        <v>14.498900000000001</v>
      </c>
      <c r="K2582" s="1">
        <f>516.329</f>
        <v>516.32899999999995</v>
      </c>
      <c r="L2582">
        <v>0</v>
      </c>
    </row>
    <row r="2583" spans="1:12" x14ac:dyDescent="0.25">
      <c r="A2583">
        <f>80563162*0.00001</f>
        <v>805.63162000000011</v>
      </c>
      <c r="B2583">
        <v>3503</v>
      </c>
      <c r="C2583">
        <v>41</v>
      </c>
      <c r="D2583" s="1">
        <f>241.757</f>
        <v>241.75700000000001</v>
      </c>
      <c r="E2583">
        <v>5118</v>
      </c>
      <c r="F2583">
        <v>1612</v>
      </c>
      <c r="G2583">
        <v>1</v>
      </c>
      <c r="H2583">
        <v>0.2</v>
      </c>
      <c r="I2583">
        <v>0</v>
      </c>
      <c r="J2583">
        <v>14.498900000000001</v>
      </c>
      <c r="K2583">
        <v>516.32899999999995</v>
      </c>
      <c r="L2583">
        <v>0</v>
      </c>
    </row>
    <row r="2584" spans="1:12" x14ac:dyDescent="0.25">
      <c r="A2584">
        <f>80563300*0.00001</f>
        <v>805.63300000000004</v>
      </c>
      <c r="B2584">
        <v>3503</v>
      </c>
      <c r="C2584">
        <v>42</v>
      </c>
      <c r="D2584" s="1">
        <f>241.759</f>
        <v>241.75899999999999</v>
      </c>
      <c r="E2584" s="1">
        <f>5119</f>
        <v>5119</v>
      </c>
      <c r="F2584" s="1">
        <f>1612</f>
        <v>1612</v>
      </c>
      <c r="G2584" s="1">
        <f>1</f>
        <v>1</v>
      </c>
      <c r="H2584" s="1">
        <f>0.2</f>
        <v>0.2</v>
      </c>
      <c r="I2584" s="1">
        <f>0</f>
        <v>0</v>
      </c>
      <c r="J2584" s="1">
        <f>14.9421</f>
        <v>14.9421</v>
      </c>
      <c r="K2584" s="1">
        <f>516.345</f>
        <v>516.34500000000003</v>
      </c>
      <c r="L2584" s="1">
        <f>0</f>
        <v>0</v>
      </c>
    </row>
    <row r="2585" spans="1:12" x14ac:dyDescent="0.25">
      <c r="A2585">
        <f>80564264*0.00001</f>
        <v>805.64264000000003</v>
      </c>
      <c r="B2585">
        <v>3503</v>
      </c>
      <c r="C2585">
        <v>49</v>
      </c>
      <c r="D2585">
        <v>241.75899999999999</v>
      </c>
      <c r="E2585">
        <v>5119</v>
      </c>
      <c r="F2585">
        <v>1612</v>
      </c>
      <c r="G2585">
        <v>1</v>
      </c>
      <c r="H2585">
        <v>0.2</v>
      </c>
      <c r="I2585">
        <v>0</v>
      </c>
      <c r="J2585">
        <v>14.9421</v>
      </c>
      <c r="K2585" s="1">
        <f>516.366</f>
        <v>516.36599999999999</v>
      </c>
      <c r="L2585" s="1">
        <f>0</f>
        <v>0</v>
      </c>
    </row>
    <row r="2586" spans="1:12" x14ac:dyDescent="0.25">
      <c r="A2586">
        <f>80564401*0.00001</f>
        <v>805.64401000000009</v>
      </c>
      <c r="B2586">
        <v>3503</v>
      </c>
      <c r="C2586">
        <v>50</v>
      </c>
      <c r="D2586" s="1">
        <f>241.76</f>
        <v>241.76</v>
      </c>
      <c r="E2586" s="1">
        <f>5120</f>
        <v>5120</v>
      </c>
      <c r="F2586">
        <v>1612</v>
      </c>
      <c r="G2586">
        <v>1</v>
      </c>
      <c r="H2586">
        <v>0.2</v>
      </c>
      <c r="I2586">
        <v>0</v>
      </c>
      <c r="J2586">
        <v>14.9421</v>
      </c>
      <c r="K2586">
        <v>516.36599999999999</v>
      </c>
      <c r="L2586">
        <v>0</v>
      </c>
    </row>
    <row r="2587" spans="1:12" x14ac:dyDescent="0.25">
      <c r="A2587">
        <f>80564538*0.00001</f>
        <v>805.64538000000005</v>
      </c>
      <c r="B2587">
        <v>3503</v>
      </c>
      <c r="C2587">
        <v>51</v>
      </c>
      <c r="D2587">
        <v>241.76</v>
      </c>
      <c r="E2587">
        <v>5120</v>
      </c>
      <c r="F2587" s="1">
        <f>1612</f>
        <v>1612</v>
      </c>
      <c r="G2587" s="1">
        <f>1</f>
        <v>1</v>
      </c>
      <c r="H2587">
        <v>0.2</v>
      </c>
      <c r="I2587">
        <v>0</v>
      </c>
      <c r="J2587">
        <v>14.9421</v>
      </c>
      <c r="K2587">
        <v>516.36599999999999</v>
      </c>
      <c r="L2587">
        <v>0</v>
      </c>
    </row>
    <row r="2588" spans="1:12" x14ac:dyDescent="0.25">
      <c r="A2588">
        <f>80564675*0.00001</f>
        <v>805.64675000000011</v>
      </c>
      <c r="B2588">
        <v>3503</v>
      </c>
      <c r="C2588">
        <v>52</v>
      </c>
      <c r="D2588">
        <v>241.76</v>
      </c>
      <c r="E2588">
        <v>5120</v>
      </c>
      <c r="F2588">
        <v>1612</v>
      </c>
      <c r="G2588">
        <v>1</v>
      </c>
      <c r="H2588" s="1">
        <f>0.2</f>
        <v>0.2</v>
      </c>
      <c r="I2588" s="1">
        <f>0</f>
        <v>0</v>
      </c>
      <c r="J2588">
        <v>14.9421</v>
      </c>
      <c r="K2588">
        <v>516.36599999999999</v>
      </c>
      <c r="L2588">
        <v>0</v>
      </c>
    </row>
    <row r="2589" spans="1:12" x14ac:dyDescent="0.25">
      <c r="A2589">
        <f>80564812*0.00001</f>
        <v>805.64812000000006</v>
      </c>
      <c r="B2589">
        <v>3503</v>
      </c>
      <c r="C2589">
        <v>53</v>
      </c>
      <c r="D2589">
        <v>241.76</v>
      </c>
      <c r="E2589">
        <v>5120</v>
      </c>
      <c r="F2589">
        <v>1612</v>
      </c>
      <c r="G2589">
        <v>1</v>
      </c>
      <c r="H2589">
        <v>0.2</v>
      </c>
      <c r="I2589">
        <v>0</v>
      </c>
      <c r="J2589" s="1">
        <f>15.1154</f>
        <v>15.115399999999999</v>
      </c>
      <c r="K2589" s="1">
        <f>516.382</f>
        <v>516.38199999999995</v>
      </c>
      <c r="L2589">
        <v>0</v>
      </c>
    </row>
    <row r="2590" spans="1:12" x14ac:dyDescent="0.25">
      <c r="A2590">
        <f>80564949*0.00001</f>
        <v>805.64949000000001</v>
      </c>
      <c r="B2590">
        <v>3503</v>
      </c>
      <c r="C2590">
        <v>54</v>
      </c>
      <c r="D2590" s="1">
        <f>241.762</f>
        <v>241.762</v>
      </c>
      <c r="E2590">
        <v>5120</v>
      </c>
      <c r="F2590">
        <v>1612</v>
      </c>
      <c r="G2590">
        <v>1</v>
      </c>
      <c r="H2590">
        <v>0.2</v>
      </c>
      <c r="I2590">
        <v>0</v>
      </c>
      <c r="J2590">
        <v>15.115399999999999</v>
      </c>
      <c r="K2590">
        <v>516.38199999999995</v>
      </c>
      <c r="L2590">
        <v>0</v>
      </c>
    </row>
    <row r="2591" spans="1:12" x14ac:dyDescent="0.25">
      <c r="A2591">
        <f>80565086*0.00001</f>
        <v>805.65086000000008</v>
      </c>
      <c r="B2591">
        <v>3503</v>
      </c>
      <c r="C2591">
        <v>55</v>
      </c>
      <c r="D2591">
        <v>241.762</v>
      </c>
      <c r="E2591">
        <v>5120</v>
      </c>
      <c r="F2591" s="1">
        <f>1612</f>
        <v>1612</v>
      </c>
      <c r="G2591">
        <v>1</v>
      </c>
      <c r="H2591">
        <v>0.2</v>
      </c>
      <c r="I2591">
        <v>0</v>
      </c>
      <c r="J2591">
        <v>15.115399999999999</v>
      </c>
      <c r="K2591">
        <v>516.38199999999995</v>
      </c>
      <c r="L2591">
        <v>0</v>
      </c>
    </row>
    <row r="2592" spans="1:12" x14ac:dyDescent="0.25">
      <c r="A2592">
        <f>80565223*0.00001</f>
        <v>805.65223000000003</v>
      </c>
      <c r="B2592">
        <v>3503</v>
      </c>
      <c r="C2592">
        <v>56</v>
      </c>
      <c r="D2592">
        <v>241.762</v>
      </c>
      <c r="E2592">
        <v>5120</v>
      </c>
      <c r="F2592">
        <v>1612</v>
      </c>
      <c r="G2592">
        <v>1</v>
      </c>
      <c r="H2592" s="1">
        <f>0.2</f>
        <v>0.2</v>
      </c>
      <c r="I2592">
        <v>0</v>
      </c>
      <c r="J2592">
        <v>15.115399999999999</v>
      </c>
      <c r="K2592">
        <v>516.38199999999995</v>
      </c>
      <c r="L2592">
        <v>0</v>
      </c>
    </row>
    <row r="2593" spans="1:12" x14ac:dyDescent="0.25">
      <c r="A2593">
        <f>80565361*0.00001</f>
        <v>805.65361000000007</v>
      </c>
      <c r="B2593">
        <v>3503</v>
      </c>
      <c r="C2593">
        <v>57</v>
      </c>
      <c r="D2593">
        <v>241.762</v>
      </c>
      <c r="E2593">
        <v>5120</v>
      </c>
      <c r="F2593">
        <v>1612</v>
      </c>
      <c r="G2593">
        <v>1</v>
      </c>
      <c r="H2593">
        <v>0.2</v>
      </c>
      <c r="I2593">
        <v>0</v>
      </c>
      <c r="J2593" s="1">
        <f>15.2395</f>
        <v>15.2395</v>
      </c>
      <c r="K2593">
        <v>516.38199999999995</v>
      </c>
      <c r="L2593">
        <v>0</v>
      </c>
    </row>
    <row r="2594" spans="1:12" x14ac:dyDescent="0.25">
      <c r="A2594">
        <f>80565499*0.00001</f>
        <v>805.65499000000011</v>
      </c>
      <c r="B2594">
        <v>3503</v>
      </c>
      <c r="C2594">
        <v>58</v>
      </c>
      <c r="D2594" s="1">
        <f>241.763</f>
        <v>241.76300000000001</v>
      </c>
      <c r="E2594" s="1">
        <f>5123</f>
        <v>5123</v>
      </c>
      <c r="F2594" s="1">
        <f>1612</f>
        <v>1612</v>
      </c>
      <c r="G2594" s="1">
        <f>1</f>
        <v>1</v>
      </c>
      <c r="H2594" s="1">
        <f>0.2</f>
        <v>0.2</v>
      </c>
      <c r="I2594" s="1">
        <f>0</f>
        <v>0</v>
      </c>
      <c r="J2594" s="1">
        <f>15.3889</f>
        <v>15.3889</v>
      </c>
      <c r="K2594" s="1">
        <f>516.42</f>
        <v>516.41999999999996</v>
      </c>
      <c r="L2594" s="1">
        <f>0</f>
        <v>0</v>
      </c>
    </row>
    <row r="2595" spans="1:12" x14ac:dyDescent="0.25">
      <c r="A2595">
        <f>80566461*0.00001</f>
        <v>805.66461000000004</v>
      </c>
      <c r="B2595">
        <v>3503</v>
      </c>
      <c r="C2595">
        <v>65</v>
      </c>
      <c r="D2595">
        <v>241.76300000000001</v>
      </c>
      <c r="E2595">
        <v>5123</v>
      </c>
      <c r="F2595">
        <v>1612</v>
      </c>
      <c r="G2595">
        <v>1</v>
      </c>
      <c r="H2595" s="1">
        <f>0.2</f>
        <v>0.2</v>
      </c>
      <c r="I2595" s="1">
        <f>0</f>
        <v>0</v>
      </c>
      <c r="J2595">
        <v>15.3889</v>
      </c>
      <c r="K2595">
        <v>516.41999999999996</v>
      </c>
      <c r="L2595">
        <v>0</v>
      </c>
    </row>
    <row r="2596" spans="1:12" x14ac:dyDescent="0.25">
      <c r="A2596">
        <f>80566598*0.00001</f>
        <v>805.6659800000001</v>
      </c>
      <c r="B2596">
        <v>3503</v>
      </c>
      <c r="C2596">
        <v>66</v>
      </c>
      <c r="D2596">
        <v>241.76300000000001</v>
      </c>
      <c r="E2596">
        <v>5123</v>
      </c>
      <c r="F2596">
        <v>1612</v>
      </c>
      <c r="G2596">
        <v>1</v>
      </c>
      <c r="H2596">
        <v>0.2</v>
      </c>
      <c r="I2596">
        <v>0</v>
      </c>
      <c r="J2596" s="1">
        <f>15.5379</f>
        <v>15.5379</v>
      </c>
      <c r="K2596" s="1">
        <f>516.437</f>
        <v>516.43700000000001</v>
      </c>
      <c r="L2596">
        <v>0</v>
      </c>
    </row>
    <row r="2597" spans="1:12" x14ac:dyDescent="0.25">
      <c r="A2597">
        <f>80566735*0.00001</f>
        <v>805.66735000000006</v>
      </c>
      <c r="B2597">
        <v>3503</v>
      </c>
      <c r="C2597">
        <v>67</v>
      </c>
      <c r="D2597" s="1">
        <f>241.764</f>
        <v>241.76400000000001</v>
      </c>
      <c r="E2597">
        <v>5123</v>
      </c>
      <c r="F2597">
        <v>1612</v>
      </c>
      <c r="G2597">
        <v>1</v>
      </c>
      <c r="H2597">
        <v>0.2</v>
      </c>
      <c r="I2597">
        <v>0</v>
      </c>
      <c r="J2597">
        <v>15.5379</v>
      </c>
      <c r="K2597">
        <v>516.43700000000001</v>
      </c>
      <c r="L2597" s="1">
        <f>0</f>
        <v>0</v>
      </c>
    </row>
    <row r="2598" spans="1:12" x14ac:dyDescent="0.25">
      <c r="A2598">
        <f>80566872*0.00001</f>
        <v>805.66872000000012</v>
      </c>
      <c r="B2598">
        <v>3503</v>
      </c>
      <c r="C2598">
        <v>68</v>
      </c>
      <c r="D2598">
        <v>241.76400000000001</v>
      </c>
      <c r="E2598" s="1">
        <f>5124</f>
        <v>5124</v>
      </c>
      <c r="F2598" s="1">
        <f>1612</f>
        <v>1612</v>
      </c>
      <c r="G2598">
        <v>1</v>
      </c>
      <c r="H2598">
        <v>0.2</v>
      </c>
      <c r="I2598">
        <v>0</v>
      </c>
      <c r="J2598">
        <v>15.5379</v>
      </c>
      <c r="K2598">
        <v>516.43700000000001</v>
      </c>
      <c r="L2598">
        <v>0</v>
      </c>
    </row>
    <row r="2599" spans="1:12" x14ac:dyDescent="0.25">
      <c r="A2599">
        <f>80567009*0.00001</f>
        <v>805.67009000000007</v>
      </c>
      <c r="B2599">
        <v>3503</v>
      </c>
      <c r="C2599">
        <v>69</v>
      </c>
      <c r="D2599">
        <v>241.76400000000001</v>
      </c>
      <c r="E2599">
        <v>5124</v>
      </c>
      <c r="F2599">
        <v>1612</v>
      </c>
      <c r="G2599" s="1">
        <f>1</f>
        <v>1</v>
      </c>
      <c r="H2599" s="1">
        <f>0.2</f>
        <v>0.2</v>
      </c>
      <c r="I2599">
        <v>0</v>
      </c>
      <c r="J2599">
        <v>15.5379</v>
      </c>
      <c r="K2599">
        <v>516.43700000000001</v>
      </c>
      <c r="L2599">
        <v>0</v>
      </c>
    </row>
    <row r="2600" spans="1:12" x14ac:dyDescent="0.25">
      <c r="A2600">
        <f>80567146*0.00001</f>
        <v>805.67146000000002</v>
      </c>
      <c r="B2600">
        <v>3503</v>
      </c>
      <c r="C2600">
        <v>70</v>
      </c>
      <c r="D2600">
        <v>241.76400000000001</v>
      </c>
      <c r="E2600">
        <v>5124</v>
      </c>
      <c r="F2600">
        <v>1612</v>
      </c>
      <c r="G2600">
        <v>1</v>
      </c>
      <c r="H2600">
        <v>0.2</v>
      </c>
      <c r="I2600">
        <v>0</v>
      </c>
      <c r="J2600" s="1">
        <f>15.6873</f>
        <v>15.6873</v>
      </c>
      <c r="K2600">
        <v>516.43700000000001</v>
      </c>
      <c r="L2600">
        <v>0</v>
      </c>
    </row>
    <row r="2601" spans="1:12" x14ac:dyDescent="0.25">
      <c r="A2601">
        <f>80567283*0.00001</f>
        <v>805.67283000000009</v>
      </c>
      <c r="B2601">
        <v>3503</v>
      </c>
      <c r="C2601">
        <v>71</v>
      </c>
      <c r="D2601">
        <v>241.76400000000001</v>
      </c>
      <c r="E2601">
        <v>5124</v>
      </c>
      <c r="F2601">
        <v>1612</v>
      </c>
      <c r="G2601">
        <v>1</v>
      </c>
      <c r="H2601">
        <v>0.2</v>
      </c>
      <c r="I2601">
        <v>0</v>
      </c>
      <c r="J2601">
        <v>15.6873</v>
      </c>
      <c r="K2601">
        <v>516.43700000000001</v>
      </c>
      <c r="L2601" s="1">
        <f>0</f>
        <v>0</v>
      </c>
    </row>
    <row r="2602" spans="1:12" x14ac:dyDescent="0.25">
      <c r="A2602">
        <f>80567421*0.00001</f>
        <v>805.67421000000002</v>
      </c>
      <c r="B2602">
        <v>3503</v>
      </c>
      <c r="C2602">
        <v>72</v>
      </c>
      <c r="D2602">
        <v>241.76400000000001</v>
      </c>
      <c r="E2602" s="1">
        <f>5125</f>
        <v>5125</v>
      </c>
      <c r="F2602">
        <v>1612</v>
      </c>
      <c r="G2602">
        <v>1</v>
      </c>
      <c r="H2602">
        <v>0.2</v>
      </c>
      <c r="I2602">
        <v>0</v>
      </c>
      <c r="J2602">
        <v>15.6873</v>
      </c>
      <c r="K2602">
        <v>516.43700000000001</v>
      </c>
      <c r="L2602">
        <v>0</v>
      </c>
    </row>
    <row r="2603" spans="1:12" x14ac:dyDescent="0.25">
      <c r="A2603">
        <f>80567559*0.00001</f>
        <v>805.67559000000006</v>
      </c>
      <c r="B2603">
        <v>3503</v>
      </c>
      <c r="C2603">
        <v>73</v>
      </c>
      <c r="D2603">
        <v>241.76400000000001</v>
      </c>
      <c r="E2603">
        <v>5125</v>
      </c>
      <c r="F2603">
        <v>1612</v>
      </c>
      <c r="G2603" s="1">
        <f>1</f>
        <v>1</v>
      </c>
      <c r="H2603">
        <v>0.2</v>
      </c>
      <c r="I2603">
        <v>0</v>
      </c>
      <c r="J2603">
        <v>15.6873</v>
      </c>
      <c r="K2603">
        <v>516.43700000000001</v>
      </c>
      <c r="L2603">
        <v>0</v>
      </c>
    </row>
    <row r="2604" spans="1:12" x14ac:dyDescent="0.25">
      <c r="A2604">
        <f>80567697*0.00001</f>
        <v>805.6769700000001</v>
      </c>
      <c r="B2604">
        <v>3503</v>
      </c>
      <c r="C2604">
        <v>74</v>
      </c>
      <c r="D2604" s="1">
        <f>241.765</f>
        <v>241.76499999999999</v>
      </c>
      <c r="E2604" s="1">
        <f>5126</f>
        <v>5126</v>
      </c>
      <c r="F2604" s="1">
        <f>1612</f>
        <v>1612</v>
      </c>
      <c r="G2604" s="1">
        <f>1</f>
        <v>1</v>
      </c>
      <c r="H2604" s="1">
        <f>0.2</f>
        <v>0.2</v>
      </c>
      <c r="I2604" s="1">
        <f>0</f>
        <v>0</v>
      </c>
      <c r="J2604" s="1">
        <f>15.9862</f>
        <v>15.9862</v>
      </c>
      <c r="K2604" s="1">
        <f>516.494</f>
        <v>516.49400000000003</v>
      </c>
      <c r="L2604" s="1">
        <f>0</f>
        <v>0</v>
      </c>
    </row>
    <row r="2605" spans="1:12" x14ac:dyDescent="0.25">
      <c r="A2605">
        <f>80568658*0.00001</f>
        <v>805.68658000000005</v>
      </c>
      <c r="B2605">
        <v>3503</v>
      </c>
      <c r="C2605">
        <v>81</v>
      </c>
      <c r="D2605">
        <v>241.76499999999999</v>
      </c>
      <c r="E2605" s="1">
        <f>5127</f>
        <v>5127</v>
      </c>
      <c r="F2605" s="1">
        <f>1612</f>
        <v>1612</v>
      </c>
      <c r="G2605">
        <v>1</v>
      </c>
      <c r="H2605">
        <v>0.2</v>
      </c>
      <c r="I2605">
        <v>0</v>
      </c>
      <c r="J2605">
        <v>15.9862</v>
      </c>
      <c r="K2605">
        <v>516.49400000000003</v>
      </c>
      <c r="L2605">
        <v>0</v>
      </c>
    </row>
    <row r="2606" spans="1:12" x14ac:dyDescent="0.25">
      <c r="A2606">
        <f>80568795*0.00001</f>
        <v>805.68795000000011</v>
      </c>
      <c r="B2606">
        <v>3503</v>
      </c>
      <c r="C2606">
        <v>82</v>
      </c>
      <c r="D2606">
        <v>241.76499999999999</v>
      </c>
      <c r="E2606">
        <v>5127</v>
      </c>
      <c r="F2606">
        <v>1612</v>
      </c>
      <c r="G2606" s="1">
        <f>1</f>
        <v>1</v>
      </c>
      <c r="H2606" s="1">
        <f>0.2</f>
        <v>0.2</v>
      </c>
      <c r="I2606">
        <v>0</v>
      </c>
      <c r="J2606">
        <v>15.9862</v>
      </c>
      <c r="K2606">
        <v>516.49400000000003</v>
      </c>
      <c r="L2606">
        <v>0</v>
      </c>
    </row>
    <row r="2607" spans="1:12" x14ac:dyDescent="0.25">
      <c r="A2607">
        <f>80568932*0.00001</f>
        <v>805.68932000000007</v>
      </c>
      <c r="B2607">
        <v>3503</v>
      </c>
      <c r="C2607">
        <v>83</v>
      </c>
      <c r="D2607">
        <v>241.76499999999999</v>
      </c>
      <c r="E2607">
        <v>5127</v>
      </c>
      <c r="F2607">
        <v>1612</v>
      </c>
      <c r="G2607">
        <v>1</v>
      </c>
      <c r="H2607">
        <v>0.2</v>
      </c>
      <c r="I2607" s="1">
        <f>0</f>
        <v>0</v>
      </c>
      <c r="J2607" s="1">
        <f>16.1361</f>
        <v>16.136099999999999</v>
      </c>
      <c r="K2607">
        <v>516.49400000000003</v>
      </c>
      <c r="L2607">
        <v>0</v>
      </c>
    </row>
    <row r="2608" spans="1:12" x14ac:dyDescent="0.25">
      <c r="A2608">
        <f>80569069*0.00001</f>
        <v>805.69069000000002</v>
      </c>
      <c r="B2608">
        <v>3503</v>
      </c>
      <c r="C2608">
        <v>84</v>
      </c>
      <c r="D2608">
        <v>241.76499999999999</v>
      </c>
      <c r="E2608">
        <v>5127</v>
      </c>
      <c r="F2608">
        <v>1612</v>
      </c>
      <c r="G2608">
        <v>1</v>
      </c>
      <c r="H2608">
        <v>0.2</v>
      </c>
      <c r="I2608">
        <v>0</v>
      </c>
      <c r="J2608">
        <v>16.136099999999999</v>
      </c>
      <c r="K2608" s="1">
        <f>516.516</f>
        <v>516.51599999999996</v>
      </c>
      <c r="L2608" s="1">
        <f>0</f>
        <v>0</v>
      </c>
    </row>
    <row r="2609" spans="1:12" x14ac:dyDescent="0.25">
      <c r="A2609">
        <f>80569207*0.00001</f>
        <v>805.69207000000006</v>
      </c>
      <c r="B2609">
        <v>3503</v>
      </c>
      <c r="C2609">
        <v>85</v>
      </c>
      <c r="D2609" s="1">
        <f>241.766</f>
        <v>241.76599999999999</v>
      </c>
      <c r="E2609" s="1">
        <f>5128</f>
        <v>5128</v>
      </c>
      <c r="F2609">
        <v>1612</v>
      </c>
      <c r="G2609">
        <v>1</v>
      </c>
      <c r="H2609">
        <v>0.2</v>
      </c>
      <c r="I2609">
        <v>0</v>
      </c>
      <c r="J2609">
        <v>16.136099999999999</v>
      </c>
      <c r="K2609">
        <v>516.51599999999996</v>
      </c>
      <c r="L2609">
        <v>0</v>
      </c>
    </row>
    <row r="2610" spans="1:12" x14ac:dyDescent="0.25">
      <c r="A2610">
        <f>80569344*0.00001</f>
        <v>805.69344000000001</v>
      </c>
      <c r="B2610">
        <v>3503</v>
      </c>
      <c r="C2610">
        <v>86</v>
      </c>
      <c r="D2610">
        <v>241.76599999999999</v>
      </c>
      <c r="E2610">
        <v>5128</v>
      </c>
      <c r="F2610">
        <v>1612</v>
      </c>
      <c r="G2610" s="1">
        <f>1</f>
        <v>1</v>
      </c>
      <c r="H2610">
        <v>0.2</v>
      </c>
      <c r="I2610">
        <v>0</v>
      </c>
      <c r="J2610">
        <v>16.136099999999999</v>
      </c>
      <c r="K2610">
        <v>516.51599999999996</v>
      </c>
      <c r="L2610">
        <v>0</v>
      </c>
    </row>
    <row r="2611" spans="1:12" x14ac:dyDescent="0.25">
      <c r="A2611">
        <f>80569482*0.00001</f>
        <v>805.69482000000005</v>
      </c>
      <c r="B2611">
        <v>3503</v>
      </c>
      <c r="C2611">
        <v>87</v>
      </c>
      <c r="D2611">
        <v>241.76599999999999</v>
      </c>
      <c r="E2611">
        <v>5128</v>
      </c>
      <c r="F2611">
        <v>1612</v>
      </c>
      <c r="G2611">
        <v>1</v>
      </c>
      <c r="H2611">
        <v>0.2</v>
      </c>
      <c r="I2611" s="1">
        <f>0</f>
        <v>0</v>
      </c>
      <c r="J2611">
        <v>16.136099999999999</v>
      </c>
      <c r="K2611">
        <v>516.51599999999996</v>
      </c>
      <c r="L2611">
        <v>0</v>
      </c>
    </row>
    <row r="2612" spans="1:12" x14ac:dyDescent="0.25">
      <c r="A2612">
        <f>80569620*0.00001</f>
        <v>805.69620000000009</v>
      </c>
      <c r="B2612">
        <v>3503</v>
      </c>
      <c r="C2612">
        <v>88</v>
      </c>
      <c r="D2612">
        <v>241.76599999999999</v>
      </c>
      <c r="E2612">
        <v>5128</v>
      </c>
      <c r="F2612">
        <v>1612</v>
      </c>
      <c r="G2612">
        <v>1</v>
      </c>
      <c r="H2612">
        <v>0.2</v>
      </c>
      <c r="I2612">
        <v>0</v>
      </c>
      <c r="J2612">
        <v>16.136099999999999</v>
      </c>
      <c r="K2612" s="1">
        <f>516.534</f>
        <v>516.53399999999999</v>
      </c>
      <c r="L2612">
        <v>0</v>
      </c>
    </row>
    <row r="2613" spans="1:12" x14ac:dyDescent="0.25">
      <c r="A2613">
        <f>80569758*0.00001</f>
        <v>805.69758000000002</v>
      </c>
      <c r="B2613">
        <v>3503</v>
      </c>
      <c r="C2613">
        <v>89</v>
      </c>
      <c r="D2613" s="1">
        <f>241.766</f>
        <v>241.76599999999999</v>
      </c>
      <c r="E2613">
        <v>5128</v>
      </c>
      <c r="F2613">
        <v>1612</v>
      </c>
      <c r="G2613">
        <v>1</v>
      </c>
      <c r="H2613">
        <v>0.2</v>
      </c>
      <c r="I2613">
        <v>0</v>
      </c>
      <c r="J2613">
        <v>16.136099999999999</v>
      </c>
      <c r="K2613">
        <v>516.53399999999999</v>
      </c>
      <c r="L2613">
        <v>0</v>
      </c>
    </row>
    <row r="2614" spans="1:12" x14ac:dyDescent="0.25">
      <c r="A2614">
        <f>80569896*0.00001</f>
        <v>805.69896000000006</v>
      </c>
      <c r="B2614">
        <v>3503</v>
      </c>
      <c r="C2614">
        <v>90</v>
      </c>
      <c r="D2614" s="1">
        <f>241.766</f>
        <v>241.76599999999999</v>
      </c>
      <c r="E2614" s="1">
        <f>5130</f>
        <v>5130</v>
      </c>
      <c r="F2614" s="1">
        <f>1612</f>
        <v>1612</v>
      </c>
      <c r="G2614" s="1">
        <f>1</f>
        <v>1</v>
      </c>
      <c r="H2614" s="1">
        <f>0.2</f>
        <v>0.2</v>
      </c>
      <c r="I2614" s="1">
        <f>0</f>
        <v>0</v>
      </c>
      <c r="J2614" s="1">
        <f>16.5854</f>
        <v>16.5854</v>
      </c>
      <c r="K2614" s="1">
        <f>516.552</f>
        <v>516.55200000000002</v>
      </c>
      <c r="L2614" s="1">
        <f>0</f>
        <v>0</v>
      </c>
    </row>
    <row r="2615" spans="1:12" x14ac:dyDescent="0.25">
      <c r="A2615">
        <f>80570856*0.00001</f>
        <v>805.70856000000003</v>
      </c>
      <c r="B2615">
        <v>3503</v>
      </c>
      <c r="C2615">
        <v>97</v>
      </c>
      <c r="D2615">
        <v>241.76599999999999</v>
      </c>
      <c r="E2615">
        <v>5130</v>
      </c>
      <c r="F2615">
        <v>1612</v>
      </c>
      <c r="G2615">
        <v>1</v>
      </c>
      <c r="H2615">
        <v>0.2</v>
      </c>
      <c r="I2615">
        <v>0</v>
      </c>
      <c r="J2615">
        <v>16.5854</v>
      </c>
      <c r="K2615" s="1">
        <f>516.575</f>
        <v>516.57500000000005</v>
      </c>
      <c r="L2615" s="1">
        <f>0</f>
        <v>0</v>
      </c>
    </row>
    <row r="2616" spans="1:12" x14ac:dyDescent="0.25">
      <c r="A2616">
        <f>80570993*0.00001</f>
        <v>805.7099300000001</v>
      </c>
      <c r="B2616">
        <v>3503</v>
      </c>
      <c r="C2616">
        <v>98</v>
      </c>
      <c r="D2616" s="1">
        <f>241.766</f>
        <v>241.76599999999999</v>
      </c>
      <c r="E2616" s="1">
        <f>5131</f>
        <v>5131</v>
      </c>
      <c r="F2616">
        <v>1612</v>
      </c>
      <c r="G2616">
        <v>1</v>
      </c>
      <c r="H2616">
        <v>0.2</v>
      </c>
      <c r="I2616">
        <v>0</v>
      </c>
      <c r="J2616">
        <v>16.5854</v>
      </c>
      <c r="K2616">
        <v>516.57500000000005</v>
      </c>
      <c r="L2616">
        <v>0</v>
      </c>
    </row>
    <row r="2617" spans="1:12" x14ac:dyDescent="0.25">
      <c r="A2617">
        <f>80571131*0.00001</f>
        <v>805.71131000000003</v>
      </c>
      <c r="B2617">
        <v>3503</v>
      </c>
      <c r="C2617">
        <v>99</v>
      </c>
      <c r="D2617">
        <v>241.76599999999999</v>
      </c>
      <c r="E2617">
        <v>5131</v>
      </c>
      <c r="F2617" s="1">
        <f>1612</f>
        <v>1612</v>
      </c>
      <c r="G2617" s="1">
        <f>1</f>
        <v>1</v>
      </c>
      <c r="H2617">
        <v>0.2</v>
      </c>
      <c r="I2617">
        <v>0</v>
      </c>
      <c r="J2617">
        <v>16.5854</v>
      </c>
      <c r="K2617">
        <v>516.57500000000005</v>
      </c>
      <c r="L2617">
        <v>0</v>
      </c>
    </row>
    <row r="2618" spans="1:12" x14ac:dyDescent="0.25">
      <c r="A2618">
        <f>80571269*0.00001</f>
        <v>805.71269000000007</v>
      </c>
      <c r="B2618">
        <v>3503</v>
      </c>
      <c r="C2618">
        <v>100</v>
      </c>
      <c r="D2618">
        <v>241.76599999999999</v>
      </c>
      <c r="E2618">
        <v>5131</v>
      </c>
      <c r="F2618">
        <v>1612</v>
      </c>
      <c r="G2618">
        <v>1</v>
      </c>
      <c r="H2618" s="1">
        <f>0.2</f>
        <v>0.2</v>
      </c>
      <c r="I2618" s="1">
        <f>0</f>
        <v>0</v>
      </c>
      <c r="J2618">
        <v>16.5854</v>
      </c>
      <c r="K2618">
        <v>516.57500000000005</v>
      </c>
      <c r="L2618">
        <v>0</v>
      </c>
    </row>
    <row r="2619" spans="1:12" x14ac:dyDescent="0.25">
      <c r="A2619">
        <f>80571406*0.00001</f>
        <v>805.71406000000002</v>
      </c>
      <c r="B2619">
        <v>3503</v>
      </c>
      <c r="C2619">
        <v>101</v>
      </c>
      <c r="D2619">
        <v>241.76599999999999</v>
      </c>
      <c r="E2619">
        <v>5131</v>
      </c>
      <c r="F2619">
        <v>1612</v>
      </c>
      <c r="G2619">
        <v>1</v>
      </c>
      <c r="H2619">
        <v>0.2</v>
      </c>
      <c r="I2619">
        <v>0</v>
      </c>
      <c r="J2619" s="1">
        <f>16.7603</f>
        <v>16.760300000000001</v>
      </c>
      <c r="K2619" s="1">
        <f>516.593</f>
        <v>516.59299999999996</v>
      </c>
      <c r="L2619">
        <v>0</v>
      </c>
    </row>
    <row r="2620" spans="1:12" x14ac:dyDescent="0.25">
      <c r="A2620">
        <f>80571544*0.00001</f>
        <v>805.71544000000006</v>
      </c>
      <c r="B2620">
        <v>3503</v>
      </c>
      <c r="C2620">
        <v>102</v>
      </c>
      <c r="D2620" s="1">
        <f>241.76</f>
        <v>241.76</v>
      </c>
      <c r="E2620">
        <v>5131</v>
      </c>
      <c r="F2620">
        <v>1612</v>
      </c>
      <c r="G2620">
        <v>1</v>
      </c>
      <c r="H2620">
        <v>0.2</v>
      </c>
      <c r="I2620">
        <v>0</v>
      </c>
      <c r="J2620">
        <v>16.760300000000001</v>
      </c>
      <c r="K2620">
        <v>516.59299999999996</v>
      </c>
      <c r="L2620">
        <v>0</v>
      </c>
    </row>
    <row r="2621" spans="1:12" x14ac:dyDescent="0.25">
      <c r="A2621">
        <f>80571682*0.00001</f>
        <v>805.7168200000001</v>
      </c>
      <c r="B2621">
        <v>3503</v>
      </c>
      <c r="C2621">
        <v>103</v>
      </c>
      <c r="D2621">
        <v>241.76</v>
      </c>
      <c r="E2621">
        <v>5131</v>
      </c>
      <c r="F2621" s="1">
        <f>1612</f>
        <v>1612</v>
      </c>
      <c r="G2621">
        <v>1</v>
      </c>
      <c r="H2621">
        <v>0.2</v>
      </c>
      <c r="I2621">
        <v>0</v>
      </c>
      <c r="J2621">
        <v>16.760300000000001</v>
      </c>
      <c r="K2621">
        <v>516.59299999999996</v>
      </c>
      <c r="L2621">
        <v>0</v>
      </c>
    </row>
    <row r="2622" spans="1:12" x14ac:dyDescent="0.25">
      <c r="A2622">
        <f>80571820*0.00001</f>
        <v>805.71820000000002</v>
      </c>
      <c r="B2622">
        <v>3503</v>
      </c>
      <c r="C2622">
        <v>104</v>
      </c>
      <c r="D2622">
        <v>241.76</v>
      </c>
      <c r="E2622">
        <v>5131</v>
      </c>
      <c r="F2622">
        <v>1612</v>
      </c>
      <c r="G2622">
        <v>1</v>
      </c>
      <c r="H2622" s="1">
        <f>0.2</f>
        <v>0.2</v>
      </c>
      <c r="I2622">
        <v>0</v>
      </c>
      <c r="J2622">
        <v>16.760300000000001</v>
      </c>
      <c r="K2622">
        <v>516.59299999999996</v>
      </c>
      <c r="L2622">
        <v>0</v>
      </c>
    </row>
    <row r="2623" spans="1:12" x14ac:dyDescent="0.25">
      <c r="A2623">
        <f>80571957*0.00001</f>
        <v>805.71957000000009</v>
      </c>
      <c r="B2623">
        <v>3503</v>
      </c>
      <c r="C2623">
        <v>105</v>
      </c>
      <c r="D2623">
        <v>241.76</v>
      </c>
      <c r="E2623">
        <v>5131</v>
      </c>
      <c r="F2623">
        <v>1612</v>
      </c>
      <c r="G2623">
        <v>1</v>
      </c>
      <c r="H2623">
        <v>0.2</v>
      </c>
      <c r="I2623">
        <v>0</v>
      </c>
      <c r="J2623" s="1">
        <f>16.8848</f>
        <v>16.884799999999998</v>
      </c>
      <c r="K2623">
        <v>516.59299999999996</v>
      </c>
      <c r="L2623">
        <v>0</v>
      </c>
    </row>
    <row r="2624" spans="1:12" x14ac:dyDescent="0.25">
      <c r="A2624">
        <f>80572094*0.00001</f>
        <v>805.72094000000004</v>
      </c>
      <c r="B2624">
        <v>3503</v>
      </c>
      <c r="C2624">
        <v>106</v>
      </c>
      <c r="D2624" s="1">
        <f>241.767</f>
        <v>241.767</v>
      </c>
      <c r="E2624" s="1">
        <f>5134</f>
        <v>5134</v>
      </c>
      <c r="F2624" s="1">
        <f>1612</f>
        <v>1612</v>
      </c>
      <c r="G2624" s="1">
        <f>1</f>
        <v>1</v>
      </c>
      <c r="H2624" s="1">
        <f>0.2</f>
        <v>0.2</v>
      </c>
      <c r="I2624" s="1">
        <f>0</f>
        <v>0</v>
      </c>
      <c r="J2624" s="1">
        <f>17.0348</f>
        <v>17.034800000000001</v>
      </c>
      <c r="K2624" s="1">
        <f>516.635</f>
        <v>516.63499999999999</v>
      </c>
      <c r="L2624" s="1">
        <f>0</f>
        <v>0</v>
      </c>
    </row>
    <row r="2625" spans="1:12" x14ac:dyDescent="0.25">
      <c r="A2625">
        <f>80573054*0.00001</f>
        <v>805.73054000000002</v>
      </c>
      <c r="B2625">
        <v>3503</v>
      </c>
      <c r="C2625">
        <v>113</v>
      </c>
      <c r="D2625">
        <v>241.767</v>
      </c>
      <c r="E2625">
        <v>5134</v>
      </c>
      <c r="F2625">
        <v>1612</v>
      </c>
      <c r="G2625">
        <v>1</v>
      </c>
      <c r="H2625" s="1">
        <f>0.2</f>
        <v>0.2</v>
      </c>
      <c r="I2625" s="1">
        <f>0</f>
        <v>0</v>
      </c>
      <c r="J2625">
        <v>17.034800000000001</v>
      </c>
      <c r="K2625">
        <v>516.63499999999999</v>
      </c>
      <c r="L2625">
        <v>0</v>
      </c>
    </row>
    <row r="2626" spans="1:12" x14ac:dyDescent="0.25">
      <c r="A2626">
        <f>80573191*0.00001</f>
        <v>805.73191000000008</v>
      </c>
      <c r="B2626">
        <v>3503</v>
      </c>
      <c r="C2626">
        <v>114</v>
      </c>
      <c r="D2626">
        <v>241.767</v>
      </c>
      <c r="E2626">
        <v>5134</v>
      </c>
      <c r="F2626">
        <v>1612</v>
      </c>
      <c r="G2626">
        <v>1</v>
      </c>
      <c r="H2626">
        <v>0.2</v>
      </c>
      <c r="I2626">
        <v>0</v>
      </c>
      <c r="J2626" s="1">
        <f>17.1505</f>
        <v>17.150500000000001</v>
      </c>
      <c r="K2626" s="1">
        <f>516.654</f>
        <v>516.654</v>
      </c>
      <c r="L2626">
        <v>0</v>
      </c>
    </row>
    <row r="2627" spans="1:12" x14ac:dyDescent="0.25">
      <c r="A2627">
        <f>80573328*0.00001</f>
        <v>805.73328000000004</v>
      </c>
      <c r="B2627">
        <v>3503</v>
      </c>
      <c r="C2627">
        <v>115</v>
      </c>
      <c r="D2627" s="1">
        <f>241.817</f>
        <v>241.81700000000001</v>
      </c>
      <c r="E2627">
        <v>5134</v>
      </c>
      <c r="F2627">
        <v>1612</v>
      </c>
      <c r="G2627">
        <v>1</v>
      </c>
      <c r="H2627">
        <v>0.2</v>
      </c>
      <c r="I2627">
        <v>0</v>
      </c>
      <c r="J2627">
        <v>17.150500000000001</v>
      </c>
      <c r="K2627">
        <v>516.654</v>
      </c>
      <c r="L2627" s="1">
        <f>0</f>
        <v>0</v>
      </c>
    </row>
    <row r="2628" spans="1:12" x14ac:dyDescent="0.25">
      <c r="A2628">
        <f>80573465*0.00001</f>
        <v>805.7346500000001</v>
      </c>
      <c r="B2628">
        <v>3503</v>
      </c>
      <c r="C2628">
        <v>116</v>
      </c>
      <c r="D2628">
        <v>241.81700000000001</v>
      </c>
      <c r="E2628" s="1">
        <f>5133</f>
        <v>5133</v>
      </c>
      <c r="F2628" s="1">
        <f>1612</f>
        <v>1612</v>
      </c>
      <c r="G2628">
        <v>1</v>
      </c>
      <c r="H2628">
        <v>0.2</v>
      </c>
      <c r="I2628">
        <v>0</v>
      </c>
      <c r="J2628">
        <v>17.150500000000001</v>
      </c>
      <c r="K2628">
        <v>516.654</v>
      </c>
      <c r="L2628">
        <v>0</v>
      </c>
    </row>
    <row r="2629" spans="1:12" x14ac:dyDescent="0.25">
      <c r="A2629">
        <f>80573603*0.00001</f>
        <v>805.73603000000003</v>
      </c>
      <c r="B2629">
        <v>3503</v>
      </c>
      <c r="C2629">
        <v>117</v>
      </c>
      <c r="D2629">
        <v>241.81700000000001</v>
      </c>
      <c r="E2629">
        <v>5133</v>
      </c>
      <c r="F2629">
        <v>1612</v>
      </c>
      <c r="G2629" s="1">
        <f>1</f>
        <v>1</v>
      </c>
      <c r="H2629" s="1">
        <f>0.2</f>
        <v>0.2</v>
      </c>
      <c r="I2629">
        <v>0</v>
      </c>
      <c r="J2629">
        <v>17.150500000000001</v>
      </c>
      <c r="K2629">
        <v>516.654</v>
      </c>
      <c r="L2629">
        <v>0</v>
      </c>
    </row>
    <row r="2630" spans="1:12" x14ac:dyDescent="0.25">
      <c r="A2630">
        <f>80573740*0.00001</f>
        <v>805.73740000000009</v>
      </c>
      <c r="B2630">
        <v>3503</v>
      </c>
      <c r="C2630">
        <v>118</v>
      </c>
      <c r="D2630">
        <v>241.81700000000001</v>
      </c>
      <c r="E2630">
        <v>5133</v>
      </c>
      <c r="F2630">
        <v>1612</v>
      </c>
      <c r="G2630">
        <v>1</v>
      </c>
      <c r="H2630">
        <v>0.2</v>
      </c>
      <c r="I2630">
        <v>0</v>
      </c>
      <c r="J2630" s="1">
        <f>17.2417</f>
        <v>17.241700000000002</v>
      </c>
      <c r="K2630">
        <v>516.654</v>
      </c>
      <c r="L2630">
        <v>0</v>
      </c>
    </row>
    <row r="2631" spans="1:12" x14ac:dyDescent="0.25">
      <c r="A2631">
        <f>80573877*0.00001</f>
        <v>805.73877000000005</v>
      </c>
      <c r="B2631">
        <v>3503</v>
      </c>
      <c r="C2631">
        <v>119</v>
      </c>
      <c r="D2631">
        <v>241.81700000000001</v>
      </c>
      <c r="E2631">
        <v>5133</v>
      </c>
      <c r="F2631">
        <v>1612</v>
      </c>
      <c r="G2631">
        <v>1</v>
      </c>
      <c r="H2631">
        <v>0.2</v>
      </c>
      <c r="I2631">
        <v>0</v>
      </c>
      <c r="J2631">
        <v>17.241700000000002</v>
      </c>
      <c r="K2631">
        <v>516.654</v>
      </c>
      <c r="L2631" s="1">
        <f>0</f>
        <v>0</v>
      </c>
    </row>
    <row r="2632" spans="1:12" x14ac:dyDescent="0.25">
      <c r="A2632">
        <f>80574014*0.00001</f>
        <v>805.74014000000011</v>
      </c>
      <c r="B2632">
        <v>3503</v>
      </c>
      <c r="C2632">
        <v>120</v>
      </c>
      <c r="D2632">
        <v>241.81700000000001</v>
      </c>
      <c r="E2632" s="1">
        <f>5133</f>
        <v>5133</v>
      </c>
      <c r="F2632">
        <v>1612</v>
      </c>
      <c r="G2632">
        <v>1</v>
      </c>
      <c r="H2632">
        <v>0.2</v>
      </c>
      <c r="I2632">
        <v>0</v>
      </c>
      <c r="J2632">
        <v>17.241700000000002</v>
      </c>
      <c r="K2632">
        <v>516.654</v>
      </c>
      <c r="L2632">
        <v>0</v>
      </c>
    </row>
    <row r="2633" spans="1:12" x14ac:dyDescent="0.25">
      <c r="A2633">
        <f>80574152*0.00001</f>
        <v>805.74152000000004</v>
      </c>
      <c r="B2633">
        <v>3503</v>
      </c>
      <c r="C2633">
        <v>121</v>
      </c>
      <c r="D2633">
        <v>241.81700000000001</v>
      </c>
      <c r="E2633">
        <v>5133</v>
      </c>
      <c r="F2633">
        <v>1612</v>
      </c>
      <c r="G2633" s="1">
        <f>1</f>
        <v>1</v>
      </c>
      <c r="H2633">
        <v>0.2</v>
      </c>
      <c r="I2633">
        <v>0</v>
      </c>
      <c r="J2633">
        <v>17.241700000000002</v>
      </c>
      <c r="K2633">
        <v>516.654</v>
      </c>
      <c r="L2633">
        <v>0</v>
      </c>
    </row>
    <row r="2634" spans="1:12" x14ac:dyDescent="0.25">
      <c r="A2634">
        <f>80574289*0.00001</f>
        <v>805.7428900000001</v>
      </c>
      <c r="B2634">
        <v>3503</v>
      </c>
      <c r="C2634">
        <v>122</v>
      </c>
      <c r="D2634">
        <v>241.81700000000001</v>
      </c>
      <c r="E2634">
        <v>5133</v>
      </c>
      <c r="F2634">
        <v>1612</v>
      </c>
      <c r="G2634">
        <v>1</v>
      </c>
      <c r="H2634">
        <v>0.2</v>
      </c>
      <c r="I2634" s="1">
        <f>0</f>
        <v>0</v>
      </c>
      <c r="J2634">
        <v>17.241700000000002</v>
      </c>
      <c r="K2634">
        <v>516.654</v>
      </c>
      <c r="L2634">
        <v>0</v>
      </c>
    </row>
    <row r="2635" spans="1:12" x14ac:dyDescent="0.25">
      <c r="A2635">
        <f>80574426*0.00001</f>
        <v>805.74426000000005</v>
      </c>
      <c r="B2635">
        <v>3503</v>
      </c>
      <c r="C2635">
        <v>123</v>
      </c>
      <c r="D2635" s="1">
        <f>241.949</f>
        <v>241.94900000000001</v>
      </c>
      <c r="E2635" s="1">
        <f>5133</f>
        <v>5133</v>
      </c>
      <c r="F2635" s="1">
        <f>1612</f>
        <v>1612</v>
      </c>
      <c r="G2635" s="1">
        <f>1</f>
        <v>1</v>
      </c>
      <c r="H2635" s="1">
        <f>0.2</f>
        <v>0.2</v>
      </c>
      <c r="I2635" s="1">
        <f>0</f>
        <v>0</v>
      </c>
      <c r="J2635" s="1">
        <f>17.4461</f>
        <v>17.446100000000001</v>
      </c>
      <c r="K2635" s="1">
        <f>516.716</f>
        <v>516.71600000000001</v>
      </c>
      <c r="L2635" s="1">
        <f>0</f>
        <v>0</v>
      </c>
    </row>
    <row r="2636" spans="1:12" x14ac:dyDescent="0.25">
      <c r="A2636">
        <f>80575386*0.00001</f>
        <v>805.75386000000003</v>
      </c>
      <c r="B2636">
        <v>3503</v>
      </c>
      <c r="C2636">
        <v>130</v>
      </c>
      <c r="D2636">
        <v>241.94900000000001</v>
      </c>
      <c r="E2636">
        <v>5133</v>
      </c>
      <c r="F2636">
        <v>1612</v>
      </c>
      <c r="G2636" s="1">
        <f>1</f>
        <v>1</v>
      </c>
      <c r="H2636" s="1">
        <f>0.2</f>
        <v>0.2</v>
      </c>
      <c r="I2636">
        <v>0</v>
      </c>
      <c r="J2636">
        <v>17.446100000000001</v>
      </c>
      <c r="K2636">
        <v>516.71600000000001</v>
      </c>
      <c r="L2636">
        <v>0</v>
      </c>
    </row>
    <row r="2637" spans="1:12" x14ac:dyDescent="0.25">
      <c r="A2637">
        <f>80575523*0.00001</f>
        <v>805.7552300000001</v>
      </c>
      <c r="B2637">
        <v>3503</v>
      </c>
      <c r="C2637">
        <v>131</v>
      </c>
      <c r="D2637">
        <v>241.94900000000001</v>
      </c>
      <c r="E2637">
        <v>5133</v>
      </c>
      <c r="F2637">
        <v>1612</v>
      </c>
      <c r="G2637">
        <v>1</v>
      </c>
      <c r="H2637">
        <v>0.2</v>
      </c>
      <c r="I2637" s="1">
        <f>0</f>
        <v>0</v>
      </c>
      <c r="J2637" s="1">
        <f>17.5727</f>
        <v>17.572700000000001</v>
      </c>
      <c r="K2637">
        <v>516.71600000000001</v>
      </c>
      <c r="L2637">
        <v>0</v>
      </c>
    </row>
    <row r="2638" spans="1:12" x14ac:dyDescent="0.25">
      <c r="A2638">
        <f>80575661*0.00001</f>
        <v>805.75661000000002</v>
      </c>
      <c r="B2638">
        <v>3503</v>
      </c>
      <c r="C2638">
        <v>132</v>
      </c>
      <c r="D2638">
        <v>241.94900000000001</v>
      </c>
      <c r="E2638">
        <v>5133</v>
      </c>
      <c r="F2638">
        <v>1612</v>
      </c>
      <c r="G2638">
        <v>1</v>
      </c>
      <c r="H2638">
        <v>0.2</v>
      </c>
      <c r="I2638">
        <v>0</v>
      </c>
      <c r="J2638">
        <v>17.572700000000001</v>
      </c>
      <c r="K2638" s="1">
        <f>516.74</f>
        <v>516.74</v>
      </c>
      <c r="L2638" s="1">
        <f>0</f>
        <v>0</v>
      </c>
    </row>
    <row r="2639" spans="1:12" x14ac:dyDescent="0.25">
      <c r="A2639">
        <f>80575798*0.00001</f>
        <v>805.75798000000009</v>
      </c>
      <c r="B2639">
        <v>3503</v>
      </c>
      <c r="C2639">
        <v>133</v>
      </c>
      <c r="D2639" s="1">
        <f>241.999</f>
        <v>241.999</v>
      </c>
      <c r="E2639" s="1">
        <f>5132</f>
        <v>5132</v>
      </c>
      <c r="F2639">
        <v>1612</v>
      </c>
      <c r="G2639">
        <v>1</v>
      </c>
      <c r="H2639">
        <v>0.2</v>
      </c>
      <c r="I2639">
        <v>0</v>
      </c>
      <c r="J2639">
        <v>17.572700000000001</v>
      </c>
      <c r="K2639">
        <v>516.74</v>
      </c>
      <c r="L2639">
        <v>0</v>
      </c>
    </row>
    <row r="2640" spans="1:12" x14ac:dyDescent="0.25">
      <c r="A2640">
        <f>80575935*0.00001</f>
        <v>805.75935000000004</v>
      </c>
      <c r="B2640">
        <v>3503</v>
      </c>
      <c r="C2640">
        <v>134</v>
      </c>
      <c r="D2640">
        <v>241.999</v>
      </c>
      <c r="E2640">
        <v>5132</v>
      </c>
      <c r="F2640" s="1">
        <f>1612</f>
        <v>1612</v>
      </c>
      <c r="G2640" s="1">
        <f>1</f>
        <v>1</v>
      </c>
      <c r="H2640">
        <v>0.2</v>
      </c>
      <c r="I2640">
        <v>0</v>
      </c>
      <c r="J2640">
        <v>17.572700000000001</v>
      </c>
      <c r="K2640">
        <v>516.74</v>
      </c>
      <c r="L2640">
        <v>0</v>
      </c>
    </row>
    <row r="2641" spans="1:12" x14ac:dyDescent="0.25">
      <c r="A2641">
        <f>80576072*0.00001</f>
        <v>805.76072000000011</v>
      </c>
      <c r="B2641">
        <v>3503</v>
      </c>
      <c r="C2641">
        <v>135</v>
      </c>
      <c r="D2641">
        <v>241.999</v>
      </c>
      <c r="E2641">
        <v>5132</v>
      </c>
      <c r="F2641">
        <v>1612</v>
      </c>
      <c r="G2641">
        <v>1</v>
      </c>
      <c r="H2641">
        <v>0.2</v>
      </c>
      <c r="I2641" s="1">
        <f>0</f>
        <v>0</v>
      </c>
      <c r="J2641">
        <v>17.572700000000001</v>
      </c>
      <c r="K2641">
        <v>516.74</v>
      </c>
      <c r="L2641">
        <v>0</v>
      </c>
    </row>
    <row r="2642" spans="1:12" x14ac:dyDescent="0.25">
      <c r="A2642">
        <f>80576210*0.00001</f>
        <v>805.76210000000003</v>
      </c>
      <c r="B2642">
        <v>3503</v>
      </c>
      <c r="C2642">
        <v>136</v>
      </c>
      <c r="D2642">
        <v>241.999</v>
      </c>
      <c r="E2642">
        <v>5132</v>
      </c>
      <c r="F2642">
        <v>1612</v>
      </c>
      <c r="G2642">
        <v>1</v>
      </c>
      <c r="H2642">
        <v>0.2</v>
      </c>
      <c r="I2642">
        <v>0</v>
      </c>
      <c r="J2642">
        <v>17.572700000000001</v>
      </c>
      <c r="K2642" s="1">
        <f>516.76</f>
        <v>516.76</v>
      </c>
      <c r="L2642">
        <v>0</v>
      </c>
    </row>
    <row r="2643" spans="1:12" x14ac:dyDescent="0.25">
      <c r="A2643">
        <f>80576347*0.00001</f>
        <v>805.7634700000001</v>
      </c>
      <c r="B2643">
        <v>3503</v>
      </c>
      <c r="C2643">
        <v>137</v>
      </c>
      <c r="D2643" s="1">
        <f>242.018</f>
        <v>242.018</v>
      </c>
      <c r="E2643">
        <v>5132</v>
      </c>
      <c r="F2643">
        <v>1612</v>
      </c>
      <c r="G2643">
        <v>1</v>
      </c>
      <c r="H2643">
        <v>0.2</v>
      </c>
      <c r="I2643">
        <v>0</v>
      </c>
      <c r="J2643">
        <v>17.572700000000001</v>
      </c>
      <c r="K2643">
        <v>516.76</v>
      </c>
      <c r="L2643">
        <v>0</v>
      </c>
    </row>
    <row r="2644" spans="1:12" x14ac:dyDescent="0.25">
      <c r="A2644">
        <f>80576484*0.00001</f>
        <v>805.76484000000005</v>
      </c>
      <c r="B2644">
        <v>3503</v>
      </c>
      <c r="C2644">
        <v>138</v>
      </c>
      <c r="D2644">
        <v>242.018</v>
      </c>
      <c r="E2644">
        <v>5132</v>
      </c>
      <c r="F2644" s="1">
        <f>1612</f>
        <v>1612</v>
      </c>
      <c r="G2644">
        <v>1</v>
      </c>
      <c r="H2644">
        <v>0.2</v>
      </c>
      <c r="I2644">
        <v>0</v>
      </c>
      <c r="J2644">
        <v>17.572700000000001</v>
      </c>
      <c r="K2644">
        <v>516.76</v>
      </c>
      <c r="L2644">
        <v>0</v>
      </c>
    </row>
    <row r="2645" spans="1:12" x14ac:dyDescent="0.25">
      <c r="A2645">
        <f>80576621*0.00001</f>
        <v>805.76621000000011</v>
      </c>
      <c r="B2645">
        <v>3503</v>
      </c>
      <c r="C2645">
        <v>139</v>
      </c>
      <c r="D2645" s="1">
        <f>242.039</f>
        <v>242.03899999999999</v>
      </c>
      <c r="E2645" s="1">
        <f>5133</f>
        <v>5133</v>
      </c>
      <c r="F2645" s="1">
        <f>1612</f>
        <v>1612</v>
      </c>
      <c r="G2645" s="1">
        <f>1</f>
        <v>1</v>
      </c>
      <c r="H2645" s="1">
        <f>0.2</f>
        <v>0.2</v>
      </c>
      <c r="I2645" s="1">
        <f>0</f>
        <v>0</v>
      </c>
      <c r="J2645" s="1">
        <f>17.9501</f>
        <v>17.950099999999999</v>
      </c>
      <c r="K2645" s="1">
        <f>516.804</f>
        <v>516.80399999999997</v>
      </c>
      <c r="L2645" s="1">
        <f>0</f>
        <v>0</v>
      </c>
    </row>
    <row r="2646" spans="1:12" x14ac:dyDescent="0.25">
      <c r="A2646">
        <f>80577581*0.00001</f>
        <v>805.77581000000009</v>
      </c>
      <c r="B2646">
        <v>3503</v>
      </c>
      <c r="C2646">
        <v>146</v>
      </c>
      <c r="D2646" s="1">
        <f>242.057</f>
        <v>242.05699999999999</v>
      </c>
      <c r="E2646" s="1">
        <f>5134</f>
        <v>5134</v>
      </c>
      <c r="F2646">
        <v>1612</v>
      </c>
      <c r="G2646">
        <v>1</v>
      </c>
      <c r="H2646">
        <v>0.2</v>
      </c>
      <c r="I2646">
        <v>0</v>
      </c>
      <c r="J2646">
        <v>17.950099999999999</v>
      </c>
      <c r="K2646">
        <v>516.80399999999997</v>
      </c>
      <c r="L2646">
        <v>0</v>
      </c>
    </row>
    <row r="2647" spans="1:12" x14ac:dyDescent="0.25">
      <c r="A2647">
        <f>80577719*0.00001</f>
        <v>805.77719000000002</v>
      </c>
      <c r="B2647">
        <v>3503</v>
      </c>
      <c r="C2647">
        <v>147</v>
      </c>
      <c r="D2647">
        <v>242.05699999999999</v>
      </c>
      <c r="E2647">
        <v>5134</v>
      </c>
      <c r="F2647" s="1">
        <f>1612</f>
        <v>1612</v>
      </c>
      <c r="G2647" s="1">
        <f>1</f>
        <v>1</v>
      </c>
      <c r="H2647">
        <v>0.2</v>
      </c>
      <c r="I2647">
        <v>0</v>
      </c>
      <c r="J2647">
        <v>17.950099999999999</v>
      </c>
      <c r="K2647">
        <v>516.80399999999997</v>
      </c>
      <c r="L2647">
        <v>0</v>
      </c>
    </row>
    <row r="2648" spans="1:12" x14ac:dyDescent="0.25">
      <c r="A2648">
        <f>80577856*0.00001</f>
        <v>805.77856000000008</v>
      </c>
      <c r="B2648">
        <v>3503</v>
      </c>
      <c r="C2648">
        <v>148</v>
      </c>
      <c r="D2648">
        <v>242.05699999999999</v>
      </c>
      <c r="E2648">
        <v>5134</v>
      </c>
      <c r="F2648">
        <v>1612</v>
      </c>
      <c r="G2648">
        <v>1</v>
      </c>
      <c r="H2648" s="1">
        <f>0.2</f>
        <v>0.2</v>
      </c>
      <c r="I2648" s="1">
        <f>0</f>
        <v>0</v>
      </c>
      <c r="J2648">
        <v>17.950099999999999</v>
      </c>
      <c r="K2648">
        <v>516.80399999999997</v>
      </c>
      <c r="L2648">
        <v>0</v>
      </c>
    </row>
    <row r="2649" spans="1:12" x14ac:dyDescent="0.25">
      <c r="A2649">
        <f>80577993*0.00001</f>
        <v>805.77993000000004</v>
      </c>
      <c r="B2649">
        <v>3503</v>
      </c>
      <c r="C2649">
        <v>149</v>
      </c>
      <c r="D2649">
        <v>242.05699999999999</v>
      </c>
      <c r="E2649">
        <v>5134</v>
      </c>
      <c r="F2649">
        <v>1612</v>
      </c>
      <c r="G2649">
        <v>1</v>
      </c>
      <c r="H2649">
        <v>0.2</v>
      </c>
      <c r="I2649">
        <v>0</v>
      </c>
      <c r="J2649" s="1">
        <f>18.085</f>
        <v>18.085000000000001</v>
      </c>
      <c r="K2649" s="1">
        <f>516.824</f>
        <v>516.82399999999996</v>
      </c>
      <c r="L2649">
        <v>0</v>
      </c>
    </row>
    <row r="2650" spans="1:12" x14ac:dyDescent="0.25">
      <c r="A2650">
        <f>80578130*0.00001</f>
        <v>805.7813000000001</v>
      </c>
      <c r="B2650">
        <v>3503</v>
      </c>
      <c r="C2650">
        <v>150</v>
      </c>
      <c r="D2650" s="1">
        <f>242.069</f>
        <v>242.06899999999999</v>
      </c>
      <c r="E2650">
        <v>5134</v>
      </c>
      <c r="F2650">
        <v>1612</v>
      </c>
      <c r="G2650">
        <v>1</v>
      </c>
      <c r="H2650">
        <v>0.2</v>
      </c>
      <c r="I2650">
        <v>0</v>
      </c>
      <c r="J2650">
        <v>18.085000000000001</v>
      </c>
      <c r="K2650">
        <v>516.82399999999996</v>
      </c>
      <c r="L2650" s="1">
        <f>0</f>
        <v>0</v>
      </c>
    </row>
    <row r="2651" spans="1:12" x14ac:dyDescent="0.25">
      <c r="A2651">
        <f>80578267*0.00001</f>
        <v>805.78267000000005</v>
      </c>
      <c r="B2651">
        <v>3503</v>
      </c>
      <c r="C2651">
        <v>151</v>
      </c>
      <c r="D2651">
        <v>242.06899999999999</v>
      </c>
      <c r="E2651">
        <v>5134</v>
      </c>
      <c r="F2651" s="1">
        <f>1612</f>
        <v>1612</v>
      </c>
      <c r="G2651">
        <v>1</v>
      </c>
      <c r="H2651">
        <v>0.2</v>
      </c>
      <c r="I2651">
        <v>0</v>
      </c>
      <c r="J2651">
        <v>18.085000000000001</v>
      </c>
      <c r="K2651">
        <v>516.82399999999996</v>
      </c>
      <c r="L2651">
        <v>0</v>
      </c>
    </row>
    <row r="2652" spans="1:12" x14ac:dyDescent="0.25">
      <c r="A2652">
        <f>80578404*0.00001</f>
        <v>805.78404000000012</v>
      </c>
      <c r="B2652">
        <v>3503</v>
      </c>
      <c r="C2652">
        <v>152</v>
      </c>
      <c r="D2652">
        <v>242.06899999999999</v>
      </c>
      <c r="E2652">
        <v>5134</v>
      </c>
      <c r="F2652">
        <v>1612</v>
      </c>
      <c r="G2652">
        <v>1</v>
      </c>
      <c r="H2652" s="1">
        <f>0.2</f>
        <v>0.2</v>
      </c>
      <c r="I2652">
        <v>0</v>
      </c>
      <c r="J2652">
        <v>18.085000000000001</v>
      </c>
      <c r="K2652">
        <v>516.82399999999996</v>
      </c>
      <c r="L2652">
        <v>0</v>
      </c>
    </row>
    <row r="2653" spans="1:12" x14ac:dyDescent="0.25">
      <c r="A2653">
        <f>80578541*0.00001</f>
        <v>805.78541000000007</v>
      </c>
      <c r="B2653">
        <v>3503</v>
      </c>
      <c r="C2653">
        <v>153</v>
      </c>
      <c r="D2653">
        <v>242.06899999999999</v>
      </c>
      <c r="E2653">
        <v>5134</v>
      </c>
      <c r="F2653">
        <v>1612</v>
      </c>
      <c r="G2653">
        <v>1</v>
      </c>
      <c r="H2653">
        <v>0.2</v>
      </c>
      <c r="I2653">
        <v>0</v>
      </c>
      <c r="J2653" s="1">
        <f>18.2254</f>
        <v>18.2254</v>
      </c>
      <c r="K2653">
        <v>516.82399999999996</v>
      </c>
      <c r="L2653">
        <v>0</v>
      </c>
    </row>
    <row r="2654" spans="1:12" x14ac:dyDescent="0.25">
      <c r="A2654">
        <f>80578679*0.00001</f>
        <v>805.78679000000011</v>
      </c>
      <c r="B2654">
        <v>3503</v>
      </c>
      <c r="C2654">
        <v>154</v>
      </c>
      <c r="D2654">
        <v>242.06899999999999</v>
      </c>
      <c r="E2654">
        <v>5134</v>
      </c>
      <c r="F2654">
        <v>1612</v>
      </c>
      <c r="G2654">
        <v>1</v>
      </c>
      <c r="H2654">
        <v>0.2</v>
      </c>
      <c r="I2654">
        <v>0</v>
      </c>
      <c r="J2654">
        <v>18.2254</v>
      </c>
      <c r="K2654">
        <v>516.82399999999996</v>
      </c>
      <c r="L2654" s="1">
        <f>0</f>
        <v>0</v>
      </c>
    </row>
    <row r="2655" spans="1:12" x14ac:dyDescent="0.25">
      <c r="A2655">
        <f>80578816*0.00001</f>
        <v>805.78816000000006</v>
      </c>
      <c r="B2655">
        <v>3503</v>
      </c>
      <c r="C2655">
        <v>155</v>
      </c>
      <c r="D2655">
        <v>242.06899999999999</v>
      </c>
      <c r="E2655" s="1">
        <f>5135</f>
        <v>5135</v>
      </c>
      <c r="F2655">
        <v>1612</v>
      </c>
      <c r="G2655">
        <v>1</v>
      </c>
      <c r="H2655">
        <v>0.2</v>
      </c>
      <c r="I2655">
        <v>0</v>
      </c>
      <c r="J2655">
        <v>18.2254</v>
      </c>
      <c r="K2655">
        <v>516.82399999999996</v>
      </c>
      <c r="L2655">
        <v>0</v>
      </c>
    </row>
    <row r="2656" spans="1:12" x14ac:dyDescent="0.25">
      <c r="A2656">
        <f>80578953*0.00001</f>
        <v>805.78953000000001</v>
      </c>
      <c r="B2656">
        <v>3503</v>
      </c>
      <c r="C2656">
        <v>156</v>
      </c>
      <c r="D2656" s="1">
        <f>242.087</f>
        <v>242.08699999999999</v>
      </c>
      <c r="E2656" s="1">
        <f>5136</f>
        <v>5136</v>
      </c>
      <c r="F2656" s="1">
        <f>1613</f>
        <v>1613</v>
      </c>
      <c r="G2656" s="1">
        <f>1</f>
        <v>1</v>
      </c>
      <c r="H2656" s="1">
        <f>0.2</f>
        <v>0.2</v>
      </c>
      <c r="I2656" s="1">
        <f>0</f>
        <v>0</v>
      </c>
      <c r="J2656" s="1">
        <f>18.3908</f>
        <v>18.390799999999999</v>
      </c>
      <c r="K2656" s="1">
        <f>516.869</f>
        <v>516.86900000000003</v>
      </c>
      <c r="L2656" s="1">
        <f>0</f>
        <v>0</v>
      </c>
    </row>
    <row r="2657" spans="1:12" x14ac:dyDescent="0.25">
      <c r="A2657">
        <f>80579776*0.00001</f>
        <v>805.79776000000004</v>
      </c>
      <c r="B2657">
        <v>3503</v>
      </c>
      <c r="C2657">
        <v>162</v>
      </c>
      <c r="D2657">
        <v>242.08699999999999</v>
      </c>
      <c r="E2657">
        <v>5136</v>
      </c>
      <c r="F2657">
        <v>1613</v>
      </c>
      <c r="G2657">
        <v>1</v>
      </c>
      <c r="H2657">
        <v>0.2</v>
      </c>
      <c r="I2657" s="1">
        <f>0</f>
        <v>0</v>
      </c>
      <c r="J2657" s="1">
        <f>18.5135</f>
        <v>18.513500000000001</v>
      </c>
      <c r="K2657">
        <v>516.86900000000003</v>
      </c>
      <c r="L2657">
        <v>0</v>
      </c>
    </row>
    <row r="2658" spans="1:12" x14ac:dyDescent="0.25">
      <c r="A2658">
        <f>80579913*0.00001</f>
        <v>805.7991300000001</v>
      </c>
      <c r="B2658">
        <v>3503</v>
      </c>
      <c r="C2658">
        <v>163</v>
      </c>
      <c r="D2658">
        <v>242.08699999999999</v>
      </c>
      <c r="E2658">
        <v>5136</v>
      </c>
      <c r="F2658">
        <v>1613</v>
      </c>
      <c r="G2658">
        <v>1</v>
      </c>
      <c r="H2658">
        <v>0.2</v>
      </c>
      <c r="I2658">
        <v>0</v>
      </c>
      <c r="J2658">
        <v>18.513500000000001</v>
      </c>
      <c r="K2658" s="1">
        <f>516.895</f>
        <v>516.89499999999998</v>
      </c>
      <c r="L2658" s="1">
        <f>0</f>
        <v>0</v>
      </c>
    </row>
    <row r="2659" spans="1:12" x14ac:dyDescent="0.25">
      <c r="A2659">
        <f>80580050*0.00001</f>
        <v>805.80050000000006</v>
      </c>
      <c r="B2659">
        <v>3503</v>
      </c>
      <c r="C2659">
        <v>164</v>
      </c>
      <c r="D2659" s="1">
        <f>242.095</f>
        <v>242.095</v>
      </c>
      <c r="E2659" s="1">
        <f>5137</f>
        <v>5137</v>
      </c>
      <c r="F2659">
        <v>1613</v>
      </c>
      <c r="G2659">
        <v>1</v>
      </c>
      <c r="H2659">
        <v>0.2</v>
      </c>
      <c r="I2659">
        <v>0</v>
      </c>
      <c r="J2659">
        <v>18.513500000000001</v>
      </c>
      <c r="K2659">
        <v>516.89499999999998</v>
      </c>
      <c r="L2659">
        <v>0</v>
      </c>
    </row>
    <row r="2660" spans="1:12" x14ac:dyDescent="0.25">
      <c r="A2660">
        <f>80580188*0.00001</f>
        <v>805.8018800000001</v>
      </c>
      <c r="B2660">
        <v>3503</v>
      </c>
      <c r="C2660">
        <v>165</v>
      </c>
      <c r="D2660">
        <v>242.095</v>
      </c>
      <c r="E2660">
        <v>5137</v>
      </c>
      <c r="F2660" s="1">
        <f>1613</f>
        <v>1613</v>
      </c>
      <c r="G2660" s="1">
        <f>1</f>
        <v>1</v>
      </c>
      <c r="H2660">
        <v>0.2</v>
      </c>
      <c r="I2660">
        <v>0</v>
      </c>
      <c r="J2660">
        <v>18.513500000000001</v>
      </c>
      <c r="K2660">
        <v>516.89499999999998</v>
      </c>
      <c r="L2660">
        <v>0</v>
      </c>
    </row>
    <row r="2661" spans="1:12" x14ac:dyDescent="0.25">
      <c r="A2661">
        <f>80580325*0.00001</f>
        <v>805.80325000000005</v>
      </c>
      <c r="B2661">
        <v>3503</v>
      </c>
      <c r="C2661">
        <v>166</v>
      </c>
      <c r="D2661">
        <v>242.095</v>
      </c>
      <c r="E2661">
        <v>5137</v>
      </c>
      <c r="F2661">
        <v>1613</v>
      </c>
      <c r="G2661">
        <v>1</v>
      </c>
      <c r="H2661" s="1">
        <f>0.2</f>
        <v>0.2</v>
      </c>
      <c r="I2661" s="1">
        <f>0</f>
        <v>0</v>
      </c>
      <c r="J2661">
        <v>18.513500000000001</v>
      </c>
      <c r="K2661">
        <v>516.89499999999998</v>
      </c>
      <c r="L2661">
        <v>0</v>
      </c>
    </row>
    <row r="2662" spans="1:12" x14ac:dyDescent="0.25">
      <c r="A2662">
        <f>80580462*0.00001</f>
        <v>805.80462000000011</v>
      </c>
      <c r="B2662">
        <v>3503</v>
      </c>
      <c r="C2662">
        <v>167</v>
      </c>
      <c r="D2662">
        <v>242.095</v>
      </c>
      <c r="E2662">
        <v>5137</v>
      </c>
      <c r="F2662">
        <v>1613</v>
      </c>
      <c r="G2662">
        <v>1</v>
      </c>
      <c r="H2662">
        <v>0.2</v>
      </c>
      <c r="I2662">
        <v>0</v>
      </c>
      <c r="J2662">
        <v>18.513500000000001</v>
      </c>
      <c r="K2662" s="1">
        <f>516.915</f>
        <v>516.91499999999996</v>
      </c>
      <c r="L2662">
        <v>0</v>
      </c>
    </row>
    <row r="2663" spans="1:12" x14ac:dyDescent="0.25">
      <c r="A2663">
        <f>80580599*0.00001</f>
        <v>805.80599000000007</v>
      </c>
      <c r="B2663">
        <v>3503</v>
      </c>
      <c r="C2663">
        <v>168</v>
      </c>
      <c r="D2663" s="1">
        <f>242.099</f>
        <v>242.09899999999999</v>
      </c>
      <c r="E2663">
        <v>5137</v>
      </c>
      <c r="F2663">
        <v>1613</v>
      </c>
      <c r="G2663">
        <v>1</v>
      </c>
      <c r="H2663">
        <v>0.2</v>
      </c>
      <c r="I2663">
        <v>0</v>
      </c>
      <c r="J2663">
        <v>18.513500000000001</v>
      </c>
      <c r="K2663">
        <v>516.91499999999996</v>
      </c>
      <c r="L2663">
        <v>0</v>
      </c>
    </row>
    <row r="2664" spans="1:12" x14ac:dyDescent="0.25">
      <c r="A2664">
        <f>80580737*0.00001</f>
        <v>805.80737000000011</v>
      </c>
      <c r="B2664">
        <v>3503</v>
      </c>
      <c r="C2664">
        <v>169</v>
      </c>
      <c r="D2664">
        <v>242.09899999999999</v>
      </c>
      <c r="E2664">
        <v>5137</v>
      </c>
      <c r="F2664" s="1">
        <f>1613</f>
        <v>1613</v>
      </c>
      <c r="G2664">
        <v>1</v>
      </c>
      <c r="H2664">
        <v>0.2</v>
      </c>
      <c r="I2664">
        <v>0</v>
      </c>
      <c r="J2664">
        <v>18.513500000000001</v>
      </c>
      <c r="K2664">
        <v>516.91499999999996</v>
      </c>
      <c r="L2664">
        <v>0</v>
      </c>
    </row>
    <row r="2665" spans="1:12" x14ac:dyDescent="0.25">
      <c r="A2665">
        <f>80580874*0.00001</f>
        <v>805.80874000000006</v>
      </c>
      <c r="B2665">
        <v>3503</v>
      </c>
      <c r="C2665">
        <v>170</v>
      </c>
      <c r="D2665">
        <v>242.09899999999999</v>
      </c>
      <c r="E2665">
        <v>5137</v>
      </c>
      <c r="F2665">
        <v>1613</v>
      </c>
      <c r="G2665">
        <v>1</v>
      </c>
      <c r="H2665" s="1">
        <f>0.2</f>
        <v>0.2</v>
      </c>
      <c r="I2665">
        <v>0</v>
      </c>
      <c r="J2665">
        <v>18.513500000000001</v>
      </c>
      <c r="K2665">
        <v>516.91499999999996</v>
      </c>
      <c r="L2665">
        <v>0</v>
      </c>
    </row>
    <row r="2666" spans="1:12" x14ac:dyDescent="0.25">
      <c r="A2666">
        <f>80581011*0.00001</f>
        <v>805.81011000000012</v>
      </c>
      <c r="B2666">
        <v>3503</v>
      </c>
      <c r="C2666">
        <v>171</v>
      </c>
      <c r="D2666">
        <v>242.09899999999999</v>
      </c>
      <c r="E2666">
        <v>5137</v>
      </c>
      <c r="F2666">
        <v>1613</v>
      </c>
      <c r="G2666">
        <v>1</v>
      </c>
      <c r="H2666">
        <v>0.2</v>
      </c>
      <c r="I2666">
        <v>0</v>
      </c>
      <c r="J2666" s="1">
        <f>18.8238</f>
        <v>18.823799999999999</v>
      </c>
      <c r="K2666">
        <v>516.91499999999996</v>
      </c>
      <c r="L2666">
        <v>0</v>
      </c>
    </row>
    <row r="2667" spans="1:12" x14ac:dyDescent="0.25">
      <c r="A2667">
        <f>80581148*0.00001</f>
        <v>805.81148000000007</v>
      </c>
      <c r="B2667">
        <v>3503</v>
      </c>
      <c r="C2667">
        <v>172</v>
      </c>
      <c r="D2667" s="1">
        <f>242.106</f>
        <v>242.10599999999999</v>
      </c>
      <c r="E2667" s="1">
        <f>5139</f>
        <v>5139</v>
      </c>
      <c r="F2667" s="1">
        <f>1613</f>
        <v>1613</v>
      </c>
      <c r="G2667" s="1">
        <f>1</f>
        <v>1</v>
      </c>
      <c r="H2667" s="1">
        <f>0.2</f>
        <v>0.2</v>
      </c>
      <c r="I2667" s="1">
        <f>0</f>
        <v>0</v>
      </c>
      <c r="J2667" s="1">
        <f>18.9468</f>
        <v>18.9468</v>
      </c>
      <c r="K2667" s="1">
        <f>516.962</f>
        <v>516.96199999999999</v>
      </c>
      <c r="L2667" s="1">
        <f>0</f>
        <v>0</v>
      </c>
    </row>
    <row r="2668" spans="1:12" s="2" customFormat="1" x14ac:dyDescent="0.25">
      <c r="A2668" s="2">
        <f>80582246*0.00001</f>
        <v>805.82246000000009</v>
      </c>
      <c r="B2668" s="2">
        <v>3504</v>
      </c>
      <c r="C2668" s="2">
        <v>0</v>
      </c>
      <c r="D2668" s="2">
        <v>242.10599999999999</v>
      </c>
      <c r="E2668" s="2">
        <v>5139</v>
      </c>
      <c r="F2668" s="2">
        <v>1613</v>
      </c>
      <c r="G2668" s="2">
        <v>1</v>
      </c>
      <c r="H2668" s="2">
        <v>0.2</v>
      </c>
      <c r="I2668" s="2">
        <v>0</v>
      </c>
      <c r="J2668" s="1">
        <f>19.0439</f>
        <v>19.043900000000001</v>
      </c>
      <c r="K2668" s="1">
        <f>516.972</f>
        <v>516.97199999999998</v>
      </c>
      <c r="L2668" s="2">
        <v>0</v>
      </c>
    </row>
    <row r="2669" spans="1:12" x14ac:dyDescent="0.25">
      <c r="A2669">
        <f>80582383*0.00001</f>
        <v>805.82383000000004</v>
      </c>
      <c r="B2669">
        <v>3504</v>
      </c>
      <c r="C2669">
        <v>1</v>
      </c>
      <c r="D2669" s="1">
        <f>242.107</f>
        <v>242.107</v>
      </c>
      <c r="E2669">
        <v>5139</v>
      </c>
      <c r="F2669">
        <v>1613</v>
      </c>
      <c r="G2669">
        <v>1</v>
      </c>
      <c r="H2669">
        <v>0.2</v>
      </c>
      <c r="I2669">
        <v>0</v>
      </c>
      <c r="J2669">
        <v>19.043900000000001</v>
      </c>
      <c r="K2669">
        <v>516.97199999999998</v>
      </c>
      <c r="L2669" s="1">
        <f>0</f>
        <v>0</v>
      </c>
    </row>
    <row r="2670" spans="1:12" x14ac:dyDescent="0.25">
      <c r="A2670">
        <f>80582520*0.00001</f>
        <v>805.82520000000011</v>
      </c>
      <c r="B2670">
        <v>3504</v>
      </c>
      <c r="C2670">
        <v>2</v>
      </c>
      <c r="D2670">
        <v>242.107</v>
      </c>
      <c r="E2670" s="1">
        <f>5140</f>
        <v>5140</v>
      </c>
      <c r="F2670" s="1">
        <f>1613</f>
        <v>1613</v>
      </c>
      <c r="G2670">
        <v>1</v>
      </c>
      <c r="H2670">
        <v>0.2</v>
      </c>
      <c r="I2670">
        <v>0</v>
      </c>
      <c r="J2670">
        <v>19.043900000000001</v>
      </c>
      <c r="K2670">
        <v>516.97199999999998</v>
      </c>
      <c r="L2670">
        <v>0</v>
      </c>
    </row>
    <row r="2671" spans="1:12" x14ac:dyDescent="0.25">
      <c r="A2671">
        <f>80582657*0.00001</f>
        <v>805.82657000000006</v>
      </c>
      <c r="B2671">
        <v>3504</v>
      </c>
      <c r="C2671">
        <v>3</v>
      </c>
      <c r="D2671">
        <v>242.107</v>
      </c>
      <c r="E2671">
        <v>5140</v>
      </c>
      <c r="F2671">
        <v>1613</v>
      </c>
      <c r="G2671">
        <v>1</v>
      </c>
      <c r="H2671" s="1">
        <f>0.2</f>
        <v>0.2</v>
      </c>
      <c r="I2671">
        <v>0</v>
      </c>
      <c r="J2671">
        <v>19.043900000000001</v>
      </c>
      <c r="K2671">
        <v>516.97199999999998</v>
      </c>
      <c r="L2671">
        <v>0</v>
      </c>
    </row>
    <row r="2672" spans="1:12" x14ac:dyDescent="0.25">
      <c r="A2672">
        <f>80582794*0.00001</f>
        <v>805.82794000000001</v>
      </c>
      <c r="B2672">
        <v>3504</v>
      </c>
      <c r="C2672">
        <v>4</v>
      </c>
      <c r="D2672">
        <v>242.107</v>
      </c>
      <c r="E2672">
        <v>5140</v>
      </c>
      <c r="F2672">
        <v>1613</v>
      </c>
      <c r="G2672">
        <v>1</v>
      </c>
      <c r="H2672">
        <v>0.2</v>
      </c>
      <c r="I2672">
        <v>0</v>
      </c>
      <c r="J2672" s="1">
        <f>19.242</f>
        <v>19.242000000000001</v>
      </c>
      <c r="K2672">
        <v>516.97199999999998</v>
      </c>
      <c r="L2672">
        <v>0</v>
      </c>
    </row>
    <row r="2673" spans="1:12" x14ac:dyDescent="0.25">
      <c r="A2673">
        <f>80582931*0.00001</f>
        <v>805.82931000000008</v>
      </c>
      <c r="B2673">
        <v>3504</v>
      </c>
      <c r="C2673">
        <v>5</v>
      </c>
      <c r="D2673">
        <v>242.107</v>
      </c>
      <c r="E2673">
        <v>5140</v>
      </c>
      <c r="F2673">
        <v>1613</v>
      </c>
      <c r="G2673">
        <v>1</v>
      </c>
      <c r="H2673">
        <v>0.2</v>
      </c>
      <c r="I2673">
        <v>0</v>
      </c>
      <c r="J2673">
        <v>19.242000000000001</v>
      </c>
      <c r="K2673">
        <v>516.97199999999998</v>
      </c>
      <c r="L2673" s="1">
        <f>0</f>
        <v>0</v>
      </c>
    </row>
    <row r="2674" spans="1:12" x14ac:dyDescent="0.25">
      <c r="A2674">
        <f>80583068*0.00001</f>
        <v>805.83068000000003</v>
      </c>
      <c r="B2674">
        <v>3504</v>
      </c>
      <c r="C2674">
        <v>6</v>
      </c>
      <c r="D2674">
        <v>242.107</v>
      </c>
      <c r="E2674" s="1">
        <f>5141</f>
        <v>5141</v>
      </c>
      <c r="F2674">
        <v>1613</v>
      </c>
      <c r="G2674">
        <v>1</v>
      </c>
      <c r="H2674">
        <v>0.2</v>
      </c>
      <c r="I2674">
        <v>0</v>
      </c>
      <c r="J2674">
        <v>19.242000000000001</v>
      </c>
      <c r="K2674">
        <v>516.97199999999998</v>
      </c>
      <c r="L2674">
        <v>0</v>
      </c>
    </row>
    <row r="2675" spans="1:12" x14ac:dyDescent="0.25">
      <c r="A2675">
        <f>80583205*0.00001</f>
        <v>805.83205000000009</v>
      </c>
      <c r="B2675">
        <v>3504</v>
      </c>
      <c r="C2675">
        <v>7</v>
      </c>
      <c r="D2675">
        <v>242.107</v>
      </c>
      <c r="E2675">
        <v>5141</v>
      </c>
      <c r="F2675">
        <v>1613</v>
      </c>
      <c r="G2675" s="1">
        <f>1</f>
        <v>1</v>
      </c>
      <c r="H2675">
        <v>0.2</v>
      </c>
      <c r="I2675">
        <v>0</v>
      </c>
      <c r="J2675">
        <v>19.242000000000001</v>
      </c>
      <c r="K2675">
        <v>516.97199999999998</v>
      </c>
      <c r="L2675">
        <v>0</v>
      </c>
    </row>
    <row r="2676" spans="1:12" x14ac:dyDescent="0.25">
      <c r="A2676">
        <f>80583342*0.00001</f>
        <v>805.83342000000005</v>
      </c>
      <c r="B2676">
        <v>3504</v>
      </c>
      <c r="C2676">
        <v>8</v>
      </c>
      <c r="D2676" s="1">
        <f>242.111</f>
        <v>242.11099999999999</v>
      </c>
      <c r="E2676" s="1">
        <f>5142</f>
        <v>5142</v>
      </c>
      <c r="F2676" s="1">
        <f>1613</f>
        <v>1613</v>
      </c>
      <c r="G2676" s="1">
        <f>1</f>
        <v>1</v>
      </c>
      <c r="H2676" s="1">
        <f>0.2</f>
        <v>0.2</v>
      </c>
      <c r="I2676" s="1">
        <f>0</f>
        <v>0</v>
      </c>
      <c r="J2676" s="1">
        <f>19.5635</f>
        <v>19.563500000000001</v>
      </c>
      <c r="K2676" s="1">
        <f>517.041</f>
        <v>517.04100000000005</v>
      </c>
      <c r="L2676" s="1">
        <f>0</f>
        <v>0</v>
      </c>
    </row>
    <row r="2677" spans="1:12" x14ac:dyDescent="0.25">
      <c r="A2677">
        <f>80584165*0.00001</f>
        <v>805.84165000000007</v>
      </c>
      <c r="B2677">
        <v>3504</v>
      </c>
      <c r="C2677">
        <v>14</v>
      </c>
      <c r="D2677" s="1">
        <f>242.112</f>
        <v>242.11199999999999</v>
      </c>
      <c r="E2677">
        <v>5142</v>
      </c>
      <c r="F2677">
        <v>1613</v>
      </c>
      <c r="G2677">
        <v>1</v>
      </c>
      <c r="H2677">
        <v>0.2</v>
      </c>
      <c r="I2677">
        <v>0</v>
      </c>
      <c r="J2677">
        <v>19.563500000000001</v>
      </c>
      <c r="K2677">
        <v>517.04100000000005</v>
      </c>
      <c r="L2677" s="1">
        <f>0</f>
        <v>0</v>
      </c>
    </row>
    <row r="2678" spans="1:12" x14ac:dyDescent="0.25">
      <c r="A2678">
        <f>80584303*0.00001</f>
        <v>805.84303000000011</v>
      </c>
      <c r="B2678">
        <v>3504</v>
      </c>
      <c r="C2678">
        <v>15</v>
      </c>
      <c r="D2678">
        <v>242.11199999999999</v>
      </c>
      <c r="E2678" s="1">
        <f>5143</f>
        <v>5143</v>
      </c>
      <c r="F2678" s="1">
        <f>1613</f>
        <v>1613</v>
      </c>
      <c r="G2678">
        <v>1</v>
      </c>
      <c r="H2678">
        <v>0.2</v>
      </c>
      <c r="I2678">
        <v>0</v>
      </c>
      <c r="J2678">
        <v>19.563500000000001</v>
      </c>
      <c r="K2678">
        <v>517.04100000000005</v>
      </c>
      <c r="L2678">
        <v>0</v>
      </c>
    </row>
    <row r="2679" spans="1:12" x14ac:dyDescent="0.25">
      <c r="A2679">
        <f>80584440*0.00001</f>
        <v>805.84440000000006</v>
      </c>
      <c r="B2679">
        <v>3504</v>
      </c>
      <c r="C2679">
        <v>16</v>
      </c>
      <c r="D2679">
        <v>242.11199999999999</v>
      </c>
      <c r="E2679">
        <v>5143</v>
      </c>
      <c r="F2679">
        <v>1613</v>
      </c>
      <c r="G2679" s="1">
        <f>1</f>
        <v>1</v>
      </c>
      <c r="H2679" s="1">
        <f>0.2</f>
        <v>0.2</v>
      </c>
      <c r="I2679">
        <v>0</v>
      </c>
      <c r="J2679">
        <v>19.563500000000001</v>
      </c>
      <c r="K2679">
        <v>517.04100000000005</v>
      </c>
      <c r="L2679">
        <v>0</v>
      </c>
    </row>
    <row r="2680" spans="1:12" x14ac:dyDescent="0.25">
      <c r="A2680">
        <f>80584577*0.00001</f>
        <v>805.84577000000002</v>
      </c>
      <c r="B2680">
        <v>3504</v>
      </c>
      <c r="C2680">
        <v>17</v>
      </c>
      <c r="D2680">
        <v>242.11199999999999</v>
      </c>
      <c r="E2680">
        <v>5143</v>
      </c>
      <c r="F2680">
        <v>1613</v>
      </c>
      <c r="G2680">
        <v>1</v>
      </c>
      <c r="H2680">
        <v>0.2</v>
      </c>
      <c r="I2680" s="1">
        <f>0</f>
        <v>0</v>
      </c>
      <c r="J2680" s="1">
        <f>19.6875</f>
        <v>19.6875</v>
      </c>
      <c r="K2680">
        <v>517.04100000000005</v>
      </c>
      <c r="L2680">
        <v>0</v>
      </c>
    </row>
    <row r="2681" spans="1:12" x14ac:dyDescent="0.25">
      <c r="A2681">
        <f>80584714*0.00001</f>
        <v>805.84714000000008</v>
      </c>
      <c r="B2681">
        <v>3504</v>
      </c>
      <c r="C2681">
        <v>18</v>
      </c>
      <c r="D2681">
        <v>242.11199999999999</v>
      </c>
      <c r="E2681">
        <v>5143</v>
      </c>
      <c r="F2681">
        <v>1613</v>
      </c>
      <c r="G2681">
        <v>1</v>
      </c>
      <c r="H2681">
        <v>0.2</v>
      </c>
      <c r="I2681">
        <v>0</v>
      </c>
      <c r="J2681">
        <v>19.6875</v>
      </c>
      <c r="K2681" s="1">
        <f>517.068</f>
        <v>517.06799999999998</v>
      </c>
      <c r="L2681" s="1">
        <f>0</f>
        <v>0</v>
      </c>
    </row>
    <row r="2682" spans="1:12" x14ac:dyDescent="0.25">
      <c r="A2682">
        <f>80584852*0.00001</f>
        <v>805.84852000000012</v>
      </c>
      <c r="B2682">
        <v>3504</v>
      </c>
      <c r="C2682">
        <v>19</v>
      </c>
      <c r="D2682">
        <v>242.11199999999999</v>
      </c>
      <c r="E2682" s="1">
        <f>5144</f>
        <v>5144</v>
      </c>
      <c r="F2682">
        <v>1613</v>
      </c>
      <c r="G2682">
        <v>1</v>
      </c>
      <c r="H2682">
        <v>0.2</v>
      </c>
      <c r="I2682">
        <v>0</v>
      </c>
      <c r="J2682">
        <v>19.6875</v>
      </c>
      <c r="K2682">
        <v>517.06799999999998</v>
      </c>
      <c r="L2682">
        <v>0</v>
      </c>
    </row>
    <row r="2683" spans="1:12" x14ac:dyDescent="0.25">
      <c r="A2683">
        <f>80584989*0.00001</f>
        <v>805.84989000000007</v>
      </c>
      <c r="B2683">
        <v>3504</v>
      </c>
      <c r="C2683">
        <v>20</v>
      </c>
      <c r="D2683">
        <v>242.11199999999999</v>
      </c>
      <c r="E2683">
        <v>5144</v>
      </c>
      <c r="F2683">
        <v>1613</v>
      </c>
      <c r="G2683" s="1">
        <f>1</f>
        <v>1</v>
      </c>
      <c r="H2683">
        <v>0.2</v>
      </c>
      <c r="I2683">
        <v>0</v>
      </c>
      <c r="J2683">
        <v>19.6875</v>
      </c>
      <c r="K2683">
        <v>517.06799999999998</v>
      </c>
      <c r="L2683">
        <v>0</v>
      </c>
    </row>
    <row r="2684" spans="1:12" x14ac:dyDescent="0.25">
      <c r="A2684">
        <f>80585126*0.00001</f>
        <v>805.85126000000002</v>
      </c>
      <c r="B2684">
        <v>3504</v>
      </c>
      <c r="C2684">
        <v>21</v>
      </c>
      <c r="D2684">
        <v>242.11199999999999</v>
      </c>
      <c r="E2684">
        <v>5144</v>
      </c>
      <c r="F2684">
        <v>1613</v>
      </c>
      <c r="G2684">
        <v>1</v>
      </c>
      <c r="H2684">
        <v>0.2</v>
      </c>
      <c r="I2684" s="1">
        <f>0</f>
        <v>0</v>
      </c>
      <c r="J2684">
        <v>19.6875</v>
      </c>
      <c r="K2684">
        <v>517.06799999999998</v>
      </c>
      <c r="L2684">
        <v>0</v>
      </c>
    </row>
    <row r="2685" spans="1:12" x14ac:dyDescent="0.25">
      <c r="A2685">
        <f>80585263*0.00001</f>
        <v>805.85263000000009</v>
      </c>
      <c r="B2685">
        <v>3504</v>
      </c>
      <c r="C2685">
        <v>22</v>
      </c>
      <c r="D2685">
        <v>242.11199999999999</v>
      </c>
      <c r="E2685">
        <v>5144</v>
      </c>
      <c r="F2685">
        <v>1613</v>
      </c>
      <c r="G2685">
        <v>1</v>
      </c>
      <c r="H2685">
        <v>0.2</v>
      </c>
      <c r="I2685">
        <v>0</v>
      </c>
      <c r="J2685">
        <v>19.6875</v>
      </c>
      <c r="K2685" s="1">
        <f>517.09</f>
        <v>517.09</v>
      </c>
      <c r="L2685">
        <v>0</v>
      </c>
    </row>
    <row r="2686" spans="1:12" x14ac:dyDescent="0.25">
      <c r="A2686">
        <f>80585400*0.00001</f>
        <v>805.85400000000004</v>
      </c>
      <c r="B2686">
        <v>3504</v>
      </c>
      <c r="C2686">
        <v>23</v>
      </c>
      <c r="D2686" s="1">
        <f>242.116</f>
        <v>242.11600000000001</v>
      </c>
      <c r="E2686" s="1">
        <f>5146</f>
        <v>5146</v>
      </c>
      <c r="F2686" s="1">
        <f>1613</f>
        <v>1613</v>
      </c>
      <c r="G2686" s="1">
        <f>1</f>
        <v>1</v>
      </c>
      <c r="H2686" s="1">
        <f>0.2</f>
        <v>0.2</v>
      </c>
      <c r="I2686" s="1">
        <f>0</f>
        <v>0</v>
      </c>
      <c r="J2686" s="1">
        <f>20.0099</f>
        <v>20.009899999999998</v>
      </c>
      <c r="K2686" s="1">
        <f>517.112</f>
        <v>517.11199999999997</v>
      </c>
      <c r="L2686" s="1">
        <f>0</f>
        <v>0</v>
      </c>
    </row>
    <row r="2687" spans="1:12" x14ac:dyDescent="0.25">
      <c r="A2687">
        <f>80586361*0.00001</f>
        <v>805.86361000000011</v>
      </c>
      <c r="B2687">
        <v>3504</v>
      </c>
      <c r="C2687">
        <v>30</v>
      </c>
      <c r="D2687">
        <v>242.11600000000001</v>
      </c>
      <c r="E2687">
        <v>5146</v>
      </c>
      <c r="F2687">
        <v>1613</v>
      </c>
      <c r="G2687">
        <v>1</v>
      </c>
      <c r="H2687">
        <v>0.2</v>
      </c>
      <c r="I2687" s="1">
        <f>0</f>
        <v>0</v>
      </c>
      <c r="J2687" s="1">
        <f>20.1351</f>
        <v>20.135100000000001</v>
      </c>
      <c r="K2687">
        <v>517.11199999999997</v>
      </c>
      <c r="L2687">
        <v>0</v>
      </c>
    </row>
    <row r="2688" spans="1:12" x14ac:dyDescent="0.25">
      <c r="A2688">
        <f>80586498*0.00001</f>
        <v>805.86498000000006</v>
      </c>
      <c r="B2688">
        <v>3504</v>
      </c>
      <c r="C2688">
        <v>31</v>
      </c>
      <c r="D2688">
        <v>242.11600000000001</v>
      </c>
      <c r="E2688">
        <v>5146</v>
      </c>
      <c r="F2688">
        <v>1613</v>
      </c>
      <c r="G2688">
        <v>1</v>
      </c>
      <c r="H2688">
        <v>0.2</v>
      </c>
      <c r="I2688">
        <v>0</v>
      </c>
      <c r="J2688">
        <v>20.135100000000001</v>
      </c>
      <c r="K2688" s="1">
        <f>517.14</f>
        <v>517.14</v>
      </c>
      <c r="L2688" s="1">
        <f>0</f>
        <v>0</v>
      </c>
    </row>
    <row r="2689" spans="1:12" x14ac:dyDescent="0.25">
      <c r="A2689">
        <f>80586635*0.00001</f>
        <v>805.86635000000001</v>
      </c>
      <c r="B2689">
        <v>3504</v>
      </c>
      <c r="C2689">
        <v>32</v>
      </c>
      <c r="D2689" s="1">
        <f>242.116</f>
        <v>242.11600000000001</v>
      </c>
      <c r="E2689" s="1">
        <f>5147</f>
        <v>5147</v>
      </c>
      <c r="F2689">
        <v>1613</v>
      </c>
      <c r="G2689">
        <v>1</v>
      </c>
      <c r="H2689">
        <v>0.2</v>
      </c>
      <c r="I2689">
        <v>0</v>
      </c>
      <c r="J2689">
        <v>20.135100000000001</v>
      </c>
      <c r="K2689">
        <v>517.14</v>
      </c>
      <c r="L2689">
        <v>0</v>
      </c>
    </row>
    <row r="2690" spans="1:12" x14ac:dyDescent="0.25">
      <c r="A2690">
        <f>80586772*0.00001</f>
        <v>805.86772000000008</v>
      </c>
      <c r="B2690">
        <v>3504</v>
      </c>
      <c r="C2690">
        <v>33</v>
      </c>
      <c r="D2690">
        <v>242.11600000000001</v>
      </c>
      <c r="E2690">
        <v>5147</v>
      </c>
      <c r="F2690" s="1">
        <f>1613</f>
        <v>1613</v>
      </c>
      <c r="G2690" s="1">
        <f>1</f>
        <v>1</v>
      </c>
      <c r="H2690">
        <v>0.2</v>
      </c>
      <c r="I2690">
        <v>0</v>
      </c>
      <c r="J2690">
        <v>20.135100000000001</v>
      </c>
      <c r="K2690">
        <v>517.14</v>
      </c>
      <c r="L2690">
        <v>0</v>
      </c>
    </row>
    <row r="2691" spans="1:12" x14ac:dyDescent="0.25">
      <c r="A2691">
        <f>80586909*0.00001</f>
        <v>805.86909000000003</v>
      </c>
      <c r="B2691">
        <v>3504</v>
      </c>
      <c r="C2691">
        <v>34</v>
      </c>
      <c r="D2691">
        <v>242.11600000000001</v>
      </c>
      <c r="E2691">
        <v>5147</v>
      </c>
      <c r="F2691">
        <v>1613</v>
      </c>
      <c r="G2691">
        <v>1</v>
      </c>
      <c r="H2691" s="1">
        <f>0.2</f>
        <v>0.2</v>
      </c>
      <c r="I2691" s="1">
        <f>0</f>
        <v>0</v>
      </c>
      <c r="J2691">
        <v>20.135100000000001</v>
      </c>
      <c r="K2691">
        <v>517.14</v>
      </c>
      <c r="L2691">
        <v>0</v>
      </c>
    </row>
    <row r="2692" spans="1:12" x14ac:dyDescent="0.25">
      <c r="A2692">
        <f>80587046*0.00001</f>
        <v>805.87046000000009</v>
      </c>
      <c r="B2692">
        <v>3504</v>
      </c>
      <c r="C2692">
        <v>35</v>
      </c>
      <c r="D2692">
        <v>242.11600000000001</v>
      </c>
      <c r="E2692">
        <v>5147</v>
      </c>
      <c r="F2692">
        <v>1613</v>
      </c>
      <c r="G2692">
        <v>1</v>
      </c>
      <c r="H2692">
        <v>0.2</v>
      </c>
      <c r="I2692">
        <v>0</v>
      </c>
      <c r="J2692">
        <v>20.135100000000001</v>
      </c>
      <c r="K2692" s="1">
        <f>517.162</f>
        <v>517.16200000000003</v>
      </c>
      <c r="L2692">
        <v>0</v>
      </c>
    </row>
    <row r="2693" spans="1:12" x14ac:dyDescent="0.25">
      <c r="A2693">
        <f>80587183*0.00001</f>
        <v>805.87183000000005</v>
      </c>
      <c r="B2693">
        <v>3504</v>
      </c>
      <c r="C2693">
        <v>36</v>
      </c>
      <c r="D2693" s="1">
        <f>242.117</f>
        <v>242.11699999999999</v>
      </c>
      <c r="E2693">
        <v>5147</v>
      </c>
      <c r="F2693">
        <v>1613</v>
      </c>
      <c r="G2693">
        <v>1</v>
      </c>
      <c r="H2693">
        <v>0.2</v>
      </c>
      <c r="I2693">
        <v>0</v>
      </c>
      <c r="J2693">
        <v>20.135100000000001</v>
      </c>
      <c r="K2693">
        <v>517.16200000000003</v>
      </c>
      <c r="L2693">
        <v>0</v>
      </c>
    </row>
    <row r="2694" spans="1:12" x14ac:dyDescent="0.25">
      <c r="A2694">
        <f>80587321*0.00001</f>
        <v>805.87321000000009</v>
      </c>
      <c r="B2694">
        <v>3504</v>
      </c>
      <c r="C2694">
        <v>37</v>
      </c>
      <c r="D2694">
        <v>242.11699999999999</v>
      </c>
      <c r="E2694">
        <v>5147</v>
      </c>
      <c r="F2694" s="1">
        <f>1613</f>
        <v>1613</v>
      </c>
      <c r="G2694">
        <v>1</v>
      </c>
      <c r="H2694">
        <v>0.2</v>
      </c>
      <c r="I2694">
        <v>0</v>
      </c>
      <c r="J2694">
        <v>20.135100000000001</v>
      </c>
      <c r="K2694">
        <v>517.16200000000003</v>
      </c>
      <c r="L2694">
        <v>0</v>
      </c>
    </row>
    <row r="2695" spans="1:12" x14ac:dyDescent="0.25">
      <c r="A2695">
        <f>80587458*0.00001</f>
        <v>805.87458000000004</v>
      </c>
      <c r="B2695">
        <v>3504</v>
      </c>
      <c r="C2695">
        <v>38</v>
      </c>
      <c r="D2695">
        <v>242.11699999999999</v>
      </c>
      <c r="E2695">
        <v>5147</v>
      </c>
      <c r="F2695">
        <v>1613</v>
      </c>
      <c r="G2695">
        <v>1</v>
      </c>
      <c r="H2695" s="1">
        <f>0.2</f>
        <v>0.2</v>
      </c>
      <c r="I2695">
        <v>0</v>
      </c>
      <c r="J2695">
        <v>20.135100000000001</v>
      </c>
      <c r="K2695">
        <v>517.16200000000003</v>
      </c>
      <c r="L2695">
        <v>0</v>
      </c>
    </row>
    <row r="2696" spans="1:12" x14ac:dyDescent="0.25">
      <c r="A2696">
        <f>80587595*0.00001</f>
        <v>805.8759500000001</v>
      </c>
      <c r="B2696">
        <v>3504</v>
      </c>
      <c r="C2696">
        <v>39</v>
      </c>
      <c r="D2696">
        <v>242.11699999999999</v>
      </c>
      <c r="E2696">
        <v>5147</v>
      </c>
      <c r="F2696">
        <v>1613</v>
      </c>
      <c r="G2696">
        <v>1</v>
      </c>
      <c r="H2696">
        <v>0.2</v>
      </c>
      <c r="I2696">
        <v>0</v>
      </c>
      <c r="J2696" s="1">
        <f>20.4336</f>
        <v>20.433599999999998</v>
      </c>
      <c r="K2696">
        <v>517.16200000000003</v>
      </c>
      <c r="L2696">
        <v>0</v>
      </c>
    </row>
    <row r="2697" spans="1:12" x14ac:dyDescent="0.25">
      <c r="A2697">
        <f>80587732*0.00001</f>
        <v>805.87732000000005</v>
      </c>
      <c r="B2697">
        <v>3504</v>
      </c>
      <c r="C2697">
        <v>40</v>
      </c>
      <c r="D2697" s="1">
        <f>242.112</f>
        <v>242.11199999999999</v>
      </c>
      <c r="E2697" s="1">
        <f>5150</f>
        <v>5150</v>
      </c>
      <c r="F2697" s="1">
        <f>1613</f>
        <v>1613</v>
      </c>
      <c r="G2697" s="1">
        <f>1</f>
        <v>1</v>
      </c>
      <c r="H2697" s="1">
        <f>0.2</f>
        <v>0.2</v>
      </c>
      <c r="I2697" s="1">
        <f>0</f>
        <v>0</v>
      </c>
      <c r="J2697" s="1">
        <f>20.5838</f>
        <v>20.5838</v>
      </c>
      <c r="K2697" s="1">
        <f>517.213</f>
        <v>517.21299999999997</v>
      </c>
      <c r="L2697" s="1">
        <f>0</f>
        <v>0</v>
      </c>
    </row>
    <row r="2698" spans="1:12" x14ac:dyDescent="0.25">
      <c r="A2698">
        <f>80588693*0.00001</f>
        <v>805.88693000000012</v>
      </c>
      <c r="B2698">
        <v>3504</v>
      </c>
      <c r="C2698">
        <v>47</v>
      </c>
      <c r="D2698">
        <v>242.11199999999999</v>
      </c>
      <c r="E2698">
        <v>5150</v>
      </c>
      <c r="F2698">
        <v>1613</v>
      </c>
      <c r="G2698">
        <v>1</v>
      </c>
      <c r="H2698" s="1">
        <f>0.2</f>
        <v>0.2</v>
      </c>
      <c r="I2698" s="1">
        <f>0</f>
        <v>0</v>
      </c>
      <c r="J2698">
        <v>20.5838</v>
      </c>
      <c r="K2698">
        <v>517.21299999999997</v>
      </c>
      <c r="L2698">
        <v>0</v>
      </c>
    </row>
    <row r="2699" spans="1:12" x14ac:dyDescent="0.25">
      <c r="A2699">
        <f>80588831*0.00001</f>
        <v>805.88831000000005</v>
      </c>
      <c r="B2699">
        <v>3504</v>
      </c>
      <c r="C2699">
        <v>48</v>
      </c>
      <c r="D2699">
        <v>242.11199999999999</v>
      </c>
      <c r="E2699">
        <v>5150</v>
      </c>
      <c r="F2699">
        <v>1613</v>
      </c>
      <c r="G2699">
        <v>1</v>
      </c>
      <c r="H2699">
        <v>0.2</v>
      </c>
      <c r="I2699">
        <v>0</v>
      </c>
      <c r="J2699" s="1">
        <f>20.7638</f>
        <v>20.7638</v>
      </c>
      <c r="K2699" s="1">
        <f>517.236</f>
        <v>517.23599999999999</v>
      </c>
      <c r="L2699">
        <v>0</v>
      </c>
    </row>
    <row r="2700" spans="1:12" x14ac:dyDescent="0.25">
      <c r="A2700">
        <f>80588968*0.00001</f>
        <v>805.88968000000011</v>
      </c>
      <c r="B2700">
        <v>3504</v>
      </c>
      <c r="C2700">
        <v>49</v>
      </c>
      <c r="D2700" s="1">
        <f>242.118</f>
        <v>242.11799999999999</v>
      </c>
      <c r="E2700">
        <v>5150</v>
      </c>
      <c r="F2700">
        <v>1613</v>
      </c>
      <c r="G2700">
        <v>1</v>
      </c>
      <c r="H2700">
        <v>0.2</v>
      </c>
      <c r="I2700">
        <v>0</v>
      </c>
      <c r="J2700">
        <v>20.7638</v>
      </c>
      <c r="K2700">
        <v>517.23599999999999</v>
      </c>
      <c r="L2700" s="1">
        <f>0</f>
        <v>0</v>
      </c>
    </row>
    <row r="2701" spans="1:12" x14ac:dyDescent="0.25">
      <c r="A2701">
        <f>80589105*0.00001</f>
        <v>805.89105000000006</v>
      </c>
      <c r="B2701">
        <v>3504</v>
      </c>
      <c r="C2701">
        <v>50</v>
      </c>
      <c r="D2701">
        <v>242.11799999999999</v>
      </c>
      <c r="E2701" s="1">
        <f>5151</f>
        <v>5151</v>
      </c>
      <c r="F2701" s="1">
        <f>1613</f>
        <v>1613</v>
      </c>
      <c r="G2701">
        <v>1</v>
      </c>
      <c r="H2701">
        <v>0.2</v>
      </c>
      <c r="I2701">
        <v>0</v>
      </c>
      <c r="J2701">
        <v>20.7638</v>
      </c>
      <c r="K2701">
        <v>517.23599999999999</v>
      </c>
      <c r="L2701">
        <v>0</v>
      </c>
    </row>
    <row r="2702" spans="1:12" x14ac:dyDescent="0.25">
      <c r="A2702">
        <f>80589242*0.00001</f>
        <v>805.89242000000002</v>
      </c>
      <c r="B2702">
        <v>3504</v>
      </c>
      <c r="C2702">
        <v>51</v>
      </c>
      <c r="D2702">
        <v>242.11799999999999</v>
      </c>
      <c r="E2702">
        <v>5151</v>
      </c>
      <c r="F2702">
        <v>1613</v>
      </c>
      <c r="G2702" s="1">
        <f>1</f>
        <v>1</v>
      </c>
      <c r="H2702" s="1">
        <f>0.2</f>
        <v>0.2</v>
      </c>
      <c r="I2702">
        <v>0</v>
      </c>
      <c r="J2702">
        <v>20.7638</v>
      </c>
      <c r="K2702">
        <v>517.23599999999999</v>
      </c>
      <c r="L2702">
        <v>0</v>
      </c>
    </row>
    <row r="2703" spans="1:12" x14ac:dyDescent="0.25">
      <c r="A2703">
        <f>80589380*0.00001</f>
        <v>805.89380000000006</v>
      </c>
      <c r="B2703">
        <v>3504</v>
      </c>
      <c r="C2703">
        <v>52</v>
      </c>
      <c r="D2703">
        <v>242.11799999999999</v>
      </c>
      <c r="E2703">
        <v>5151</v>
      </c>
      <c r="F2703">
        <v>1613</v>
      </c>
      <c r="G2703">
        <v>1</v>
      </c>
      <c r="H2703">
        <v>0.2</v>
      </c>
      <c r="I2703">
        <v>0</v>
      </c>
      <c r="J2703" s="1">
        <f>20.8826</f>
        <v>20.8826</v>
      </c>
      <c r="K2703">
        <v>517.23599999999999</v>
      </c>
      <c r="L2703">
        <v>0</v>
      </c>
    </row>
    <row r="2704" spans="1:12" x14ac:dyDescent="0.25">
      <c r="A2704">
        <f>80589517*0.00001</f>
        <v>805.89517000000012</v>
      </c>
      <c r="B2704">
        <v>3504</v>
      </c>
      <c r="C2704">
        <v>53</v>
      </c>
      <c r="D2704">
        <v>242.11799999999999</v>
      </c>
      <c r="E2704">
        <v>5151</v>
      </c>
      <c r="F2704">
        <v>1613</v>
      </c>
      <c r="G2704">
        <v>1</v>
      </c>
      <c r="H2704">
        <v>0.2</v>
      </c>
      <c r="I2704">
        <v>0</v>
      </c>
      <c r="J2704">
        <v>20.8826</v>
      </c>
      <c r="K2704">
        <v>517.23599999999999</v>
      </c>
      <c r="L2704" s="1">
        <f>0</f>
        <v>0</v>
      </c>
    </row>
    <row r="2705" spans="1:12" x14ac:dyDescent="0.25">
      <c r="A2705">
        <f>80589654*0.00001</f>
        <v>805.89654000000007</v>
      </c>
      <c r="B2705">
        <v>3504</v>
      </c>
      <c r="C2705">
        <v>54</v>
      </c>
      <c r="D2705">
        <v>242.11799999999999</v>
      </c>
      <c r="E2705" s="1">
        <f>5152</f>
        <v>5152</v>
      </c>
      <c r="F2705">
        <v>1613</v>
      </c>
      <c r="G2705">
        <v>1</v>
      </c>
      <c r="H2705">
        <v>0.2</v>
      </c>
      <c r="I2705">
        <v>0</v>
      </c>
      <c r="J2705">
        <v>20.8826</v>
      </c>
      <c r="K2705">
        <v>517.23599999999999</v>
      </c>
      <c r="L2705">
        <v>0</v>
      </c>
    </row>
    <row r="2706" spans="1:12" x14ac:dyDescent="0.25">
      <c r="A2706">
        <f>80589791*0.00001</f>
        <v>805.89791000000002</v>
      </c>
      <c r="B2706">
        <v>3504</v>
      </c>
      <c r="C2706">
        <v>55</v>
      </c>
      <c r="D2706">
        <v>242.11799999999999</v>
      </c>
      <c r="E2706">
        <v>5152</v>
      </c>
      <c r="F2706">
        <v>1613</v>
      </c>
      <c r="G2706" s="1">
        <f>1</f>
        <v>1</v>
      </c>
      <c r="H2706">
        <v>0.2</v>
      </c>
      <c r="I2706">
        <v>0</v>
      </c>
      <c r="J2706">
        <v>20.8826</v>
      </c>
      <c r="K2706">
        <v>517.23599999999999</v>
      </c>
      <c r="L2706">
        <v>0</v>
      </c>
    </row>
    <row r="2707" spans="1:12" x14ac:dyDescent="0.25">
      <c r="A2707">
        <f>80589929*0.00001</f>
        <v>805.89929000000006</v>
      </c>
      <c r="B2707">
        <v>3504</v>
      </c>
      <c r="C2707">
        <v>56</v>
      </c>
      <c r="D2707">
        <v>242.11799999999999</v>
      </c>
      <c r="E2707">
        <v>5152</v>
      </c>
      <c r="F2707">
        <v>1613</v>
      </c>
      <c r="G2707">
        <v>1</v>
      </c>
      <c r="H2707">
        <v>0.2</v>
      </c>
      <c r="I2707" s="1">
        <f>0</f>
        <v>0</v>
      </c>
      <c r="J2707">
        <v>20.8826</v>
      </c>
      <c r="K2707">
        <v>517.23599999999999</v>
      </c>
      <c r="L2707">
        <v>0</v>
      </c>
    </row>
    <row r="2708" spans="1:12" x14ac:dyDescent="0.25">
      <c r="A2708">
        <f>80590066*0.00001</f>
        <v>805.90066000000002</v>
      </c>
      <c r="B2708">
        <v>3504</v>
      </c>
      <c r="C2708">
        <v>57</v>
      </c>
      <c r="D2708" s="1">
        <f>242.118</f>
        <v>242.11799999999999</v>
      </c>
      <c r="E2708" s="1">
        <f>5153</f>
        <v>5153</v>
      </c>
      <c r="F2708" s="1">
        <f>1613</f>
        <v>1613</v>
      </c>
      <c r="G2708" s="1">
        <f>1</f>
        <v>1</v>
      </c>
      <c r="H2708" s="1">
        <f>0.2</f>
        <v>0.2</v>
      </c>
      <c r="I2708" s="1">
        <f>0</f>
        <v>0</v>
      </c>
      <c r="J2708" s="1">
        <f>21.2075</f>
        <v>21.2075</v>
      </c>
      <c r="K2708" s="1">
        <f>517.311</f>
        <v>517.31100000000004</v>
      </c>
      <c r="L2708" s="1">
        <f>0</f>
        <v>0</v>
      </c>
    </row>
    <row r="2709" spans="1:12" x14ac:dyDescent="0.25">
      <c r="A2709">
        <f>80590889*0.00001</f>
        <v>805.90889000000004</v>
      </c>
      <c r="B2709">
        <v>3504</v>
      </c>
      <c r="C2709">
        <v>63</v>
      </c>
      <c r="D2709">
        <v>242.11799999999999</v>
      </c>
      <c r="E2709" s="1">
        <f>5154</f>
        <v>5154</v>
      </c>
      <c r="F2709" s="1">
        <f>1613</f>
        <v>1613</v>
      </c>
      <c r="G2709">
        <v>1</v>
      </c>
      <c r="H2709">
        <v>0.2</v>
      </c>
      <c r="I2709">
        <v>0</v>
      </c>
      <c r="J2709">
        <v>21.2075</v>
      </c>
      <c r="K2709">
        <v>517.31100000000004</v>
      </c>
      <c r="L2709">
        <v>0</v>
      </c>
    </row>
    <row r="2710" spans="1:12" x14ac:dyDescent="0.25">
      <c r="A2710">
        <f>80591026*0.00001</f>
        <v>805.91026000000011</v>
      </c>
      <c r="B2710">
        <v>3504</v>
      </c>
      <c r="C2710">
        <v>64</v>
      </c>
      <c r="D2710">
        <v>242.11799999999999</v>
      </c>
      <c r="E2710">
        <v>5154</v>
      </c>
      <c r="F2710">
        <v>1613</v>
      </c>
      <c r="G2710" s="1">
        <f>1</f>
        <v>1</v>
      </c>
      <c r="H2710" s="1">
        <f>0.2</f>
        <v>0.2</v>
      </c>
      <c r="I2710">
        <v>0</v>
      </c>
      <c r="J2710">
        <v>21.2075</v>
      </c>
      <c r="K2710">
        <v>517.31100000000004</v>
      </c>
      <c r="L2710">
        <v>0</v>
      </c>
    </row>
    <row r="2711" spans="1:12" x14ac:dyDescent="0.25">
      <c r="A2711">
        <f>80591163*0.00001</f>
        <v>805.91163000000006</v>
      </c>
      <c r="B2711">
        <v>3504</v>
      </c>
      <c r="C2711">
        <v>65</v>
      </c>
      <c r="D2711">
        <v>242.11799999999999</v>
      </c>
      <c r="E2711">
        <v>5154</v>
      </c>
      <c r="F2711">
        <v>1613</v>
      </c>
      <c r="G2711">
        <v>1</v>
      </c>
      <c r="H2711">
        <v>0.2</v>
      </c>
      <c r="I2711" s="1">
        <f>0</f>
        <v>0</v>
      </c>
      <c r="J2711" s="1">
        <f>21.3324</f>
        <v>21.3324</v>
      </c>
      <c r="K2711">
        <v>517.31100000000004</v>
      </c>
      <c r="L2711">
        <v>0</v>
      </c>
    </row>
    <row r="2712" spans="1:12" x14ac:dyDescent="0.25">
      <c r="A2712">
        <f>80591300*0.00001</f>
        <v>805.91300000000001</v>
      </c>
      <c r="B2712">
        <v>3504</v>
      </c>
      <c r="C2712">
        <v>66</v>
      </c>
      <c r="D2712">
        <v>242.11799999999999</v>
      </c>
      <c r="E2712">
        <v>5154</v>
      </c>
      <c r="F2712">
        <v>1613</v>
      </c>
      <c r="G2712">
        <v>1</v>
      </c>
      <c r="H2712">
        <v>0.2</v>
      </c>
      <c r="I2712">
        <v>0</v>
      </c>
      <c r="J2712">
        <v>21.3324</v>
      </c>
      <c r="K2712" s="1">
        <f>517.34</f>
        <v>517.34</v>
      </c>
      <c r="L2712" s="1">
        <f>0</f>
        <v>0</v>
      </c>
    </row>
    <row r="2713" spans="1:12" x14ac:dyDescent="0.25">
      <c r="A2713">
        <f>80591437*0.00001</f>
        <v>805.91437000000008</v>
      </c>
      <c r="B2713">
        <v>3504</v>
      </c>
      <c r="C2713">
        <v>67</v>
      </c>
      <c r="D2713" s="1">
        <f>242.118</f>
        <v>242.11799999999999</v>
      </c>
      <c r="E2713" s="1">
        <f>5155</f>
        <v>5155</v>
      </c>
      <c r="F2713">
        <v>1613</v>
      </c>
      <c r="G2713">
        <v>1</v>
      </c>
      <c r="H2713">
        <v>0.2</v>
      </c>
      <c r="I2713">
        <v>0</v>
      </c>
      <c r="J2713">
        <v>21.3324</v>
      </c>
      <c r="K2713">
        <v>517.34</v>
      </c>
      <c r="L2713">
        <v>0</v>
      </c>
    </row>
    <row r="2714" spans="1:12" x14ac:dyDescent="0.25">
      <c r="A2714">
        <f>80591574*0.00001</f>
        <v>805.91574000000003</v>
      </c>
      <c r="B2714">
        <v>3504</v>
      </c>
      <c r="C2714">
        <v>68</v>
      </c>
      <c r="D2714">
        <v>242.11799999999999</v>
      </c>
      <c r="E2714">
        <v>5155</v>
      </c>
      <c r="F2714">
        <v>1613</v>
      </c>
      <c r="G2714" s="1">
        <f>1</f>
        <v>1</v>
      </c>
      <c r="H2714">
        <v>0.2</v>
      </c>
      <c r="I2714">
        <v>0</v>
      </c>
      <c r="J2714">
        <v>21.3324</v>
      </c>
      <c r="K2714">
        <v>517.34</v>
      </c>
      <c r="L2714">
        <v>0</v>
      </c>
    </row>
    <row r="2715" spans="1:12" x14ac:dyDescent="0.25">
      <c r="A2715">
        <f>80591711*0.00001</f>
        <v>805.91711000000009</v>
      </c>
      <c r="B2715">
        <v>3504</v>
      </c>
      <c r="C2715">
        <v>69</v>
      </c>
      <c r="D2715">
        <v>242.11799999999999</v>
      </c>
      <c r="E2715">
        <v>5155</v>
      </c>
      <c r="F2715">
        <v>1613</v>
      </c>
      <c r="G2715">
        <v>1</v>
      </c>
      <c r="H2715">
        <v>0.2</v>
      </c>
      <c r="I2715" s="1">
        <f>0</f>
        <v>0</v>
      </c>
      <c r="J2715">
        <v>21.3324</v>
      </c>
      <c r="K2715">
        <v>517.34</v>
      </c>
      <c r="L2715">
        <v>0</v>
      </c>
    </row>
    <row r="2716" spans="1:12" x14ac:dyDescent="0.25">
      <c r="A2716">
        <f>80591848*0.00001</f>
        <v>805.91848000000005</v>
      </c>
      <c r="B2716">
        <v>3504</v>
      </c>
      <c r="C2716">
        <v>70</v>
      </c>
      <c r="D2716">
        <v>242.11799999999999</v>
      </c>
      <c r="E2716">
        <v>5155</v>
      </c>
      <c r="F2716">
        <v>1613</v>
      </c>
      <c r="G2716">
        <v>1</v>
      </c>
      <c r="H2716">
        <v>0.2</v>
      </c>
      <c r="I2716">
        <v>0</v>
      </c>
      <c r="J2716">
        <v>21.3324</v>
      </c>
      <c r="K2716" s="1">
        <f>517.364</f>
        <v>517.36400000000003</v>
      </c>
      <c r="L2716">
        <v>0</v>
      </c>
    </row>
    <row r="2717" spans="1:12" x14ac:dyDescent="0.25">
      <c r="A2717">
        <f>80591985*0.00001</f>
        <v>805.91985000000011</v>
      </c>
      <c r="B2717">
        <v>3504</v>
      </c>
      <c r="C2717">
        <v>71</v>
      </c>
      <c r="D2717" s="1">
        <f>242.118</f>
        <v>242.11799999999999</v>
      </c>
      <c r="E2717">
        <v>5155</v>
      </c>
      <c r="F2717">
        <v>1613</v>
      </c>
      <c r="G2717">
        <v>1</v>
      </c>
      <c r="H2717">
        <v>0.2</v>
      </c>
      <c r="I2717">
        <v>0</v>
      </c>
      <c r="J2717">
        <v>21.3324</v>
      </c>
      <c r="K2717">
        <v>517.36400000000003</v>
      </c>
      <c r="L2717">
        <v>0</v>
      </c>
    </row>
    <row r="2718" spans="1:12" x14ac:dyDescent="0.25">
      <c r="A2718">
        <f>80592122*0.00001</f>
        <v>805.92122000000006</v>
      </c>
      <c r="B2718">
        <v>3504</v>
      </c>
      <c r="C2718">
        <v>72</v>
      </c>
      <c r="D2718">
        <v>242.11799999999999</v>
      </c>
      <c r="E2718">
        <v>5155</v>
      </c>
      <c r="F2718" s="1">
        <f>1613</f>
        <v>1613</v>
      </c>
      <c r="G2718">
        <v>1</v>
      </c>
      <c r="H2718">
        <v>0.2</v>
      </c>
      <c r="I2718">
        <v>0</v>
      </c>
      <c r="J2718">
        <v>21.3324</v>
      </c>
      <c r="K2718">
        <v>517.36400000000003</v>
      </c>
      <c r="L2718">
        <v>0</v>
      </c>
    </row>
    <row r="2719" spans="1:12" x14ac:dyDescent="0.25">
      <c r="A2719">
        <f>80592259*0.00001</f>
        <v>805.92259000000001</v>
      </c>
      <c r="B2719">
        <v>3504</v>
      </c>
      <c r="C2719">
        <v>73</v>
      </c>
      <c r="D2719" s="1">
        <f>242.118</f>
        <v>242.11799999999999</v>
      </c>
      <c r="E2719" s="1">
        <f>5157</f>
        <v>5157</v>
      </c>
      <c r="F2719" s="1">
        <f>1613</f>
        <v>1613</v>
      </c>
      <c r="G2719" s="1">
        <f>1</f>
        <v>1</v>
      </c>
      <c r="H2719" s="1">
        <f>0.2</f>
        <v>0.2</v>
      </c>
      <c r="I2719" s="1">
        <f>0</f>
        <v>0</v>
      </c>
      <c r="J2719" s="1">
        <f>21.7823</f>
        <v>21.782299999999999</v>
      </c>
      <c r="K2719" s="1">
        <f>517.418</f>
        <v>517.41800000000001</v>
      </c>
      <c r="L2719" s="1">
        <f>0</f>
        <v>0</v>
      </c>
    </row>
    <row r="2720" spans="1:12" x14ac:dyDescent="0.25">
      <c r="A2720">
        <f>80593220*0.00001</f>
        <v>805.93220000000008</v>
      </c>
      <c r="B2720">
        <v>3504</v>
      </c>
      <c r="C2720">
        <v>80</v>
      </c>
      <c r="D2720" s="1">
        <f>242.118</f>
        <v>242.11799999999999</v>
      </c>
      <c r="E2720" s="1">
        <f>5158</f>
        <v>5158</v>
      </c>
      <c r="F2720">
        <v>1613</v>
      </c>
      <c r="G2720">
        <v>1</v>
      </c>
      <c r="H2720">
        <v>0.2</v>
      </c>
      <c r="I2720">
        <v>0</v>
      </c>
      <c r="J2720">
        <v>21.782299999999999</v>
      </c>
      <c r="K2720">
        <v>517.41800000000001</v>
      </c>
      <c r="L2720">
        <v>0</v>
      </c>
    </row>
    <row r="2721" spans="1:12" x14ac:dyDescent="0.25">
      <c r="A2721">
        <f>80593357*0.00001</f>
        <v>805.93357000000003</v>
      </c>
      <c r="B2721">
        <v>3504</v>
      </c>
      <c r="C2721">
        <v>81</v>
      </c>
      <c r="D2721">
        <v>242.11799999999999</v>
      </c>
      <c r="E2721">
        <v>5158</v>
      </c>
      <c r="F2721" s="1">
        <f>1613</f>
        <v>1613</v>
      </c>
      <c r="G2721" s="1">
        <f>1</f>
        <v>1</v>
      </c>
      <c r="H2721">
        <v>0.2</v>
      </c>
      <c r="I2721">
        <v>0</v>
      </c>
      <c r="J2721">
        <v>21.782299999999999</v>
      </c>
      <c r="K2721">
        <v>517.41800000000001</v>
      </c>
      <c r="L2721">
        <v>0</v>
      </c>
    </row>
    <row r="2722" spans="1:12" x14ac:dyDescent="0.25">
      <c r="A2722">
        <f>80593495*0.00001</f>
        <v>805.93495000000007</v>
      </c>
      <c r="B2722">
        <v>3504</v>
      </c>
      <c r="C2722">
        <v>82</v>
      </c>
      <c r="D2722">
        <v>242.11799999999999</v>
      </c>
      <c r="E2722">
        <v>5158</v>
      </c>
      <c r="F2722">
        <v>1613</v>
      </c>
      <c r="G2722">
        <v>1</v>
      </c>
      <c r="H2722" s="1">
        <f>0.2</f>
        <v>0.2</v>
      </c>
      <c r="I2722" s="1">
        <f>0</f>
        <v>0</v>
      </c>
      <c r="J2722">
        <v>21.782299999999999</v>
      </c>
      <c r="K2722">
        <v>517.41800000000001</v>
      </c>
      <c r="L2722">
        <v>0</v>
      </c>
    </row>
    <row r="2723" spans="1:12" x14ac:dyDescent="0.25">
      <c r="A2723">
        <f>80593632*0.00001</f>
        <v>805.93632000000002</v>
      </c>
      <c r="B2723">
        <v>3504</v>
      </c>
      <c r="C2723">
        <v>83</v>
      </c>
      <c r="D2723">
        <v>242.11799999999999</v>
      </c>
      <c r="E2723">
        <v>5158</v>
      </c>
      <c r="F2723">
        <v>1613</v>
      </c>
      <c r="G2723">
        <v>1</v>
      </c>
      <c r="H2723">
        <v>0.2</v>
      </c>
      <c r="I2723">
        <v>0</v>
      </c>
      <c r="J2723" s="1">
        <f>21.9572</f>
        <v>21.9572</v>
      </c>
      <c r="K2723" s="1">
        <f>517.442</f>
        <v>517.44200000000001</v>
      </c>
      <c r="L2723">
        <v>0</v>
      </c>
    </row>
    <row r="2724" spans="1:12" x14ac:dyDescent="0.25">
      <c r="A2724">
        <f>80593769*0.00001</f>
        <v>805.93769000000009</v>
      </c>
      <c r="B2724">
        <v>3504</v>
      </c>
      <c r="C2724">
        <v>84</v>
      </c>
      <c r="D2724" s="1">
        <f>242.118</f>
        <v>242.11799999999999</v>
      </c>
      <c r="E2724">
        <v>5158</v>
      </c>
      <c r="F2724">
        <v>1613</v>
      </c>
      <c r="G2724">
        <v>1</v>
      </c>
      <c r="H2724">
        <v>0.2</v>
      </c>
      <c r="I2724">
        <v>0</v>
      </c>
      <c r="J2724">
        <v>21.9572</v>
      </c>
      <c r="K2724">
        <v>517.44200000000001</v>
      </c>
      <c r="L2724" s="1">
        <f>0</f>
        <v>0</v>
      </c>
    </row>
    <row r="2725" spans="1:12" x14ac:dyDescent="0.25">
      <c r="A2725">
        <f>80593906*0.00001</f>
        <v>805.93906000000004</v>
      </c>
      <c r="B2725">
        <v>3504</v>
      </c>
      <c r="C2725">
        <v>85</v>
      </c>
      <c r="D2725">
        <v>242.11799999999999</v>
      </c>
      <c r="E2725">
        <v>5158</v>
      </c>
      <c r="F2725" s="1">
        <f>1613</f>
        <v>1613</v>
      </c>
      <c r="G2725">
        <v>1</v>
      </c>
      <c r="H2725">
        <v>0.2</v>
      </c>
      <c r="I2725">
        <v>0</v>
      </c>
      <c r="J2725">
        <v>21.9572</v>
      </c>
      <c r="K2725">
        <v>517.44200000000001</v>
      </c>
      <c r="L2725">
        <v>0</v>
      </c>
    </row>
    <row r="2726" spans="1:12" x14ac:dyDescent="0.25">
      <c r="A2726">
        <f>80594043*0.00001</f>
        <v>805.94043000000011</v>
      </c>
      <c r="B2726">
        <v>3504</v>
      </c>
      <c r="C2726">
        <v>86</v>
      </c>
      <c r="D2726">
        <v>242.11799999999999</v>
      </c>
      <c r="E2726">
        <v>5158</v>
      </c>
      <c r="F2726">
        <v>1613</v>
      </c>
      <c r="G2726">
        <v>1</v>
      </c>
      <c r="H2726" s="1">
        <f>0.2</f>
        <v>0.2</v>
      </c>
      <c r="I2726">
        <v>0</v>
      </c>
      <c r="J2726">
        <v>21.9572</v>
      </c>
      <c r="K2726">
        <v>517.44200000000001</v>
      </c>
      <c r="L2726">
        <v>0</v>
      </c>
    </row>
    <row r="2727" spans="1:12" x14ac:dyDescent="0.25">
      <c r="A2727">
        <f>80594180*0.00001</f>
        <v>805.94180000000006</v>
      </c>
      <c r="B2727">
        <v>3504</v>
      </c>
      <c r="C2727">
        <v>87</v>
      </c>
      <c r="D2727">
        <v>242.11799999999999</v>
      </c>
      <c r="E2727">
        <v>5158</v>
      </c>
      <c r="F2727">
        <v>1613</v>
      </c>
      <c r="G2727">
        <v>1</v>
      </c>
      <c r="H2727">
        <v>0.2</v>
      </c>
      <c r="I2727">
        <v>0</v>
      </c>
      <c r="J2727" s="1">
        <f>22.0822</f>
        <v>22.0822</v>
      </c>
      <c r="K2727">
        <v>517.44200000000001</v>
      </c>
      <c r="L2727">
        <v>0</v>
      </c>
    </row>
    <row r="2728" spans="1:12" x14ac:dyDescent="0.25">
      <c r="A2728">
        <f>80594317*0.00001</f>
        <v>805.94317000000001</v>
      </c>
      <c r="B2728">
        <v>3504</v>
      </c>
      <c r="C2728">
        <v>88</v>
      </c>
      <c r="D2728">
        <v>242.11799999999999</v>
      </c>
      <c r="E2728">
        <v>5158</v>
      </c>
      <c r="F2728">
        <v>1613</v>
      </c>
      <c r="G2728">
        <v>1</v>
      </c>
      <c r="H2728">
        <v>0.2</v>
      </c>
      <c r="I2728">
        <v>0</v>
      </c>
      <c r="J2728">
        <v>22.0822</v>
      </c>
      <c r="K2728">
        <v>517.44200000000001</v>
      </c>
      <c r="L2728" s="1">
        <f>0</f>
        <v>0</v>
      </c>
    </row>
    <row r="2729" spans="1:12" x14ac:dyDescent="0.25">
      <c r="A2729">
        <f>80594455*0.00001</f>
        <v>805.94455000000005</v>
      </c>
      <c r="B2729">
        <v>3504</v>
      </c>
      <c r="C2729">
        <v>89</v>
      </c>
      <c r="D2729" s="1">
        <f>242.115</f>
        <v>242.11500000000001</v>
      </c>
      <c r="E2729" s="1">
        <f>5161</f>
        <v>5161</v>
      </c>
      <c r="F2729" s="1">
        <f>1613</f>
        <v>1613</v>
      </c>
      <c r="G2729" s="1">
        <f>1</f>
        <v>1</v>
      </c>
      <c r="H2729" s="1">
        <f>0.2</f>
        <v>0.2</v>
      </c>
      <c r="I2729" s="1">
        <f>0</f>
        <v>0</v>
      </c>
      <c r="J2729" s="1">
        <f>22.2322</f>
        <v>22.232199999999999</v>
      </c>
      <c r="K2729" s="1">
        <f>517.497</f>
        <v>517.49699999999996</v>
      </c>
      <c r="L2729" s="1">
        <f>0</f>
        <v>0</v>
      </c>
    </row>
    <row r="2730" spans="1:12" x14ac:dyDescent="0.25">
      <c r="A2730">
        <f>80595416*0.00001</f>
        <v>805.95416000000012</v>
      </c>
      <c r="B2730">
        <v>3504</v>
      </c>
      <c r="C2730">
        <v>96</v>
      </c>
      <c r="D2730">
        <v>242.11500000000001</v>
      </c>
      <c r="E2730">
        <v>5161</v>
      </c>
      <c r="F2730">
        <v>1613</v>
      </c>
      <c r="G2730">
        <v>1</v>
      </c>
      <c r="H2730">
        <v>0.2</v>
      </c>
      <c r="I2730">
        <v>0</v>
      </c>
      <c r="J2730" s="1">
        <f>22.4069</f>
        <v>22.4069</v>
      </c>
      <c r="K2730" s="1">
        <f>517.521</f>
        <v>517.52099999999996</v>
      </c>
      <c r="L2730">
        <v>0</v>
      </c>
    </row>
    <row r="2731" spans="1:12" x14ac:dyDescent="0.25">
      <c r="A2731">
        <f>80595553*0.00001</f>
        <v>805.95553000000007</v>
      </c>
      <c r="B2731">
        <v>3504</v>
      </c>
      <c r="C2731">
        <v>97</v>
      </c>
      <c r="D2731" s="1">
        <f>242.118</f>
        <v>242.11799999999999</v>
      </c>
      <c r="E2731">
        <v>5161</v>
      </c>
      <c r="F2731">
        <v>1613</v>
      </c>
      <c r="G2731">
        <v>1</v>
      </c>
      <c r="H2731">
        <v>0.2</v>
      </c>
      <c r="I2731">
        <v>0</v>
      </c>
      <c r="J2731">
        <v>22.4069</v>
      </c>
      <c r="K2731">
        <v>517.52099999999996</v>
      </c>
      <c r="L2731" s="1">
        <f>0</f>
        <v>0</v>
      </c>
    </row>
    <row r="2732" spans="1:12" x14ac:dyDescent="0.25">
      <c r="A2732">
        <f>80595690*0.00001</f>
        <v>805.95690000000002</v>
      </c>
      <c r="B2732">
        <v>3504</v>
      </c>
      <c r="C2732">
        <v>98</v>
      </c>
      <c r="D2732">
        <v>242.11799999999999</v>
      </c>
      <c r="E2732" s="1">
        <f>5162</f>
        <v>5162</v>
      </c>
      <c r="F2732" s="1">
        <f>1613</f>
        <v>1613</v>
      </c>
      <c r="G2732">
        <v>1</v>
      </c>
      <c r="H2732">
        <v>0.2</v>
      </c>
      <c r="I2732">
        <v>0</v>
      </c>
      <c r="J2732">
        <v>22.4069</v>
      </c>
      <c r="K2732">
        <v>517.52099999999996</v>
      </c>
      <c r="L2732">
        <v>0</v>
      </c>
    </row>
    <row r="2733" spans="1:12" x14ac:dyDescent="0.25">
      <c r="A2733">
        <f>80595827*0.00001</f>
        <v>805.95827000000008</v>
      </c>
      <c r="B2733">
        <v>3504</v>
      </c>
      <c r="C2733">
        <v>99</v>
      </c>
      <c r="D2733">
        <v>242.11799999999999</v>
      </c>
      <c r="E2733">
        <v>5162</v>
      </c>
      <c r="F2733">
        <v>1613</v>
      </c>
      <c r="G2733" s="1">
        <f>1</f>
        <v>1</v>
      </c>
      <c r="H2733" s="1">
        <f>0.2</f>
        <v>0.2</v>
      </c>
      <c r="I2733">
        <v>0</v>
      </c>
      <c r="J2733">
        <v>22.4069</v>
      </c>
      <c r="K2733">
        <v>517.52099999999996</v>
      </c>
      <c r="L2733">
        <v>0</v>
      </c>
    </row>
    <row r="2734" spans="1:12" x14ac:dyDescent="0.25">
      <c r="A2734">
        <f>80595965*0.00001</f>
        <v>805.95965000000001</v>
      </c>
      <c r="B2734">
        <v>3504</v>
      </c>
      <c r="C2734">
        <v>100</v>
      </c>
      <c r="D2734">
        <v>242.11799999999999</v>
      </c>
      <c r="E2734">
        <v>5162</v>
      </c>
      <c r="F2734">
        <v>1613</v>
      </c>
      <c r="G2734">
        <v>1</v>
      </c>
      <c r="H2734">
        <v>0.2</v>
      </c>
      <c r="I2734" s="1">
        <f>0</f>
        <v>0</v>
      </c>
      <c r="J2734" s="1">
        <f>22.532</f>
        <v>22.532</v>
      </c>
      <c r="K2734">
        <v>517.52099999999996</v>
      </c>
      <c r="L2734">
        <v>0</v>
      </c>
    </row>
    <row r="2735" spans="1:12" x14ac:dyDescent="0.25">
      <c r="A2735">
        <f>80596102*0.00001</f>
        <v>805.96102000000008</v>
      </c>
      <c r="B2735">
        <v>3504</v>
      </c>
      <c r="C2735">
        <v>101</v>
      </c>
      <c r="D2735">
        <v>242.11799999999999</v>
      </c>
      <c r="E2735">
        <v>5162</v>
      </c>
      <c r="F2735">
        <v>1613</v>
      </c>
      <c r="G2735">
        <v>1</v>
      </c>
      <c r="H2735">
        <v>0.2</v>
      </c>
      <c r="I2735">
        <v>0</v>
      </c>
      <c r="J2735">
        <v>22.532</v>
      </c>
      <c r="K2735" s="1">
        <f>517.552</f>
        <v>517.55200000000002</v>
      </c>
      <c r="L2735" s="1">
        <f>0</f>
        <v>0</v>
      </c>
    </row>
    <row r="2736" spans="1:12" x14ac:dyDescent="0.25">
      <c r="A2736">
        <f>80596239*0.00001</f>
        <v>805.96239000000003</v>
      </c>
      <c r="B2736">
        <v>3504</v>
      </c>
      <c r="C2736">
        <v>102</v>
      </c>
      <c r="D2736">
        <v>242.11799999999999</v>
      </c>
      <c r="E2736" s="1">
        <f>5164</f>
        <v>5164</v>
      </c>
      <c r="F2736">
        <v>1613</v>
      </c>
      <c r="G2736">
        <v>1</v>
      </c>
      <c r="H2736">
        <v>0.2</v>
      </c>
      <c r="I2736">
        <v>0</v>
      </c>
      <c r="J2736">
        <v>22.532</v>
      </c>
      <c r="K2736">
        <v>517.55200000000002</v>
      </c>
      <c r="L2736">
        <v>0</v>
      </c>
    </row>
    <row r="2737" spans="1:12" x14ac:dyDescent="0.25">
      <c r="A2737">
        <f>80596376*0.00001</f>
        <v>805.96376000000009</v>
      </c>
      <c r="B2737">
        <v>3504</v>
      </c>
      <c r="C2737">
        <v>103</v>
      </c>
      <c r="D2737">
        <v>242.11799999999999</v>
      </c>
      <c r="E2737">
        <v>5164</v>
      </c>
      <c r="F2737">
        <v>1613</v>
      </c>
      <c r="G2737" s="1">
        <f>1</f>
        <v>1</v>
      </c>
      <c r="H2737">
        <v>0.2</v>
      </c>
      <c r="I2737">
        <v>0</v>
      </c>
      <c r="J2737">
        <v>22.532</v>
      </c>
      <c r="K2737">
        <v>517.55200000000002</v>
      </c>
      <c r="L2737">
        <v>0</v>
      </c>
    </row>
    <row r="2738" spans="1:12" x14ac:dyDescent="0.25">
      <c r="A2738">
        <f>80596514*0.00001</f>
        <v>805.96514000000002</v>
      </c>
      <c r="B2738">
        <v>3504</v>
      </c>
      <c r="C2738">
        <v>104</v>
      </c>
      <c r="D2738">
        <v>242.11799999999999</v>
      </c>
      <c r="E2738">
        <v>5164</v>
      </c>
      <c r="F2738">
        <v>1613</v>
      </c>
      <c r="G2738">
        <v>1</v>
      </c>
      <c r="H2738">
        <v>0.2</v>
      </c>
      <c r="I2738" s="1">
        <f>0</f>
        <v>0</v>
      </c>
      <c r="J2738">
        <v>22.532</v>
      </c>
      <c r="K2738">
        <v>517.55200000000002</v>
      </c>
      <c r="L2738">
        <v>0</v>
      </c>
    </row>
    <row r="2739" spans="1:12" x14ac:dyDescent="0.25">
      <c r="A2739">
        <f>80596651*0.00001</f>
        <v>805.96651000000008</v>
      </c>
      <c r="B2739">
        <v>3504</v>
      </c>
      <c r="C2739">
        <v>105</v>
      </c>
      <c r="D2739">
        <v>242.11799999999999</v>
      </c>
      <c r="E2739">
        <v>5164</v>
      </c>
      <c r="F2739">
        <v>1613</v>
      </c>
      <c r="G2739">
        <v>1</v>
      </c>
      <c r="H2739">
        <v>0.2</v>
      </c>
      <c r="I2739">
        <v>0</v>
      </c>
      <c r="J2739">
        <v>22.532</v>
      </c>
      <c r="K2739" s="1">
        <f>517.577</f>
        <v>517.577</v>
      </c>
      <c r="L2739">
        <v>0</v>
      </c>
    </row>
    <row r="2740" spans="1:12" x14ac:dyDescent="0.25">
      <c r="A2740">
        <f>80596788*0.00001</f>
        <v>805.96788000000004</v>
      </c>
      <c r="B2740">
        <v>3504</v>
      </c>
      <c r="C2740">
        <v>106</v>
      </c>
      <c r="D2740" s="1">
        <f>242.119</f>
        <v>242.119</v>
      </c>
      <c r="E2740" s="1">
        <f>5165</f>
        <v>5165</v>
      </c>
      <c r="F2740" s="1">
        <f>1613</f>
        <v>1613</v>
      </c>
      <c r="G2740" s="1">
        <f>1</f>
        <v>1</v>
      </c>
      <c r="H2740" s="1">
        <f>0.2</f>
        <v>0.2</v>
      </c>
      <c r="I2740" s="1">
        <f>0</f>
        <v>0</v>
      </c>
      <c r="J2740" s="1">
        <f>22.8563</f>
        <v>22.856300000000001</v>
      </c>
      <c r="K2740" s="1">
        <f>517.602</f>
        <v>517.60199999999998</v>
      </c>
      <c r="L2740" s="1">
        <f>0</f>
        <v>0</v>
      </c>
    </row>
    <row r="2741" spans="1:12" x14ac:dyDescent="0.25">
      <c r="A2741">
        <f>80597749*0.00001</f>
        <v>805.9774900000001</v>
      </c>
      <c r="B2741">
        <v>3504</v>
      </c>
      <c r="C2741">
        <v>113</v>
      </c>
      <c r="D2741">
        <v>242.119</v>
      </c>
      <c r="E2741">
        <v>5165</v>
      </c>
      <c r="F2741">
        <v>1613</v>
      </c>
      <c r="G2741">
        <v>1</v>
      </c>
      <c r="H2741">
        <v>0.2</v>
      </c>
      <c r="I2741" s="1">
        <f>0</f>
        <v>0</v>
      </c>
      <c r="J2741" s="1">
        <f>22.9813</f>
        <v>22.981300000000001</v>
      </c>
      <c r="K2741">
        <v>517.60199999999998</v>
      </c>
      <c r="L2741">
        <v>0</v>
      </c>
    </row>
    <row r="2742" spans="1:12" x14ac:dyDescent="0.25">
      <c r="A2742">
        <f>80597886*0.00001</f>
        <v>805.97886000000005</v>
      </c>
      <c r="B2742">
        <v>3504</v>
      </c>
      <c r="C2742">
        <v>114</v>
      </c>
      <c r="D2742">
        <v>242.119</v>
      </c>
      <c r="E2742">
        <v>5165</v>
      </c>
      <c r="F2742">
        <v>1613</v>
      </c>
      <c r="G2742">
        <v>1</v>
      </c>
      <c r="H2742">
        <v>0.2</v>
      </c>
      <c r="I2742">
        <v>0</v>
      </c>
      <c r="J2742">
        <v>22.981300000000001</v>
      </c>
      <c r="K2742" s="1">
        <f>517.634</f>
        <v>517.63400000000001</v>
      </c>
      <c r="L2742" s="1">
        <f>0</f>
        <v>0</v>
      </c>
    </row>
    <row r="2743" spans="1:12" x14ac:dyDescent="0.25">
      <c r="A2743">
        <f>80598024*0.00001</f>
        <v>805.98024000000009</v>
      </c>
      <c r="B2743">
        <v>3504</v>
      </c>
      <c r="C2743">
        <v>115</v>
      </c>
      <c r="D2743" s="1">
        <f>242.119</f>
        <v>242.119</v>
      </c>
      <c r="E2743" s="1">
        <f>5166</f>
        <v>5166</v>
      </c>
      <c r="F2743">
        <v>1613</v>
      </c>
      <c r="G2743">
        <v>1</v>
      </c>
      <c r="H2743">
        <v>0.2</v>
      </c>
      <c r="I2743">
        <v>0</v>
      </c>
      <c r="J2743">
        <v>22.981300000000001</v>
      </c>
      <c r="K2743">
        <v>517.63400000000001</v>
      </c>
      <c r="L2743">
        <v>0</v>
      </c>
    </row>
    <row r="2744" spans="1:12" x14ac:dyDescent="0.25">
      <c r="A2744">
        <f>80598161*0.00001</f>
        <v>805.98161000000005</v>
      </c>
      <c r="B2744">
        <v>3504</v>
      </c>
      <c r="C2744">
        <v>116</v>
      </c>
      <c r="D2744">
        <v>242.119</v>
      </c>
      <c r="E2744">
        <v>5166</v>
      </c>
      <c r="F2744" s="1">
        <f>1613</f>
        <v>1613</v>
      </c>
      <c r="G2744" s="1">
        <f>1</f>
        <v>1</v>
      </c>
      <c r="H2744">
        <v>0.2</v>
      </c>
      <c r="I2744">
        <v>0</v>
      </c>
      <c r="J2744">
        <v>22.981300000000001</v>
      </c>
      <c r="K2744">
        <v>517.63400000000001</v>
      </c>
      <c r="L2744">
        <v>0</v>
      </c>
    </row>
    <row r="2745" spans="1:12" x14ac:dyDescent="0.25">
      <c r="A2745">
        <f>80598298*0.00001</f>
        <v>805.98298000000011</v>
      </c>
      <c r="B2745">
        <v>3504</v>
      </c>
      <c r="C2745">
        <v>117</v>
      </c>
      <c r="D2745">
        <v>242.119</v>
      </c>
      <c r="E2745">
        <v>5166</v>
      </c>
      <c r="F2745">
        <v>1613</v>
      </c>
      <c r="G2745">
        <v>1</v>
      </c>
      <c r="H2745" s="1">
        <f>0.2</f>
        <v>0.2</v>
      </c>
      <c r="I2745" s="1">
        <f>0</f>
        <v>0</v>
      </c>
      <c r="J2745">
        <v>22.981300000000001</v>
      </c>
      <c r="K2745">
        <v>517.63400000000001</v>
      </c>
      <c r="L2745">
        <v>0</v>
      </c>
    </row>
    <row r="2746" spans="1:12" x14ac:dyDescent="0.25">
      <c r="A2746">
        <f>80598435*0.00001</f>
        <v>805.98435000000006</v>
      </c>
      <c r="B2746">
        <v>3504</v>
      </c>
      <c r="C2746">
        <v>118</v>
      </c>
      <c r="D2746">
        <v>242.119</v>
      </c>
      <c r="E2746">
        <v>5166</v>
      </c>
      <c r="F2746">
        <v>1613</v>
      </c>
      <c r="G2746">
        <v>1</v>
      </c>
      <c r="H2746">
        <v>0.2</v>
      </c>
      <c r="I2746">
        <v>0</v>
      </c>
      <c r="J2746">
        <v>22.981300000000001</v>
      </c>
      <c r="K2746" s="1">
        <f>517.659</f>
        <v>517.65899999999999</v>
      </c>
      <c r="L2746">
        <v>0</v>
      </c>
    </row>
    <row r="2747" spans="1:12" x14ac:dyDescent="0.25">
      <c r="A2747">
        <f>80598573*0.00001</f>
        <v>805.9857300000001</v>
      </c>
      <c r="B2747">
        <v>3504</v>
      </c>
      <c r="C2747">
        <v>119</v>
      </c>
      <c r="D2747" s="1">
        <f>242.117</f>
        <v>242.11699999999999</v>
      </c>
      <c r="E2747">
        <v>5166</v>
      </c>
      <c r="F2747">
        <v>1613</v>
      </c>
      <c r="G2747">
        <v>1</v>
      </c>
      <c r="H2747">
        <v>0.2</v>
      </c>
      <c r="I2747">
        <v>0</v>
      </c>
      <c r="J2747">
        <v>22.981300000000001</v>
      </c>
      <c r="K2747">
        <v>517.65899999999999</v>
      </c>
      <c r="L2747">
        <v>0</v>
      </c>
    </row>
    <row r="2748" spans="1:12" x14ac:dyDescent="0.25">
      <c r="A2748">
        <f>80598710*0.00001</f>
        <v>805.98710000000005</v>
      </c>
      <c r="B2748">
        <v>3504</v>
      </c>
      <c r="C2748">
        <v>120</v>
      </c>
      <c r="D2748">
        <v>242.11699999999999</v>
      </c>
      <c r="E2748">
        <v>5166</v>
      </c>
      <c r="F2748" s="1">
        <f>1613</f>
        <v>1613</v>
      </c>
      <c r="G2748">
        <v>1</v>
      </c>
      <c r="H2748">
        <v>0.2</v>
      </c>
      <c r="I2748">
        <v>0</v>
      </c>
      <c r="J2748">
        <v>22.981300000000001</v>
      </c>
      <c r="K2748">
        <v>517.65899999999999</v>
      </c>
      <c r="L2748">
        <v>0</v>
      </c>
    </row>
    <row r="2749" spans="1:12" x14ac:dyDescent="0.25">
      <c r="A2749">
        <f>80598847*0.00001</f>
        <v>805.98847000000012</v>
      </c>
      <c r="B2749">
        <v>3504</v>
      </c>
      <c r="C2749">
        <v>121</v>
      </c>
      <c r="D2749">
        <v>242.11699999999999</v>
      </c>
      <c r="E2749">
        <v>5166</v>
      </c>
      <c r="F2749">
        <v>1613</v>
      </c>
      <c r="G2749">
        <v>1</v>
      </c>
      <c r="H2749" s="1">
        <f>0.2</f>
        <v>0.2</v>
      </c>
      <c r="I2749">
        <v>0</v>
      </c>
      <c r="J2749">
        <v>22.981300000000001</v>
      </c>
      <c r="K2749">
        <v>517.65899999999999</v>
      </c>
      <c r="L2749">
        <v>0</v>
      </c>
    </row>
    <row r="2750" spans="1:12" x14ac:dyDescent="0.25">
      <c r="A2750">
        <f>80598984*0.00001</f>
        <v>805.98984000000007</v>
      </c>
      <c r="B2750">
        <v>3504</v>
      </c>
      <c r="C2750">
        <v>122</v>
      </c>
      <c r="D2750" s="1">
        <f>242.118</f>
        <v>242.11799999999999</v>
      </c>
      <c r="E2750" s="1">
        <f>5169</f>
        <v>5169</v>
      </c>
      <c r="F2750" s="1">
        <f>1613</f>
        <v>1613</v>
      </c>
      <c r="G2750" s="1">
        <f>1</f>
        <v>1</v>
      </c>
      <c r="H2750" s="1">
        <f>0.2</f>
        <v>0.2</v>
      </c>
      <c r="I2750" s="1">
        <f>0</f>
        <v>0</v>
      </c>
      <c r="J2750" s="1">
        <f>23.4347</f>
        <v>23.434699999999999</v>
      </c>
      <c r="K2750" s="1">
        <f>517.717</f>
        <v>517.71699999999998</v>
      </c>
      <c r="L2750" s="1">
        <f>0</f>
        <v>0</v>
      </c>
    </row>
    <row r="2751" spans="1:12" x14ac:dyDescent="0.25">
      <c r="A2751">
        <f>80599944*0.00001</f>
        <v>805.99944000000005</v>
      </c>
      <c r="B2751">
        <v>3504</v>
      </c>
      <c r="C2751">
        <v>129</v>
      </c>
      <c r="D2751">
        <v>242.11799999999999</v>
      </c>
      <c r="E2751">
        <v>5169</v>
      </c>
      <c r="F2751" s="1">
        <f>1613</f>
        <v>1613</v>
      </c>
      <c r="G2751" s="1">
        <f>1</f>
        <v>1</v>
      </c>
      <c r="H2751">
        <v>0.2</v>
      </c>
      <c r="I2751">
        <v>0</v>
      </c>
      <c r="J2751">
        <v>23.434699999999999</v>
      </c>
      <c r="K2751">
        <v>517.71699999999998</v>
      </c>
      <c r="L2751">
        <v>0</v>
      </c>
    </row>
    <row r="2752" spans="1:12" x14ac:dyDescent="0.25">
      <c r="A2752">
        <f>80600082*0.00001</f>
        <v>806.00082000000009</v>
      </c>
      <c r="B2752">
        <v>3504</v>
      </c>
      <c r="C2752">
        <v>130</v>
      </c>
      <c r="D2752">
        <v>242.11799999999999</v>
      </c>
      <c r="E2752">
        <v>5169</v>
      </c>
      <c r="F2752">
        <v>1613</v>
      </c>
      <c r="G2752">
        <v>1</v>
      </c>
      <c r="H2752" s="1">
        <f>0.2</f>
        <v>0.2</v>
      </c>
      <c r="I2752" s="1">
        <f>0</f>
        <v>0</v>
      </c>
      <c r="J2752">
        <v>23.434699999999999</v>
      </c>
      <c r="K2752">
        <v>517.71699999999998</v>
      </c>
      <c r="L2752">
        <v>0</v>
      </c>
    </row>
    <row r="2753" spans="1:12" x14ac:dyDescent="0.25">
      <c r="A2753">
        <f>80600219*0.00001</f>
        <v>806.00219000000004</v>
      </c>
      <c r="B2753">
        <v>3504</v>
      </c>
      <c r="C2753">
        <v>131</v>
      </c>
      <c r="D2753">
        <v>242.11799999999999</v>
      </c>
      <c r="E2753">
        <v>5169</v>
      </c>
      <c r="F2753">
        <v>1613</v>
      </c>
      <c r="G2753">
        <v>1</v>
      </c>
      <c r="H2753">
        <v>0.2</v>
      </c>
      <c r="I2753">
        <v>0</v>
      </c>
      <c r="J2753" s="1">
        <f>23.6064</f>
        <v>23.606400000000001</v>
      </c>
      <c r="K2753" s="1">
        <f>517.743</f>
        <v>517.74300000000005</v>
      </c>
      <c r="L2753">
        <v>0</v>
      </c>
    </row>
    <row r="2754" spans="1:12" x14ac:dyDescent="0.25">
      <c r="A2754">
        <f>80600356*0.00001</f>
        <v>806.00356000000011</v>
      </c>
      <c r="B2754">
        <v>3504</v>
      </c>
      <c r="C2754">
        <v>132</v>
      </c>
      <c r="D2754" s="1">
        <f>242.118</f>
        <v>242.11799999999999</v>
      </c>
      <c r="E2754">
        <v>5169</v>
      </c>
      <c r="F2754">
        <v>1613</v>
      </c>
      <c r="G2754">
        <v>1</v>
      </c>
      <c r="H2754">
        <v>0.2</v>
      </c>
      <c r="I2754">
        <v>0</v>
      </c>
      <c r="J2754">
        <v>23.606400000000001</v>
      </c>
      <c r="K2754">
        <v>517.74300000000005</v>
      </c>
      <c r="L2754" s="1">
        <f>0</f>
        <v>0</v>
      </c>
    </row>
    <row r="2755" spans="1:12" x14ac:dyDescent="0.25">
      <c r="A2755">
        <f>80600493*0.00001</f>
        <v>806.00493000000006</v>
      </c>
      <c r="B2755">
        <v>3504</v>
      </c>
      <c r="C2755">
        <v>133</v>
      </c>
      <c r="D2755">
        <v>242.11799999999999</v>
      </c>
      <c r="E2755" s="1">
        <f>5170</f>
        <v>5170</v>
      </c>
      <c r="F2755" s="1">
        <f>1613</f>
        <v>1613</v>
      </c>
      <c r="G2755">
        <v>1</v>
      </c>
      <c r="H2755">
        <v>0.2</v>
      </c>
      <c r="I2755">
        <v>0</v>
      </c>
      <c r="J2755">
        <v>23.606400000000001</v>
      </c>
      <c r="K2755">
        <v>517.74300000000005</v>
      </c>
      <c r="L2755">
        <v>0</v>
      </c>
    </row>
    <row r="2756" spans="1:12" x14ac:dyDescent="0.25">
      <c r="A2756">
        <f>80600630*0.00001</f>
        <v>806.00630000000001</v>
      </c>
      <c r="B2756">
        <v>3504</v>
      </c>
      <c r="C2756">
        <v>134</v>
      </c>
      <c r="D2756">
        <v>242.11799999999999</v>
      </c>
      <c r="E2756">
        <v>5170</v>
      </c>
      <c r="F2756">
        <v>1613</v>
      </c>
      <c r="G2756">
        <v>1</v>
      </c>
      <c r="H2756" s="1">
        <f>0.2</f>
        <v>0.2</v>
      </c>
      <c r="I2756">
        <v>0</v>
      </c>
      <c r="J2756">
        <v>23.606400000000001</v>
      </c>
      <c r="K2756">
        <v>517.74300000000005</v>
      </c>
      <c r="L2756">
        <v>0</v>
      </c>
    </row>
    <row r="2757" spans="1:12" x14ac:dyDescent="0.25">
      <c r="A2757">
        <f>80600767*0.00001</f>
        <v>806.00767000000008</v>
      </c>
      <c r="B2757">
        <v>3504</v>
      </c>
      <c r="C2757">
        <v>135</v>
      </c>
      <c r="D2757">
        <v>242.11799999999999</v>
      </c>
      <c r="E2757">
        <v>5170</v>
      </c>
      <c r="F2757">
        <v>1613</v>
      </c>
      <c r="G2757">
        <v>1</v>
      </c>
      <c r="H2757">
        <v>0.2</v>
      </c>
      <c r="I2757">
        <v>0</v>
      </c>
      <c r="J2757" s="1">
        <f>23.7316</f>
        <v>23.7316</v>
      </c>
      <c r="K2757">
        <v>517.74300000000005</v>
      </c>
      <c r="L2757">
        <v>0</v>
      </c>
    </row>
    <row r="2758" spans="1:12" x14ac:dyDescent="0.25">
      <c r="A2758">
        <f>80600904*0.00001</f>
        <v>806.00904000000003</v>
      </c>
      <c r="B2758">
        <v>3504</v>
      </c>
      <c r="C2758">
        <v>136</v>
      </c>
      <c r="D2758">
        <v>242.11799999999999</v>
      </c>
      <c r="E2758">
        <v>5170</v>
      </c>
      <c r="F2758">
        <v>1613</v>
      </c>
      <c r="G2758">
        <v>1</v>
      </c>
      <c r="H2758">
        <v>0.2</v>
      </c>
      <c r="I2758">
        <v>0</v>
      </c>
      <c r="J2758">
        <v>23.7316</v>
      </c>
      <c r="K2758">
        <v>517.74300000000005</v>
      </c>
      <c r="L2758" s="1">
        <f>0</f>
        <v>0</v>
      </c>
    </row>
    <row r="2759" spans="1:12" x14ac:dyDescent="0.25">
      <c r="A2759">
        <f>80601042*0.00001</f>
        <v>806.01042000000007</v>
      </c>
      <c r="B2759">
        <v>3504</v>
      </c>
      <c r="C2759">
        <v>137</v>
      </c>
      <c r="D2759">
        <v>242.11799999999999</v>
      </c>
      <c r="E2759" s="1">
        <f>5171</f>
        <v>5171</v>
      </c>
      <c r="F2759">
        <v>1613</v>
      </c>
      <c r="G2759">
        <v>1</v>
      </c>
      <c r="H2759">
        <v>0.2</v>
      </c>
      <c r="I2759">
        <v>0</v>
      </c>
      <c r="J2759">
        <v>23.7316</v>
      </c>
      <c r="K2759">
        <v>517.74300000000005</v>
      </c>
      <c r="L2759">
        <v>0</v>
      </c>
    </row>
    <row r="2760" spans="1:12" x14ac:dyDescent="0.25">
      <c r="A2760">
        <f>80601179*0.00001</f>
        <v>806.01179000000002</v>
      </c>
      <c r="B2760">
        <v>3504</v>
      </c>
      <c r="C2760">
        <v>138</v>
      </c>
      <c r="D2760" s="1">
        <f>242.118</f>
        <v>242.11799999999999</v>
      </c>
      <c r="E2760" s="1">
        <f>5172</f>
        <v>5172</v>
      </c>
      <c r="F2760" s="1">
        <f>1613</f>
        <v>1613</v>
      </c>
      <c r="G2760" s="1">
        <f>1</f>
        <v>1</v>
      </c>
      <c r="H2760" s="1">
        <f>0.2</f>
        <v>0.2</v>
      </c>
      <c r="I2760" s="1">
        <f>0</f>
        <v>0</v>
      </c>
      <c r="J2760" s="1">
        <f>24.0566</f>
        <v>24.0566</v>
      </c>
      <c r="K2760" s="1">
        <f>517.828</f>
        <v>517.82799999999997</v>
      </c>
      <c r="L2760" s="1">
        <f>0</f>
        <v>0</v>
      </c>
    </row>
    <row r="2761" spans="1:12" x14ac:dyDescent="0.25">
      <c r="A2761">
        <f>80602141*0.00001</f>
        <v>806.02141000000006</v>
      </c>
      <c r="B2761">
        <v>3504</v>
      </c>
      <c r="C2761">
        <v>145</v>
      </c>
      <c r="D2761" s="1">
        <f>242.115</f>
        <v>242.11500000000001</v>
      </c>
      <c r="E2761">
        <v>5172</v>
      </c>
      <c r="F2761">
        <v>1613</v>
      </c>
      <c r="G2761">
        <v>1</v>
      </c>
      <c r="H2761">
        <v>0.2</v>
      </c>
      <c r="I2761">
        <v>0</v>
      </c>
      <c r="J2761">
        <v>24.0566</v>
      </c>
      <c r="K2761">
        <v>517.82799999999997</v>
      </c>
      <c r="L2761" s="1">
        <f>0</f>
        <v>0</v>
      </c>
    </row>
    <row r="2762" spans="1:12" x14ac:dyDescent="0.25">
      <c r="A2762">
        <f>80602278*0.00001</f>
        <v>806.02278000000001</v>
      </c>
      <c r="B2762">
        <v>3504</v>
      </c>
      <c r="C2762">
        <v>146</v>
      </c>
      <c r="D2762">
        <v>242.11500000000001</v>
      </c>
      <c r="E2762" s="1">
        <f>5173</f>
        <v>5173</v>
      </c>
      <c r="F2762" s="1">
        <f>1613</f>
        <v>1613</v>
      </c>
      <c r="G2762">
        <v>1</v>
      </c>
      <c r="H2762">
        <v>0.2</v>
      </c>
      <c r="I2762">
        <v>0</v>
      </c>
      <c r="J2762">
        <v>24.0566</v>
      </c>
      <c r="K2762">
        <v>517.82799999999997</v>
      </c>
      <c r="L2762">
        <v>0</v>
      </c>
    </row>
    <row r="2763" spans="1:12" x14ac:dyDescent="0.25">
      <c r="A2763">
        <f>80602415*0.00001</f>
        <v>806.02415000000008</v>
      </c>
      <c r="B2763">
        <v>3504</v>
      </c>
      <c r="C2763">
        <v>147</v>
      </c>
      <c r="D2763">
        <v>242.11500000000001</v>
      </c>
      <c r="E2763">
        <v>5173</v>
      </c>
      <c r="F2763">
        <v>1613</v>
      </c>
      <c r="G2763" s="1">
        <f>1</f>
        <v>1</v>
      </c>
      <c r="H2763" s="1">
        <f>0.2</f>
        <v>0.2</v>
      </c>
      <c r="I2763">
        <v>0</v>
      </c>
      <c r="J2763">
        <v>24.0566</v>
      </c>
      <c r="K2763">
        <v>517.82799999999997</v>
      </c>
      <c r="L2763">
        <v>0</v>
      </c>
    </row>
    <row r="2764" spans="1:12" x14ac:dyDescent="0.25">
      <c r="A2764">
        <f>80602552*0.00001</f>
        <v>806.02552000000003</v>
      </c>
      <c r="B2764">
        <v>3504</v>
      </c>
      <c r="C2764">
        <v>148</v>
      </c>
      <c r="D2764">
        <v>242.11500000000001</v>
      </c>
      <c r="E2764">
        <v>5173</v>
      </c>
      <c r="F2764">
        <v>1613</v>
      </c>
      <c r="G2764">
        <v>1</v>
      </c>
      <c r="H2764">
        <v>0.2</v>
      </c>
      <c r="I2764" s="1">
        <f>0</f>
        <v>0</v>
      </c>
      <c r="J2764" s="1">
        <f>24.1814</f>
        <v>24.1814</v>
      </c>
      <c r="K2764">
        <v>517.82799999999997</v>
      </c>
      <c r="L2764">
        <v>0</v>
      </c>
    </row>
    <row r="2765" spans="1:12" x14ac:dyDescent="0.25">
      <c r="A2765">
        <f>80602689*0.00001</f>
        <v>806.02689000000009</v>
      </c>
      <c r="B2765">
        <v>3504</v>
      </c>
      <c r="C2765">
        <v>149</v>
      </c>
      <c r="D2765">
        <v>242.11500000000001</v>
      </c>
      <c r="E2765">
        <v>5173</v>
      </c>
      <c r="F2765">
        <v>1613</v>
      </c>
      <c r="G2765">
        <v>1</v>
      </c>
      <c r="H2765">
        <v>0.2</v>
      </c>
      <c r="I2765">
        <v>0</v>
      </c>
      <c r="J2765">
        <v>24.1814</v>
      </c>
      <c r="K2765" s="1">
        <f>517.862</f>
        <v>517.86199999999997</v>
      </c>
      <c r="L2765" s="1">
        <f>0</f>
        <v>0</v>
      </c>
    </row>
    <row r="2766" spans="1:12" x14ac:dyDescent="0.25">
      <c r="A2766">
        <f>80602826*0.00001</f>
        <v>806.02826000000005</v>
      </c>
      <c r="B2766">
        <v>3504</v>
      </c>
      <c r="C2766">
        <v>150</v>
      </c>
      <c r="D2766" s="1">
        <f>242.118</f>
        <v>242.11799999999999</v>
      </c>
      <c r="E2766" s="1">
        <f>5174</f>
        <v>5174</v>
      </c>
      <c r="F2766">
        <v>1613</v>
      </c>
      <c r="G2766">
        <v>1</v>
      </c>
      <c r="H2766">
        <v>0.2</v>
      </c>
      <c r="I2766">
        <v>0</v>
      </c>
      <c r="J2766">
        <v>24.1814</v>
      </c>
      <c r="K2766">
        <v>517.86199999999997</v>
      </c>
      <c r="L2766">
        <v>0</v>
      </c>
    </row>
    <row r="2767" spans="1:12" x14ac:dyDescent="0.25">
      <c r="A2767">
        <f>80602963*0.00001</f>
        <v>806.02963000000011</v>
      </c>
      <c r="B2767">
        <v>3504</v>
      </c>
      <c r="C2767">
        <v>151</v>
      </c>
      <c r="D2767">
        <v>242.11799999999999</v>
      </c>
      <c r="E2767">
        <v>5174</v>
      </c>
      <c r="F2767">
        <v>1613</v>
      </c>
      <c r="G2767" s="1">
        <f>1</f>
        <v>1</v>
      </c>
      <c r="H2767">
        <v>0.2</v>
      </c>
      <c r="I2767">
        <v>0</v>
      </c>
      <c r="J2767">
        <v>24.1814</v>
      </c>
      <c r="K2767">
        <v>517.86199999999997</v>
      </c>
      <c r="L2767">
        <v>0</v>
      </c>
    </row>
    <row r="2768" spans="1:12" x14ac:dyDescent="0.25">
      <c r="A2768">
        <f>80603101*0.00001</f>
        <v>806.03101000000004</v>
      </c>
      <c r="B2768">
        <v>3504</v>
      </c>
      <c r="C2768">
        <v>152</v>
      </c>
      <c r="D2768">
        <v>242.11799999999999</v>
      </c>
      <c r="E2768">
        <v>5174</v>
      </c>
      <c r="F2768">
        <v>1613</v>
      </c>
      <c r="G2768">
        <v>1</v>
      </c>
      <c r="H2768">
        <v>0.2</v>
      </c>
      <c r="I2768" s="1">
        <f>0</f>
        <v>0</v>
      </c>
      <c r="J2768">
        <v>24.1814</v>
      </c>
      <c r="K2768">
        <v>517.86199999999997</v>
      </c>
      <c r="L2768">
        <v>0</v>
      </c>
    </row>
    <row r="2769" spans="1:12" x14ac:dyDescent="0.25">
      <c r="A2769">
        <f>80603238*0.00001</f>
        <v>806.0323800000001</v>
      </c>
      <c r="B2769">
        <v>3504</v>
      </c>
      <c r="C2769">
        <v>153</v>
      </c>
      <c r="D2769">
        <v>242.11799999999999</v>
      </c>
      <c r="E2769">
        <v>5174</v>
      </c>
      <c r="F2769">
        <v>1613</v>
      </c>
      <c r="G2769">
        <v>1</v>
      </c>
      <c r="H2769">
        <v>0.2</v>
      </c>
      <c r="I2769">
        <v>0</v>
      </c>
      <c r="J2769">
        <v>24.1814</v>
      </c>
      <c r="K2769" s="1">
        <f>517.888</f>
        <v>517.88800000000003</v>
      </c>
      <c r="L2769">
        <v>0</v>
      </c>
    </row>
    <row r="2770" spans="1:12" x14ac:dyDescent="0.25">
      <c r="A2770">
        <f>80603375*0.00001</f>
        <v>806.03375000000005</v>
      </c>
      <c r="B2770">
        <v>3504</v>
      </c>
      <c r="C2770">
        <v>154</v>
      </c>
      <c r="D2770" s="1">
        <f>242.118</f>
        <v>242.11799999999999</v>
      </c>
      <c r="E2770">
        <v>5174</v>
      </c>
      <c r="F2770">
        <v>1613</v>
      </c>
      <c r="G2770">
        <v>1</v>
      </c>
      <c r="H2770">
        <v>0.2</v>
      </c>
      <c r="I2770">
        <v>0</v>
      </c>
      <c r="J2770">
        <v>24.1814</v>
      </c>
      <c r="K2770">
        <v>517.88800000000003</v>
      </c>
      <c r="L2770">
        <v>0</v>
      </c>
    </row>
    <row r="2771" spans="1:12" x14ac:dyDescent="0.25">
      <c r="A2771">
        <f>80603512*0.00001</f>
        <v>806.03512000000012</v>
      </c>
      <c r="B2771">
        <v>3504</v>
      </c>
      <c r="C2771">
        <v>155</v>
      </c>
      <c r="D2771">
        <v>242.11799999999999</v>
      </c>
      <c r="E2771">
        <v>5174</v>
      </c>
      <c r="F2771" s="1">
        <f>1613</f>
        <v>1613</v>
      </c>
      <c r="G2771">
        <v>1</v>
      </c>
      <c r="H2771">
        <v>0.2</v>
      </c>
      <c r="I2771">
        <v>0</v>
      </c>
      <c r="J2771">
        <v>24.1814</v>
      </c>
      <c r="K2771">
        <v>517.88800000000003</v>
      </c>
      <c r="L2771">
        <v>0</v>
      </c>
    </row>
    <row r="2772" spans="1:12" x14ac:dyDescent="0.25">
      <c r="A2772">
        <f>80603650*0.00001</f>
        <v>806.03650000000005</v>
      </c>
      <c r="B2772">
        <v>3504</v>
      </c>
      <c r="C2772">
        <v>156</v>
      </c>
      <c r="D2772" s="1">
        <f>242.118</f>
        <v>242.11799999999999</v>
      </c>
      <c r="E2772" s="1">
        <f>5176</f>
        <v>5176</v>
      </c>
      <c r="F2772" s="1">
        <f>1613</f>
        <v>1613</v>
      </c>
      <c r="G2772" s="1">
        <f>1</f>
        <v>1</v>
      </c>
      <c r="H2772" s="1">
        <f>0.2</f>
        <v>0.2</v>
      </c>
      <c r="I2772" s="1">
        <f>0</f>
        <v>0</v>
      </c>
      <c r="J2772" s="1">
        <f>24.6314</f>
        <v>24.631399999999999</v>
      </c>
      <c r="K2772" s="1">
        <f>517.915</f>
        <v>517.91499999999996</v>
      </c>
      <c r="L2772" s="1">
        <f>0</f>
        <v>0</v>
      </c>
    </row>
    <row r="2773" spans="1:12" x14ac:dyDescent="0.25">
      <c r="A2773">
        <f>80604472*0.00001</f>
        <v>806.0447200000001</v>
      </c>
      <c r="B2773">
        <v>3504</v>
      </c>
      <c r="C2773">
        <v>162</v>
      </c>
      <c r="D2773">
        <v>242.11799999999999</v>
      </c>
      <c r="E2773">
        <v>5176</v>
      </c>
      <c r="F2773">
        <v>1613</v>
      </c>
      <c r="G2773">
        <v>1</v>
      </c>
      <c r="H2773">
        <v>0.2</v>
      </c>
      <c r="I2773">
        <v>0</v>
      </c>
      <c r="J2773">
        <v>24.631399999999999</v>
      </c>
      <c r="K2773" s="1">
        <f>517.949</f>
        <v>517.94899999999996</v>
      </c>
      <c r="L2773" s="1">
        <f>0</f>
        <v>0</v>
      </c>
    </row>
    <row r="2774" spans="1:12" x14ac:dyDescent="0.25">
      <c r="A2774">
        <f>80604609*0.00001</f>
        <v>806.04609000000005</v>
      </c>
      <c r="B2774">
        <v>3504</v>
      </c>
      <c r="C2774">
        <v>163</v>
      </c>
      <c r="D2774" s="1">
        <f>242.118</f>
        <v>242.11799999999999</v>
      </c>
      <c r="E2774" s="1">
        <f>5178</f>
        <v>5178</v>
      </c>
      <c r="F2774">
        <v>1613</v>
      </c>
      <c r="G2774">
        <v>1</v>
      </c>
      <c r="H2774">
        <v>0.2</v>
      </c>
      <c r="I2774">
        <v>0</v>
      </c>
      <c r="J2774">
        <v>24.631399999999999</v>
      </c>
      <c r="K2774">
        <v>517.94899999999996</v>
      </c>
      <c r="L2774">
        <v>0</v>
      </c>
    </row>
    <row r="2775" spans="1:12" x14ac:dyDescent="0.25">
      <c r="A2775">
        <f>80604746*0.00001</f>
        <v>806.04746000000011</v>
      </c>
      <c r="B2775">
        <v>3504</v>
      </c>
      <c r="C2775">
        <v>164</v>
      </c>
      <c r="D2775">
        <v>242.11799999999999</v>
      </c>
      <c r="E2775">
        <v>5178</v>
      </c>
      <c r="F2775" s="1">
        <f>1613</f>
        <v>1613</v>
      </c>
      <c r="G2775" s="1">
        <f>1</f>
        <v>1</v>
      </c>
      <c r="H2775">
        <v>0.2</v>
      </c>
      <c r="I2775">
        <v>0</v>
      </c>
      <c r="J2775">
        <v>24.631399999999999</v>
      </c>
      <c r="K2775">
        <v>517.94899999999996</v>
      </c>
      <c r="L2775">
        <v>0</v>
      </c>
    </row>
    <row r="2776" spans="1:12" x14ac:dyDescent="0.25">
      <c r="A2776">
        <f>80604883*0.00001</f>
        <v>806.04883000000007</v>
      </c>
      <c r="B2776">
        <v>3504</v>
      </c>
      <c r="C2776">
        <v>165</v>
      </c>
      <c r="D2776">
        <v>242.11799999999999</v>
      </c>
      <c r="E2776">
        <v>5178</v>
      </c>
      <c r="F2776">
        <v>1613</v>
      </c>
      <c r="G2776">
        <v>1</v>
      </c>
      <c r="H2776" s="1">
        <f>0.2</f>
        <v>0.2</v>
      </c>
      <c r="I2776" s="1">
        <f>0</f>
        <v>0</v>
      </c>
      <c r="J2776">
        <v>24.631399999999999</v>
      </c>
      <c r="K2776">
        <v>517.94899999999996</v>
      </c>
      <c r="L2776">
        <v>0</v>
      </c>
    </row>
    <row r="2777" spans="1:12" x14ac:dyDescent="0.25">
      <c r="A2777">
        <f>80605020*0.00001</f>
        <v>806.05020000000002</v>
      </c>
      <c r="B2777">
        <v>3504</v>
      </c>
      <c r="C2777">
        <v>166</v>
      </c>
      <c r="D2777">
        <v>242.11799999999999</v>
      </c>
      <c r="E2777">
        <v>5178</v>
      </c>
      <c r="F2777">
        <v>1613</v>
      </c>
      <c r="G2777">
        <v>1</v>
      </c>
      <c r="H2777">
        <v>0.2</v>
      </c>
      <c r="I2777">
        <v>0</v>
      </c>
      <c r="J2777" s="1">
        <f>24.8065</f>
        <v>24.8065</v>
      </c>
      <c r="K2777" s="1">
        <f>517.976</f>
        <v>517.976</v>
      </c>
      <c r="L2777">
        <v>0</v>
      </c>
    </row>
    <row r="2778" spans="1:12" x14ac:dyDescent="0.25">
      <c r="A2778">
        <f>80605157*0.00001</f>
        <v>806.05157000000008</v>
      </c>
      <c r="B2778">
        <v>3504</v>
      </c>
      <c r="C2778">
        <v>167</v>
      </c>
      <c r="D2778" s="1">
        <f>242.118</f>
        <v>242.11799999999999</v>
      </c>
      <c r="E2778">
        <v>5178</v>
      </c>
      <c r="F2778">
        <v>1613</v>
      </c>
      <c r="G2778">
        <v>1</v>
      </c>
      <c r="H2778">
        <v>0.2</v>
      </c>
      <c r="I2778">
        <v>0</v>
      </c>
      <c r="J2778">
        <v>24.8065</v>
      </c>
      <c r="K2778">
        <v>517.976</v>
      </c>
      <c r="L2778">
        <v>0</v>
      </c>
    </row>
    <row r="2779" spans="1:12" x14ac:dyDescent="0.25">
      <c r="A2779">
        <f>80605294*0.00001</f>
        <v>806.05294000000004</v>
      </c>
      <c r="B2779">
        <v>3504</v>
      </c>
      <c r="C2779">
        <v>168</v>
      </c>
      <c r="D2779">
        <v>242.11799999999999</v>
      </c>
      <c r="E2779">
        <v>5178</v>
      </c>
      <c r="F2779" s="1">
        <f>1613</f>
        <v>1613</v>
      </c>
      <c r="G2779">
        <v>1</v>
      </c>
      <c r="H2779">
        <v>0.2</v>
      </c>
      <c r="I2779">
        <v>0</v>
      </c>
      <c r="J2779">
        <v>24.8065</v>
      </c>
      <c r="K2779">
        <v>517.976</v>
      </c>
      <c r="L2779">
        <v>0</v>
      </c>
    </row>
    <row r="2780" spans="1:12" x14ac:dyDescent="0.25">
      <c r="A2780">
        <f>80605431*0.00001</f>
        <v>806.0543100000001</v>
      </c>
      <c r="B2780">
        <v>3504</v>
      </c>
      <c r="C2780">
        <v>169</v>
      </c>
      <c r="D2780">
        <v>242.11799999999999</v>
      </c>
      <c r="E2780">
        <v>5178</v>
      </c>
      <c r="F2780">
        <v>1613</v>
      </c>
      <c r="G2780">
        <v>1</v>
      </c>
      <c r="H2780" s="1">
        <f>0.2</f>
        <v>0.2</v>
      </c>
      <c r="I2780">
        <v>0</v>
      </c>
      <c r="J2780">
        <v>24.8065</v>
      </c>
      <c r="K2780">
        <v>517.976</v>
      </c>
      <c r="L2780">
        <v>0</v>
      </c>
    </row>
    <row r="2781" spans="1:12" x14ac:dyDescent="0.25">
      <c r="A2781">
        <f>80605569*0.00001</f>
        <v>806.05569000000003</v>
      </c>
      <c r="B2781">
        <v>3504</v>
      </c>
      <c r="C2781">
        <v>170</v>
      </c>
      <c r="D2781">
        <v>242.11799999999999</v>
      </c>
      <c r="E2781">
        <v>5178</v>
      </c>
      <c r="F2781">
        <v>1613</v>
      </c>
      <c r="G2781">
        <v>1</v>
      </c>
      <c r="H2781">
        <v>0.2</v>
      </c>
      <c r="I2781">
        <v>0</v>
      </c>
      <c r="J2781" s="1">
        <f>24.9315</f>
        <v>24.9315</v>
      </c>
      <c r="K2781">
        <v>517.976</v>
      </c>
      <c r="L2781">
        <v>0</v>
      </c>
    </row>
    <row r="2782" spans="1:12" x14ac:dyDescent="0.25">
      <c r="A2782">
        <f>80605707*0.00001</f>
        <v>806.05707000000007</v>
      </c>
      <c r="B2782">
        <v>3504</v>
      </c>
      <c r="C2782">
        <v>171</v>
      </c>
      <c r="D2782">
        <v>242.11799999999999</v>
      </c>
      <c r="E2782">
        <v>5178</v>
      </c>
      <c r="F2782">
        <v>1613</v>
      </c>
      <c r="G2782">
        <v>1</v>
      </c>
      <c r="H2782">
        <v>0.2</v>
      </c>
      <c r="I2782">
        <v>0</v>
      </c>
      <c r="J2782">
        <v>24.9315</v>
      </c>
      <c r="K2782">
        <v>517.976</v>
      </c>
      <c r="L2782" s="1">
        <f>0</f>
        <v>0</v>
      </c>
    </row>
    <row r="2783" spans="1:12" x14ac:dyDescent="0.25">
      <c r="A2783">
        <f>80605844*0.00001</f>
        <v>806.05844000000002</v>
      </c>
      <c r="B2783">
        <v>3504</v>
      </c>
      <c r="C2783">
        <v>172</v>
      </c>
      <c r="D2783" s="1">
        <f>242.118</f>
        <v>242.11799999999999</v>
      </c>
      <c r="E2783" s="1">
        <f>5180</f>
        <v>5180</v>
      </c>
      <c r="F2783" s="1">
        <f>1613</f>
        <v>1613</v>
      </c>
      <c r="G2783" s="1">
        <f>1</f>
        <v>1</v>
      </c>
      <c r="H2783" s="1">
        <f>0.2</f>
        <v>0.2</v>
      </c>
      <c r="I2783" s="1">
        <f>0</f>
        <v>0</v>
      </c>
      <c r="J2783" s="1">
        <f>25.2064</f>
        <v>25.206399999999999</v>
      </c>
      <c r="K2783" s="1">
        <f>518.059</f>
        <v>518.05899999999997</v>
      </c>
      <c r="L2783" s="1">
        <f>0</f>
        <v>0</v>
      </c>
    </row>
    <row r="2784" spans="1:12" s="2" customFormat="1" x14ac:dyDescent="0.25">
      <c r="A2784" s="2">
        <f>80606943*0.00001</f>
        <v>806.06943000000001</v>
      </c>
      <c r="B2784" s="2">
        <v>3505</v>
      </c>
      <c r="C2784" s="2">
        <v>0</v>
      </c>
      <c r="D2784" s="1">
        <f>242.118</f>
        <v>242.11799999999999</v>
      </c>
      <c r="E2784" s="2">
        <v>5180</v>
      </c>
      <c r="F2784" s="2">
        <v>1613</v>
      </c>
      <c r="G2784" s="2">
        <v>1</v>
      </c>
      <c r="H2784" s="2">
        <v>0.2</v>
      </c>
      <c r="I2784" s="2">
        <v>0</v>
      </c>
      <c r="J2784" s="2">
        <v>25.206399999999999</v>
      </c>
      <c r="K2784" s="2">
        <v>518.05899999999997</v>
      </c>
      <c r="L2784" s="1">
        <f>0</f>
        <v>0</v>
      </c>
    </row>
    <row r="2785" spans="1:12" x14ac:dyDescent="0.25">
      <c r="A2785">
        <f>80607081*0.00001</f>
        <v>806.07081000000005</v>
      </c>
      <c r="B2785">
        <v>3505</v>
      </c>
      <c r="C2785">
        <v>1</v>
      </c>
      <c r="D2785">
        <v>242.11799999999999</v>
      </c>
      <c r="E2785" s="1">
        <f>5181</f>
        <v>5181</v>
      </c>
      <c r="F2785" s="1">
        <f>1613</f>
        <v>1613</v>
      </c>
      <c r="G2785">
        <v>1</v>
      </c>
      <c r="H2785">
        <v>0.2</v>
      </c>
      <c r="I2785">
        <v>0</v>
      </c>
      <c r="J2785">
        <v>25.206399999999999</v>
      </c>
      <c r="K2785">
        <v>518.05899999999997</v>
      </c>
      <c r="L2785">
        <v>0</v>
      </c>
    </row>
    <row r="2786" spans="1:12" x14ac:dyDescent="0.25">
      <c r="A2786">
        <f>80607219*0.00001</f>
        <v>806.07219000000009</v>
      </c>
      <c r="B2786">
        <v>3505</v>
      </c>
      <c r="C2786">
        <v>2</v>
      </c>
      <c r="D2786">
        <v>242.11799999999999</v>
      </c>
      <c r="E2786">
        <v>5181</v>
      </c>
      <c r="F2786">
        <v>1613</v>
      </c>
      <c r="G2786" s="1">
        <f>1</f>
        <v>1</v>
      </c>
      <c r="H2786" s="1">
        <f>0.2</f>
        <v>0.2</v>
      </c>
      <c r="I2786">
        <v>0</v>
      </c>
      <c r="J2786">
        <v>25.206399999999999</v>
      </c>
      <c r="K2786">
        <v>518.05899999999997</v>
      </c>
      <c r="L2786">
        <v>0</v>
      </c>
    </row>
    <row r="2787" spans="1:12" x14ac:dyDescent="0.25">
      <c r="A2787">
        <f>80607356*0.00001</f>
        <v>806.07356000000004</v>
      </c>
      <c r="B2787">
        <v>3505</v>
      </c>
      <c r="C2787">
        <v>3</v>
      </c>
      <c r="D2787">
        <v>242.11799999999999</v>
      </c>
      <c r="E2787">
        <v>5181</v>
      </c>
      <c r="F2787">
        <v>1613</v>
      </c>
      <c r="G2787">
        <v>1</v>
      </c>
      <c r="H2787">
        <v>0.2</v>
      </c>
      <c r="I2787">
        <v>0</v>
      </c>
      <c r="J2787" s="1">
        <f>25.3813</f>
        <v>25.3813</v>
      </c>
      <c r="K2787">
        <v>518.05899999999997</v>
      </c>
      <c r="L2787">
        <v>0</v>
      </c>
    </row>
    <row r="2788" spans="1:12" x14ac:dyDescent="0.25">
      <c r="A2788">
        <f>80607493*0.00001</f>
        <v>806.07493000000011</v>
      </c>
      <c r="B2788">
        <v>3505</v>
      </c>
      <c r="C2788">
        <v>4</v>
      </c>
      <c r="D2788">
        <v>242.11799999999999</v>
      </c>
      <c r="E2788">
        <v>5181</v>
      </c>
      <c r="F2788">
        <v>1613</v>
      </c>
      <c r="G2788">
        <v>1</v>
      </c>
      <c r="H2788">
        <v>0.2</v>
      </c>
      <c r="I2788">
        <v>0</v>
      </c>
      <c r="J2788">
        <v>25.3813</v>
      </c>
      <c r="K2788">
        <v>518.05899999999997</v>
      </c>
      <c r="L2788" s="1">
        <f>0</f>
        <v>0</v>
      </c>
    </row>
    <row r="2789" spans="1:12" x14ac:dyDescent="0.25">
      <c r="A2789">
        <f>80607630*0.00001</f>
        <v>806.07630000000006</v>
      </c>
      <c r="B2789">
        <v>3505</v>
      </c>
      <c r="C2789">
        <v>5</v>
      </c>
      <c r="D2789">
        <v>242.11799999999999</v>
      </c>
      <c r="E2789" s="1">
        <f>5182</f>
        <v>5182</v>
      </c>
      <c r="F2789">
        <v>1613</v>
      </c>
      <c r="G2789">
        <v>1</v>
      </c>
      <c r="H2789">
        <v>0.2</v>
      </c>
      <c r="I2789">
        <v>0</v>
      </c>
      <c r="J2789">
        <v>25.3813</v>
      </c>
      <c r="K2789">
        <v>518.05899999999997</v>
      </c>
      <c r="L2789">
        <v>0</v>
      </c>
    </row>
    <row r="2790" spans="1:12" x14ac:dyDescent="0.25">
      <c r="A2790">
        <f>80607767*0.00001</f>
        <v>806.07767000000001</v>
      </c>
      <c r="B2790">
        <v>3505</v>
      </c>
      <c r="C2790">
        <v>6</v>
      </c>
      <c r="D2790">
        <v>242.11799999999999</v>
      </c>
      <c r="E2790">
        <v>5182</v>
      </c>
      <c r="F2790">
        <v>1613</v>
      </c>
      <c r="G2790" s="1">
        <f>1</f>
        <v>1</v>
      </c>
      <c r="H2790">
        <v>0.2</v>
      </c>
      <c r="I2790">
        <v>0</v>
      </c>
      <c r="J2790">
        <v>25.3813</v>
      </c>
      <c r="K2790">
        <v>518.05899999999997</v>
      </c>
      <c r="L2790">
        <v>0</v>
      </c>
    </row>
    <row r="2791" spans="1:12" x14ac:dyDescent="0.25">
      <c r="A2791">
        <f>80607904*0.00001</f>
        <v>806.07904000000008</v>
      </c>
      <c r="B2791">
        <v>3505</v>
      </c>
      <c r="C2791">
        <v>7</v>
      </c>
      <c r="D2791">
        <v>242.11799999999999</v>
      </c>
      <c r="E2791">
        <v>5182</v>
      </c>
      <c r="F2791">
        <v>1613</v>
      </c>
      <c r="G2791">
        <v>1</v>
      </c>
      <c r="H2791">
        <v>0.2</v>
      </c>
      <c r="I2791" s="1">
        <f>0</f>
        <v>0</v>
      </c>
      <c r="J2791">
        <v>25.3813</v>
      </c>
      <c r="K2791">
        <v>518.05899999999997</v>
      </c>
      <c r="L2791">
        <v>0</v>
      </c>
    </row>
    <row r="2792" spans="1:12" x14ac:dyDescent="0.25">
      <c r="A2792">
        <f>80608041*0.00001</f>
        <v>806.08041000000003</v>
      </c>
      <c r="B2792">
        <v>3505</v>
      </c>
      <c r="C2792">
        <v>8</v>
      </c>
      <c r="D2792" s="1">
        <f>242.254</f>
        <v>242.25399999999999</v>
      </c>
      <c r="E2792" s="1">
        <f>5181</f>
        <v>5181</v>
      </c>
      <c r="F2792" s="1">
        <f>1613</f>
        <v>1613</v>
      </c>
      <c r="G2792" s="1">
        <f>1</f>
        <v>1</v>
      </c>
      <c r="H2792" s="1">
        <f>0.2</f>
        <v>0.2</v>
      </c>
      <c r="I2792" s="1">
        <f>0</f>
        <v>0</v>
      </c>
      <c r="J2792" s="1">
        <f>25.5689</f>
        <v>25.568899999999999</v>
      </c>
      <c r="K2792" s="1">
        <f>518.15</f>
        <v>518.15</v>
      </c>
      <c r="L2792" s="1">
        <f>0</f>
        <v>0</v>
      </c>
    </row>
    <row r="2793" spans="1:12" x14ac:dyDescent="0.25">
      <c r="A2793">
        <f>80609000*0.00001</f>
        <v>806.09</v>
      </c>
      <c r="B2793">
        <v>3505</v>
      </c>
      <c r="C2793">
        <v>15</v>
      </c>
      <c r="D2793">
        <v>242.25399999999999</v>
      </c>
      <c r="E2793">
        <v>5181</v>
      </c>
      <c r="F2793" s="1">
        <f>1613</f>
        <v>1613</v>
      </c>
      <c r="G2793" s="1">
        <f>1</f>
        <v>1</v>
      </c>
      <c r="H2793">
        <v>0.2</v>
      </c>
      <c r="I2793">
        <v>0</v>
      </c>
      <c r="J2793">
        <v>25.568899999999999</v>
      </c>
      <c r="K2793">
        <v>518.15</v>
      </c>
      <c r="L2793">
        <v>0</v>
      </c>
    </row>
    <row r="2794" spans="1:12" x14ac:dyDescent="0.25">
      <c r="A2794">
        <f>80609137*0.00001</f>
        <v>806.0913700000001</v>
      </c>
      <c r="B2794">
        <v>3505</v>
      </c>
      <c r="C2794">
        <v>16</v>
      </c>
      <c r="D2794">
        <v>242.25399999999999</v>
      </c>
      <c r="E2794">
        <v>5181</v>
      </c>
      <c r="F2794">
        <v>1613</v>
      </c>
      <c r="G2794">
        <v>1</v>
      </c>
      <c r="H2794" s="1">
        <f>0.2</f>
        <v>0.2</v>
      </c>
      <c r="I2794" s="1">
        <f>0</f>
        <v>0</v>
      </c>
      <c r="J2794">
        <v>25.568899999999999</v>
      </c>
      <c r="K2794">
        <v>518.15</v>
      </c>
      <c r="L2794">
        <v>0</v>
      </c>
    </row>
    <row r="2795" spans="1:12" x14ac:dyDescent="0.25">
      <c r="A2795">
        <f>80609274*0.00001</f>
        <v>806.09274000000005</v>
      </c>
      <c r="B2795">
        <v>3505</v>
      </c>
      <c r="C2795">
        <v>17</v>
      </c>
      <c r="D2795">
        <v>242.25399999999999</v>
      </c>
      <c r="E2795">
        <v>5181</v>
      </c>
      <c r="F2795">
        <v>1613</v>
      </c>
      <c r="G2795">
        <v>1</v>
      </c>
      <c r="H2795">
        <v>0.2</v>
      </c>
      <c r="I2795">
        <v>0</v>
      </c>
      <c r="J2795" s="1">
        <f>25.6896</f>
        <v>25.689599999999999</v>
      </c>
      <c r="K2795" s="1">
        <f>518.178</f>
        <v>518.178</v>
      </c>
      <c r="L2795">
        <v>0</v>
      </c>
    </row>
    <row r="2796" spans="1:12" x14ac:dyDescent="0.25">
      <c r="A2796">
        <f>80609411*0.00001</f>
        <v>806.09411000000011</v>
      </c>
      <c r="B2796">
        <v>3505</v>
      </c>
      <c r="C2796">
        <v>18</v>
      </c>
      <c r="D2796" s="1">
        <f>242.291</f>
        <v>242.291</v>
      </c>
      <c r="E2796">
        <v>5181</v>
      </c>
      <c r="F2796">
        <v>1613</v>
      </c>
      <c r="G2796">
        <v>1</v>
      </c>
      <c r="H2796">
        <v>0.2</v>
      </c>
      <c r="I2796">
        <v>0</v>
      </c>
      <c r="J2796">
        <v>25.689599999999999</v>
      </c>
      <c r="K2796">
        <v>518.178</v>
      </c>
      <c r="L2796" s="1">
        <f>0</f>
        <v>0</v>
      </c>
    </row>
    <row r="2797" spans="1:12" x14ac:dyDescent="0.25">
      <c r="A2797">
        <f>80609548*0.00001</f>
        <v>806.09548000000007</v>
      </c>
      <c r="B2797">
        <v>3505</v>
      </c>
      <c r="C2797">
        <v>19</v>
      </c>
      <c r="D2797">
        <v>242.291</v>
      </c>
      <c r="E2797" s="1">
        <f>5181</f>
        <v>5181</v>
      </c>
      <c r="F2797" s="1">
        <f>1613</f>
        <v>1613</v>
      </c>
      <c r="G2797">
        <v>1</v>
      </c>
      <c r="H2797">
        <v>0.2</v>
      </c>
      <c r="I2797">
        <v>0</v>
      </c>
      <c r="J2797">
        <v>25.689599999999999</v>
      </c>
      <c r="K2797">
        <v>518.178</v>
      </c>
      <c r="L2797">
        <v>0</v>
      </c>
    </row>
    <row r="2798" spans="1:12" x14ac:dyDescent="0.25">
      <c r="A2798">
        <f>80609685*0.00001</f>
        <v>806.09685000000002</v>
      </c>
      <c r="B2798">
        <v>3505</v>
      </c>
      <c r="C2798">
        <v>20</v>
      </c>
      <c r="D2798">
        <v>242.291</v>
      </c>
      <c r="E2798">
        <v>5181</v>
      </c>
      <c r="F2798">
        <v>1613</v>
      </c>
      <c r="G2798">
        <v>1</v>
      </c>
      <c r="H2798" s="1">
        <f>0.2</f>
        <v>0.2</v>
      </c>
      <c r="I2798">
        <v>0</v>
      </c>
      <c r="J2798">
        <v>25.689599999999999</v>
      </c>
      <c r="K2798">
        <v>518.178</v>
      </c>
      <c r="L2798">
        <v>0</v>
      </c>
    </row>
    <row r="2799" spans="1:12" x14ac:dyDescent="0.25">
      <c r="A2799">
        <f>80609822*0.00001</f>
        <v>806.09822000000008</v>
      </c>
      <c r="B2799">
        <v>3505</v>
      </c>
      <c r="C2799">
        <v>21</v>
      </c>
      <c r="D2799">
        <v>242.291</v>
      </c>
      <c r="E2799">
        <v>5181</v>
      </c>
      <c r="F2799">
        <v>1613</v>
      </c>
      <c r="G2799">
        <v>1</v>
      </c>
      <c r="H2799">
        <v>0.2</v>
      </c>
      <c r="I2799">
        <v>0</v>
      </c>
      <c r="J2799" s="1">
        <f>25.805</f>
        <v>25.805</v>
      </c>
      <c r="K2799">
        <v>518.178</v>
      </c>
      <c r="L2799">
        <v>0</v>
      </c>
    </row>
    <row r="2800" spans="1:12" x14ac:dyDescent="0.25">
      <c r="A2800">
        <f>80609959*0.00001</f>
        <v>806.09959000000003</v>
      </c>
      <c r="B2800">
        <v>3505</v>
      </c>
      <c r="C2800">
        <v>22</v>
      </c>
      <c r="D2800">
        <v>242.291</v>
      </c>
      <c r="E2800">
        <v>5181</v>
      </c>
      <c r="F2800">
        <v>1613</v>
      </c>
      <c r="G2800">
        <v>1</v>
      </c>
      <c r="H2800">
        <v>0.2</v>
      </c>
      <c r="I2800">
        <v>0</v>
      </c>
      <c r="J2800">
        <v>25.805</v>
      </c>
      <c r="K2800">
        <v>518.178</v>
      </c>
      <c r="L2800" s="1">
        <f>0</f>
        <v>0</v>
      </c>
    </row>
    <row r="2801" spans="1:12" x14ac:dyDescent="0.25">
      <c r="A2801">
        <f>80610096*0.00001</f>
        <v>806.1009600000001</v>
      </c>
      <c r="B2801">
        <v>3505</v>
      </c>
      <c r="C2801">
        <v>23</v>
      </c>
      <c r="D2801">
        <v>242.291</v>
      </c>
      <c r="E2801" s="1">
        <f>5181</f>
        <v>5181</v>
      </c>
      <c r="F2801">
        <v>1613</v>
      </c>
      <c r="G2801">
        <v>1</v>
      </c>
      <c r="H2801">
        <v>0.2</v>
      </c>
      <c r="I2801">
        <v>0</v>
      </c>
      <c r="J2801">
        <v>25.805</v>
      </c>
      <c r="K2801">
        <v>518.178</v>
      </c>
      <c r="L2801">
        <v>0</v>
      </c>
    </row>
    <row r="2802" spans="1:12" x14ac:dyDescent="0.25">
      <c r="A2802">
        <f>80610233*0.00001</f>
        <v>806.10233000000005</v>
      </c>
      <c r="B2802">
        <v>3505</v>
      </c>
      <c r="C2802">
        <v>24</v>
      </c>
      <c r="D2802">
        <v>242.291</v>
      </c>
      <c r="E2802">
        <v>5181</v>
      </c>
      <c r="F2802">
        <v>1613</v>
      </c>
      <c r="G2802" s="1">
        <f>1</f>
        <v>1</v>
      </c>
      <c r="H2802">
        <v>0.2</v>
      </c>
      <c r="I2802">
        <v>0</v>
      </c>
      <c r="J2802">
        <v>25.805</v>
      </c>
      <c r="K2802">
        <v>518.178</v>
      </c>
      <c r="L2802">
        <v>0</v>
      </c>
    </row>
    <row r="2803" spans="1:12" x14ac:dyDescent="0.25">
      <c r="A2803">
        <f>80610370*0.00001</f>
        <v>806.10370000000012</v>
      </c>
      <c r="B2803">
        <v>3505</v>
      </c>
      <c r="C2803">
        <v>25</v>
      </c>
      <c r="D2803" s="1">
        <f>242.38</f>
        <v>242.38</v>
      </c>
      <c r="E2803" s="1">
        <f>5181</f>
        <v>5181</v>
      </c>
      <c r="F2803" s="1">
        <f>1613</f>
        <v>1613</v>
      </c>
      <c r="G2803" s="1">
        <f>1</f>
        <v>1</v>
      </c>
      <c r="H2803" s="1">
        <f>0.2</f>
        <v>0.2</v>
      </c>
      <c r="I2803" s="1">
        <f>0</f>
        <v>0</v>
      </c>
      <c r="J2803" s="1">
        <f>26.0493</f>
        <v>26.049299999999999</v>
      </c>
      <c r="K2803" s="1">
        <f>518.271</f>
        <v>518.27099999999996</v>
      </c>
      <c r="L2803" s="1">
        <f>0</f>
        <v>0</v>
      </c>
    </row>
    <row r="2804" spans="1:12" x14ac:dyDescent="0.25">
      <c r="A2804">
        <f>80611329*0.00001</f>
        <v>806.11329000000012</v>
      </c>
      <c r="B2804">
        <v>3505</v>
      </c>
      <c r="C2804">
        <v>32</v>
      </c>
      <c r="D2804">
        <v>242.38</v>
      </c>
      <c r="E2804" s="1">
        <f>5182</f>
        <v>5182</v>
      </c>
      <c r="F2804" s="1">
        <f>1613</f>
        <v>1613</v>
      </c>
      <c r="G2804">
        <v>1</v>
      </c>
      <c r="H2804">
        <v>0.2</v>
      </c>
      <c r="I2804">
        <v>0</v>
      </c>
      <c r="J2804">
        <v>26.049299999999999</v>
      </c>
      <c r="K2804">
        <v>518.27099999999996</v>
      </c>
      <c r="L2804">
        <v>0</v>
      </c>
    </row>
    <row r="2805" spans="1:12" x14ac:dyDescent="0.25">
      <c r="A2805">
        <f>80611466*0.00001</f>
        <v>806.11466000000007</v>
      </c>
      <c r="B2805">
        <v>3505</v>
      </c>
      <c r="C2805">
        <v>33</v>
      </c>
      <c r="D2805">
        <v>242.38</v>
      </c>
      <c r="E2805">
        <v>5182</v>
      </c>
      <c r="F2805">
        <v>1613</v>
      </c>
      <c r="G2805" s="1">
        <f>1</f>
        <v>1</v>
      </c>
      <c r="H2805" s="1">
        <f>0.2</f>
        <v>0.2</v>
      </c>
      <c r="I2805">
        <v>0</v>
      </c>
      <c r="J2805">
        <v>26.049299999999999</v>
      </c>
      <c r="K2805">
        <v>518.27099999999996</v>
      </c>
      <c r="L2805">
        <v>0</v>
      </c>
    </row>
    <row r="2806" spans="1:12" x14ac:dyDescent="0.25">
      <c r="A2806">
        <f>80611603*0.00001</f>
        <v>806.11603000000002</v>
      </c>
      <c r="B2806">
        <v>3505</v>
      </c>
      <c r="C2806">
        <v>34</v>
      </c>
      <c r="D2806">
        <v>242.38</v>
      </c>
      <c r="E2806">
        <v>5182</v>
      </c>
      <c r="F2806">
        <v>1613</v>
      </c>
      <c r="G2806">
        <v>1</v>
      </c>
      <c r="H2806">
        <v>0.2</v>
      </c>
      <c r="I2806" s="1">
        <f>0</f>
        <v>0</v>
      </c>
      <c r="J2806" s="1">
        <f>26.1815</f>
        <v>26.1815</v>
      </c>
      <c r="K2806">
        <v>518.27099999999996</v>
      </c>
      <c r="L2806">
        <v>0</v>
      </c>
    </row>
    <row r="2807" spans="1:12" x14ac:dyDescent="0.25">
      <c r="A2807">
        <f>80611740*0.00001</f>
        <v>806.11740000000009</v>
      </c>
      <c r="B2807">
        <v>3505</v>
      </c>
      <c r="C2807">
        <v>35</v>
      </c>
      <c r="D2807">
        <v>242.38</v>
      </c>
      <c r="E2807">
        <v>5182</v>
      </c>
      <c r="F2807">
        <v>1613</v>
      </c>
      <c r="G2807">
        <v>1</v>
      </c>
      <c r="H2807">
        <v>0.2</v>
      </c>
      <c r="I2807">
        <v>0</v>
      </c>
      <c r="J2807">
        <v>26.1815</v>
      </c>
      <c r="K2807" s="1">
        <f>518.307</f>
        <v>518.30700000000002</v>
      </c>
      <c r="L2807" s="1">
        <f>0</f>
        <v>0</v>
      </c>
    </row>
    <row r="2808" spans="1:12" x14ac:dyDescent="0.25">
      <c r="A2808">
        <f>80611877*0.00001</f>
        <v>806.11877000000004</v>
      </c>
      <c r="B2808">
        <v>3505</v>
      </c>
      <c r="C2808">
        <v>36</v>
      </c>
      <c r="D2808" s="1">
        <f>242.4</f>
        <v>242.4</v>
      </c>
      <c r="E2808" s="1">
        <f>5182</f>
        <v>5182</v>
      </c>
      <c r="F2808">
        <v>1613</v>
      </c>
      <c r="G2808">
        <v>1</v>
      </c>
      <c r="H2808">
        <v>0.2</v>
      </c>
      <c r="I2808">
        <v>0</v>
      </c>
      <c r="J2808">
        <v>26.1815</v>
      </c>
      <c r="K2808">
        <v>518.30700000000002</v>
      </c>
      <c r="L2808">
        <v>0</v>
      </c>
    </row>
    <row r="2809" spans="1:12" x14ac:dyDescent="0.25">
      <c r="A2809">
        <f>80612014*0.00001</f>
        <v>806.12014000000011</v>
      </c>
      <c r="B2809">
        <v>3505</v>
      </c>
      <c r="C2809">
        <v>37</v>
      </c>
      <c r="D2809">
        <v>242.4</v>
      </c>
      <c r="E2809">
        <v>5182</v>
      </c>
      <c r="F2809">
        <v>1613</v>
      </c>
      <c r="G2809" s="1">
        <f>1</f>
        <v>1</v>
      </c>
      <c r="H2809">
        <v>0.2</v>
      </c>
      <c r="I2809">
        <v>0</v>
      </c>
      <c r="J2809">
        <v>26.1815</v>
      </c>
      <c r="K2809">
        <v>518.30700000000002</v>
      </c>
      <c r="L2809">
        <v>0</v>
      </c>
    </row>
    <row r="2810" spans="1:12" x14ac:dyDescent="0.25">
      <c r="A2810">
        <f>80612151*0.00001</f>
        <v>806.12151000000006</v>
      </c>
      <c r="B2810">
        <v>3505</v>
      </c>
      <c r="C2810">
        <v>38</v>
      </c>
      <c r="D2810">
        <v>242.4</v>
      </c>
      <c r="E2810">
        <v>5182</v>
      </c>
      <c r="F2810">
        <v>1613</v>
      </c>
      <c r="G2810">
        <v>1</v>
      </c>
      <c r="H2810">
        <v>0.2</v>
      </c>
      <c r="I2810" s="1">
        <f>0</f>
        <v>0</v>
      </c>
      <c r="J2810">
        <v>26.1815</v>
      </c>
      <c r="K2810">
        <v>518.30700000000002</v>
      </c>
      <c r="L2810">
        <v>0</v>
      </c>
    </row>
    <row r="2811" spans="1:12" x14ac:dyDescent="0.25">
      <c r="A2811">
        <f>80612288*0.00001</f>
        <v>806.12288000000001</v>
      </c>
      <c r="B2811">
        <v>3505</v>
      </c>
      <c r="C2811">
        <v>39</v>
      </c>
      <c r="D2811">
        <v>242.4</v>
      </c>
      <c r="E2811">
        <v>5182</v>
      </c>
      <c r="F2811">
        <v>1613</v>
      </c>
      <c r="G2811">
        <v>1</v>
      </c>
      <c r="H2811">
        <v>0.2</v>
      </c>
      <c r="I2811">
        <v>0</v>
      </c>
      <c r="J2811">
        <v>26.1815</v>
      </c>
      <c r="K2811" s="1">
        <f>518.336</f>
        <v>518.33600000000001</v>
      </c>
      <c r="L2811">
        <v>0</v>
      </c>
    </row>
    <row r="2812" spans="1:12" x14ac:dyDescent="0.25">
      <c r="A2812">
        <f>80612425*0.00001</f>
        <v>806.12425000000007</v>
      </c>
      <c r="B2812">
        <v>3505</v>
      </c>
      <c r="C2812">
        <v>40</v>
      </c>
      <c r="D2812" s="1">
        <f>242.413</f>
        <v>242.41300000000001</v>
      </c>
      <c r="E2812">
        <v>5182</v>
      </c>
      <c r="F2812">
        <v>1613</v>
      </c>
      <c r="G2812">
        <v>1</v>
      </c>
      <c r="H2812">
        <v>0.2</v>
      </c>
      <c r="I2812">
        <v>0</v>
      </c>
      <c r="J2812">
        <v>26.1815</v>
      </c>
      <c r="K2812">
        <v>518.33600000000001</v>
      </c>
      <c r="L2812">
        <v>0</v>
      </c>
    </row>
    <row r="2813" spans="1:12" x14ac:dyDescent="0.25">
      <c r="A2813">
        <f>80612562*0.00001</f>
        <v>806.12562000000003</v>
      </c>
      <c r="B2813">
        <v>3505</v>
      </c>
      <c r="C2813">
        <v>41</v>
      </c>
      <c r="D2813">
        <v>242.41300000000001</v>
      </c>
      <c r="E2813">
        <v>5182</v>
      </c>
      <c r="F2813" s="1">
        <f>1613</f>
        <v>1613</v>
      </c>
      <c r="G2813">
        <v>1</v>
      </c>
      <c r="H2813">
        <v>0.2</v>
      </c>
      <c r="I2813">
        <v>0</v>
      </c>
      <c r="J2813">
        <v>26.1815</v>
      </c>
      <c r="K2813">
        <v>518.33600000000001</v>
      </c>
      <c r="L2813">
        <v>0</v>
      </c>
    </row>
    <row r="2814" spans="1:12" x14ac:dyDescent="0.25">
      <c r="A2814">
        <f>80612699*0.00001</f>
        <v>806.12699000000009</v>
      </c>
      <c r="B2814">
        <v>3505</v>
      </c>
      <c r="C2814">
        <v>42</v>
      </c>
      <c r="D2814" s="1">
        <f>242.434</f>
        <v>242.434</v>
      </c>
      <c r="E2814" s="1">
        <f>5184</f>
        <v>5184</v>
      </c>
      <c r="F2814" s="1">
        <f>1613</f>
        <v>1613</v>
      </c>
      <c r="G2814" s="1">
        <f>1</f>
        <v>1</v>
      </c>
      <c r="H2814" s="1">
        <f>0.2</f>
        <v>0.2</v>
      </c>
      <c r="I2814" s="1">
        <f>0</f>
        <v>0</v>
      </c>
      <c r="J2814" s="1">
        <f>26.5687</f>
        <v>26.5687</v>
      </c>
      <c r="K2814" s="1">
        <f>518.401</f>
        <v>518.40099999999995</v>
      </c>
      <c r="L2814" s="1">
        <f>0</f>
        <v>0</v>
      </c>
    </row>
    <row r="2815" spans="1:12" x14ac:dyDescent="0.25">
      <c r="A2815">
        <f>80613795*0.00001</f>
        <v>806.13795000000005</v>
      </c>
      <c r="B2815">
        <v>3505</v>
      </c>
      <c r="C2815">
        <v>50</v>
      </c>
      <c r="D2815">
        <v>242.434</v>
      </c>
      <c r="E2815">
        <v>5184</v>
      </c>
      <c r="F2815" s="1">
        <f>1613</f>
        <v>1613</v>
      </c>
      <c r="G2815" s="1">
        <f>1</f>
        <v>1</v>
      </c>
      <c r="H2815">
        <v>0.2</v>
      </c>
      <c r="I2815">
        <v>0</v>
      </c>
      <c r="J2815">
        <v>26.5687</v>
      </c>
      <c r="K2815">
        <v>518.40099999999995</v>
      </c>
      <c r="L2815">
        <v>0</v>
      </c>
    </row>
    <row r="2816" spans="1:12" x14ac:dyDescent="0.25">
      <c r="A2816">
        <f>80613932*0.00001</f>
        <v>806.13932000000011</v>
      </c>
      <c r="B2816">
        <v>3505</v>
      </c>
      <c r="C2816">
        <v>51</v>
      </c>
      <c r="D2816">
        <v>242.434</v>
      </c>
      <c r="E2816">
        <v>5184</v>
      </c>
      <c r="F2816">
        <v>1613</v>
      </c>
      <c r="G2816">
        <v>1</v>
      </c>
      <c r="H2816" s="1">
        <f>0.2</f>
        <v>0.2</v>
      </c>
      <c r="I2816" s="1">
        <f>0</f>
        <v>0</v>
      </c>
      <c r="J2816">
        <v>26.5687</v>
      </c>
      <c r="K2816">
        <v>518.40099999999995</v>
      </c>
      <c r="L2816">
        <v>0</v>
      </c>
    </row>
    <row r="2817" spans="1:12" x14ac:dyDescent="0.25">
      <c r="A2817">
        <f>80614069*0.00001</f>
        <v>806.14069000000006</v>
      </c>
      <c r="B2817">
        <v>3505</v>
      </c>
      <c r="C2817">
        <v>52</v>
      </c>
      <c r="D2817">
        <v>242.434</v>
      </c>
      <c r="E2817">
        <v>5184</v>
      </c>
      <c r="F2817">
        <v>1613</v>
      </c>
      <c r="G2817">
        <v>1</v>
      </c>
      <c r="H2817">
        <v>0.2</v>
      </c>
      <c r="I2817">
        <v>0</v>
      </c>
      <c r="J2817" s="1">
        <f>26.7349</f>
        <v>26.7349</v>
      </c>
      <c r="K2817" s="1">
        <f>518.431</f>
        <v>518.43100000000004</v>
      </c>
      <c r="L2817">
        <v>0</v>
      </c>
    </row>
    <row r="2818" spans="1:12" x14ac:dyDescent="0.25">
      <c r="A2818">
        <f>80614206*0.00001</f>
        <v>806.14206000000001</v>
      </c>
      <c r="B2818">
        <v>3505</v>
      </c>
      <c r="C2818">
        <v>53</v>
      </c>
      <c r="D2818" s="1">
        <f>242.441</f>
        <v>242.441</v>
      </c>
      <c r="E2818">
        <v>5184</v>
      </c>
      <c r="F2818">
        <v>1613</v>
      </c>
      <c r="G2818">
        <v>1</v>
      </c>
      <c r="H2818">
        <v>0.2</v>
      </c>
      <c r="I2818">
        <v>0</v>
      </c>
      <c r="J2818">
        <v>26.7349</v>
      </c>
      <c r="K2818">
        <v>518.43100000000004</v>
      </c>
      <c r="L2818" s="1">
        <f>0</f>
        <v>0</v>
      </c>
    </row>
    <row r="2819" spans="1:12" x14ac:dyDescent="0.25">
      <c r="A2819">
        <f>80614343*0.00001</f>
        <v>806.14343000000008</v>
      </c>
      <c r="B2819">
        <v>3505</v>
      </c>
      <c r="C2819">
        <v>54</v>
      </c>
      <c r="D2819">
        <v>242.441</v>
      </c>
      <c r="E2819" s="1">
        <f>5185</f>
        <v>5185</v>
      </c>
      <c r="F2819" s="1">
        <f>1613</f>
        <v>1613</v>
      </c>
      <c r="G2819">
        <v>1</v>
      </c>
      <c r="H2819">
        <v>0.2</v>
      </c>
      <c r="I2819">
        <v>0</v>
      </c>
      <c r="J2819">
        <v>26.7349</v>
      </c>
      <c r="K2819">
        <v>518.43100000000004</v>
      </c>
      <c r="L2819">
        <v>0</v>
      </c>
    </row>
    <row r="2820" spans="1:12" x14ac:dyDescent="0.25">
      <c r="A2820">
        <f>80614480*0.00001</f>
        <v>806.14480000000003</v>
      </c>
      <c r="B2820">
        <v>3505</v>
      </c>
      <c r="C2820">
        <v>55</v>
      </c>
      <c r="D2820">
        <v>242.441</v>
      </c>
      <c r="E2820">
        <v>5185</v>
      </c>
      <c r="F2820">
        <v>1613</v>
      </c>
      <c r="G2820" s="1">
        <f>1</f>
        <v>1</v>
      </c>
      <c r="H2820" s="1">
        <f>0.2</f>
        <v>0.2</v>
      </c>
      <c r="I2820">
        <v>0</v>
      </c>
      <c r="J2820">
        <v>26.7349</v>
      </c>
      <c r="K2820">
        <v>518.43100000000004</v>
      </c>
      <c r="L2820">
        <v>0</v>
      </c>
    </row>
    <row r="2821" spans="1:12" x14ac:dyDescent="0.25">
      <c r="A2821">
        <f>80614617*0.00001</f>
        <v>806.1461700000001</v>
      </c>
      <c r="B2821">
        <v>3505</v>
      </c>
      <c r="C2821">
        <v>56</v>
      </c>
      <c r="D2821">
        <v>242.441</v>
      </c>
      <c r="E2821">
        <v>5185</v>
      </c>
      <c r="F2821">
        <v>1613</v>
      </c>
      <c r="G2821">
        <v>1</v>
      </c>
      <c r="H2821">
        <v>0.2</v>
      </c>
      <c r="I2821">
        <v>0</v>
      </c>
      <c r="J2821" s="1">
        <f>26.8788</f>
        <v>26.878799999999998</v>
      </c>
      <c r="K2821">
        <v>518.43100000000004</v>
      </c>
      <c r="L2821">
        <v>0</v>
      </c>
    </row>
    <row r="2822" spans="1:12" x14ac:dyDescent="0.25">
      <c r="A2822">
        <f>80614754*0.00001</f>
        <v>806.14754000000005</v>
      </c>
      <c r="B2822">
        <v>3505</v>
      </c>
      <c r="C2822">
        <v>57</v>
      </c>
      <c r="D2822">
        <v>242.441</v>
      </c>
      <c r="E2822">
        <v>5185</v>
      </c>
      <c r="F2822">
        <v>1613</v>
      </c>
      <c r="G2822">
        <v>1</v>
      </c>
      <c r="H2822">
        <v>0.2</v>
      </c>
      <c r="I2822">
        <v>0</v>
      </c>
      <c r="J2822">
        <v>26.878799999999998</v>
      </c>
      <c r="K2822">
        <v>518.43100000000004</v>
      </c>
      <c r="L2822" s="1">
        <f>0</f>
        <v>0</v>
      </c>
    </row>
    <row r="2823" spans="1:12" x14ac:dyDescent="0.25">
      <c r="A2823">
        <f>80614891*0.00001</f>
        <v>806.14891000000011</v>
      </c>
      <c r="B2823">
        <v>3505</v>
      </c>
      <c r="C2823">
        <v>58</v>
      </c>
      <c r="D2823">
        <v>242.441</v>
      </c>
      <c r="E2823" s="1">
        <f>5186</f>
        <v>5186</v>
      </c>
      <c r="F2823">
        <v>1613</v>
      </c>
      <c r="G2823">
        <v>1</v>
      </c>
      <c r="H2823">
        <v>0.2</v>
      </c>
      <c r="I2823">
        <v>0</v>
      </c>
      <c r="J2823">
        <v>26.878799999999998</v>
      </c>
      <c r="K2823">
        <v>518.43100000000004</v>
      </c>
      <c r="L2823">
        <v>0</v>
      </c>
    </row>
    <row r="2824" spans="1:12" x14ac:dyDescent="0.25">
      <c r="A2824">
        <f>80615027*0.00001</f>
        <v>806.15027000000009</v>
      </c>
      <c r="B2824">
        <v>3505</v>
      </c>
      <c r="C2824">
        <v>59</v>
      </c>
      <c r="D2824">
        <v>242.441</v>
      </c>
      <c r="E2824">
        <v>5186</v>
      </c>
      <c r="F2824">
        <v>1613</v>
      </c>
      <c r="G2824" s="1">
        <f>1</f>
        <v>1</v>
      </c>
      <c r="H2824">
        <v>0.2</v>
      </c>
      <c r="I2824">
        <v>0</v>
      </c>
      <c r="J2824">
        <v>26.878799999999998</v>
      </c>
      <c r="K2824">
        <v>518.43100000000004</v>
      </c>
      <c r="L2824">
        <v>0</v>
      </c>
    </row>
    <row r="2825" spans="1:12" x14ac:dyDescent="0.25">
      <c r="A2825">
        <f>80615164*0.00001</f>
        <v>806.15164000000004</v>
      </c>
      <c r="B2825">
        <v>3505</v>
      </c>
      <c r="C2825">
        <v>60</v>
      </c>
      <c r="D2825" s="1">
        <f>242.455</f>
        <v>242.45500000000001</v>
      </c>
      <c r="E2825" s="1">
        <f>5187</f>
        <v>5187</v>
      </c>
      <c r="F2825" s="1">
        <f>1613</f>
        <v>1613</v>
      </c>
      <c r="G2825" s="1">
        <f>1</f>
        <v>1</v>
      </c>
      <c r="H2825" s="1">
        <f>0.2</f>
        <v>0.2</v>
      </c>
      <c r="I2825" s="1">
        <f>0</f>
        <v>0</v>
      </c>
      <c r="J2825" s="1">
        <f>27.1693</f>
        <v>27.1693</v>
      </c>
      <c r="K2825" s="1">
        <f>518.527</f>
        <v>518.52700000000004</v>
      </c>
      <c r="L2825" s="1">
        <f>0</f>
        <v>0</v>
      </c>
    </row>
    <row r="2826" spans="1:12" x14ac:dyDescent="0.25">
      <c r="A2826">
        <f>80616123*0.00001</f>
        <v>806.16123000000005</v>
      </c>
      <c r="B2826">
        <v>3505</v>
      </c>
      <c r="C2826">
        <v>67</v>
      </c>
      <c r="D2826">
        <v>242.45500000000001</v>
      </c>
      <c r="E2826" s="1">
        <f>5188</f>
        <v>5188</v>
      </c>
      <c r="F2826" s="1">
        <f>1613</f>
        <v>1613</v>
      </c>
      <c r="G2826">
        <v>1</v>
      </c>
      <c r="H2826">
        <v>0.2</v>
      </c>
      <c r="I2826">
        <v>0</v>
      </c>
      <c r="J2826">
        <v>27.1693</v>
      </c>
      <c r="K2826">
        <v>518.52700000000004</v>
      </c>
      <c r="L2826">
        <v>0</v>
      </c>
    </row>
    <row r="2827" spans="1:12" x14ac:dyDescent="0.25">
      <c r="A2827">
        <f>80616260*0.00001</f>
        <v>806.16260000000011</v>
      </c>
      <c r="B2827">
        <v>3505</v>
      </c>
      <c r="C2827">
        <v>68</v>
      </c>
      <c r="D2827">
        <v>242.45500000000001</v>
      </c>
      <c r="E2827">
        <v>5188</v>
      </c>
      <c r="F2827">
        <v>1613</v>
      </c>
      <c r="G2827" s="1">
        <f>1</f>
        <v>1</v>
      </c>
      <c r="H2827" s="1">
        <f>0.2</f>
        <v>0.2</v>
      </c>
      <c r="I2827">
        <v>0</v>
      </c>
      <c r="J2827">
        <v>27.1693</v>
      </c>
      <c r="K2827">
        <v>518.52700000000004</v>
      </c>
      <c r="L2827">
        <v>0</v>
      </c>
    </row>
    <row r="2828" spans="1:12" x14ac:dyDescent="0.25">
      <c r="A2828">
        <f>80616397*0.00001</f>
        <v>806.16397000000006</v>
      </c>
      <c r="B2828">
        <v>3505</v>
      </c>
      <c r="C2828">
        <v>69</v>
      </c>
      <c r="D2828">
        <v>242.45500000000001</v>
      </c>
      <c r="E2828">
        <v>5188</v>
      </c>
      <c r="F2828">
        <v>1613</v>
      </c>
      <c r="G2828">
        <v>1</v>
      </c>
      <c r="H2828">
        <v>0.2</v>
      </c>
      <c r="I2828" s="1">
        <f>0</f>
        <v>0</v>
      </c>
      <c r="J2828" s="1">
        <f>27.2912</f>
        <v>27.2912</v>
      </c>
      <c r="K2828">
        <v>518.52700000000004</v>
      </c>
      <c r="L2828">
        <v>0</v>
      </c>
    </row>
    <row r="2829" spans="1:12" x14ac:dyDescent="0.25">
      <c r="A2829">
        <f>80616534*0.00001</f>
        <v>806.16534000000001</v>
      </c>
      <c r="B2829">
        <v>3505</v>
      </c>
      <c r="C2829">
        <v>70</v>
      </c>
      <c r="D2829">
        <v>242.45500000000001</v>
      </c>
      <c r="E2829">
        <v>5188</v>
      </c>
      <c r="F2829">
        <v>1613</v>
      </c>
      <c r="G2829">
        <v>1</v>
      </c>
      <c r="H2829">
        <v>0.2</v>
      </c>
      <c r="I2829">
        <v>0</v>
      </c>
      <c r="J2829">
        <v>27.2912</v>
      </c>
      <c r="K2829" s="1">
        <f>518.565</f>
        <v>518.56500000000005</v>
      </c>
      <c r="L2829" s="1">
        <f>0</f>
        <v>0</v>
      </c>
    </row>
    <row r="2830" spans="1:12" x14ac:dyDescent="0.25">
      <c r="A2830">
        <f>80616671*0.00001</f>
        <v>806.16671000000008</v>
      </c>
      <c r="B2830">
        <v>3505</v>
      </c>
      <c r="C2830">
        <v>71</v>
      </c>
      <c r="D2830" s="1">
        <f>242.459</f>
        <v>242.459</v>
      </c>
      <c r="E2830" s="1">
        <f>5189</f>
        <v>5189</v>
      </c>
      <c r="F2830">
        <v>1613</v>
      </c>
      <c r="G2830">
        <v>1</v>
      </c>
      <c r="H2830">
        <v>0.2</v>
      </c>
      <c r="I2830">
        <v>0</v>
      </c>
      <c r="J2830">
        <v>27.2912</v>
      </c>
      <c r="K2830">
        <v>518.56500000000005</v>
      </c>
      <c r="L2830">
        <v>0</v>
      </c>
    </row>
    <row r="2831" spans="1:12" x14ac:dyDescent="0.25">
      <c r="A2831">
        <f>80616808*0.00001</f>
        <v>806.16808000000003</v>
      </c>
      <c r="B2831">
        <v>3505</v>
      </c>
      <c r="C2831">
        <v>72</v>
      </c>
      <c r="D2831">
        <v>242.459</v>
      </c>
      <c r="E2831">
        <v>5189</v>
      </c>
      <c r="F2831" s="1">
        <f>1613</f>
        <v>1613</v>
      </c>
      <c r="G2831" s="1">
        <f>1</f>
        <v>1</v>
      </c>
      <c r="H2831">
        <v>0.2</v>
      </c>
      <c r="I2831">
        <v>0</v>
      </c>
      <c r="J2831">
        <v>27.2912</v>
      </c>
      <c r="K2831">
        <v>518.56500000000005</v>
      </c>
      <c r="L2831">
        <v>0</v>
      </c>
    </row>
    <row r="2832" spans="1:12" x14ac:dyDescent="0.25">
      <c r="A2832">
        <f>80616945*0.00001</f>
        <v>806.1694500000001</v>
      </c>
      <c r="B2832">
        <v>3505</v>
      </c>
      <c r="C2832">
        <v>73</v>
      </c>
      <c r="D2832">
        <v>242.459</v>
      </c>
      <c r="E2832">
        <v>5189</v>
      </c>
      <c r="F2832">
        <v>1613</v>
      </c>
      <c r="G2832">
        <v>1</v>
      </c>
      <c r="H2832">
        <v>0.2</v>
      </c>
      <c r="I2832" s="1">
        <f>0</f>
        <v>0</v>
      </c>
      <c r="J2832">
        <v>27.2912</v>
      </c>
      <c r="K2832">
        <v>518.56500000000005</v>
      </c>
      <c r="L2832">
        <v>0</v>
      </c>
    </row>
    <row r="2833" spans="1:12" x14ac:dyDescent="0.25">
      <c r="A2833">
        <f>80617082*0.00001</f>
        <v>806.17082000000005</v>
      </c>
      <c r="B2833">
        <v>3505</v>
      </c>
      <c r="C2833">
        <v>74</v>
      </c>
      <c r="D2833">
        <v>242.459</v>
      </c>
      <c r="E2833">
        <v>5189</v>
      </c>
      <c r="F2833">
        <v>1613</v>
      </c>
      <c r="G2833">
        <v>1</v>
      </c>
      <c r="H2833">
        <v>0.2</v>
      </c>
      <c r="I2833">
        <v>0</v>
      </c>
      <c r="J2833">
        <v>27.2912</v>
      </c>
      <c r="K2833" s="1">
        <f>518.595</f>
        <v>518.59500000000003</v>
      </c>
      <c r="L2833">
        <v>0</v>
      </c>
    </row>
    <row r="2834" spans="1:12" x14ac:dyDescent="0.25">
      <c r="A2834">
        <f>80617219*0.00001</f>
        <v>806.17219000000011</v>
      </c>
      <c r="B2834">
        <v>3505</v>
      </c>
      <c r="C2834">
        <v>75</v>
      </c>
      <c r="D2834" s="1">
        <f>242.461</f>
        <v>242.46100000000001</v>
      </c>
      <c r="E2834">
        <v>5189</v>
      </c>
      <c r="F2834">
        <v>1613</v>
      </c>
      <c r="G2834">
        <v>1</v>
      </c>
      <c r="H2834">
        <v>0.2</v>
      </c>
      <c r="I2834">
        <v>0</v>
      </c>
      <c r="J2834">
        <v>27.2912</v>
      </c>
      <c r="K2834">
        <v>518.59500000000003</v>
      </c>
      <c r="L2834">
        <v>0</v>
      </c>
    </row>
    <row r="2835" spans="1:12" x14ac:dyDescent="0.25">
      <c r="A2835">
        <f>80617356*0.00001</f>
        <v>806.17356000000007</v>
      </c>
      <c r="B2835">
        <v>3505</v>
      </c>
      <c r="C2835">
        <v>76</v>
      </c>
      <c r="D2835">
        <v>242.46100000000001</v>
      </c>
      <c r="E2835">
        <v>5189</v>
      </c>
      <c r="F2835" s="1">
        <f>1613</f>
        <v>1613</v>
      </c>
      <c r="G2835">
        <v>1</v>
      </c>
      <c r="H2835">
        <v>0.2</v>
      </c>
      <c r="I2835">
        <v>0</v>
      </c>
      <c r="J2835">
        <v>27.2912</v>
      </c>
      <c r="K2835">
        <v>518.59500000000003</v>
      </c>
      <c r="L2835">
        <v>0</v>
      </c>
    </row>
    <row r="2836" spans="1:12" x14ac:dyDescent="0.25">
      <c r="A2836">
        <f>80617493*0.00001</f>
        <v>806.17493000000002</v>
      </c>
      <c r="B2836">
        <v>3505</v>
      </c>
      <c r="C2836">
        <v>77</v>
      </c>
      <c r="D2836">
        <v>242.46100000000001</v>
      </c>
      <c r="E2836">
        <v>5189</v>
      </c>
      <c r="F2836">
        <v>1613</v>
      </c>
      <c r="G2836">
        <v>1</v>
      </c>
      <c r="H2836" s="1">
        <f>0.2</f>
        <v>0.2</v>
      </c>
      <c r="I2836">
        <v>0</v>
      </c>
      <c r="J2836">
        <v>27.2912</v>
      </c>
      <c r="K2836">
        <v>518.59500000000003</v>
      </c>
      <c r="L2836">
        <v>0</v>
      </c>
    </row>
    <row r="2837" spans="1:12" x14ac:dyDescent="0.25">
      <c r="A2837">
        <f>80617630*0.00001</f>
        <v>806.17630000000008</v>
      </c>
      <c r="B2837">
        <v>3505</v>
      </c>
      <c r="C2837">
        <v>78</v>
      </c>
      <c r="D2837" s="1">
        <f>242.461</f>
        <v>242.46100000000001</v>
      </c>
      <c r="E2837" s="1">
        <f>5192</f>
        <v>5192</v>
      </c>
      <c r="F2837" s="1">
        <f>1613</f>
        <v>1613</v>
      </c>
      <c r="G2837" s="1">
        <f>1</f>
        <v>1</v>
      </c>
      <c r="H2837" s="1">
        <f>0.2</f>
        <v>0.2</v>
      </c>
      <c r="I2837" s="1">
        <f>0</f>
        <v>0</v>
      </c>
      <c r="J2837" s="1">
        <f>27.735</f>
        <v>27.734999999999999</v>
      </c>
      <c r="K2837" s="1">
        <f>518.663</f>
        <v>518.66300000000001</v>
      </c>
      <c r="L2837" s="1">
        <f>0</f>
        <v>0</v>
      </c>
    </row>
    <row r="2838" spans="1:12" x14ac:dyDescent="0.25">
      <c r="A2838">
        <f>80618726*0.00001</f>
        <v>806.18726000000004</v>
      </c>
      <c r="B2838">
        <v>3505</v>
      </c>
      <c r="C2838">
        <v>86</v>
      </c>
      <c r="D2838">
        <v>242.46100000000001</v>
      </c>
      <c r="E2838">
        <v>5192</v>
      </c>
      <c r="F2838">
        <v>1613</v>
      </c>
      <c r="G2838">
        <v>1</v>
      </c>
      <c r="H2838" s="1">
        <f>0.2</f>
        <v>0.2</v>
      </c>
      <c r="I2838" s="1">
        <f>0</f>
        <v>0</v>
      </c>
      <c r="J2838">
        <v>27.734999999999999</v>
      </c>
      <c r="K2838">
        <v>518.66300000000001</v>
      </c>
      <c r="L2838">
        <v>0</v>
      </c>
    </row>
    <row r="2839" spans="1:12" x14ac:dyDescent="0.25">
      <c r="A2839">
        <f>80618863*0.00001</f>
        <v>806.1886300000001</v>
      </c>
      <c r="B2839">
        <v>3505</v>
      </c>
      <c r="C2839">
        <v>87</v>
      </c>
      <c r="D2839">
        <v>242.46100000000001</v>
      </c>
      <c r="E2839">
        <v>5192</v>
      </c>
      <c r="F2839">
        <v>1613</v>
      </c>
      <c r="G2839">
        <v>1</v>
      </c>
      <c r="H2839">
        <v>0.2</v>
      </c>
      <c r="I2839">
        <v>0</v>
      </c>
      <c r="J2839" s="1">
        <f>27.9083</f>
        <v>27.908300000000001</v>
      </c>
      <c r="K2839" s="1">
        <f>518.694</f>
        <v>518.69399999999996</v>
      </c>
      <c r="L2839">
        <v>0</v>
      </c>
    </row>
    <row r="2840" spans="1:12" x14ac:dyDescent="0.25">
      <c r="A2840">
        <f>80619000*0.00001</f>
        <v>806.19</v>
      </c>
      <c r="B2840">
        <v>3505</v>
      </c>
      <c r="C2840">
        <v>88</v>
      </c>
      <c r="D2840" s="1">
        <f>242.465</f>
        <v>242.465</v>
      </c>
      <c r="E2840">
        <v>5192</v>
      </c>
      <c r="F2840">
        <v>1613</v>
      </c>
      <c r="G2840">
        <v>1</v>
      </c>
      <c r="H2840">
        <v>0.2</v>
      </c>
      <c r="I2840">
        <v>0</v>
      </c>
      <c r="J2840">
        <v>27.908300000000001</v>
      </c>
      <c r="K2840">
        <v>518.69399999999996</v>
      </c>
      <c r="L2840" s="1">
        <f>0</f>
        <v>0</v>
      </c>
    </row>
    <row r="2841" spans="1:12" x14ac:dyDescent="0.25">
      <c r="A2841">
        <f>80619137*0.00001</f>
        <v>806.19137000000012</v>
      </c>
      <c r="B2841">
        <v>3505</v>
      </c>
      <c r="C2841">
        <v>89</v>
      </c>
      <c r="D2841">
        <v>242.465</v>
      </c>
      <c r="E2841" s="1">
        <f>5193</f>
        <v>5193</v>
      </c>
      <c r="F2841" s="1">
        <f>1613</f>
        <v>1613</v>
      </c>
      <c r="G2841">
        <v>1</v>
      </c>
      <c r="H2841">
        <v>0.2</v>
      </c>
      <c r="I2841">
        <v>0</v>
      </c>
      <c r="J2841">
        <v>27.908300000000001</v>
      </c>
      <c r="K2841">
        <v>518.69399999999996</v>
      </c>
      <c r="L2841">
        <v>0</v>
      </c>
    </row>
    <row r="2842" spans="1:12" x14ac:dyDescent="0.25">
      <c r="A2842">
        <f>80619274*0.00001</f>
        <v>806.19274000000007</v>
      </c>
      <c r="B2842">
        <v>3505</v>
      </c>
      <c r="C2842">
        <v>90</v>
      </c>
      <c r="D2842">
        <v>242.465</v>
      </c>
      <c r="E2842">
        <v>5193</v>
      </c>
      <c r="F2842">
        <v>1613</v>
      </c>
      <c r="G2842" s="1">
        <f>1</f>
        <v>1</v>
      </c>
      <c r="H2842" s="1">
        <f>0.2</f>
        <v>0.2</v>
      </c>
      <c r="I2842">
        <v>0</v>
      </c>
      <c r="J2842">
        <v>27.908300000000001</v>
      </c>
      <c r="K2842">
        <v>518.69399999999996</v>
      </c>
      <c r="L2842">
        <v>0</v>
      </c>
    </row>
    <row r="2843" spans="1:12" x14ac:dyDescent="0.25">
      <c r="A2843">
        <f>80619411*0.00001</f>
        <v>806.19411000000002</v>
      </c>
      <c r="B2843">
        <v>3505</v>
      </c>
      <c r="C2843">
        <v>91</v>
      </c>
      <c r="D2843">
        <v>242.465</v>
      </c>
      <c r="E2843">
        <v>5193</v>
      </c>
      <c r="F2843">
        <v>1613</v>
      </c>
      <c r="G2843">
        <v>1</v>
      </c>
      <c r="H2843">
        <v>0.2</v>
      </c>
      <c r="I2843">
        <v>0</v>
      </c>
      <c r="J2843" s="1">
        <f>28.0575</f>
        <v>28.057500000000001</v>
      </c>
      <c r="K2843">
        <v>518.69399999999996</v>
      </c>
      <c r="L2843">
        <v>0</v>
      </c>
    </row>
    <row r="2844" spans="1:12" x14ac:dyDescent="0.25">
      <c r="A2844">
        <f>80619548*0.00001</f>
        <v>806.19548000000009</v>
      </c>
      <c r="B2844">
        <v>3505</v>
      </c>
      <c r="C2844">
        <v>92</v>
      </c>
      <c r="D2844">
        <v>242.465</v>
      </c>
      <c r="E2844">
        <v>5193</v>
      </c>
      <c r="F2844">
        <v>1613</v>
      </c>
      <c r="G2844">
        <v>1</v>
      </c>
      <c r="H2844">
        <v>0.2</v>
      </c>
      <c r="I2844">
        <v>0</v>
      </c>
      <c r="J2844">
        <v>28.057500000000001</v>
      </c>
      <c r="K2844">
        <v>518.69399999999996</v>
      </c>
      <c r="L2844" s="1">
        <f>0</f>
        <v>0</v>
      </c>
    </row>
    <row r="2845" spans="1:12" x14ac:dyDescent="0.25">
      <c r="A2845">
        <f>80619685*0.00001</f>
        <v>806.19685000000004</v>
      </c>
      <c r="B2845">
        <v>3505</v>
      </c>
      <c r="C2845">
        <v>93</v>
      </c>
      <c r="D2845">
        <v>242.465</v>
      </c>
      <c r="E2845" s="1">
        <f>5194</f>
        <v>5194</v>
      </c>
      <c r="F2845">
        <v>1613</v>
      </c>
      <c r="G2845">
        <v>1</v>
      </c>
      <c r="H2845">
        <v>0.2</v>
      </c>
      <c r="I2845">
        <v>0</v>
      </c>
      <c r="J2845">
        <v>28.057500000000001</v>
      </c>
      <c r="K2845">
        <v>518.69399999999996</v>
      </c>
      <c r="L2845">
        <v>0</v>
      </c>
    </row>
    <row r="2846" spans="1:12" x14ac:dyDescent="0.25">
      <c r="A2846">
        <f>80619822*0.00001</f>
        <v>806.19822000000011</v>
      </c>
      <c r="B2846">
        <v>3505</v>
      </c>
      <c r="C2846">
        <v>94</v>
      </c>
      <c r="D2846">
        <v>242.465</v>
      </c>
      <c r="E2846">
        <v>5194</v>
      </c>
      <c r="F2846">
        <v>1613</v>
      </c>
      <c r="G2846" s="1">
        <f>1</f>
        <v>1</v>
      </c>
      <c r="H2846">
        <v>0.2</v>
      </c>
      <c r="I2846">
        <v>0</v>
      </c>
      <c r="J2846">
        <v>28.057500000000001</v>
      </c>
      <c r="K2846">
        <v>518.69399999999996</v>
      </c>
      <c r="L2846">
        <v>0</v>
      </c>
    </row>
    <row r="2847" spans="1:12" x14ac:dyDescent="0.25">
      <c r="A2847">
        <f>80619959*0.00001</f>
        <v>806.19959000000006</v>
      </c>
      <c r="B2847">
        <v>3505</v>
      </c>
      <c r="C2847">
        <v>95</v>
      </c>
      <c r="D2847">
        <v>242.465</v>
      </c>
      <c r="E2847">
        <v>5194</v>
      </c>
      <c r="F2847">
        <v>1613</v>
      </c>
      <c r="G2847">
        <v>1</v>
      </c>
      <c r="H2847">
        <v>0.2</v>
      </c>
      <c r="I2847" s="1">
        <f>0</f>
        <v>0</v>
      </c>
      <c r="J2847">
        <v>28.057500000000001</v>
      </c>
      <c r="K2847">
        <v>518.69399999999996</v>
      </c>
      <c r="L2847">
        <v>0</v>
      </c>
    </row>
    <row r="2848" spans="1:12" x14ac:dyDescent="0.25">
      <c r="A2848">
        <f>80620096*0.00001</f>
        <v>806.20096000000012</v>
      </c>
      <c r="B2848">
        <v>3505</v>
      </c>
      <c r="C2848">
        <v>96</v>
      </c>
      <c r="D2848" s="1">
        <f>242.466</f>
        <v>242.46600000000001</v>
      </c>
      <c r="E2848" s="1">
        <f>5196</f>
        <v>5196</v>
      </c>
      <c r="F2848" s="1">
        <f>1613</f>
        <v>1613</v>
      </c>
      <c r="G2848" s="1">
        <f>1</f>
        <v>1</v>
      </c>
      <c r="H2848" s="1">
        <f>0.2</f>
        <v>0.2</v>
      </c>
      <c r="I2848" s="1">
        <f>0</f>
        <v>0</v>
      </c>
      <c r="J2848" s="1">
        <f>28.3559</f>
        <v>28.355899999999998</v>
      </c>
      <c r="K2848" s="1">
        <f>518.794</f>
        <v>518.79399999999998</v>
      </c>
      <c r="L2848" s="1">
        <f>0</f>
        <v>0</v>
      </c>
    </row>
    <row r="2849" spans="1:12" x14ac:dyDescent="0.25">
      <c r="A2849">
        <f>80621056*0.00001</f>
        <v>806.2105600000001</v>
      </c>
      <c r="B2849">
        <v>3505</v>
      </c>
      <c r="C2849">
        <v>103</v>
      </c>
      <c r="D2849">
        <v>242.46600000000001</v>
      </c>
      <c r="E2849">
        <v>5196</v>
      </c>
      <c r="F2849">
        <v>1613</v>
      </c>
      <c r="G2849" s="1">
        <f>1</f>
        <v>1</v>
      </c>
      <c r="H2849" s="1">
        <f>0.2</f>
        <v>0.2</v>
      </c>
      <c r="I2849">
        <v>0</v>
      </c>
      <c r="J2849">
        <v>28.355899999999998</v>
      </c>
      <c r="K2849">
        <v>518.79399999999998</v>
      </c>
      <c r="L2849">
        <v>0</v>
      </c>
    </row>
    <row r="2850" spans="1:12" x14ac:dyDescent="0.25">
      <c r="A2850">
        <f>80621193*0.00001</f>
        <v>806.21193000000005</v>
      </c>
      <c r="B2850">
        <v>3505</v>
      </c>
      <c r="C2850">
        <v>104</v>
      </c>
      <c r="D2850">
        <v>242.46600000000001</v>
      </c>
      <c r="E2850">
        <v>5196</v>
      </c>
      <c r="F2850">
        <v>1613</v>
      </c>
      <c r="G2850">
        <v>1</v>
      </c>
      <c r="H2850">
        <v>0.2</v>
      </c>
      <c r="I2850" s="1">
        <f>0</f>
        <v>0</v>
      </c>
      <c r="J2850" s="1">
        <f>28.4803</f>
        <v>28.4803</v>
      </c>
      <c r="K2850">
        <v>518.79399999999998</v>
      </c>
      <c r="L2850">
        <v>0</v>
      </c>
    </row>
    <row r="2851" spans="1:12" x14ac:dyDescent="0.25">
      <c r="A2851">
        <f>80621330*0.00001</f>
        <v>806.21330000000012</v>
      </c>
      <c r="B2851">
        <v>3505</v>
      </c>
      <c r="C2851">
        <v>105</v>
      </c>
      <c r="D2851">
        <v>242.46600000000001</v>
      </c>
      <c r="E2851">
        <v>5196</v>
      </c>
      <c r="F2851">
        <v>1613</v>
      </c>
      <c r="G2851">
        <v>1</v>
      </c>
      <c r="H2851">
        <v>0.2</v>
      </c>
      <c r="I2851">
        <v>0</v>
      </c>
      <c r="J2851">
        <v>28.4803</v>
      </c>
      <c r="K2851" s="1">
        <f>518.833</f>
        <v>518.83299999999997</v>
      </c>
      <c r="L2851" s="1">
        <f>0</f>
        <v>0</v>
      </c>
    </row>
    <row r="2852" spans="1:12" x14ac:dyDescent="0.25">
      <c r="A2852">
        <f>80621467*0.00001</f>
        <v>806.21467000000007</v>
      </c>
      <c r="B2852">
        <v>3505</v>
      </c>
      <c r="C2852">
        <v>106</v>
      </c>
      <c r="D2852" s="1">
        <f>242.468</f>
        <v>242.46799999999999</v>
      </c>
      <c r="E2852" s="1">
        <f>5197</f>
        <v>5197</v>
      </c>
      <c r="F2852">
        <v>1613</v>
      </c>
      <c r="G2852">
        <v>1</v>
      </c>
      <c r="H2852">
        <v>0.2</v>
      </c>
      <c r="I2852">
        <v>0</v>
      </c>
      <c r="J2852">
        <v>28.4803</v>
      </c>
      <c r="K2852">
        <v>518.83299999999997</v>
      </c>
      <c r="L2852">
        <v>0</v>
      </c>
    </row>
    <row r="2853" spans="1:12" x14ac:dyDescent="0.25">
      <c r="A2853">
        <f>80621604*0.00001</f>
        <v>806.21604000000002</v>
      </c>
      <c r="B2853">
        <v>3505</v>
      </c>
      <c r="C2853">
        <v>107</v>
      </c>
      <c r="D2853">
        <v>242.46799999999999</v>
      </c>
      <c r="E2853">
        <v>5197</v>
      </c>
      <c r="F2853" s="1">
        <f>1613</f>
        <v>1613</v>
      </c>
      <c r="G2853" s="1">
        <f>1</f>
        <v>1</v>
      </c>
      <c r="H2853">
        <v>0.2</v>
      </c>
      <c r="I2853">
        <v>0</v>
      </c>
      <c r="J2853">
        <v>28.4803</v>
      </c>
      <c r="K2853">
        <v>518.83299999999997</v>
      </c>
      <c r="L2853">
        <v>0</v>
      </c>
    </row>
    <row r="2854" spans="1:12" x14ac:dyDescent="0.25">
      <c r="A2854">
        <f>80621741*0.00001</f>
        <v>806.21741000000009</v>
      </c>
      <c r="B2854">
        <v>3505</v>
      </c>
      <c r="C2854">
        <v>108</v>
      </c>
      <c r="D2854">
        <v>242.46799999999999</v>
      </c>
      <c r="E2854">
        <v>5197</v>
      </c>
      <c r="F2854">
        <v>1613</v>
      </c>
      <c r="G2854">
        <v>1</v>
      </c>
      <c r="H2854" s="1">
        <f>0.2</f>
        <v>0.2</v>
      </c>
      <c r="I2854" s="1">
        <f>0</f>
        <v>0</v>
      </c>
      <c r="J2854">
        <v>28.4803</v>
      </c>
      <c r="K2854">
        <v>518.83299999999997</v>
      </c>
      <c r="L2854">
        <v>0</v>
      </c>
    </row>
    <row r="2855" spans="1:12" x14ac:dyDescent="0.25">
      <c r="A2855">
        <f>80621878*0.00001</f>
        <v>806.21878000000004</v>
      </c>
      <c r="B2855">
        <v>3505</v>
      </c>
      <c r="C2855">
        <v>109</v>
      </c>
      <c r="D2855">
        <v>242.46799999999999</v>
      </c>
      <c r="E2855">
        <v>5197</v>
      </c>
      <c r="F2855">
        <v>1613</v>
      </c>
      <c r="G2855">
        <v>1</v>
      </c>
      <c r="H2855">
        <v>0.2</v>
      </c>
      <c r="I2855">
        <v>0</v>
      </c>
      <c r="J2855">
        <v>28.4803</v>
      </c>
      <c r="K2855" s="1">
        <f>518.865</f>
        <v>518.86500000000001</v>
      </c>
      <c r="L2855">
        <v>0</v>
      </c>
    </row>
    <row r="2856" spans="1:12" x14ac:dyDescent="0.25">
      <c r="A2856">
        <f>80622015*0.00001</f>
        <v>806.2201500000001</v>
      </c>
      <c r="B2856">
        <v>3505</v>
      </c>
      <c r="C2856">
        <v>110</v>
      </c>
      <c r="D2856" s="1">
        <f>242.469</f>
        <v>242.46899999999999</v>
      </c>
      <c r="E2856">
        <v>5197</v>
      </c>
      <c r="F2856">
        <v>1613</v>
      </c>
      <c r="G2856">
        <v>1</v>
      </c>
      <c r="H2856">
        <v>0.2</v>
      </c>
      <c r="I2856">
        <v>0</v>
      </c>
      <c r="J2856">
        <v>28.4803</v>
      </c>
      <c r="K2856">
        <v>518.86500000000001</v>
      </c>
      <c r="L2856">
        <v>0</v>
      </c>
    </row>
    <row r="2857" spans="1:12" x14ac:dyDescent="0.25">
      <c r="A2857">
        <f>80622152*0.00001</f>
        <v>806.22152000000006</v>
      </c>
      <c r="B2857">
        <v>3505</v>
      </c>
      <c r="C2857">
        <v>111</v>
      </c>
      <c r="D2857">
        <v>242.46899999999999</v>
      </c>
      <c r="E2857">
        <v>5197</v>
      </c>
      <c r="F2857" s="1">
        <f>1613</f>
        <v>1613</v>
      </c>
      <c r="G2857">
        <v>1</v>
      </c>
      <c r="H2857">
        <v>0.2</v>
      </c>
      <c r="I2857">
        <v>0</v>
      </c>
      <c r="J2857">
        <v>28.4803</v>
      </c>
      <c r="K2857">
        <v>518.86500000000001</v>
      </c>
      <c r="L2857">
        <v>0</v>
      </c>
    </row>
    <row r="2858" spans="1:12" x14ac:dyDescent="0.25">
      <c r="A2858">
        <f>80622289*0.00001</f>
        <v>806.22289000000012</v>
      </c>
      <c r="B2858">
        <v>3505</v>
      </c>
      <c r="C2858">
        <v>112</v>
      </c>
      <c r="D2858">
        <v>242.46899999999999</v>
      </c>
      <c r="E2858">
        <v>5197</v>
      </c>
      <c r="F2858">
        <v>1613</v>
      </c>
      <c r="G2858">
        <v>1</v>
      </c>
      <c r="H2858" s="1">
        <f>0.2</f>
        <v>0.2</v>
      </c>
      <c r="I2858">
        <v>0</v>
      </c>
      <c r="J2858">
        <v>28.4803</v>
      </c>
      <c r="K2858">
        <v>518.86500000000001</v>
      </c>
      <c r="L2858">
        <v>0</v>
      </c>
    </row>
    <row r="2859" spans="1:12" x14ac:dyDescent="0.25">
      <c r="A2859">
        <f>80622426*0.00001</f>
        <v>806.22426000000007</v>
      </c>
      <c r="B2859">
        <v>3505</v>
      </c>
      <c r="C2859">
        <v>113</v>
      </c>
      <c r="D2859">
        <v>242.46899999999999</v>
      </c>
      <c r="E2859">
        <v>5197</v>
      </c>
      <c r="F2859">
        <v>1613</v>
      </c>
      <c r="G2859">
        <v>1</v>
      </c>
      <c r="H2859">
        <v>0.2</v>
      </c>
      <c r="I2859">
        <v>0</v>
      </c>
      <c r="J2859" s="1">
        <f>28.8047</f>
        <v>28.8047</v>
      </c>
      <c r="K2859">
        <v>518.86500000000001</v>
      </c>
      <c r="L2859">
        <v>0</v>
      </c>
    </row>
    <row r="2860" spans="1:12" x14ac:dyDescent="0.25">
      <c r="A2860">
        <f>80622563*0.00001</f>
        <v>806.22563000000002</v>
      </c>
      <c r="B2860">
        <v>3505</v>
      </c>
      <c r="C2860">
        <v>114</v>
      </c>
      <c r="D2860" s="1">
        <f>242.469</f>
        <v>242.46899999999999</v>
      </c>
      <c r="E2860" s="1">
        <f>5200</f>
        <v>5200</v>
      </c>
      <c r="F2860" s="1">
        <f>1613</f>
        <v>1613</v>
      </c>
      <c r="G2860" s="1">
        <f>1</f>
        <v>1</v>
      </c>
      <c r="H2860" s="1">
        <f>0.2</f>
        <v>0.2</v>
      </c>
      <c r="I2860" s="1">
        <f>0</f>
        <v>0</v>
      </c>
      <c r="J2860" s="1">
        <f>28.9795</f>
        <v>28.979500000000002</v>
      </c>
      <c r="K2860" s="1">
        <f>518.936</f>
        <v>518.93600000000004</v>
      </c>
      <c r="L2860" s="1">
        <f>0</f>
        <v>0</v>
      </c>
    </row>
    <row r="2861" spans="1:12" x14ac:dyDescent="0.25">
      <c r="A2861">
        <f>80623522*0.00001</f>
        <v>806.23522000000003</v>
      </c>
      <c r="B2861">
        <v>3505</v>
      </c>
      <c r="C2861">
        <v>121</v>
      </c>
      <c r="D2861">
        <v>242.46899999999999</v>
      </c>
      <c r="E2861">
        <v>5200</v>
      </c>
      <c r="F2861">
        <v>1613</v>
      </c>
      <c r="G2861" s="1">
        <f>1</f>
        <v>1</v>
      </c>
      <c r="H2861" s="1">
        <f>0.2</f>
        <v>0.2</v>
      </c>
      <c r="I2861">
        <v>0</v>
      </c>
      <c r="J2861">
        <v>28.979500000000002</v>
      </c>
      <c r="K2861">
        <v>518.93600000000004</v>
      </c>
      <c r="L2861">
        <v>0</v>
      </c>
    </row>
    <row r="2862" spans="1:12" x14ac:dyDescent="0.25">
      <c r="A2862">
        <f>80623659*0.00001</f>
        <v>806.23659000000009</v>
      </c>
      <c r="B2862">
        <v>3505</v>
      </c>
      <c r="C2862">
        <v>122</v>
      </c>
      <c r="D2862">
        <v>242.46899999999999</v>
      </c>
      <c r="E2862">
        <v>5200</v>
      </c>
      <c r="F2862">
        <v>1613</v>
      </c>
      <c r="G2862">
        <v>1</v>
      </c>
      <c r="H2862">
        <v>0.2</v>
      </c>
      <c r="I2862" s="1">
        <f>0</f>
        <v>0</v>
      </c>
      <c r="J2862" s="1">
        <f>29.1041</f>
        <v>29.104099999999999</v>
      </c>
      <c r="K2862">
        <v>518.93600000000004</v>
      </c>
      <c r="L2862">
        <v>0</v>
      </c>
    </row>
    <row r="2863" spans="1:12" x14ac:dyDescent="0.25">
      <c r="A2863">
        <f>80623796*0.00001</f>
        <v>806.23796000000004</v>
      </c>
      <c r="B2863">
        <v>3505</v>
      </c>
      <c r="C2863">
        <v>123</v>
      </c>
      <c r="D2863">
        <v>242.46899999999999</v>
      </c>
      <c r="E2863">
        <v>5200</v>
      </c>
      <c r="F2863">
        <v>1613</v>
      </c>
      <c r="G2863">
        <v>1</v>
      </c>
      <c r="H2863">
        <v>0.2</v>
      </c>
      <c r="I2863">
        <v>0</v>
      </c>
      <c r="J2863">
        <v>29.104099999999999</v>
      </c>
      <c r="K2863" s="1">
        <f>518.976</f>
        <v>518.976</v>
      </c>
      <c r="L2863" s="1">
        <f>0</f>
        <v>0</v>
      </c>
    </row>
    <row r="2864" spans="1:12" x14ac:dyDescent="0.25">
      <c r="A2864">
        <f>80623933*0.00001</f>
        <v>806.23933000000011</v>
      </c>
      <c r="B2864">
        <v>3505</v>
      </c>
      <c r="C2864">
        <v>124</v>
      </c>
      <c r="D2864" s="1">
        <f>242.465</f>
        <v>242.465</v>
      </c>
      <c r="E2864" s="1">
        <f>5202</f>
        <v>5202</v>
      </c>
      <c r="F2864">
        <v>1613</v>
      </c>
      <c r="G2864">
        <v>1</v>
      </c>
      <c r="H2864">
        <v>0.2</v>
      </c>
      <c r="I2864">
        <v>0</v>
      </c>
      <c r="J2864">
        <v>29.104099999999999</v>
      </c>
      <c r="K2864">
        <v>518.976</v>
      </c>
      <c r="L2864">
        <v>0</v>
      </c>
    </row>
    <row r="2865" spans="1:12" x14ac:dyDescent="0.25">
      <c r="A2865">
        <f>80624070*0.00001</f>
        <v>806.24070000000006</v>
      </c>
      <c r="B2865">
        <v>3505</v>
      </c>
      <c r="C2865">
        <v>125</v>
      </c>
      <c r="D2865">
        <v>242.465</v>
      </c>
      <c r="E2865">
        <v>5202</v>
      </c>
      <c r="F2865" s="1">
        <f>1613</f>
        <v>1613</v>
      </c>
      <c r="G2865" s="1">
        <f>1</f>
        <v>1</v>
      </c>
      <c r="H2865">
        <v>0.2</v>
      </c>
      <c r="I2865">
        <v>0</v>
      </c>
      <c r="J2865">
        <v>29.104099999999999</v>
      </c>
      <c r="K2865">
        <v>518.976</v>
      </c>
      <c r="L2865">
        <v>0</v>
      </c>
    </row>
    <row r="2866" spans="1:12" x14ac:dyDescent="0.25">
      <c r="A2866">
        <f>80624207*0.00001</f>
        <v>806.24207000000001</v>
      </c>
      <c r="B2866">
        <v>3505</v>
      </c>
      <c r="C2866">
        <v>126</v>
      </c>
      <c r="D2866">
        <v>242.465</v>
      </c>
      <c r="E2866">
        <v>5202</v>
      </c>
      <c r="F2866">
        <v>1613</v>
      </c>
      <c r="G2866">
        <v>1</v>
      </c>
      <c r="H2866" s="1">
        <f>0.2</f>
        <v>0.2</v>
      </c>
      <c r="I2866" s="1">
        <f>0</f>
        <v>0</v>
      </c>
      <c r="J2866">
        <v>29.104099999999999</v>
      </c>
      <c r="K2866">
        <v>518.976</v>
      </c>
      <c r="L2866">
        <v>0</v>
      </c>
    </row>
    <row r="2867" spans="1:12" x14ac:dyDescent="0.25">
      <c r="A2867">
        <f>80624344*0.00001</f>
        <v>806.24344000000008</v>
      </c>
      <c r="B2867">
        <v>3505</v>
      </c>
      <c r="C2867">
        <v>127</v>
      </c>
      <c r="D2867">
        <v>242.465</v>
      </c>
      <c r="E2867">
        <v>5202</v>
      </c>
      <c r="F2867">
        <v>1613</v>
      </c>
      <c r="G2867">
        <v>1</v>
      </c>
      <c r="H2867">
        <v>0.2</v>
      </c>
      <c r="I2867">
        <v>0</v>
      </c>
      <c r="J2867">
        <v>29.104099999999999</v>
      </c>
      <c r="K2867" s="1">
        <f>519.008</f>
        <v>519.00800000000004</v>
      </c>
      <c r="L2867">
        <v>0</v>
      </c>
    </row>
    <row r="2868" spans="1:12" x14ac:dyDescent="0.25">
      <c r="A2868">
        <f>80624481*0.00001</f>
        <v>806.24481000000003</v>
      </c>
      <c r="B2868">
        <v>3505</v>
      </c>
      <c r="C2868">
        <v>128</v>
      </c>
      <c r="D2868" s="1">
        <f>242.47</f>
        <v>242.47</v>
      </c>
      <c r="E2868">
        <v>5202</v>
      </c>
      <c r="F2868">
        <v>1613</v>
      </c>
      <c r="G2868">
        <v>1</v>
      </c>
      <c r="H2868">
        <v>0.2</v>
      </c>
      <c r="I2868">
        <v>0</v>
      </c>
      <c r="J2868">
        <v>29.104099999999999</v>
      </c>
      <c r="K2868">
        <v>519.00800000000004</v>
      </c>
      <c r="L2868">
        <v>0</v>
      </c>
    </row>
    <row r="2869" spans="1:12" x14ac:dyDescent="0.25">
      <c r="A2869">
        <f>80624618*0.00001</f>
        <v>806.24618000000009</v>
      </c>
      <c r="B2869">
        <v>3505</v>
      </c>
      <c r="C2869">
        <v>129</v>
      </c>
      <c r="D2869">
        <v>242.47</v>
      </c>
      <c r="E2869">
        <v>5202</v>
      </c>
      <c r="F2869" s="1">
        <f>1613</f>
        <v>1613</v>
      </c>
      <c r="G2869">
        <v>1</v>
      </c>
      <c r="H2869">
        <v>0.2</v>
      </c>
      <c r="I2869">
        <v>0</v>
      </c>
      <c r="J2869">
        <v>29.104099999999999</v>
      </c>
      <c r="K2869">
        <v>519.00800000000004</v>
      </c>
      <c r="L2869">
        <v>0</v>
      </c>
    </row>
    <row r="2870" spans="1:12" x14ac:dyDescent="0.25">
      <c r="A2870">
        <f>80624755*0.00001</f>
        <v>806.24755000000005</v>
      </c>
      <c r="B2870">
        <v>3505</v>
      </c>
      <c r="C2870">
        <v>130</v>
      </c>
      <c r="D2870">
        <v>242.47</v>
      </c>
      <c r="E2870">
        <v>5202</v>
      </c>
      <c r="F2870">
        <v>1613</v>
      </c>
      <c r="G2870">
        <v>1</v>
      </c>
      <c r="H2870" s="1">
        <f>0.2</f>
        <v>0.2</v>
      </c>
      <c r="I2870">
        <v>0</v>
      </c>
      <c r="J2870">
        <v>29.104099999999999</v>
      </c>
      <c r="K2870">
        <v>519.00800000000004</v>
      </c>
      <c r="L2870">
        <v>0</v>
      </c>
    </row>
    <row r="2871" spans="1:12" x14ac:dyDescent="0.25">
      <c r="A2871">
        <f>80624892*0.00001</f>
        <v>806.24892000000011</v>
      </c>
      <c r="B2871">
        <v>3505</v>
      </c>
      <c r="C2871">
        <v>131</v>
      </c>
      <c r="D2871">
        <v>242.47</v>
      </c>
      <c r="E2871">
        <v>5202</v>
      </c>
      <c r="F2871">
        <v>1613</v>
      </c>
      <c r="G2871">
        <v>1</v>
      </c>
      <c r="H2871">
        <v>0.2</v>
      </c>
      <c r="I2871">
        <v>0</v>
      </c>
      <c r="J2871" s="1">
        <f>29.4032</f>
        <v>29.403199999999998</v>
      </c>
      <c r="K2871">
        <v>519.00800000000004</v>
      </c>
      <c r="L2871">
        <v>0</v>
      </c>
    </row>
    <row r="2872" spans="1:12" x14ac:dyDescent="0.25">
      <c r="A2872">
        <f>80625029*0.00001</f>
        <v>806.25029000000006</v>
      </c>
      <c r="B2872">
        <v>3505</v>
      </c>
      <c r="C2872">
        <v>132</v>
      </c>
      <c r="D2872" s="1">
        <f>242.47</f>
        <v>242.47</v>
      </c>
      <c r="E2872" s="1">
        <f>5205</f>
        <v>5205</v>
      </c>
      <c r="F2872" s="1">
        <f>1613</f>
        <v>1613</v>
      </c>
      <c r="G2872" s="1">
        <f>1</f>
        <v>1</v>
      </c>
      <c r="H2872" s="1">
        <f>0.2</f>
        <v>0.2</v>
      </c>
      <c r="I2872" s="1">
        <f>0</f>
        <v>0</v>
      </c>
      <c r="J2872" s="1">
        <f>29.578</f>
        <v>29.577999999999999</v>
      </c>
      <c r="K2872" s="1">
        <f>519.081</f>
        <v>519.08100000000002</v>
      </c>
      <c r="L2872" s="1">
        <f>0</f>
        <v>0</v>
      </c>
    </row>
    <row r="2873" spans="1:12" x14ac:dyDescent="0.25">
      <c r="A2873">
        <f>80625988*0.00001</f>
        <v>806.25988000000007</v>
      </c>
      <c r="B2873">
        <v>3505</v>
      </c>
      <c r="C2873">
        <v>139</v>
      </c>
      <c r="D2873">
        <v>242.47</v>
      </c>
      <c r="E2873">
        <v>5205</v>
      </c>
      <c r="F2873">
        <v>1613</v>
      </c>
      <c r="G2873" s="1">
        <f>1</f>
        <v>1</v>
      </c>
      <c r="H2873" s="1">
        <f>0.2</f>
        <v>0.2</v>
      </c>
      <c r="I2873">
        <v>0</v>
      </c>
      <c r="J2873">
        <v>29.577999999999999</v>
      </c>
      <c r="K2873">
        <v>519.08100000000002</v>
      </c>
      <c r="L2873">
        <v>0</v>
      </c>
    </row>
    <row r="2874" spans="1:12" x14ac:dyDescent="0.25">
      <c r="A2874">
        <f>80626125*0.00001</f>
        <v>806.26125000000002</v>
      </c>
      <c r="B2874">
        <v>3505</v>
      </c>
      <c r="C2874">
        <v>140</v>
      </c>
      <c r="D2874">
        <v>242.47</v>
      </c>
      <c r="E2874">
        <v>5205</v>
      </c>
      <c r="F2874">
        <v>1613</v>
      </c>
      <c r="G2874">
        <v>1</v>
      </c>
      <c r="H2874">
        <v>0.2</v>
      </c>
      <c r="I2874" s="1">
        <f>0</f>
        <v>0</v>
      </c>
      <c r="J2874" s="1">
        <f>29.728</f>
        <v>29.728000000000002</v>
      </c>
      <c r="K2874">
        <v>519.08100000000002</v>
      </c>
      <c r="L2874">
        <v>0</v>
      </c>
    </row>
    <row r="2875" spans="1:12" x14ac:dyDescent="0.25">
      <c r="A2875">
        <f>80626262*0.00001</f>
        <v>806.26262000000008</v>
      </c>
      <c r="B2875">
        <v>3505</v>
      </c>
      <c r="C2875">
        <v>141</v>
      </c>
      <c r="D2875">
        <v>242.47</v>
      </c>
      <c r="E2875">
        <v>5205</v>
      </c>
      <c r="F2875">
        <v>1613</v>
      </c>
      <c r="G2875">
        <v>1</v>
      </c>
      <c r="H2875">
        <v>0.2</v>
      </c>
      <c r="I2875">
        <v>0</v>
      </c>
      <c r="J2875">
        <v>29.728000000000002</v>
      </c>
      <c r="K2875" s="1">
        <f>519.122</f>
        <v>519.12199999999996</v>
      </c>
      <c r="L2875" s="1">
        <f>0</f>
        <v>0</v>
      </c>
    </row>
    <row r="2876" spans="1:12" x14ac:dyDescent="0.25">
      <c r="A2876">
        <f>80626399*0.00001</f>
        <v>806.26399000000004</v>
      </c>
      <c r="B2876">
        <v>3505</v>
      </c>
      <c r="C2876">
        <v>142</v>
      </c>
      <c r="D2876" s="1">
        <f>242.47</f>
        <v>242.47</v>
      </c>
      <c r="E2876" s="1">
        <f>5206</f>
        <v>5206</v>
      </c>
      <c r="F2876">
        <v>1613</v>
      </c>
      <c r="G2876">
        <v>1</v>
      </c>
      <c r="H2876">
        <v>0.2</v>
      </c>
      <c r="I2876">
        <v>0</v>
      </c>
      <c r="J2876">
        <v>29.728000000000002</v>
      </c>
      <c r="K2876">
        <v>519.12199999999996</v>
      </c>
      <c r="L2876">
        <v>0</v>
      </c>
    </row>
    <row r="2877" spans="1:12" x14ac:dyDescent="0.25">
      <c r="A2877">
        <f>80626536*0.00001</f>
        <v>806.2653600000001</v>
      </c>
      <c r="B2877">
        <v>3505</v>
      </c>
      <c r="C2877">
        <v>143</v>
      </c>
      <c r="D2877">
        <v>242.47</v>
      </c>
      <c r="E2877">
        <v>5206</v>
      </c>
      <c r="F2877" s="1">
        <f>1613</f>
        <v>1613</v>
      </c>
      <c r="G2877" s="1">
        <f>1</f>
        <v>1</v>
      </c>
      <c r="H2877">
        <v>0.2</v>
      </c>
      <c r="I2877">
        <v>0</v>
      </c>
      <c r="J2877">
        <v>29.728000000000002</v>
      </c>
      <c r="K2877">
        <v>519.12199999999996</v>
      </c>
      <c r="L2877">
        <v>0</v>
      </c>
    </row>
    <row r="2878" spans="1:12" x14ac:dyDescent="0.25">
      <c r="A2878">
        <f>80626673*0.00001</f>
        <v>806.26673000000005</v>
      </c>
      <c r="B2878">
        <v>3505</v>
      </c>
      <c r="C2878">
        <v>144</v>
      </c>
      <c r="D2878">
        <v>242.47</v>
      </c>
      <c r="E2878">
        <v>5206</v>
      </c>
      <c r="F2878">
        <v>1613</v>
      </c>
      <c r="G2878">
        <v>1</v>
      </c>
      <c r="H2878" s="1">
        <f>0.2</f>
        <v>0.2</v>
      </c>
      <c r="I2878" s="1">
        <f>0</f>
        <v>0</v>
      </c>
      <c r="J2878">
        <v>29.728000000000002</v>
      </c>
      <c r="K2878">
        <v>519.12199999999996</v>
      </c>
      <c r="L2878">
        <v>0</v>
      </c>
    </row>
    <row r="2879" spans="1:12" x14ac:dyDescent="0.25">
      <c r="A2879">
        <f>80626810*0.00001</f>
        <v>806.26810000000012</v>
      </c>
      <c r="B2879">
        <v>3505</v>
      </c>
      <c r="C2879">
        <v>145</v>
      </c>
      <c r="D2879">
        <v>242.47</v>
      </c>
      <c r="E2879">
        <v>5206</v>
      </c>
      <c r="F2879">
        <v>1613</v>
      </c>
      <c r="G2879">
        <v>1</v>
      </c>
      <c r="H2879">
        <v>0.2</v>
      </c>
      <c r="I2879">
        <v>0</v>
      </c>
      <c r="J2879">
        <v>29.728000000000002</v>
      </c>
      <c r="K2879" s="1">
        <f>519.155</f>
        <v>519.15499999999997</v>
      </c>
      <c r="L2879">
        <v>0</v>
      </c>
    </row>
    <row r="2880" spans="1:12" x14ac:dyDescent="0.25">
      <c r="A2880">
        <f>80626946*0.00001</f>
        <v>806.26946000000009</v>
      </c>
      <c r="B2880">
        <v>3505</v>
      </c>
      <c r="C2880">
        <v>146</v>
      </c>
      <c r="D2880" s="1">
        <f>242.47</f>
        <v>242.47</v>
      </c>
      <c r="E2880">
        <v>5206</v>
      </c>
      <c r="F2880">
        <v>1613</v>
      </c>
      <c r="G2880">
        <v>1</v>
      </c>
      <c r="H2880">
        <v>0.2</v>
      </c>
      <c r="I2880">
        <v>0</v>
      </c>
      <c r="J2880">
        <v>29.728000000000002</v>
      </c>
      <c r="K2880">
        <v>519.15499999999997</v>
      </c>
      <c r="L2880">
        <v>0</v>
      </c>
    </row>
    <row r="2881" spans="1:12" x14ac:dyDescent="0.25">
      <c r="A2881">
        <f>80627083*0.00001</f>
        <v>806.27083000000005</v>
      </c>
      <c r="B2881">
        <v>3505</v>
      </c>
      <c r="C2881">
        <v>147</v>
      </c>
      <c r="D2881">
        <v>242.47</v>
      </c>
      <c r="E2881">
        <v>5206</v>
      </c>
      <c r="F2881" s="1">
        <f>1613</f>
        <v>1613</v>
      </c>
      <c r="G2881">
        <v>1</v>
      </c>
      <c r="H2881">
        <v>0.2</v>
      </c>
      <c r="I2881">
        <v>0</v>
      </c>
      <c r="J2881">
        <v>29.728000000000002</v>
      </c>
      <c r="K2881">
        <v>519.15499999999997</v>
      </c>
      <c r="L2881">
        <v>0</v>
      </c>
    </row>
    <row r="2882" spans="1:12" x14ac:dyDescent="0.25">
      <c r="A2882">
        <f>80627220*0.00001</f>
        <v>806.27220000000011</v>
      </c>
      <c r="B2882">
        <v>3505</v>
      </c>
      <c r="C2882">
        <v>148</v>
      </c>
      <c r="D2882">
        <v>242.47</v>
      </c>
      <c r="E2882">
        <v>5206</v>
      </c>
      <c r="F2882">
        <v>1613</v>
      </c>
      <c r="G2882">
        <v>1</v>
      </c>
      <c r="H2882" s="1">
        <f>0.2</f>
        <v>0.2</v>
      </c>
      <c r="I2882">
        <v>0</v>
      </c>
      <c r="J2882">
        <v>29.728000000000002</v>
      </c>
      <c r="K2882">
        <v>519.15499999999997</v>
      </c>
      <c r="L2882">
        <v>0</v>
      </c>
    </row>
    <row r="2883" spans="1:12" x14ac:dyDescent="0.25">
      <c r="A2883">
        <f>80627357*0.00001</f>
        <v>806.27357000000006</v>
      </c>
      <c r="B2883">
        <v>3505</v>
      </c>
      <c r="C2883">
        <v>149</v>
      </c>
      <c r="D2883">
        <v>242.47</v>
      </c>
      <c r="E2883">
        <v>5206</v>
      </c>
      <c r="F2883">
        <v>1613</v>
      </c>
      <c r="G2883">
        <v>1</v>
      </c>
      <c r="H2883">
        <v>0.2</v>
      </c>
      <c r="I2883">
        <v>0</v>
      </c>
      <c r="J2883" s="1">
        <f>30.0278</f>
        <v>30.027799999999999</v>
      </c>
      <c r="K2883">
        <v>519.15499999999997</v>
      </c>
      <c r="L2883">
        <v>0</v>
      </c>
    </row>
    <row r="2884" spans="1:12" x14ac:dyDescent="0.25">
      <c r="A2884">
        <f>80627494*0.00001</f>
        <v>806.27494000000002</v>
      </c>
      <c r="B2884">
        <v>3505</v>
      </c>
      <c r="C2884">
        <v>150</v>
      </c>
      <c r="D2884" s="1">
        <f>242.47</f>
        <v>242.47</v>
      </c>
      <c r="E2884" s="1">
        <f>5209</f>
        <v>5209</v>
      </c>
      <c r="F2884" s="1">
        <f>1613</f>
        <v>1613</v>
      </c>
      <c r="G2884" s="1">
        <f>1</f>
        <v>1</v>
      </c>
      <c r="H2884" s="1">
        <f>0.2</f>
        <v>0.2</v>
      </c>
      <c r="I2884" s="1">
        <f>0</f>
        <v>0</v>
      </c>
      <c r="J2884" s="1">
        <f>30.1776</f>
        <v>30.177600000000002</v>
      </c>
      <c r="K2884" s="1">
        <f>519.229</f>
        <v>519.22900000000004</v>
      </c>
      <c r="L2884" s="1">
        <f>0</f>
        <v>0</v>
      </c>
    </row>
    <row r="2885" spans="1:12" x14ac:dyDescent="0.25">
      <c r="A2885">
        <f>80628453*0.00001</f>
        <v>806.28453000000002</v>
      </c>
      <c r="B2885">
        <v>3505</v>
      </c>
      <c r="C2885">
        <v>157</v>
      </c>
      <c r="D2885">
        <v>242.47</v>
      </c>
      <c r="E2885">
        <v>5209</v>
      </c>
      <c r="F2885">
        <v>1613</v>
      </c>
      <c r="G2885">
        <v>1</v>
      </c>
      <c r="H2885" s="1">
        <f>0.2</f>
        <v>0.2</v>
      </c>
      <c r="I2885" s="1">
        <f>0</f>
        <v>0</v>
      </c>
      <c r="J2885">
        <v>30.177600000000002</v>
      </c>
      <c r="K2885">
        <v>519.22900000000004</v>
      </c>
      <c r="L2885">
        <v>0</v>
      </c>
    </row>
    <row r="2886" spans="1:12" x14ac:dyDescent="0.25">
      <c r="A2886">
        <f>80628590*0.00001</f>
        <v>806.28590000000008</v>
      </c>
      <c r="B2886">
        <v>3505</v>
      </c>
      <c r="C2886">
        <v>158</v>
      </c>
      <c r="D2886">
        <v>242.47</v>
      </c>
      <c r="E2886">
        <v>5209</v>
      </c>
      <c r="F2886">
        <v>1613</v>
      </c>
      <c r="G2886">
        <v>1</v>
      </c>
      <c r="H2886">
        <v>0.2</v>
      </c>
      <c r="I2886">
        <v>0</v>
      </c>
      <c r="J2886" s="1">
        <f>30.3277</f>
        <v>30.3277</v>
      </c>
      <c r="K2886" s="1">
        <f>519.263</f>
        <v>519.26300000000003</v>
      </c>
      <c r="L2886">
        <v>0</v>
      </c>
    </row>
    <row r="2887" spans="1:12" x14ac:dyDescent="0.25">
      <c r="A2887">
        <f>80628727*0.00001</f>
        <v>806.28727000000003</v>
      </c>
      <c r="B2887">
        <v>3505</v>
      </c>
      <c r="C2887">
        <v>159</v>
      </c>
      <c r="D2887" s="1">
        <f>242.47</f>
        <v>242.47</v>
      </c>
      <c r="E2887">
        <v>5209</v>
      </c>
      <c r="F2887">
        <v>1613</v>
      </c>
      <c r="G2887">
        <v>1</v>
      </c>
      <c r="H2887">
        <v>0.2</v>
      </c>
      <c r="I2887">
        <v>0</v>
      </c>
      <c r="J2887">
        <v>30.3277</v>
      </c>
      <c r="K2887">
        <v>519.26300000000003</v>
      </c>
      <c r="L2887" s="1">
        <f>0</f>
        <v>0</v>
      </c>
    </row>
    <row r="2888" spans="1:12" x14ac:dyDescent="0.25">
      <c r="A2888">
        <f>80628863*0.00001</f>
        <v>806.28863000000001</v>
      </c>
      <c r="B2888">
        <v>3505</v>
      </c>
      <c r="C2888">
        <v>160</v>
      </c>
      <c r="D2888">
        <v>242.47</v>
      </c>
      <c r="E2888" s="1">
        <f>5210</f>
        <v>5210</v>
      </c>
      <c r="F2888" s="1">
        <f>1614</f>
        <v>1614</v>
      </c>
      <c r="G2888">
        <v>1</v>
      </c>
      <c r="H2888">
        <v>0.2</v>
      </c>
      <c r="I2888">
        <v>0</v>
      </c>
      <c r="J2888">
        <v>30.3277</v>
      </c>
      <c r="K2888">
        <v>519.26300000000003</v>
      </c>
      <c r="L2888">
        <v>0</v>
      </c>
    </row>
    <row r="2889" spans="1:12" x14ac:dyDescent="0.25">
      <c r="A2889">
        <f>80629000*0.00001</f>
        <v>806.29000000000008</v>
      </c>
      <c r="B2889">
        <v>3505</v>
      </c>
      <c r="C2889">
        <v>161</v>
      </c>
      <c r="D2889">
        <v>242.47</v>
      </c>
      <c r="E2889">
        <v>5210</v>
      </c>
      <c r="F2889">
        <v>1614</v>
      </c>
      <c r="G2889" s="1">
        <f>1</f>
        <v>1</v>
      </c>
      <c r="H2889" s="1">
        <f>0.2</f>
        <v>0.2</v>
      </c>
      <c r="I2889">
        <v>0</v>
      </c>
      <c r="J2889">
        <v>30.3277</v>
      </c>
      <c r="K2889">
        <v>519.26300000000003</v>
      </c>
      <c r="L2889">
        <v>0</v>
      </c>
    </row>
    <row r="2890" spans="1:12" x14ac:dyDescent="0.25">
      <c r="A2890">
        <f>80629137*0.00001</f>
        <v>806.29137000000003</v>
      </c>
      <c r="B2890">
        <v>3505</v>
      </c>
      <c r="C2890">
        <v>162</v>
      </c>
      <c r="D2890">
        <v>242.47</v>
      </c>
      <c r="E2890">
        <v>5210</v>
      </c>
      <c r="F2890">
        <v>1614</v>
      </c>
      <c r="G2890">
        <v>1</v>
      </c>
      <c r="H2890">
        <v>0.2</v>
      </c>
      <c r="I2890" s="1">
        <f>0</f>
        <v>0</v>
      </c>
      <c r="J2890" s="1">
        <f>30.4777</f>
        <v>30.477699999999999</v>
      </c>
      <c r="K2890">
        <v>519.26300000000003</v>
      </c>
      <c r="L2890">
        <v>0</v>
      </c>
    </row>
    <row r="2891" spans="1:12" x14ac:dyDescent="0.25">
      <c r="A2891">
        <f>80629273*0.00001</f>
        <v>806.29273000000012</v>
      </c>
      <c r="B2891">
        <v>3505</v>
      </c>
      <c r="C2891">
        <v>163</v>
      </c>
      <c r="D2891">
        <v>242.47</v>
      </c>
      <c r="E2891">
        <v>5210</v>
      </c>
      <c r="F2891">
        <v>1614</v>
      </c>
      <c r="G2891">
        <v>1</v>
      </c>
      <c r="H2891">
        <v>0.2</v>
      </c>
      <c r="I2891">
        <v>0</v>
      </c>
      <c r="J2891">
        <v>30.477699999999999</v>
      </c>
      <c r="K2891">
        <v>519.26300000000003</v>
      </c>
      <c r="L2891" s="1">
        <f>0</f>
        <v>0</v>
      </c>
    </row>
    <row r="2892" spans="1:12" x14ac:dyDescent="0.25">
      <c r="A2892">
        <f>80629410*0.00001</f>
        <v>806.29410000000007</v>
      </c>
      <c r="B2892">
        <v>3505</v>
      </c>
      <c r="C2892">
        <v>164</v>
      </c>
      <c r="D2892">
        <v>242.47</v>
      </c>
      <c r="E2892" s="1">
        <f>5211</f>
        <v>5211</v>
      </c>
      <c r="F2892">
        <v>1614</v>
      </c>
      <c r="G2892">
        <v>1</v>
      </c>
      <c r="H2892">
        <v>0.2</v>
      </c>
      <c r="I2892">
        <v>0</v>
      </c>
      <c r="J2892">
        <v>30.477699999999999</v>
      </c>
      <c r="K2892">
        <v>519.26300000000003</v>
      </c>
      <c r="L2892">
        <v>0</v>
      </c>
    </row>
    <row r="2893" spans="1:12" x14ac:dyDescent="0.25">
      <c r="A2893">
        <f>80629547*0.00001</f>
        <v>806.29547000000002</v>
      </c>
      <c r="B2893">
        <v>3505</v>
      </c>
      <c r="C2893">
        <v>165</v>
      </c>
      <c r="D2893">
        <v>242.47</v>
      </c>
      <c r="E2893">
        <v>5211</v>
      </c>
      <c r="F2893">
        <v>1614</v>
      </c>
      <c r="G2893" s="1">
        <f>1</f>
        <v>1</v>
      </c>
      <c r="H2893">
        <v>0.2</v>
      </c>
      <c r="I2893">
        <v>0</v>
      </c>
      <c r="J2893">
        <v>30.477699999999999</v>
      </c>
      <c r="K2893">
        <v>519.26300000000003</v>
      </c>
      <c r="L2893">
        <v>0</v>
      </c>
    </row>
    <row r="2894" spans="1:12" x14ac:dyDescent="0.25">
      <c r="A2894">
        <f>80629684*0.00001</f>
        <v>806.29684000000009</v>
      </c>
      <c r="B2894">
        <v>3505</v>
      </c>
      <c r="C2894">
        <v>166</v>
      </c>
      <c r="D2894">
        <v>242.47</v>
      </c>
      <c r="E2894">
        <v>5211</v>
      </c>
      <c r="F2894">
        <v>1614</v>
      </c>
      <c r="G2894">
        <v>1</v>
      </c>
      <c r="H2894">
        <v>0.2</v>
      </c>
      <c r="I2894" s="1">
        <f>0</f>
        <v>0</v>
      </c>
      <c r="J2894">
        <v>30.477699999999999</v>
      </c>
      <c r="K2894">
        <v>519.26300000000003</v>
      </c>
      <c r="L2894">
        <v>0</v>
      </c>
    </row>
    <row r="2895" spans="1:12" x14ac:dyDescent="0.25">
      <c r="A2895">
        <f>80629821*0.00001</f>
        <v>806.29821000000004</v>
      </c>
      <c r="B2895">
        <v>3505</v>
      </c>
      <c r="C2895">
        <v>167</v>
      </c>
      <c r="D2895">
        <v>242.47</v>
      </c>
      <c r="E2895">
        <v>5211</v>
      </c>
      <c r="F2895">
        <v>1614</v>
      </c>
      <c r="G2895">
        <v>1</v>
      </c>
      <c r="H2895">
        <v>0.2</v>
      </c>
      <c r="I2895">
        <v>0</v>
      </c>
      <c r="J2895">
        <v>30.477699999999999</v>
      </c>
      <c r="K2895" s="1">
        <f>519.338</f>
        <v>519.33799999999997</v>
      </c>
      <c r="L2895">
        <v>0</v>
      </c>
    </row>
    <row r="2896" spans="1:12" x14ac:dyDescent="0.25">
      <c r="A2896">
        <f>80629958*0.00001</f>
        <v>806.29958000000011</v>
      </c>
      <c r="B2896">
        <v>3505</v>
      </c>
      <c r="C2896">
        <v>168</v>
      </c>
      <c r="D2896" s="1">
        <f>242.47</f>
        <v>242.47</v>
      </c>
      <c r="E2896" s="1">
        <f>5213</f>
        <v>5213</v>
      </c>
      <c r="F2896" s="1">
        <f>1614</f>
        <v>1614</v>
      </c>
      <c r="G2896" s="1">
        <f>1</f>
        <v>1</v>
      </c>
      <c r="H2896" s="1">
        <f>0.2</f>
        <v>0.2</v>
      </c>
      <c r="I2896" s="1">
        <f>0</f>
        <v>0</v>
      </c>
      <c r="J2896" s="1">
        <f>30.779</f>
        <v>30.779</v>
      </c>
      <c r="K2896" s="1">
        <f>519.372</f>
        <v>519.37199999999996</v>
      </c>
      <c r="L2896" s="1">
        <f>0</f>
        <v>0</v>
      </c>
    </row>
    <row r="2897" spans="1:12" x14ac:dyDescent="0.25">
      <c r="A2897">
        <f>80630917*0.00001</f>
        <v>806.30917000000011</v>
      </c>
      <c r="B2897">
        <v>3505</v>
      </c>
      <c r="C2897">
        <v>175</v>
      </c>
      <c r="D2897">
        <v>242.47</v>
      </c>
      <c r="E2897">
        <v>5213</v>
      </c>
      <c r="F2897">
        <v>1614</v>
      </c>
      <c r="G2897">
        <v>1</v>
      </c>
      <c r="H2897">
        <v>0.2</v>
      </c>
      <c r="I2897" s="1">
        <f>0</f>
        <v>0</v>
      </c>
      <c r="J2897" s="1">
        <f>30.9296</f>
        <v>30.929600000000001</v>
      </c>
      <c r="K2897">
        <v>519.37199999999996</v>
      </c>
      <c r="L2897">
        <v>0</v>
      </c>
    </row>
    <row r="2898" spans="1:12" x14ac:dyDescent="0.25">
      <c r="A2898">
        <f>80631054*0.00001</f>
        <v>806.31054000000006</v>
      </c>
      <c r="B2898">
        <v>3505</v>
      </c>
      <c r="C2898">
        <v>176</v>
      </c>
      <c r="D2898">
        <v>242.47</v>
      </c>
      <c r="E2898">
        <v>5213</v>
      </c>
      <c r="F2898">
        <v>1614</v>
      </c>
      <c r="G2898">
        <v>1</v>
      </c>
      <c r="H2898">
        <v>0.2</v>
      </c>
      <c r="I2898">
        <v>0</v>
      </c>
      <c r="J2898">
        <v>30.929600000000001</v>
      </c>
      <c r="K2898" s="1">
        <f>519.414</f>
        <v>519.41399999999999</v>
      </c>
      <c r="L2898" s="1">
        <f>0</f>
        <v>0</v>
      </c>
    </row>
    <row r="2899" spans="1:12" x14ac:dyDescent="0.25">
      <c r="A2899">
        <f>80631191*0.00001</f>
        <v>806.31191000000001</v>
      </c>
      <c r="B2899">
        <v>3505</v>
      </c>
      <c r="C2899">
        <v>177</v>
      </c>
      <c r="D2899" s="1">
        <f>242.47</f>
        <v>242.47</v>
      </c>
      <c r="E2899" s="1">
        <f>5214</f>
        <v>5214</v>
      </c>
      <c r="F2899">
        <v>1614</v>
      </c>
      <c r="G2899">
        <v>1</v>
      </c>
      <c r="H2899">
        <v>0.2</v>
      </c>
      <c r="I2899">
        <v>0</v>
      </c>
      <c r="J2899">
        <v>30.929600000000001</v>
      </c>
      <c r="K2899">
        <v>519.41399999999999</v>
      </c>
      <c r="L2899">
        <v>0</v>
      </c>
    </row>
    <row r="2900" spans="1:12" x14ac:dyDescent="0.25">
      <c r="A2900">
        <f>80631328*0.00001</f>
        <v>806.31328000000008</v>
      </c>
      <c r="B2900">
        <v>3505</v>
      </c>
      <c r="C2900">
        <v>178</v>
      </c>
      <c r="D2900">
        <v>242.47</v>
      </c>
      <c r="E2900">
        <v>5214</v>
      </c>
      <c r="F2900" s="1">
        <f>1614</f>
        <v>1614</v>
      </c>
      <c r="G2900" s="1">
        <f>1</f>
        <v>1</v>
      </c>
      <c r="H2900" s="1">
        <f>0.2</f>
        <v>0.2</v>
      </c>
      <c r="I2900" s="1">
        <f>0</f>
        <v>0</v>
      </c>
      <c r="J2900">
        <v>30.929600000000001</v>
      </c>
      <c r="K2900">
        <v>519.41399999999999</v>
      </c>
      <c r="L2900">
        <v>0</v>
      </c>
    </row>
    <row r="2901" spans="1:12" s="2" customFormat="1" x14ac:dyDescent="0.25">
      <c r="A2901" s="2">
        <f>80631602*0.00001</f>
        <v>806.31602000000009</v>
      </c>
      <c r="B2901" s="2">
        <v>3506</v>
      </c>
      <c r="C2901" s="2">
        <v>0</v>
      </c>
      <c r="D2901" s="2">
        <v>242.47</v>
      </c>
      <c r="E2901" s="2">
        <v>5214</v>
      </c>
      <c r="F2901" s="2">
        <v>1614</v>
      </c>
      <c r="G2901" s="2">
        <v>1</v>
      </c>
      <c r="H2901" s="2">
        <v>0.2</v>
      </c>
      <c r="I2901" s="2">
        <v>0</v>
      </c>
      <c r="J2901" s="1">
        <f>31.0338</f>
        <v>31.033799999999999</v>
      </c>
      <c r="K2901" s="1">
        <f>519.431</f>
        <v>519.43100000000004</v>
      </c>
      <c r="L2901" s="2">
        <v>0</v>
      </c>
    </row>
    <row r="2902" spans="1:12" x14ac:dyDescent="0.25">
      <c r="A2902">
        <f>80631740*0.00001</f>
        <v>806.31740000000002</v>
      </c>
      <c r="B2902">
        <v>3506</v>
      </c>
      <c r="C2902">
        <v>1</v>
      </c>
      <c r="D2902" s="1">
        <f>242.464</f>
        <v>242.464</v>
      </c>
      <c r="E2902">
        <v>5214</v>
      </c>
      <c r="F2902">
        <v>1614</v>
      </c>
      <c r="G2902">
        <v>1</v>
      </c>
      <c r="H2902">
        <v>0.2</v>
      </c>
      <c r="I2902">
        <v>0</v>
      </c>
      <c r="J2902">
        <v>31.033799999999999</v>
      </c>
      <c r="K2902">
        <v>519.43100000000004</v>
      </c>
      <c r="L2902">
        <v>0</v>
      </c>
    </row>
    <row r="2903" spans="1:12" x14ac:dyDescent="0.25">
      <c r="A2903">
        <f>80631877*0.00001</f>
        <v>806.31877000000009</v>
      </c>
      <c r="B2903">
        <v>3506</v>
      </c>
      <c r="C2903">
        <v>2</v>
      </c>
      <c r="D2903">
        <v>242.464</v>
      </c>
      <c r="E2903">
        <v>5214</v>
      </c>
      <c r="F2903" s="1">
        <f>1614</f>
        <v>1614</v>
      </c>
      <c r="G2903">
        <v>1</v>
      </c>
      <c r="H2903">
        <v>0.2</v>
      </c>
      <c r="I2903">
        <v>0</v>
      </c>
      <c r="J2903">
        <v>31.033799999999999</v>
      </c>
      <c r="K2903">
        <v>519.43100000000004</v>
      </c>
      <c r="L2903">
        <v>0</v>
      </c>
    </row>
    <row r="2904" spans="1:12" x14ac:dyDescent="0.25">
      <c r="A2904">
        <f>80632014*0.00001</f>
        <v>806.32014000000004</v>
      </c>
      <c r="B2904">
        <v>3506</v>
      </c>
      <c r="C2904">
        <v>3</v>
      </c>
      <c r="D2904">
        <v>242.464</v>
      </c>
      <c r="E2904">
        <v>5214</v>
      </c>
      <c r="F2904">
        <v>1614</v>
      </c>
      <c r="G2904">
        <v>1</v>
      </c>
      <c r="H2904" s="1">
        <f>0.2</f>
        <v>0.2</v>
      </c>
      <c r="I2904">
        <v>0</v>
      </c>
      <c r="J2904">
        <v>31.033799999999999</v>
      </c>
      <c r="K2904">
        <v>519.43100000000004</v>
      </c>
      <c r="L2904">
        <v>0</v>
      </c>
    </row>
    <row r="2905" spans="1:12" x14ac:dyDescent="0.25">
      <c r="A2905">
        <f>80632151*0.00001</f>
        <v>806.3215100000001</v>
      </c>
      <c r="B2905">
        <v>3506</v>
      </c>
      <c r="C2905">
        <v>4</v>
      </c>
      <c r="D2905">
        <v>242.464</v>
      </c>
      <c r="E2905">
        <v>5214</v>
      </c>
      <c r="F2905">
        <v>1614</v>
      </c>
      <c r="G2905">
        <v>1</v>
      </c>
      <c r="H2905">
        <v>0.2</v>
      </c>
      <c r="I2905">
        <v>0</v>
      </c>
      <c r="J2905" s="1">
        <f>31.2329</f>
        <v>31.232900000000001</v>
      </c>
      <c r="K2905">
        <v>519.43100000000004</v>
      </c>
      <c r="L2905">
        <v>0</v>
      </c>
    </row>
    <row r="2906" spans="1:12" x14ac:dyDescent="0.25">
      <c r="A2906">
        <f>80632288*0.00001</f>
        <v>806.32288000000005</v>
      </c>
      <c r="B2906">
        <v>3506</v>
      </c>
      <c r="C2906">
        <v>5</v>
      </c>
      <c r="D2906">
        <v>242.464</v>
      </c>
      <c r="E2906">
        <v>5214</v>
      </c>
      <c r="F2906">
        <v>1614</v>
      </c>
      <c r="G2906">
        <v>1</v>
      </c>
      <c r="H2906">
        <v>0.2</v>
      </c>
      <c r="I2906">
        <v>0</v>
      </c>
      <c r="J2906">
        <v>31.232900000000001</v>
      </c>
      <c r="K2906">
        <v>519.43100000000004</v>
      </c>
      <c r="L2906" s="1">
        <f>0</f>
        <v>0</v>
      </c>
    </row>
    <row r="2907" spans="1:12" x14ac:dyDescent="0.25">
      <c r="A2907">
        <f>80632425*0.00001</f>
        <v>806.32425000000012</v>
      </c>
      <c r="B2907">
        <v>3506</v>
      </c>
      <c r="C2907">
        <v>6</v>
      </c>
      <c r="D2907" s="1">
        <f>242.466</f>
        <v>242.46600000000001</v>
      </c>
      <c r="E2907" s="1">
        <f>5218</f>
        <v>5218</v>
      </c>
      <c r="F2907" s="1">
        <f>1614</f>
        <v>1614</v>
      </c>
      <c r="G2907" s="1">
        <f>1</f>
        <v>1</v>
      </c>
      <c r="H2907" s="1">
        <f>0.2</f>
        <v>0.2</v>
      </c>
      <c r="I2907" s="1">
        <f>0</f>
        <v>0</v>
      </c>
      <c r="J2907" s="1">
        <f>31.4064</f>
        <v>31.406400000000001</v>
      </c>
      <c r="K2907" s="1">
        <f>519.509</f>
        <v>519.50900000000001</v>
      </c>
      <c r="L2907" s="1">
        <f>0</f>
        <v>0</v>
      </c>
    </row>
    <row r="2908" spans="1:12" x14ac:dyDescent="0.25">
      <c r="A2908">
        <f>80633384*0.00001</f>
        <v>806.33384000000001</v>
      </c>
      <c r="B2908">
        <v>3506</v>
      </c>
      <c r="C2908">
        <v>13</v>
      </c>
      <c r="D2908">
        <v>242.46600000000001</v>
      </c>
      <c r="E2908">
        <v>5218</v>
      </c>
      <c r="F2908">
        <v>1614</v>
      </c>
      <c r="G2908">
        <v>1</v>
      </c>
      <c r="H2908">
        <v>0.2</v>
      </c>
      <c r="I2908" s="1">
        <f>0</f>
        <v>0</v>
      </c>
      <c r="J2908" s="1">
        <f>31.5307</f>
        <v>31.5307</v>
      </c>
      <c r="K2908">
        <v>519.50900000000001</v>
      </c>
      <c r="L2908">
        <v>0</v>
      </c>
    </row>
    <row r="2909" spans="1:12" x14ac:dyDescent="0.25">
      <c r="A2909">
        <f>80633521*0.00001</f>
        <v>806.33521000000007</v>
      </c>
      <c r="B2909">
        <v>3506</v>
      </c>
      <c r="C2909">
        <v>14</v>
      </c>
      <c r="D2909">
        <v>242.46600000000001</v>
      </c>
      <c r="E2909">
        <v>5218</v>
      </c>
      <c r="F2909">
        <v>1614</v>
      </c>
      <c r="G2909">
        <v>1</v>
      </c>
      <c r="H2909">
        <v>0.2</v>
      </c>
      <c r="I2909">
        <v>0</v>
      </c>
      <c r="J2909">
        <v>31.5307</v>
      </c>
      <c r="K2909" s="1">
        <f>519.552</f>
        <v>519.55200000000002</v>
      </c>
      <c r="L2909" s="1">
        <f>0</f>
        <v>0</v>
      </c>
    </row>
    <row r="2910" spans="1:12" x14ac:dyDescent="0.25">
      <c r="A2910">
        <f>80633658*0.00001</f>
        <v>806.33658000000003</v>
      </c>
      <c r="B2910">
        <v>3506</v>
      </c>
      <c r="C2910">
        <v>15</v>
      </c>
      <c r="D2910" s="1">
        <f>242.467</f>
        <v>242.46700000000001</v>
      </c>
      <c r="E2910" s="1">
        <f>5219</f>
        <v>5219</v>
      </c>
      <c r="F2910">
        <v>1614</v>
      </c>
      <c r="G2910">
        <v>1</v>
      </c>
      <c r="H2910">
        <v>0.2</v>
      </c>
      <c r="I2910">
        <v>0</v>
      </c>
      <c r="J2910">
        <v>31.5307</v>
      </c>
      <c r="K2910">
        <v>519.55200000000002</v>
      </c>
      <c r="L2910">
        <v>0</v>
      </c>
    </row>
    <row r="2911" spans="1:12" x14ac:dyDescent="0.25">
      <c r="A2911">
        <f>80633795*0.00001</f>
        <v>806.33795000000009</v>
      </c>
      <c r="B2911">
        <v>3506</v>
      </c>
      <c r="C2911">
        <v>16</v>
      </c>
      <c r="D2911">
        <v>242.46700000000001</v>
      </c>
      <c r="E2911">
        <v>5219</v>
      </c>
      <c r="F2911" s="1">
        <f>1614</f>
        <v>1614</v>
      </c>
      <c r="G2911" s="1">
        <f>1</f>
        <v>1</v>
      </c>
      <c r="H2911">
        <v>0.2</v>
      </c>
      <c r="I2911">
        <v>0</v>
      </c>
      <c r="J2911">
        <v>31.5307</v>
      </c>
      <c r="K2911">
        <v>519.55200000000002</v>
      </c>
      <c r="L2911">
        <v>0</v>
      </c>
    </row>
    <row r="2912" spans="1:12" x14ac:dyDescent="0.25">
      <c r="A2912">
        <f>80633932*0.00001</f>
        <v>806.33932000000004</v>
      </c>
      <c r="B2912">
        <v>3506</v>
      </c>
      <c r="C2912">
        <v>17</v>
      </c>
      <c r="D2912">
        <v>242.46700000000001</v>
      </c>
      <c r="E2912">
        <v>5219</v>
      </c>
      <c r="F2912">
        <v>1614</v>
      </c>
      <c r="G2912">
        <v>1</v>
      </c>
      <c r="H2912" s="1">
        <f>0.2</f>
        <v>0.2</v>
      </c>
      <c r="I2912" s="1">
        <f>0</f>
        <v>0</v>
      </c>
      <c r="J2912">
        <v>31.5307</v>
      </c>
      <c r="K2912">
        <v>519.55200000000002</v>
      </c>
      <c r="L2912">
        <v>0</v>
      </c>
    </row>
    <row r="2913" spans="1:12" x14ac:dyDescent="0.25">
      <c r="A2913">
        <f>80634069*0.00001</f>
        <v>806.34069000000011</v>
      </c>
      <c r="B2913">
        <v>3506</v>
      </c>
      <c r="C2913">
        <v>18</v>
      </c>
      <c r="D2913">
        <v>242.46700000000001</v>
      </c>
      <c r="E2913">
        <v>5219</v>
      </c>
      <c r="F2913">
        <v>1614</v>
      </c>
      <c r="G2913">
        <v>1</v>
      </c>
      <c r="H2913">
        <v>0.2</v>
      </c>
      <c r="I2913">
        <v>0</v>
      </c>
      <c r="J2913">
        <v>31.5307</v>
      </c>
      <c r="K2913" s="1">
        <f>519.587</f>
        <v>519.58699999999999</v>
      </c>
      <c r="L2913">
        <v>0</v>
      </c>
    </row>
    <row r="2914" spans="1:12" x14ac:dyDescent="0.25">
      <c r="A2914">
        <f>80634205*0.00001</f>
        <v>806.34205000000009</v>
      </c>
      <c r="B2914">
        <v>3506</v>
      </c>
      <c r="C2914">
        <v>19</v>
      </c>
      <c r="D2914" s="1">
        <f>242.462</f>
        <v>242.46199999999999</v>
      </c>
      <c r="E2914">
        <v>5219</v>
      </c>
      <c r="F2914">
        <v>1614</v>
      </c>
      <c r="G2914">
        <v>1</v>
      </c>
      <c r="H2914">
        <v>0.2</v>
      </c>
      <c r="I2914">
        <v>0</v>
      </c>
      <c r="J2914">
        <v>31.5307</v>
      </c>
      <c r="K2914">
        <v>519.58699999999999</v>
      </c>
      <c r="L2914">
        <v>0</v>
      </c>
    </row>
    <row r="2915" spans="1:12" x14ac:dyDescent="0.25">
      <c r="A2915">
        <f>80634342*0.00001</f>
        <v>806.34342000000004</v>
      </c>
      <c r="B2915">
        <v>3506</v>
      </c>
      <c r="C2915">
        <v>20</v>
      </c>
      <c r="D2915">
        <v>242.46199999999999</v>
      </c>
      <c r="E2915">
        <v>5219</v>
      </c>
      <c r="F2915" s="1">
        <f>1614</f>
        <v>1614</v>
      </c>
      <c r="G2915">
        <v>1</v>
      </c>
      <c r="H2915">
        <v>0.2</v>
      </c>
      <c r="I2915">
        <v>0</v>
      </c>
      <c r="J2915">
        <v>31.5307</v>
      </c>
      <c r="K2915">
        <v>519.58699999999999</v>
      </c>
      <c r="L2915">
        <v>0</v>
      </c>
    </row>
    <row r="2916" spans="1:12" x14ac:dyDescent="0.25">
      <c r="A2916">
        <f>80634479*0.00001</f>
        <v>806.3447900000001</v>
      </c>
      <c r="B2916">
        <v>3506</v>
      </c>
      <c r="C2916">
        <v>21</v>
      </c>
      <c r="D2916">
        <v>242.46199999999999</v>
      </c>
      <c r="E2916">
        <v>5219</v>
      </c>
      <c r="F2916">
        <v>1614</v>
      </c>
      <c r="G2916">
        <v>1</v>
      </c>
      <c r="H2916" s="1">
        <f>0.2</f>
        <v>0.2</v>
      </c>
      <c r="I2916">
        <v>0</v>
      </c>
      <c r="J2916">
        <v>31.5307</v>
      </c>
      <c r="K2916">
        <v>519.58699999999999</v>
      </c>
      <c r="L2916">
        <v>0</v>
      </c>
    </row>
    <row r="2917" spans="1:12" x14ac:dyDescent="0.25">
      <c r="A2917">
        <f>80634616*0.00001</f>
        <v>806.34616000000005</v>
      </c>
      <c r="B2917">
        <v>3506</v>
      </c>
      <c r="C2917">
        <v>22</v>
      </c>
      <c r="D2917">
        <v>242.46199999999999</v>
      </c>
      <c r="E2917">
        <v>5219</v>
      </c>
      <c r="F2917">
        <v>1614</v>
      </c>
      <c r="G2917">
        <v>1</v>
      </c>
      <c r="H2917">
        <v>0.2</v>
      </c>
      <c r="I2917">
        <v>0</v>
      </c>
      <c r="J2917" s="1">
        <f>31.8543</f>
        <v>31.854299999999999</v>
      </c>
      <c r="K2917">
        <v>519.58699999999999</v>
      </c>
      <c r="L2917">
        <v>0</v>
      </c>
    </row>
    <row r="2918" spans="1:12" x14ac:dyDescent="0.25">
      <c r="A2918">
        <f>80634753*0.00001</f>
        <v>806.34753000000012</v>
      </c>
      <c r="B2918">
        <v>3506</v>
      </c>
      <c r="C2918">
        <v>23</v>
      </c>
      <c r="D2918">
        <v>242.46199999999999</v>
      </c>
      <c r="E2918">
        <v>5219</v>
      </c>
      <c r="F2918">
        <v>1614</v>
      </c>
      <c r="G2918">
        <v>1</v>
      </c>
      <c r="H2918">
        <v>0.2</v>
      </c>
      <c r="I2918">
        <v>0</v>
      </c>
      <c r="J2918">
        <v>31.854299999999999</v>
      </c>
      <c r="K2918">
        <v>519.58699999999999</v>
      </c>
      <c r="L2918" s="1">
        <f>0</f>
        <v>0</v>
      </c>
    </row>
    <row r="2919" spans="1:12" x14ac:dyDescent="0.25">
      <c r="A2919">
        <f>80634890*0.00001</f>
        <v>806.34890000000007</v>
      </c>
      <c r="B2919">
        <v>3506</v>
      </c>
      <c r="C2919">
        <v>24</v>
      </c>
      <c r="D2919" s="1">
        <f>242.469</f>
        <v>242.46899999999999</v>
      </c>
      <c r="E2919" s="1">
        <f>5222</f>
        <v>5222</v>
      </c>
      <c r="F2919" s="1">
        <f>1614</f>
        <v>1614</v>
      </c>
      <c r="G2919" s="1">
        <f>1</f>
        <v>1</v>
      </c>
      <c r="H2919" s="1">
        <f>0.2</f>
        <v>0.2</v>
      </c>
      <c r="I2919" s="1">
        <f>0</f>
        <v>0</v>
      </c>
      <c r="J2919" s="1">
        <f>31.979</f>
        <v>31.978999999999999</v>
      </c>
      <c r="K2919" s="1">
        <f>519.666</f>
        <v>519.66600000000005</v>
      </c>
      <c r="L2919" s="1">
        <f>0</f>
        <v>0</v>
      </c>
    </row>
    <row r="2920" spans="1:12" x14ac:dyDescent="0.25">
      <c r="A2920">
        <f>80635849*0.00001</f>
        <v>806.35849000000007</v>
      </c>
      <c r="B2920">
        <v>3506</v>
      </c>
      <c r="C2920">
        <v>31</v>
      </c>
      <c r="D2920">
        <v>242.46899999999999</v>
      </c>
      <c r="E2920">
        <v>5222</v>
      </c>
      <c r="F2920">
        <v>1614</v>
      </c>
      <c r="G2920">
        <v>1</v>
      </c>
      <c r="H2920">
        <v>0.2</v>
      </c>
      <c r="I2920">
        <v>0</v>
      </c>
      <c r="J2920" s="1">
        <f>32.1537</f>
        <v>32.153700000000001</v>
      </c>
      <c r="K2920" s="1">
        <f>519.701</f>
        <v>519.70100000000002</v>
      </c>
      <c r="L2920">
        <v>0</v>
      </c>
    </row>
    <row r="2921" spans="1:12" x14ac:dyDescent="0.25">
      <c r="A2921">
        <f>80635986*0.00001</f>
        <v>806.35986000000003</v>
      </c>
      <c r="B2921">
        <v>3506</v>
      </c>
      <c r="C2921">
        <v>32</v>
      </c>
      <c r="D2921" s="1">
        <f>242.469</f>
        <v>242.46899999999999</v>
      </c>
      <c r="E2921">
        <v>5222</v>
      </c>
      <c r="F2921">
        <v>1614</v>
      </c>
      <c r="G2921">
        <v>1</v>
      </c>
      <c r="H2921">
        <v>0.2</v>
      </c>
      <c r="I2921">
        <v>0</v>
      </c>
      <c r="J2921">
        <v>32.153700000000001</v>
      </c>
      <c r="K2921">
        <v>519.70100000000002</v>
      </c>
      <c r="L2921" s="1">
        <f>0</f>
        <v>0</v>
      </c>
    </row>
    <row r="2922" spans="1:12" x14ac:dyDescent="0.25">
      <c r="A2922">
        <f>80636123*0.00001</f>
        <v>806.36123000000009</v>
      </c>
      <c r="B2922">
        <v>3506</v>
      </c>
      <c r="C2922">
        <v>33</v>
      </c>
      <c r="D2922">
        <v>242.46899999999999</v>
      </c>
      <c r="E2922" s="1">
        <f>5223</f>
        <v>5223</v>
      </c>
      <c r="F2922" s="1">
        <f>1614</f>
        <v>1614</v>
      </c>
      <c r="G2922">
        <v>1</v>
      </c>
      <c r="H2922">
        <v>0.2</v>
      </c>
      <c r="I2922">
        <v>0</v>
      </c>
      <c r="J2922">
        <v>32.153700000000001</v>
      </c>
      <c r="K2922">
        <v>519.70100000000002</v>
      </c>
      <c r="L2922">
        <v>0</v>
      </c>
    </row>
    <row r="2923" spans="1:12" x14ac:dyDescent="0.25">
      <c r="A2923">
        <f>80636260*0.00001</f>
        <v>806.36260000000004</v>
      </c>
      <c r="B2923">
        <v>3506</v>
      </c>
      <c r="C2923">
        <v>34</v>
      </c>
      <c r="D2923">
        <v>242.46899999999999</v>
      </c>
      <c r="E2923">
        <v>5223</v>
      </c>
      <c r="F2923">
        <v>1614</v>
      </c>
      <c r="G2923" s="1">
        <f>1</f>
        <v>1</v>
      </c>
      <c r="H2923" s="1">
        <f>0.2</f>
        <v>0.2</v>
      </c>
      <c r="I2923">
        <v>0</v>
      </c>
      <c r="J2923">
        <v>32.153700000000001</v>
      </c>
      <c r="K2923">
        <v>519.70100000000002</v>
      </c>
      <c r="L2923">
        <v>0</v>
      </c>
    </row>
    <row r="2924" spans="1:12" x14ac:dyDescent="0.25">
      <c r="A2924">
        <f>80636397*0.00001</f>
        <v>806.36397000000011</v>
      </c>
      <c r="B2924">
        <v>3506</v>
      </c>
      <c r="C2924">
        <v>35</v>
      </c>
      <c r="D2924">
        <v>242.46899999999999</v>
      </c>
      <c r="E2924">
        <v>5223</v>
      </c>
      <c r="F2924">
        <v>1614</v>
      </c>
      <c r="G2924">
        <v>1</v>
      </c>
      <c r="H2924">
        <v>0.2</v>
      </c>
      <c r="I2924" s="1">
        <f>0</f>
        <v>0</v>
      </c>
      <c r="J2924" s="1">
        <f>32.2784</f>
        <v>32.278399999999998</v>
      </c>
      <c r="K2924">
        <v>519.70100000000002</v>
      </c>
      <c r="L2924">
        <v>0</v>
      </c>
    </row>
    <row r="2925" spans="1:12" x14ac:dyDescent="0.25">
      <c r="A2925">
        <f>80636534*0.00001</f>
        <v>806.36534000000006</v>
      </c>
      <c r="B2925">
        <v>3506</v>
      </c>
      <c r="C2925">
        <v>36</v>
      </c>
      <c r="D2925">
        <v>242.46899999999999</v>
      </c>
      <c r="E2925">
        <v>5223</v>
      </c>
      <c r="F2925">
        <v>1614</v>
      </c>
      <c r="G2925">
        <v>1</v>
      </c>
      <c r="H2925">
        <v>0.2</v>
      </c>
      <c r="I2925">
        <v>0</v>
      </c>
      <c r="J2925">
        <v>32.278399999999998</v>
      </c>
      <c r="K2925">
        <v>519.70100000000002</v>
      </c>
      <c r="L2925" s="1">
        <f>0</f>
        <v>0</v>
      </c>
    </row>
    <row r="2926" spans="1:12" x14ac:dyDescent="0.25">
      <c r="A2926">
        <f>80636671*0.00001</f>
        <v>806.36671000000001</v>
      </c>
      <c r="B2926">
        <v>3506</v>
      </c>
      <c r="C2926">
        <v>37</v>
      </c>
      <c r="D2926">
        <v>242.46899999999999</v>
      </c>
      <c r="E2926" s="1">
        <f>5224</f>
        <v>5224</v>
      </c>
      <c r="F2926">
        <v>1614</v>
      </c>
      <c r="G2926">
        <v>1</v>
      </c>
      <c r="H2926">
        <v>0.2</v>
      </c>
      <c r="I2926">
        <v>0</v>
      </c>
      <c r="J2926">
        <v>32.278399999999998</v>
      </c>
      <c r="K2926">
        <v>519.70100000000002</v>
      </c>
      <c r="L2926">
        <v>0</v>
      </c>
    </row>
    <row r="2927" spans="1:12" x14ac:dyDescent="0.25">
      <c r="A2927">
        <f>80636808*0.00001</f>
        <v>806.36808000000008</v>
      </c>
      <c r="B2927">
        <v>3506</v>
      </c>
      <c r="C2927">
        <v>38</v>
      </c>
      <c r="D2927">
        <v>242.46899999999999</v>
      </c>
      <c r="E2927">
        <v>5224</v>
      </c>
      <c r="F2927">
        <v>1614</v>
      </c>
      <c r="G2927" s="1">
        <f>1</f>
        <v>1</v>
      </c>
      <c r="H2927">
        <v>0.2</v>
      </c>
      <c r="I2927">
        <v>0</v>
      </c>
      <c r="J2927">
        <v>32.278399999999998</v>
      </c>
      <c r="K2927">
        <v>519.70100000000002</v>
      </c>
      <c r="L2927">
        <v>0</v>
      </c>
    </row>
    <row r="2928" spans="1:12" x14ac:dyDescent="0.25">
      <c r="A2928">
        <f>80636945*0.00001</f>
        <v>806.36945000000003</v>
      </c>
      <c r="B2928">
        <v>3506</v>
      </c>
      <c r="C2928">
        <v>39</v>
      </c>
      <c r="D2928">
        <v>242.46899999999999</v>
      </c>
      <c r="E2928">
        <v>5224</v>
      </c>
      <c r="F2928">
        <v>1614</v>
      </c>
      <c r="G2928">
        <v>1</v>
      </c>
      <c r="H2928">
        <v>0.2</v>
      </c>
      <c r="I2928" s="1">
        <f>0</f>
        <v>0</v>
      </c>
      <c r="J2928">
        <v>32.278399999999998</v>
      </c>
      <c r="K2928">
        <v>519.70100000000002</v>
      </c>
      <c r="L2928">
        <v>0</v>
      </c>
    </row>
    <row r="2929" spans="1:12" x14ac:dyDescent="0.25">
      <c r="A2929">
        <f>80637082*0.00001</f>
        <v>806.37082000000009</v>
      </c>
      <c r="B2929">
        <v>3506</v>
      </c>
      <c r="C2929">
        <v>40</v>
      </c>
      <c r="D2929">
        <v>242.46899999999999</v>
      </c>
      <c r="E2929">
        <v>5224</v>
      </c>
      <c r="F2929">
        <v>1614</v>
      </c>
      <c r="G2929">
        <v>1</v>
      </c>
      <c r="H2929">
        <v>0.2</v>
      </c>
      <c r="I2929">
        <v>0</v>
      </c>
      <c r="J2929">
        <v>32.278399999999998</v>
      </c>
      <c r="K2929" s="1">
        <f>519.781</f>
        <v>519.78099999999995</v>
      </c>
      <c r="L2929">
        <v>0</v>
      </c>
    </row>
    <row r="2930" spans="1:12" x14ac:dyDescent="0.25">
      <c r="A2930">
        <f>80637219*0.00001</f>
        <v>806.37219000000005</v>
      </c>
      <c r="B2930">
        <v>3506</v>
      </c>
      <c r="C2930">
        <v>41</v>
      </c>
      <c r="D2930" s="1">
        <f>242.47</f>
        <v>242.47</v>
      </c>
      <c r="E2930" s="1">
        <f>5226</f>
        <v>5226</v>
      </c>
      <c r="F2930" s="1">
        <f>1614</f>
        <v>1614</v>
      </c>
      <c r="G2930" s="1">
        <f>1</f>
        <v>1</v>
      </c>
      <c r="H2930" s="1">
        <f>0.2</f>
        <v>0.2</v>
      </c>
      <c r="I2930" s="1">
        <f>0</f>
        <v>0</v>
      </c>
      <c r="J2930" s="1">
        <f>32.6028</f>
        <v>32.602800000000002</v>
      </c>
      <c r="K2930" s="1">
        <f>519.826</f>
        <v>519.82600000000002</v>
      </c>
      <c r="L2930" s="1">
        <f>0</f>
        <v>0</v>
      </c>
    </row>
    <row r="2931" spans="1:12" x14ac:dyDescent="0.25">
      <c r="A2931">
        <f>80638178*0.00001</f>
        <v>806.38178000000005</v>
      </c>
      <c r="B2931">
        <v>3506</v>
      </c>
      <c r="C2931">
        <v>48</v>
      </c>
      <c r="D2931">
        <v>242.47</v>
      </c>
      <c r="E2931">
        <v>5226</v>
      </c>
      <c r="F2931">
        <v>1614</v>
      </c>
      <c r="G2931">
        <v>1</v>
      </c>
      <c r="H2931" s="1">
        <f>0.2</f>
        <v>0.2</v>
      </c>
      <c r="I2931" s="1">
        <f>0</f>
        <v>0</v>
      </c>
      <c r="J2931">
        <v>32.602800000000002</v>
      </c>
      <c r="K2931">
        <v>519.82600000000002</v>
      </c>
      <c r="L2931">
        <v>0</v>
      </c>
    </row>
    <row r="2932" spans="1:12" x14ac:dyDescent="0.25">
      <c r="A2932">
        <f>80638314*0.00001</f>
        <v>806.38314000000003</v>
      </c>
      <c r="B2932">
        <v>3506</v>
      </c>
      <c r="C2932">
        <v>49</v>
      </c>
      <c r="D2932">
        <v>242.47</v>
      </c>
      <c r="E2932">
        <v>5226</v>
      </c>
      <c r="F2932">
        <v>1614</v>
      </c>
      <c r="G2932">
        <v>1</v>
      </c>
      <c r="H2932">
        <v>0.2</v>
      </c>
      <c r="I2932">
        <v>0</v>
      </c>
      <c r="J2932" s="1">
        <f>32.7778</f>
        <v>32.777799999999999</v>
      </c>
      <c r="K2932" s="1">
        <f>519.862</f>
        <v>519.86199999999997</v>
      </c>
      <c r="L2932">
        <v>0</v>
      </c>
    </row>
    <row r="2933" spans="1:12" x14ac:dyDescent="0.25">
      <c r="A2933">
        <f>80638451*0.00001</f>
        <v>806.38451000000009</v>
      </c>
      <c r="B2933">
        <v>3506</v>
      </c>
      <c r="C2933">
        <v>50</v>
      </c>
      <c r="D2933" s="1">
        <f>242.47</f>
        <v>242.47</v>
      </c>
      <c r="E2933">
        <v>5226</v>
      </c>
      <c r="F2933">
        <v>1614</v>
      </c>
      <c r="G2933">
        <v>1</v>
      </c>
      <c r="H2933">
        <v>0.2</v>
      </c>
      <c r="I2933">
        <v>0</v>
      </c>
      <c r="J2933">
        <v>32.777799999999999</v>
      </c>
      <c r="K2933">
        <v>519.86199999999997</v>
      </c>
      <c r="L2933" s="1">
        <f>0</f>
        <v>0</v>
      </c>
    </row>
    <row r="2934" spans="1:12" x14ac:dyDescent="0.25">
      <c r="A2934">
        <f>80638588*0.00001</f>
        <v>806.38588000000004</v>
      </c>
      <c r="B2934">
        <v>3506</v>
      </c>
      <c r="C2934">
        <v>51</v>
      </c>
      <c r="D2934">
        <v>242.47</v>
      </c>
      <c r="E2934" s="1">
        <f>5227</f>
        <v>5227</v>
      </c>
      <c r="F2934" s="1">
        <f>1614</f>
        <v>1614</v>
      </c>
      <c r="G2934">
        <v>1</v>
      </c>
      <c r="H2934">
        <v>0.2</v>
      </c>
      <c r="I2934">
        <v>0</v>
      </c>
      <c r="J2934">
        <v>32.777799999999999</v>
      </c>
      <c r="K2934">
        <v>519.86199999999997</v>
      </c>
      <c r="L2934">
        <v>0</v>
      </c>
    </row>
    <row r="2935" spans="1:12" x14ac:dyDescent="0.25">
      <c r="A2935">
        <f>80638725*0.00001</f>
        <v>806.38725000000011</v>
      </c>
      <c r="B2935">
        <v>3506</v>
      </c>
      <c r="C2935">
        <v>52</v>
      </c>
      <c r="D2935">
        <v>242.47</v>
      </c>
      <c r="E2935">
        <v>5227</v>
      </c>
      <c r="F2935">
        <v>1614</v>
      </c>
      <c r="G2935" s="1">
        <f>1</f>
        <v>1</v>
      </c>
      <c r="H2935" s="1">
        <f>0.2</f>
        <v>0.2</v>
      </c>
      <c r="I2935">
        <v>0</v>
      </c>
      <c r="J2935">
        <v>32.777799999999999</v>
      </c>
      <c r="K2935">
        <v>519.86199999999997</v>
      </c>
      <c r="L2935">
        <v>0</v>
      </c>
    </row>
    <row r="2936" spans="1:12" x14ac:dyDescent="0.25">
      <c r="A2936">
        <f>80638862*0.00001</f>
        <v>806.38862000000006</v>
      </c>
      <c r="B2936">
        <v>3506</v>
      </c>
      <c r="C2936">
        <v>53</v>
      </c>
      <c r="D2936">
        <v>242.47</v>
      </c>
      <c r="E2936">
        <v>5227</v>
      </c>
      <c r="F2936">
        <v>1614</v>
      </c>
      <c r="G2936">
        <v>1</v>
      </c>
      <c r="H2936">
        <v>0.2</v>
      </c>
      <c r="I2936">
        <v>0</v>
      </c>
      <c r="J2936" s="1">
        <f>32.9039</f>
        <v>32.9039</v>
      </c>
      <c r="K2936">
        <v>519.86199999999997</v>
      </c>
      <c r="L2936">
        <v>0</v>
      </c>
    </row>
    <row r="2937" spans="1:12" x14ac:dyDescent="0.25">
      <c r="A2937">
        <f>80638999*0.00001</f>
        <v>806.38999000000001</v>
      </c>
      <c r="B2937">
        <v>3506</v>
      </c>
      <c r="C2937">
        <v>54</v>
      </c>
      <c r="D2937">
        <v>242.47</v>
      </c>
      <c r="E2937">
        <v>5227</v>
      </c>
      <c r="F2937">
        <v>1614</v>
      </c>
      <c r="G2937">
        <v>1</v>
      </c>
      <c r="H2937">
        <v>0.2</v>
      </c>
      <c r="I2937">
        <v>0</v>
      </c>
      <c r="J2937">
        <v>32.9039</v>
      </c>
      <c r="K2937">
        <v>519.86199999999997</v>
      </c>
      <c r="L2937" s="1">
        <f>0</f>
        <v>0</v>
      </c>
    </row>
    <row r="2938" spans="1:12" x14ac:dyDescent="0.25">
      <c r="A2938">
        <f>80639136*0.00001</f>
        <v>806.39136000000008</v>
      </c>
      <c r="B2938">
        <v>3506</v>
      </c>
      <c r="C2938">
        <v>55</v>
      </c>
      <c r="D2938">
        <v>242.47</v>
      </c>
      <c r="E2938" s="1">
        <f>5229</f>
        <v>5229</v>
      </c>
      <c r="F2938">
        <v>1614</v>
      </c>
      <c r="G2938">
        <v>1</v>
      </c>
      <c r="H2938">
        <v>0.2</v>
      </c>
      <c r="I2938">
        <v>0</v>
      </c>
      <c r="J2938">
        <v>32.9039</v>
      </c>
      <c r="K2938">
        <v>519.86199999999997</v>
      </c>
      <c r="L2938">
        <v>0</v>
      </c>
    </row>
    <row r="2939" spans="1:12" x14ac:dyDescent="0.25">
      <c r="A2939">
        <f>80639273*0.00001</f>
        <v>806.39273000000003</v>
      </c>
      <c r="B2939">
        <v>3506</v>
      </c>
      <c r="C2939">
        <v>56</v>
      </c>
      <c r="D2939">
        <v>242.47</v>
      </c>
      <c r="E2939">
        <v>5229</v>
      </c>
      <c r="F2939">
        <v>1614</v>
      </c>
      <c r="G2939" s="1">
        <f>1</f>
        <v>1</v>
      </c>
      <c r="H2939">
        <v>0.2</v>
      </c>
      <c r="I2939">
        <v>0</v>
      </c>
      <c r="J2939">
        <v>32.9039</v>
      </c>
      <c r="K2939">
        <v>519.86199999999997</v>
      </c>
      <c r="L2939">
        <v>0</v>
      </c>
    </row>
    <row r="2940" spans="1:12" x14ac:dyDescent="0.25">
      <c r="A2940">
        <f>80639410*0.00001</f>
        <v>806.39410000000009</v>
      </c>
      <c r="B2940">
        <v>3506</v>
      </c>
      <c r="C2940">
        <v>57</v>
      </c>
      <c r="D2940">
        <v>242.47</v>
      </c>
      <c r="E2940">
        <v>5229</v>
      </c>
      <c r="F2940">
        <v>1614</v>
      </c>
      <c r="G2940">
        <v>1</v>
      </c>
      <c r="H2940">
        <v>0.2</v>
      </c>
      <c r="I2940" s="1">
        <f>0</f>
        <v>0</v>
      </c>
      <c r="J2940">
        <v>32.9039</v>
      </c>
      <c r="K2940">
        <v>519.86199999999997</v>
      </c>
      <c r="L2940">
        <v>0</v>
      </c>
    </row>
    <row r="2941" spans="1:12" x14ac:dyDescent="0.25">
      <c r="A2941">
        <f>80639547*0.00001</f>
        <v>806.39547000000005</v>
      </c>
      <c r="B2941">
        <v>3506</v>
      </c>
      <c r="C2941">
        <v>58</v>
      </c>
      <c r="D2941" s="1">
        <f>242.47</f>
        <v>242.47</v>
      </c>
      <c r="E2941" s="1">
        <f>5231</f>
        <v>5231</v>
      </c>
      <c r="F2941" s="1">
        <f>1614</f>
        <v>1614</v>
      </c>
      <c r="G2941" s="1">
        <f>1</f>
        <v>1</v>
      </c>
      <c r="H2941" s="1">
        <f>0.2</f>
        <v>0.2</v>
      </c>
      <c r="I2941" s="1">
        <f>0</f>
        <v>0</v>
      </c>
      <c r="J2941" s="1">
        <f>33.2021</f>
        <v>33.202100000000002</v>
      </c>
      <c r="K2941" s="1">
        <f>519.98</f>
        <v>519.98</v>
      </c>
      <c r="L2941" s="1">
        <f>0</f>
        <v>0</v>
      </c>
    </row>
    <row r="2942" spans="1:12" x14ac:dyDescent="0.25">
      <c r="A2942">
        <f>80640642*0.00001</f>
        <v>806.40642000000003</v>
      </c>
      <c r="B2942">
        <v>3506</v>
      </c>
      <c r="C2942">
        <v>66</v>
      </c>
      <c r="D2942">
        <v>242.47</v>
      </c>
      <c r="E2942">
        <v>5231</v>
      </c>
      <c r="F2942">
        <v>1614</v>
      </c>
      <c r="G2942">
        <v>1</v>
      </c>
      <c r="H2942">
        <v>0.2</v>
      </c>
      <c r="I2942" s="1">
        <f>0</f>
        <v>0</v>
      </c>
      <c r="J2942" s="1">
        <f>33.3521</f>
        <v>33.3521</v>
      </c>
      <c r="K2942">
        <v>519.98</v>
      </c>
      <c r="L2942">
        <v>0</v>
      </c>
    </row>
    <row r="2943" spans="1:12" x14ac:dyDescent="0.25">
      <c r="A2943">
        <f>80640779*0.00001</f>
        <v>806.40779000000009</v>
      </c>
      <c r="B2943">
        <v>3506</v>
      </c>
      <c r="C2943">
        <v>67</v>
      </c>
      <c r="D2943">
        <v>242.47</v>
      </c>
      <c r="E2943">
        <v>5231</v>
      </c>
      <c r="F2943">
        <v>1614</v>
      </c>
      <c r="G2943">
        <v>1</v>
      </c>
      <c r="H2943">
        <v>0.2</v>
      </c>
      <c r="I2943">
        <v>0</v>
      </c>
      <c r="J2943">
        <v>33.3521</v>
      </c>
      <c r="K2943" s="1">
        <f>520.026</f>
        <v>520.02599999999995</v>
      </c>
      <c r="L2943" s="1">
        <f>0</f>
        <v>0</v>
      </c>
    </row>
    <row r="2944" spans="1:12" x14ac:dyDescent="0.25">
      <c r="A2944">
        <f>80640916*0.00001</f>
        <v>806.40916000000004</v>
      </c>
      <c r="B2944">
        <v>3506</v>
      </c>
      <c r="C2944">
        <v>68</v>
      </c>
      <c r="D2944" s="1">
        <f>242.47</f>
        <v>242.47</v>
      </c>
      <c r="E2944" s="1">
        <f>5232</f>
        <v>5232</v>
      </c>
      <c r="F2944">
        <v>1614</v>
      </c>
      <c r="G2944">
        <v>1</v>
      </c>
      <c r="H2944">
        <v>0.2</v>
      </c>
      <c r="I2944">
        <v>0</v>
      </c>
      <c r="J2944">
        <v>33.3521</v>
      </c>
      <c r="K2944">
        <v>520.02599999999995</v>
      </c>
      <c r="L2944">
        <v>0</v>
      </c>
    </row>
    <row r="2945" spans="1:12" x14ac:dyDescent="0.25">
      <c r="A2945">
        <f>80641053*0.00001</f>
        <v>806.41053000000011</v>
      </c>
      <c r="B2945">
        <v>3506</v>
      </c>
      <c r="C2945">
        <v>69</v>
      </c>
      <c r="D2945">
        <v>242.47</v>
      </c>
      <c r="E2945">
        <v>5232</v>
      </c>
      <c r="F2945" s="1">
        <f>1614</f>
        <v>1614</v>
      </c>
      <c r="G2945" s="1">
        <f>1</f>
        <v>1</v>
      </c>
      <c r="H2945">
        <v>0.2</v>
      </c>
      <c r="I2945">
        <v>0</v>
      </c>
      <c r="J2945">
        <v>33.3521</v>
      </c>
      <c r="K2945">
        <v>520.02599999999995</v>
      </c>
      <c r="L2945">
        <v>0</v>
      </c>
    </row>
    <row r="2946" spans="1:12" x14ac:dyDescent="0.25">
      <c r="A2946">
        <f>80641190*0.00001</f>
        <v>806.41190000000006</v>
      </c>
      <c r="B2946">
        <v>3506</v>
      </c>
      <c r="C2946">
        <v>70</v>
      </c>
      <c r="D2946">
        <v>242.47</v>
      </c>
      <c r="E2946">
        <v>5232</v>
      </c>
      <c r="F2946">
        <v>1614</v>
      </c>
      <c r="G2946">
        <v>1</v>
      </c>
      <c r="H2946" s="1">
        <f>0.2</f>
        <v>0.2</v>
      </c>
      <c r="I2946" s="1">
        <f>0</f>
        <v>0</v>
      </c>
      <c r="J2946">
        <v>33.3521</v>
      </c>
      <c r="K2946">
        <v>520.02599999999995</v>
      </c>
      <c r="L2946">
        <v>0</v>
      </c>
    </row>
    <row r="2947" spans="1:12" x14ac:dyDescent="0.25">
      <c r="A2947">
        <f>80641327*0.00001</f>
        <v>806.41327000000001</v>
      </c>
      <c r="B2947">
        <v>3506</v>
      </c>
      <c r="C2947">
        <v>71</v>
      </c>
      <c r="D2947">
        <v>242.47</v>
      </c>
      <c r="E2947">
        <v>5232</v>
      </c>
      <c r="F2947">
        <v>1614</v>
      </c>
      <c r="G2947">
        <v>1</v>
      </c>
      <c r="H2947">
        <v>0.2</v>
      </c>
      <c r="I2947">
        <v>0</v>
      </c>
      <c r="J2947">
        <v>33.3521</v>
      </c>
      <c r="K2947" s="1">
        <f>520.062</f>
        <v>520.06200000000001</v>
      </c>
      <c r="L2947">
        <v>0</v>
      </c>
    </row>
    <row r="2948" spans="1:12" x14ac:dyDescent="0.25">
      <c r="A2948">
        <f>80641464*0.00001</f>
        <v>806.41464000000008</v>
      </c>
      <c r="B2948">
        <v>3506</v>
      </c>
      <c r="C2948">
        <v>72</v>
      </c>
      <c r="D2948" s="1">
        <f>242.47</f>
        <v>242.47</v>
      </c>
      <c r="E2948">
        <v>5232</v>
      </c>
      <c r="F2948">
        <v>1614</v>
      </c>
      <c r="G2948">
        <v>1</v>
      </c>
      <c r="H2948">
        <v>0.2</v>
      </c>
      <c r="I2948">
        <v>0</v>
      </c>
      <c r="J2948">
        <v>33.3521</v>
      </c>
      <c r="K2948">
        <v>520.06200000000001</v>
      </c>
      <c r="L2948">
        <v>0</v>
      </c>
    </row>
    <row r="2949" spans="1:12" x14ac:dyDescent="0.25">
      <c r="A2949">
        <f>80641601*0.00001</f>
        <v>806.41601000000003</v>
      </c>
      <c r="B2949">
        <v>3506</v>
      </c>
      <c r="C2949">
        <v>73</v>
      </c>
      <c r="D2949">
        <v>242.47</v>
      </c>
      <c r="E2949">
        <v>5232</v>
      </c>
      <c r="F2949" s="1">
        <f>1614</f>
        <v>1614</v>
      </c>
      <c r="G2949">
        <v>1</v>
      </c>
      <c r="H2949">
        <v>0.2</v>
      </c>
      <c r="I2949">
        <v>0</v>
      </c>
      <c r="J2949">
        <v>33.3521</v>
      </c>
      <c r="K2949">
        <v>520.06200000000001</v>
      </c>
      <c r="L2949">
        <v>0</v>
      </c>
    </row>
    <row r="2950" spans="1:12" x14ac:dyDescent="0.25">
      <c r="A2950">
        <f>80641738*0.00001</f>
        <v>806.41738000000009</v>
      </c>
      <c r="B2950">
        <v>3506</v>
      </c>
      <c r="C2950">
        <v>74</v>
      </c>
      <c r="D2950">
        <v>242.47</v>
      </c>
      <c r="E2950">
        <v>5232</v>
      </c>
      <c r="F2950">
        <v>1614</v>
      </c>
      <c r="G2950">
        <v>1</v>
      </c>
      <c r="H2950" s="1">
        <f>0.2</f>
        <v>0.2</v>
      </c>
      <c r="I2950">
        <v>0</v>
      </c>
      <c r="J2950">
        <v>33.3521</v>
      </c>
      <c r="K2950">
        <v>520.06200000000001</v>
      </c>
      <c r="L2950">
        <v>0</v>
      </c>
    </row>
    <row r="2951" spans="1:12" x14ac:dyDescent="0.25">
      <c r="A2951">
        <f>80641875*0.00001</f>
        <v>806.41875000000005</v>
      </c>
      <c r="B2951">
        <v>3506</v>
      </c>
      <c r="C2951">
        <v>75</v>
      </c>
      <c r="D2951">
        <v>242.47</v>
      </c>
      <c r="E2951">
        <v>5232</v>
      </c>
      <c r="F2951">
        <v>1614</v>
      </c>
      <c r="G2951">
        <v>1</v>
      </c>
      <c r="H2951">
        <v>0.2</v>
      </c>
      <c r="I2951">
        <v>0</v>
      </c>
      <c r="J2951" s="1">
        <f>33.6521</f>
        <v>33.652099999999997</v>
      </c>
      <c r="K2951">
        <v>520.06200000000001</v>
      </c>
      <c r="L2951">
        <v>0</v>
      </c>
    </row>
    <row r="2952" spans="1:12" x14ac:dyDescent="0.25">
      <c r="A2952">
        <f>80642012*0.00001</f>
        <v>806.42012000000011</v>
      </c>
      <c r="B2952">
        <v>3506</v>
      </c>
      <c r="C2952">
        <v>76</v>
      </c>
      <c r="D2952" s="1">
        <f>242.47</f>
        <v>242.47</v>
      </c>
      <c r="E2952" s="1">
        <f>5235</f>
        <v>5235</v>
      </c>
      <c r="F2952" s="1">
        <f>1614</f>
        <v>1614</v>
      </c>
      <c r="G2952" s="1">
        <f>1</f>
        <v>1</v>
      </c>
      <c r="H2952" s="1">
        <f>0.2</f>
        <v>0.2</v>
      </c>
      <c r="I2952" s="1">
        <f>0</f>
        <v>0</v>
      </c>
      <c r="J2952" s="1">
        <f>33.8021</f>
        <v>33.802100000000003</v>
      </c>
      <c r="K2952" s="1">
        <f>520.146</f>
        <v>520.14599999999996</v>
      </c>
      <c r="L2952" s="1">
        <f>0</f>
        <v>0</v>
      </c>
    </row>
    <row r="2953" spans="1:12" x14ac:dyDescent="0.25">
      <c r="A2953">
        <f>80643109*0.00001</f>
        <v>806.43109000000004</v>
      </c>
      <c r="B2953">
        <v>3506</v>
      </c>
      <c r="C2953">
        <v>84</v>
      </c>
      <c r="D2953">
        <v>242.47</v>
      </c>
      <c r="E2953">
        <v>5235</v>
      </c>
      <c r="F2953">
        <v>1614</v>
      </c>
      <c r="G2953">
        <v>1</v>
      </c>
      <c r="H2953">
        <v>0.2</v>
      </c>
      <c r="I2953">
        <v>0</v>
      </c>
      <c r="J2953" s="1">
        <f>33.977</f>
        <v>33.976999999999997</v>
      </c>
      <c r="K2953" s="1">
        <f>520.183</f>
        <v>520.18299999999999</v>
      </c>
      <c r="L2953">
        <v>0</v>
      </c>
    </row>
    <row r="2954" spans="1:12" x14ac:dyDescent="0.25">
      <c r="A2954">
        <f>80643246*0.00001</f>
        <v>806.43246000000011</v>
      </c>
      <c r="B2954">
        <v>3506</v>
      </c>
      <c r="C2954">
        <v>85</v>
      </c>
      <c r="D2954" s="1">
        <f>242.466</f>
        <v>242.46600000000001</v>
      </c>
      <c r="E2954">
        <v>5235</v>
      </c>
      <c r="F2954">
        <v>1614</v>
      </c>
      <c r="G2954">
        <v>1</v>
      </c>
      <c r="H2954">
        <v>0.2</v>
      </c>
      <c r="I2954">
        <v>0</v>
      </c>
      <c r="J2954">
        <v>33.976999999999997</v>
      </c>
      <c r="K2954">
        <v>520.18299999999999</v>
      </c>
      <c r="L2954" s="1">
        <f>0</f>
        <v>0</v>
      </c>
    </row>
    <row r="2955" spans="1:12" x14ac:dyDescent="0.25">
      <c r="A2955">
        <f>80643383*0.00001</f>
        <v>806.43383000000006</v>
      </c>
      <c r="B2955">
        <v>3506</v>
      </c>
      <c r="C2955">
        <v>86</v>
      </c>
      <c r="D2955">
        <v>242.46600000000001</v>
      </c>
      <c r="E2955" s="1">
        <f>5236</f>
        <v>5236</v>
      </c>
      <c r="F2955" s="1">
        <f>1614</f>
        <v>1614</v>
      </c>
      <c r="G2955">
        <v>1</v>
      </c>
      <c r="H2955">
        <v>0.2</v>
      </c>
      <c r="I2955">
        <v>0</v>
      </c>
      <c r="J2955">
        <v>33.976999999999997</v>
      </c>
      <c r="K2955">
        <v>520.18299999999999</v>
      </c>
      <c r="L2955">
        <v>0</v>
      </c>
    </row>
    <row r="2956" spans="1:12" x14ac:dyDescent="0.25">
      <c r="A2956">
        <f>80643520*0.00001</f>
        <v>806.43520000000012</v>
      </c>
      <c r="B2956">
        <v>3506</v>
      </c>
      <c r="C2956">
        <v>87</v>
      </c>
      <c r="D2956">
        <v>242.46600000000001</v>
      </c>
      <c r="E2956">
        <v>5236</v>
      </c>
      <c r="F2956">
        <v>1614</v>
      </c>
      <c r="G2956" s="1">
        <f>1</f>
        <v>1</v>
      </c>
      <c r="H2956" s="1">
        <f>0.2</f>
        <v>0.2</v>
      </c>
      <c r="I2956">
        <v>0</v>
      </c>
      <c r="J2956">
        <v>33.976999999999997</v>
      </c>
      <c r="K2956">
        <v>520.18299999999999</v>
      </c>
      <c r="L2956">
        <v>0</v>
      </c>
    </row>
    <row r="2957" spans="1:12" x14ac:dyDescent="0.25">
      <c r="A2957">
        <f>80643657*0.00001</f>
        <v>806.43657000000007</v>
      </c>
      <c r="B2957">
        <v>3506</v>
      </c>
      <c r="C2957">
        <v>88</v>
      </c>
      <c r="D2957">
        <v>242.46600000000001</v>
      </c>
      <c r="E2957">
        <v>5236</v>
      </c>
      <c r="F2957">
        <v>1614</v>
      </c>
      <c r="G2957">
        <v>1</v>
      </c>
      <c r="H2957">
        <v>0.2</v>
      </c>
      <c r="I2957" s="1">
        <f>0</f>
        <v>0</v>
      </c>
      <c r="J2957" s="1">
        <f>34.0594</f>
        <v>34.059399999999997</v>
      </c>
      <c r="K2957">
        <v>520.18299999999999</v>
      </c>
      <c r="L2957">
        <v>0</v>
      </c>
    </row>
    <row r="2958" spans="1:12" x14ac:dyDescent="0.25">
      <c r="A2958">
        <f>80643794*0.00001</f>
        <v>806.43794000000003</v>
      </c>
      <c r="B2958">
        <v>3506</v>
      </c>
      <c r="C2958">
        <v>89</v>
      </c>
      <c r="D2958">
        <v>242.46600000000001</v>
      </c>
      <c r="E2958">
        <v>5236</v>
      </c>
      <c r="F2958">
        <v>1614</v>
      </c>
      <c r="G2958">
        <v>1</v>
      </c>
      <c r="H2958">
        <v>0.2</v>
      </c>
      <c r="I2958">
        <v>0</v>
      </c>
      <c r="J2958">
        <v>34.059399999999997</v>
      </c>
      <c r="K2958" s="1">
        <f>520.23</f>
        <v>520.23</v>
      </c>
      <c r="L2958" s="1">
        <f>0</f>
        <v>0</v>
      </c>
    </row>
    <row r="2959" spans="1:12" x14ac:dyDescent="0.25">
      <c r="A2959">
        <f>80643931*0.00001</f>
        <v>806.43931000000009</v>
      </c>
      <c r="B2959">
        <v>3506</v>
      </c>
      <c r="C2959">
        <v>90</v>
      </c>
      <c r="D2959">
        <v>242.46600000000001</v>
      </c>
      <c r="E2959" s="1">
        <f>5235</f>
        <v>5235</v>
      </c>
      <c r="F2959">
        <v>1614</v>
      </c>
      <c r="G2959">
        <v>1</v>
      </c>
      <c r="H2959">
        <v>0.2</v>
      </c>
      <c r="I2959">
        <v>0</v>
      </c>
      <c r="J2959">
        <v>34.059399999999997</v>
      </c>
      <c r="K2959">
        <v>520.23</v>
      </c>
      <c r="L2959">
        <v>0</v>
      </c>
    </row>
    <row r="2960" spans="1:12" x14ac:dyDescent="0.25">
      <c r="A2960">
        <f>80644068*0.00001</f>
        <v>806.44068000000004</v>
      </c>
      <c r="B2960">
        <v>3506</v>
      </c>
      <c r="C2960">
        <v>91</v>
      </c>
      <c r="D2960">
        <v>242.46600000000001</v>
      </c>
      <c r="E2960">
        <v>5235</v>
      </c>
      <c r="F2960">
        <v>1614</v>
      </c>
      <c r="G2960" s="1">
        <f>1</f>
        <v>1</v>
      </c>
      <c r="H2960">
        <v>0.2</v>
      </c>
      <c r="I2960">
        <v>0</v>
      </c>
      <c r="J2960">
        <v>34.059399999999997</v>
      </c>
      <c r="K2960">
        <v>520.23</v>
      </c>
      <c r="L2960">
        <v>0</v>
      </c>
    </row>
    <row r="2961" spans="1:12" x14ac:dyDescent="0.25">
      <c r="A2961">
        <f>80644205*0.00001</f>
        <v>806.44205000000011</v>
      </c>
      <c r="B2961">
        <v>3506</v>
      </c>
      <c r="C2961">
        <v>92</v>
      </c>
      <c r="D2961">
        <v>242.46600000000001</v>
      </c>
      <c r="E2961">
        <v>5235</v>
      </c>
      <c r="F2961">
        <v>1614</v>
      </c>
      <c r="G2961">
        <v>1</v>
      </c>
      <c r="H2961">
        <v>0.2</v>
      </c>
      <c r="I2961" s="1">
        <f>0</f>
        <v>0</v>
      </c>
      <c r="J2961">
        <v>34.059399999999997</v>
      </c>
      <c r="K2961">
        <v>520.23</v>
      </c>
      <c r="L2961">
        <v>0</v>
      </c>
    </row>
    <row r="2962" spans="1:12" x14ac:dyDescent="0.25">
      <c r="A2962">
        <f>80644342*0.00001</f>
        <v>806.44342000000006</v>
      </c>
      <c r="B2962">
        <v>3506</v>
      </c>
      <c r="C2962">
        <v>93</v>
      </c>
      <c r="D2962">
        <v>242.46600000000001</v>
      </c>
      <c r="E2962">
        <v>5235</v>
      </c>
      <c r="F2962">
        <v>1614</v>
      </c>
      <c r="G2962">
        <v>1</v>
      </c>
      <c r="H2962">
        <v>0.2</v>
      </c>
      <c r="I2962">
        <v>0</v>
      </c>
      <c r="J2962">
        <v>34.059399999999997</v>
      </c>
      <c r="K2962" s="1">
        <f>520.267</f>
        <v>520.26700000000005</v>
      </c>
      <c r="L2962">
        <v>0</v>
      </c>
    </row>
    <row r="2963" spans="1:12" x14ac:dyDescent="0.25">
      <c r="A2963">
        <f>80644479*0.00001</f>
        <v>806.44479000000001</v>
      </c>
      <c r="B2963">
        <v>3506</v>
      </c>
      <c r="C2963">
        <v>94</v>
      </c>
      <c r="D2963" s="1">
        <f>242.595</f>
        <v>242.595</v>
      </c>
      <c r="E2963">
        <v>5235</v>
      </c>
      <c r="F2963">
        <v>1614</v>
      </c>
      <c r="G2963">
        <v>1</v>
      </c>
      <c r="H2963">
        <v>0.2</v>
      </c>
      <c r="I2963">
        <v>0</v>
      </c>
      <c r="J2963">
        <v>34.059399999999997</v>
      </c>
      <c r="K2963">
        <v>520.26700000000005</v>
      </c>
      <c r="L2963">
        <v>0</v>
      </c>
    </row>
    <row r="2964" spans="1:12" x14ac:dyDescent="0.25">
      <c r="A2964">
        <f>80644616*0.00001</f>
        <v>806.44616000000008</v>
      </c>
      <c r="B2964">
        <v>3506</v>
      </c>
      <c r="C2964">
        <v>95</v>
      </c>
      <c r="D2964">
        <v>242.595</v>
      </c>
      <c r="E2964">
        <v>5235</v>
      </c>
      <c r="F2964" s="1">
        <f>1614</f>
        <v>1614</v>
      </c>
      <c r="G2964">
        <v>1</v>
      </c>
      <c r="H2964">
        <v>0.2</v>
      </c>
      <c r="I2964">
        <v>0</v>
      </c>
      <c r="J2964">
        <v>34.059399999999997</v>
      </c>
      <c r="K2964">
        <v>520.26700000000005</v>
      </c>
      <c r="L2964">
        <v>0</v>
      </c>
    </row>
    <row r="2965" spans="1:12" x14ac:dyDescent="0.25">
      <c r="A2965">
        <f>80644753*0.00001</f>
        <v>806.44753000000003</v>
      </c>
      <c r="B2965">
        <v>3506</v>
      </c>
      <c r="C2965">
        <v>96</v>
      </c>
      <c r="D2965" s="1">
        <f>242.637</f>
        <v>242.637</v>
      </c>
      <c r="E2965" s="1">
        <f>5235</f>
        <v>5235</v>
      </c>
      <c r="F2965" s="1">
        <f>1614</f>
        <v>1614</v>
      </c>
      <c r="G2965" s="1">
        <f>1</f>
        <v>1</v>
      </c>
      <c r="H2965" s="1">
        <f>0.2</f>
        <v>0.2</v>
      </c>
      <c r="I2965" s="1">
        <f>0</f>
        <v>0</v>
      </c>
      <c r="J2965" s="1">
        <f>34.358</f>
        <v>34.357999999999997</v>
      </c>
      <c r="K2965" s="1">
        <f>520.352</f>
        <v>520.35199999999998</v>
      </c>
      <c r="L2965" s="1">
        <f>0</f>
        <v>0</v>
      </c>
    </row>
    <row r="2966" spans="1:12" x14ac:dyDescent="0.25">
      <c r="A2966">
        <f>80645711*0.00001</f>
        <v>806.45711000000006</v>
      </c>
      <c r="B2966">
        <v>3506</v>
      </c>
      <c r="C2966">
        <v>103</v>
      </c>
      <c r="D2966" s="1">
        <f>242.679</f>
        <v>242.679</v>
      </c>
      <c r="E2966" s="1">
        <f>5235</f>
        <v>5235</v>
      </c>
      <c r="F2966">
        <v>1614</v>
      </c>
      <c r="G2966">
        <v>1</v>
      </c>
      <c r="H2966">
        <v>0.2</v>
      </c>
      <c r="I2966">
        <v>0</v>
      </c>
      <c r="J2966">
        <v>34.357999999999997</v>
      </c>
      <c r="K2966">
        <v>520.35199999999998</v>
      </c>
      <c r="L2966">
        <v>0</v>
      </c>
    </row>
    <row r="2967" spans="1:12" x14ac:dyDescent="0.25">
      <c r="A2967">
        <f>80645848*0.00001</f>
        <v>806.45848000000012</v>
      </c>
      <c r="B2967">
        <v>3506</v>
      </c>
      <c r="C2967">
        <v>104</v>
      </c>
      <c r="D2967">
        <v>242.679</v>
      </c>
      <c r="E2967">
        <v>5235</v>
      </c>
      <c r="F2967" s="1">
        <f>1614</f>
        <v>1614</v>
      </c>
      <c r="G2967" s="1">
        <f>1</f>
        <v>1</v>
      </c>
      <c r="H2967">
        <v>0.2</v>
      </c>
      <c r="I2967">
        <v>0</v>
      </c>
      <c r="J2967">
        <v>34.357999999999997</v>
      </c>
      <c r="K2967">
        <v>520.35199999999998</v>
      </c>
      <c r="L2967">
        <v>0</v>
      </c>
    </row>
    <row r="2968" spans="1:12" x14ac:dyDescent="0.25">
      <c r="A2968">
        <f>80645985*0.00001</f>
        <v>806.45985000000007</v>
      </c>
      <c r="B2968">
        <v>3506</v>
      </c>
      <c r="C2968">
        <v>105</v>
      </c>
      <c r="D2968">
        <v>242.679</v>
      </c>
      <c r="E2968">
        <v>5235</v>
      </c>
      <c r="F2968">
        <v>1614</v>
      </c>
      <c r="G2968">
        <v>1</v>
      </c>
      <c r="H2968" s="1">
        <f>0.2</f>
        <v>0.2</v>
      </c>
      <c r="I2968" s="1">
        <f>0</f>
        <v>0</v>
      </c>
      <c r="J2968">
        <v>34.357999999999997</v>
      </c>
      <c r="K2968">
        <v>520.35199999999998</v>
      </c>
      <c r="L2968">
        <v>0</v>
      </c>
    </row>
    <row r="2969" spans="1:12" x14ac:dyDescent="0.25">
      <c r="A2969">
        <f>80646122*0.00001</f>
        <v>806.46122000000003</v>
      </c>
      <c r="B2969">
        <v>3506</v>
      </c>
      <c r="C2969">
        <v>106</v>
      </c>
      <c r="D2969">
        <v>242.679</v>
      </c>
      <c r="E2969">
        <v>5235</v>
      </c>
      <c r="F2969">
        <v>1614</v>
      </c>
      <c r="G2969">
        <v>1</v>
      </c>
      <c r="H2969">
        <v>0.2</v>
      </c>
      <c r="I2969">
        <v>0</v>
      </c>
      <c r="J2969" s="1">
        <f>34.4978</f>
        <v>34.497799999999998</v>
      </c>
      <c r="K2969" s="1">
        <f>520.39</f>
        <v>520.39</v>
      </c>
      <c r="L2969">
        <v>0</v>
      </c>
    </row>
    <row r="2970" spans="1:12" x14ac:dyDescent="0.25">
      <c r="A2970">
        <f>80646259*0.00001</f>
        <v>806.46259000000009</v>
      </c>
      <c r="B2970">
        <v>3506</v>
      </c>
      <c r="C2970">
        <v>107</v>
      </c>
      <c r="D2970" s="1">
        <f>242.706</f>
        <v>242.70599999999999</v>
      </c>
      <c r="E2970">
        <v>5235</v>
      </c>
      <c r="F2970">
        <v>1614</v>
      </c>
      <c r="G2970">
        <v>1</v>
      </c>
      <c r="H2970">
        <v>0.2</v>
      </c>
      <c r="I2970">
        <v>0</v>
      </c>
      <c r="J2970">
        <v>34.497799999999998</v>
      </c>
      <c r="K2970">
        <v>520.39</v>
      </c>
      <c r="L2970" s="1">
        <f>0</f>
        <v>0</v>
      </c>
    </row>
    <row r="2971" spans="1:12" x14ac:dyDescent="0.25">
      <c r="A2971">
        <f>80646396*0.00001</f>
        <v>806.46396000000004</v>
      </c>
      <c r="B2971">
        <v>3506</v>
      </c>
      <c r="C2971">
        <v>108</v>
      </c>
      <c r="D2971">
        <v>242.70599999999999</v>
      </c>
      <c r="E2971" s="1">
        <f>5235</f>
        <v>5235</v>
      </c>
      <c r="F2971" s="1">
        <f>1614</f>
        <v>1614</v>
      </c>
      <c r="G2971">
        <v>1</v>
      </c>
      <c r="H2971">
        <v>0.2</v>
      </c>
      <c r="I2971">
        <v>0</v>
      </c>
      <c r="J2971">
        <v>34.497799999999998</v>
      </c>
      <c r="K2971">
        <v>520.39</v>
      </c>
      <c r="L2971">
        <v>0</v>
      </c>
    </row>
    <row r="2972" spans="1:12" x14ac:dyDescent="0.25">
      <c r="A2972">
        <f>80646533*0.00001</f>
        <v>806.46533000000011</v>
      </c>
      <c r="B2972">
        <v>3506</v>
      </c>
      <c r="C2972">
        <v>109</v>
      </c>
      <c r="D2972">
        <v>242.70599999999999</v>
      </c>
      <c r="E2972">
        <v>5235</v>
      </c>
      <c r="F2972">
        <v>1614</v>
      </c>
      <c r="G2972">
        <v>1</v>
      </c>
      <c r="H2972" s="1">
        <f>0.2</f>
        <v>0.2</v>
      </c>
      <c r="I2972">
        <v>0</v>
      </c>
      <c r="J2972">
        <v>34.497799999999998</v>
      </c>
      <c r="K2972">
        <v>520.39</v>
      </c>
      <c r="L2972">
        <v>0</v>
      </c>
    </row>
    <row r="2973" spans="1:12" x14ac:dyDescent="0.25">
      <c r="A2973">
        <f>80646670*0.00001</f>
        <v>806.46670000000006</v>
      </c>
      <c r="B2973">
        <v>3506</v>
      </c>
      <c r="C2973">
        <v>110</v>
      </c>
      <c r="D2973">
        <v>242.70599999999999</v>
      </c>
      <c r="E2973">
        <v>5235</v>
      </c>
      <c r="F2973">
        <v>1614</v>
      </c>
      <c r="G2973">
        <v>1</v>
      </c>
      <c r="H2973">
        <v>0.2</v>
      </c>
      <c r="I2973">
        <v>0</v>
      </c>
      <c r="J2973" s="1">
        <f>34.5989</f>
        <v>34.5989</v>
      </c>
      <c r="K2973">
        <v>520.39</v>
      </c>
      <c r="L2973">
        <v>0</v>
      </c>
    </row>
    <row r="2974" spans="1:12" x14ac:dyDescent="0.25">
      <c r="A2974">
        <f>80646807*0.00001</f>
        <v>806.46807000000001</v>
      </c>
      <c r="B2974">
        <v>3506</v>
      </c>
      <c r="C2974">
        <v>111</v>
      </c>
      <c r="D2974">
        <v>242.70599999999999</v>
      </c>
      <c r="E2974">
        <v>5235</v>
      </c>
      <c r="F2974">
        <v>1614</v>
      </c>
      <c r="G2974">
        <v>1</v>
      </c>
      <c r="H2974">
        <v>0.2</v>
      </c>
      <c r="I2974">
        <v>0</v>
      </c>
      <c r="J2974">
        <v>34.5989</v>
      </c>
      <c r="K2974">
        <v>520.39</v>
      </c>
      <c r="L2974" s="1">
        <f>0</f>
        <v>0</v>
      </c>
    </row>
    <row r="2975" spans="1:12" x14ac:dyDescent="0.25">
      <c r="A2975">
        <f>80646944*0.00001</f>
        <v>806.46944000000008</v>
      </c>
      <c r="B2975">
        <v>3506</v>
      </c>
      <c r="C2975">
        <v>112</v>
      </c>
      <c r="D2975">
        <v>242.70599999999999</v>
      </c>
      <c r="E2975" s="1">
        <f>5236</f>
        <v>5236</v>
      </c>
      <c r="F2975">
        <v>1614</v>
      </c>
      <c r="G2975">
        <v>1</v>
      </c>
      <c r="H2975">
        <v>0.2</v>
      </c>
      <c r="I2975">
        <v>0</v>
      </c>
      <c r="J2975">
        <v>34.5989</v>
      </c>
      <c r="K2975">
        <v>520.39</v>
      </c>
      <c r="L2975">
        <v>0</v>
      </c>
    </row>
    <row r="2976" spans="1:12" x14ac:dyDescent="0.25">
      <c r="A2976">
        <f>80647081*0.00001</f>
        <v>806.47081000000003</v>
      </c>
      <c r="B2976">
        <v>3506</v>
      </c>
      <c r="C2976">
        <v>113</v>
      </c>
      <c r="D2976">
        <v>242.70599999999999</v>
      </c>
      <c r="E2976">
        <v>5236</v>
      </c>
      <c r="F2976">
        <v>1614</v>
      </c>
      <c r="G2976" s="1">
        <f>1</f>
        <v>1</v>
      </c>
      <c r="H2976">
        <v>0.2</v>
      </c>
      <c r="I2976">
        <v>0</v>
      </c>
      <c r="J2976">
        <v>34.5989</v>
      </c>
      <c r="K2976">
        <v>520.39</v>
      </c>
      <c r="L2976">
        <v>0</v>
      </c>
    </row>
    <row r="2977" spans="1:12" x14ac:dyDescent="0.25">
      <c r="A2977">
        <f>80647218*0.00001</f>
        <v>806.47218000000009</v>
      </c>
      <c r="B2977">
        <v>3506</v>
      </c>
      <c r="C2977">
        <v>114</v>
      </c>
      <c r="D2977">
        <v>242.70599999999999</v>
      </c>
      <c r="E2977">
        <v>5236</v>
      </c>
      <c r="F2977">
        <v>1614</v>
      </c>
      <c r="G2977">
        <v>1</v>
      </c>
      <c r="H2977">
        <v>0.2</v>
      </c>
      <c r="I2977" s="1">
        <f>0</f>
        <v>0</v>
      </c>
      <c r="J2977">
        <v>34.5989</v>
      </c>
      <c r="K2977">
        <v>520.39</v>
      </c>
      <c r="L2977">
        <v>0</v>
      </c>
    </row>
    <row r="2978" spans="1:12" x14ac:dyDescent="0.25">
      <c r="A2978">
        <f>80647355*0.00001</f>
        <v>806.47355000000005</v>
      </c>
      <c r="B2978">
        <v>3506</v>
      </c>
      <c r="C2978">
        <v>115</v>
      </c>
      <c r="D2978" s="1">
        <f>242.764</f>
        <v>242.76400000000001</v>
      </c>
      <c r="E2978" s="1">
        <f>5237</f>
        <v>5237</v>
      </c>
      <c r="F2978" s="1">
        <f>1614</f>
        <v>1614</v>
      </c>
      <c r="G2978" s="1">
        <f>1</f>
        <v>1</v>
      </c>
      <c r="H2978" s="1">
        <f>0.2</f>
        <v>0.2</v>
      </c>
      <c r="I2978" s="1">
        <f>0</f>
        <v>0</v>
      </c>
      <c r="J2978" s="1">
        <f>34.8863</f>
        <v>34.886299999999999</v>
      </c>
      <c r="K2978" s="1">
        <f>520.514</f>
        <v>520.51400000000001</v>
      </c>
      <c r="L2978" s="1">
        <f>0</f>
        <v>0</v>
      </c>
    </row>
    <row r="2979" spans="1:12" x14ac:dyDescent="0.25">
      <c r="A2979">
        <f>80648313*0.00001</f>
        <v>806.48313000000007</v>
      </c>
      <c r="B2979">
        <v>3506</v>
      </c>
      <c r="C2979">
        <v>122</v>
      </c>
      <c r="D2979">
        <v>242.76400000000001</v>
      </c>
      <c r="E2979">
        <v>5237</v>
      </c>
      <c r="F2979">
        <v>1614</v>
      </c>
      <c r="G2979" s="1">
        <f>1</f>
        <v>1</v>
      </c>
      <c r="H2979" s="1">
        <f>0.2</f>
        <v>0.2</v>
      </c>
      <c r="I2979">
        <v>0</v>
      </c>
      <c r="J2979">
        <v>34.886299999999999</v>
      </c>
      <c r="K2979">
        <v>520.51400000000001</v>
      </c>
      <c r="L2979">
        <v>0</v>
      </c>
    </row>
    <row r="2980" spans="1:12" x14ac:dyDescent="0.25">
      <c r="A2980">
        <f>80648450*0.00001</f>
        <v>806.48450000000003</v>
      </c>
      <c r="B2980">
        <v>3506</v>
      </c>
      <c r="C2980">
        <v>123</v>
      </c>
      <c r="D2980">
        <v>242.76400000000001</v>
      </c>
      <c r="E2980">
        <v>5237</v>
      </c>
      <c r="F2980">
        <v>1614</v>
      </c>
      <c r="G2980">
        <v>1</v>
      </c>
      <c r="H2980">
        <v>0.2</v>
      </c>
      <c r="I2980" s="1">
        <f>0</f>
        <v>0</v>
      </c>
      <c r="J2980" s="1">
        <f>34.9994</f>
        <v>34.999400000000001</v>
      </c>
      <c r="K2980">
        <v>520.51400000000001</v>
      </c>
      <c r="L2980">
        <v>0</v>
      </c>
    </row>
    <row r="2981" spans="1:12" x14ac:dyDescent="0.25">
      <c r="A2981">
        <f>80648586*0.00001</f>
        <v>806.48586000000012</v>
      </c>
      <c r="B2981">
        <v>3506</v>
      </c>
      <c r="C2981">
        <v>124</v>
      </c>
      <c r="D2981">
        <v>242.76400000000001</v>
      </c>
      <c r="E2981">
        <v>5237</v>
      </c>
      <c r="F2981">
        <v>1614</v>
      </c>
      <c r="G2981">
        <v>1</v>
      </c>
      <c r="H2981">
        <v>0.2</v>
      </c>
      <c r="I2981">
        <v>0</v>
      </c>
      <c r="J2981">
        <v>34.999400000000001</v>
      </c>
      <c r="K2981" s="1">
        <f>520.562</f>
        <v>520.56200000000001</v>
      </c>
      <c r="L2981" s="1">
        <f>0</f>
        <v>0</v>
      </c>
    </row>
    <row r="2982" spans="1:12" x14ac:dyDescent="0.25">
      <c r="A2982">
        <f>80648723*0.00001</f>
        <v>806.48723000000007</v>
      </c>
      <c r="B2982">
        <v>3506</v>
      </c>
      <c r="C2982">
        <v>125</v>
      </c>
      <c r="D2982" s="1">
        <f>242.777</f>
        <v>242.77699999999999</v>
      </c>
      <c r="E2982" s="1">
        <f>5238</f>
        <v>5238</v>
      </c>
      <c r="F2982">
        <v>1614</v>
      </c>
      <c r="G2982">
        <v>1</v>
      </c>
      <c r="H2982">
        <v>0.2</v>
      </c>
      <c r="I2982">
        <v>0</v>
      </c>
      <c r="J2982">
        <v>34.999400000000001</v>
      </c>
      <c r="K2982">
        <v>520.56200000000001</v>
      </c>
      <c r="L2982">
        <v>0</v>
      </c>
    </row>
    <row r="2983" spans="1:12" x14ac:dyDescent="0.25">
      <c r="A2983">
        <f>80648860*0.00001</f>
        <v>806.48860000000002</v>
      </c>
      <c r="B2983">
        <v>3506</v>
      </c>
      <c r="C2983">
        <v>126</v>
      </c>
      <c r="D2983">
        <v>242.77699999999999</v>
      </c>
      <c r="E2983">
        <v>5238</v>
      </c>
      <c r="F2983" s="1">
        <f>1614</f>
        <v>1614</v>
      </c>
      <c r="G2983" s="1">
        <f>1</f>
        <v>1</v>
      </c>
      <c r="H2983">
        <v>0.2</v>
      </c>
      <c r="I2983">
        <v>0</v>
      </c>
      <c r="J2983">
        <v>34.999400000000001</v>
      </c>
      <c r="K2983">
        <v>520.56200000000001</v>
      </c>
      <c r="L2983">
        <v>0</v>
      </c>
    </row>
    <row r="2984" spans="1:12" x14ac:dyDescent="0.25">
      <c r="A2984">
        <f>80648996*0.00001</f>
        <v>806.48996000000011</v>
      </c>
      <c r="B2984">
        <v>3506</v>
      </c>
      <c r="C2984">
        <v>127</v>
      </c>
      <c r="D2984">
        <v>242.77699999999999</v>
      </c>
      <c r="E2984">
        <v>5238</v>
      </c>
      <c r="F2984">
        <v>1614</v>
      </c>
      <c r="G2984">
        <v>1</v>
      </c>
      <c r="H2984" s="1">
        <f>0.2</f>
        <v>0.2</v>
      </c>
      <c r="I2984" s="1">
        <f>0</f>
        <v>0</v>
      </c>
      <c r="J2984">
        <v>34.999400000000001</v>
      </c>
      <c r="K2984">
        <v>520.56200000000001</v>
      </c>
      <c r="L2984">
        <v>0</v>
      </c>
    </row>
    <row r="2985" spans="1:12" x14ac:dyDescent="0.25">
      <c r="A2985">
        <f>80649133*0.00001</f>
        <v>806.49133000000006</v>
      </c>
      <c r="B2985">
        <v>3506</v>
      </c>
      <c r="C2985">
        <v>128</v>
      </c>
      <c r="D2985">
        <v>242.77699999999999</v>
      </c>
      <c r="E2985">
        <v>5238</v>
      </c>
      <c r="F2985">
        <v>1614</v>
      </c>
      <c r="G2985">
        <v>1</v>
      </c>
      <c r="H2985">
        <v>0.2</v>
      </c>
      <c r="I2985">
        <v>0</v>
      </c>
      <c r="J2985">
        <v>34.999400000000001</v>
      </c>
      <c r="K2985" s="1">
        <f>520.6</f>
        <v>520.6</v>
      </c>
      <c r="L2985">
        <v>0</v>
      </c>
    </row>
    <row r="2986" spans="1:12" x14ac:dyDescent="0.25">
      <c r="A2986">
        <f>80649269*0.00001</f>
        <v>806.49269000000004</v>
      </c>
      <c r="B2986">
        <v>3506</v>
      </c>
      <c r="C2986">
        <v>129</v>
      </c>
      <c r="D2986" s="1">
        <f>242.786</f>
        <v>242.786</v>
      </c>
      <c r="E2986">
        <v>5238</v>
      </c>
      <c r="F2986">
        <v>1614</v>
      </c>
      <c r="G2986">
        <v>1</v>
      </c>
      <c r="H2986">
        <v>0.2</v>
      </c>
      <c r="I2986">
        <v>0</v>
      </c>
      <c r="J2986">
        <v>34.999400000000001</v>
      </c>
      <c r="K2986">
        <v>520.6</v>
      </c>
      <c r="L2986">
        <v>0</v>
      </c>
    </row>
    <row r="2987" spans="1:12" x14ac:dyDescent="0.25">
      <c r="A2987">
        <f>80649405*0.00001</f>
        <v>806.49405000000002</v>
      </c>
      <c r="B2987">
        <v>3506</v>
      </c>
      <c r="C2987">
        <v>130</v>
      </c>
      <c r="D2987">
        <v>242.786</v>
      </c>
      <c r="E2987">
        <v>5238</v>
      </c>
      <c r="F2987" s="1">
        <f>1614</f>
        <v>1614</v>
      </c>
      <c r="G2987">
        <v>1</v>
      </c>
      <c r="H2987">
        <v>0.2</v>
      </c>
      <c r="I2987">
        <v>0</v>
      </c>
      <c r="J2987">
        <v>34.999400000000001</v>
      </c>
      <c r="K2987">
        <v>520.6</v>
      </c>
      <c r="L2987">
        <v>0</v>
      </c>
    </row>
    <row r="2988" spans="1:12" x14ac:dyDescent="0.25">
      <c r="A2988">
        <f>80649542*0.00001</f>
        <v>806.49542000000008</v>
      </c>
      <c r="B2988">
        <v>3506</v>
      </c>
      <c r="C2988">
        <v>131</v>
      </c>
      <c r="D2988">
        <v>242.786</v>
      </c>
      <c r="E2988">
        <v>5238</v>
      </c>
      <c r="F2988">
        <v>1614</v>
      </c>
      <c r="G2988">
        <v>1</v>
      </c>
      <c r="H2988" s="1">
        <f>0.2</f>
        <v>0.2</v>
      </c>
      <c r="I2988">
        <v>0</v>
      </c>
      <c r="J2988">
        <v>34.999400000000001</v>
      </c>
      <c r="K2988">
        <v>520.6</v>
      </c>
      <c r="L2988">
        <v>0</v>
      </c>
    </row>
    <row r="2989" spans="1:12" x14ac:dyDescent="0.25">
      <c r="A2989">
        <f>80649679*0.00001</f>
        <v>806.49679000000003</v>
      </c>
      <c r="B2989">
        <v>3506</v>
      </c>
      <c r="C2989">
        <v>132</v>
      </c>
      <c r="D2989">
        <v>242.786</v>
      </c>
      <c r="E2989">
        <v>5238</v>
      </c>
      <c r="F2989">
        <v>1614</v>
      </c>
      <c r="G2989">
        <v>1</v>
      </c>
      <c r="H2989">
        <v>0.2</v>
      </c>
      <c r="I2989">
        <v>0</v>
      </c>
      <c r="J2989" s="1">
        <f>35.2805</f>
        <v>35.280500000000004</v>
      </c>
      <c r="K2989">
        <v>520.6</v>
      </c>
      <c r="L2989">
        <v>0</v>
      </c>
    </row>
    <row r="2990" spans="1:12" x14ac:dyDescent="0.25">
      <c r="A2990">
        <f>80649815*0.00001</f>
        <v>806.49815000000001</v>
      </c>
      <c r="B2990">
        <v>3506</v>
      </c>
      <c r="C2990">
        <v>133</v>
      </c>
      <c r="D2990">
        <v>242.786</v>
      </c>
      <c r="E2990">
        <v>5238</v>
      </c>
      <c r="F2990">
        <v>1614</v>
      </c>
      <c r="G2990">
        <v>1</v>
      </c>
      <c r="H2990">
        <v>0.2</v>
      </c>
      <c r="I2990">
        <v>0</v>
      </c>
      <c r="J2990">
        <v>35.280500000000004</v>
      </c>
      <c r="K2990">
        <v>520.6</v>
      </c>
      <c r="L2990" s="1">
        <f>0</f>
        <v>0</v>
      </c>
    </row>
    <row r="2991" spans="1:12" x14ac:dyDescent="0.25">
      <c r="A2991">
        <f>80649952*0.00001</f>
        <v>806.49952000000008</v>
      </c>
      <c r="B2991">
        <v>3506</v>
      </c>
      <c r="C2991">
        <v>134</v>
      </c>
      <c r="D2991" s="1">
        <f>242.8</f>
        <v>242.8</v>
      </c>
      <c r="E2991" s="1">
        <f>5240</f>
        <v>5240</v>
      </c>
      <c r="F2991" s="1">
        <f>1614</f>
        <v>1614</v>
      </c>
      <c r="G2991" s="1">
        <f>1</f>
        <v>1</v>
      </c>
      <c r="H2991" s="1">
        <f>0.2</f>
        <v>0.2</v>
      </c>
      <c r="I2991" s="1">
        <f>0</f>
        <v>0</v>
      </c>
      <c r="J2991" s="1">
        <f>35.4245</f>
        <v>35.424500000000002</v>
      </c>
      <c r="K2991" s="1">
        <f>520.687</f>
        <v>520.68700000000001</v>
      </c>
      <c r="L2991" s="1">
        <f>0</f>
        <v>0</v>
      </c>
    </row>
    <row r="2992" spans="1:12" x14ac:dyDescent="0.25">
      <c r="A2992">
        <f>80650909*0.00001</f>
        <v>806.50909000000001</v>
      </c>
      <c r="B2992">
        <v>3506</v>
      </c>
      <c r="C2992">
        <v>141</v>
      </c>
      <c r="D2992">
        <v>242.8</v>
      </c>
      <c r="E2992">
        <v>5240</v>
      </c>
      <c r="F2992">
        <v>1614</v>
      </c>
      <c r="G2992">
        <v>1</v>
      </c>
      <c r="H2992">
        <v>0.2</v>
      </c>
      <c r="I2992">
        <v>0</v>
      </c>
      <c r="J2992" s="1">
        <f>35.5935</f>
        <v>35.593499999999999</v>
      </c>
      <c r="K2992" s="1">
        <f>520.727</f>
        <v>520.72699999999998</v>
      </c>
      <c r="L2992">
        <v>0</v>
      </c>
    </row>
    <row r="2993" spans="1:12" x14ac:dyDescent="0.25">
      <c r="A2993">
        <f>80651045*0.00001</f>
        <v>806.51045000000011</v>
      </c>
      <c r="B2993">
        <v>3506</v>
      </c>
      <c r="C2993">
        <v>142</v>
      </c>
      <c r="D2993" s="1">
        <f>242.804</f>
        <v>242.804</v>
      </c>
      <c r="E2993">
        <v>5240</v>
      </c>
      <c r="F2993">
        <v>1614</v>
      </c>
      <c r="G2993">
        <v>1</v>
      </c>
      <c r="H2993">
        <v>0.2</v>
      </c>
      <c r="I2993">
        <v>0</v>
      </c>
      <c r="J2993">
        <v>35.593499999999999</v>
      </c>
      <c r="K2993">
        <v>520.72699999999998</v>
      </c>
      <c r="L2993" s="1">
        <f>0</f>
        <v>0</v>
      </c>
    </row>
    <row r="2994" spans="1:12" x14ac:dyDescent="0.25">
      <c r="A2994">
        <f>80651182*0.00001</f>
        <v>806.51182000000006</v>
      </c>
      <c r="B2994">
        <v>3506</v>
      </c>
      <c r="C2994">
        <v>143</v>
      </c>
      <c r="D2994">
        <v>242.804</v>
      </c>
      <c r="E2994" s="1">
        <f>5241</f>
        <v>5241</v>
      </c>
      <c r="F2994" s="1">
        <f>1614</f>
        <v>1614</v>
      </c>
      <c r="G2994">
        <v>1</v>
      </c>
      <c r="H2994">
        <v>0.2</v>
      </c>
      <c r="I2994">
        <v>0</v>
      </c>
      <c r="J2994">
        <v>35.593499999999999</v>
      </c>
      <c r="K2994">
        <v>520.72699999999998</v>
      </c>
      <c r="L2994">
        <v>0</v>
      </c>
    </row>
    <row r="2995" spans="1:12" x14ac:dyDescent="0.25">
      <c r="A2995">
        <f>80651319*0.00001</f>
        <v>806.51319000000012</v>
      </c>
      <c r="B2995">
        <v>3506</v>
      </c>
      <c r="C2995">
        <v>144</v>
      </c>
      <c r="D2995">
        <v>242.804</v>
      </c>
      <c r="E2995">
        <v>5241</v>
      </c>
      <c r="F2995">
        <v>1614</v>
      </c>
      <c r="G2995" s="1">
        <f>1</f>
        <v>1</v>
      </c>
      <c r="H2995" s="1">
        <f>0.2</f>
        <v>0.2</v>
      </c>
      <c r="I2995">
        <v>0</v>
      </c>
      <c r="J2995">
        <v>35.593499999999999</v>
      </c>
      <c r="K2995">
        <v>520.72699999999998</v>
      </c>
      <c r="L2995">
        <v>0</v>
      </c>
    </row>
    <row r="2996" spans="1:12" x14ac:dyDescent="0.25">
      <c r="A2996">
        <f>80651455*0.00001</f>
        <v>806.5145500000001</v>
      </c>
      <c r="B2996">
        <v>3506</v>
      </c>
      <c r="C2996">
        <v>145</v>
      </c>
      <c r="D2996">
        <v>242.804</v>
      </c>
      <c r="E2996">
        <v>5241</v>
      </c>
      <c r="F2996">
        <v>1614</v>
      </c>
      <c r="G2996">
        <v>1</v>
      </c>
      <c r="H2996">
        <v>0.2</v>
      </c>
      <c r="I2996" s="1">
        <f>0</f>
        <v>0</v>
      </c>
      <c r="J2996" s="1">
        <f>35.7147</f>
        <v>35.714700000000001</v>
      </c>
      <c r="K2996">
        <v>520.72699999999998</v>
      </c>
      <c r="L2996">
        <v>0</v>
      </c>
    </row>
    <row r="2997" spans="1:12" x14ac:dyDescent="0.25">
      <c r="A2997">
        <f>80651592*0.00001</f>
        <v>806.51592000000005</v>
      </c>
      <c r="B2997">
        <v>3506</v>
      </c>
      <c r="C2997">
        <v>146</v>
      </c>
      <c r="D2997">
        <v>242.804</v>
      </c>
      <c r="E2997">
        <v>5241</v>
      </c>
      <c r="F2997">
        <v>1614</v>
      </c>
      <c r="G2997">
        <v>1</v>
      </c>
      <c r="H2997">
        <v>0.2</v>
      </c>
      <c r="I2997">
        <v>0</v>
      </c>
      <c r="J2997">
        <v>35.714700000000001</v>
      </c>
      <c r="K2997" s="1">
        <f>520.775</f>
        <v>520.77499999999998</v>
      </c>
      <c r="L2997" s="1">
        <f>0</f>
        <v>0</v>
      </c>
    </row>
    <row r="2998" spans="1:12" x14ac:dyDescent="0.25">
      <c r="A2998">
        <f>80651729*0.00001</f>
        <v>806.51729000000012</v>
      </c>
      <c r="B2998">
        <v>3506</v>
      </c>
      <c r="C2998">
        <v>147</v>
      </c>
      <c r="D2998">
        <v>242.804</v>
      </c>
      <c r="E2998" s="1">
        <f>5242</f>
        <v>5242</v>
      </c>
      <c r="F2998">
        <v>1614</v>
      </c>
      <c r="G2998">
        <v>1</v>
      </c>
      <c r="H2998">
        <v>0.2</v>
      </c>
      <c r="I2998">
        <v>0</v>
      </c>
      <c r="J2998">
        <v>35.714700000000001</v>
      </c>
      <c r="K2998">
        <v>520.77499999999998</v>
      </c>
      <c r="L2998">
        <v>0</v>
      </c>
    </row>
    <row r="2999" spans="1:12" x14ac:dyDescent="0.25">
      <c r="A2999">
        <f>80651865*0.00001</f>
        <v>806.51865000000009</v>
      </c>
      <c r="B2999">
        <v>3506</v>
      </c>
      <c r="C2999">
        <v>148</v>
      </c>
      <c r="D2999">
        <v>242.804</v>
      </c>
      <c r="E2999">
        <v>5242</v>
      </c>
      <c r="F2999">
        <v>1614</v>
      </c>
      <c r="G2999" s="1">
        <f>1</f>
        <v>1</v>
      </c>
      <c r="H2999">
        <v>0.2</v>
      </c>
      <c r="I2999">
        <v>0</v>
      </c>
      <c r="J2999">
        <v>35.714700000000001</v>
      </c>
      <c r="K2999">
        <v>520.77499999999998</v>
      </c>
      <c r="L2999">
        <v>0</v>
      </c>
    </row>
    <row r="3000" spans="1:12" x14ac:dyDescent="0.25">
      <c r="A3000">
        <f>80652002*0.00001</f>
        <v>806.52002000000005</v>
      </c>
      <c r="B3000">
        <v>3506</v>
      </c>
      <c r="C3000">
        <v>149</v>
      </c>
      <c r="D3000">
        <v>242.804</v>
      </c>
      <c r="E3000">
        <v>5242</v>
      </c>
      <c r="F3000">
        <v>1614</v>
      </c>
      <c r="G3000">
        <v>1</v>
      </c>
      <c r="H3000">
        <v>0.2</v>
      </c>
      <c r="I3000" s="1">
        <f>0</f>
        <v>0</v>
      </c>
      <c r="J3000">
        <v>35.714700000000001</v>
      </c>
      <c r="K3000">
        <v>520.77499999999998</v>
      </c>
      <c r="L3000">
        <v>0</v>
      </c>
    </row>
    <row r="3001" spans="1:12" x14ac:dyDescent="0.25">
      <c r="A3001">
        <f>80652139*0.00001</f>
        <v>806.52139000000011</v>
      </c>
      <c r="B3001">
        <v>3506</v>
      </c>
      <c r="C3001">
        <v>150</v>
      </c>
      <c r="D3001">
        <v>242.804</v>
      </c>
      <c r="E3001">
        <v>5242</v>
      </c>
      <c r="F3001">
        <v>1614</v>
      </c>
      <c r="G3001">
        <v>1</v>
      </c>
      <c r="H3001">
        <v>0.2</v>
      </c>
      <c r="I3001">
        <v>0</v>
      </c>
      <c r="J3001">
        <v>35.714700000000001</v>
      </c>
      <c r="K3001" s="1">
        <f>520.815</f>
        <v>520.81500000000005</v>
      </c>
      <c r="L3001">
        <v>0</v>
      </c>
    </row>
    <row r="3002" spans="1:12" x14ac:dyDescent="0.25">
      <c r="A3002">
        <f>80652275*0.00001</f>
        <v>806.52275000000009</v>
      </c>
      <c r="B3002">
        <v>3506</v>
      </c>
      <c r="C3002">
        <v>151</v>
      </c>
      <c r="D3002" s="1">
        <f>242.811</f>
        <v>242.81100000000001</v>
      </c>
      <c r="E3002">
        <v>5242</v>
      </c>
      <c r="F3002">
        <v>1614</v>
      </c>
      <c r="G3002">
        <v>1</v>
      </c>
      <c r="H3002">
        <v>0.2</v>
      </c>
      <c r="I3002">
        <v>0</v>
      </c>
      <c r="J3002">
        <v>35.714700000000001</v>
      </c>
      <c r="K3002">
        <v>520.81500000000005</v>
      </c>
      <c r="L3002">
        <v>0</v>
      </c>
    </row>
    <row r="3003" spans="1:12" x14ac:dyDescent="0.25">
      <c r="A3003">
        <f>80652412*0.00001</f>
        <v>806.52412000000004</v>
      </c>
      <c r="B3003">
        <v>3506</v>
      </c>
      <c r="C3003">
        <v>152</v>
      </c>
      <c r="D3003" s="1">
        <f>242.813</f>
        <v>242.81299999999999</v>
      </c>
      <c r="E3003" s="1">
        <f>5244</f>
        <v>5244</v>
      </c>
      <c r="F3003" s="1">
        <f>1614</f>
        <v>1614</v>
      </c>
      <c r="G3003" s="1">
        <f>1</f>
        <v>1</v>
      </c>
      <c r="H3003" s="1">
        <f>0.2</f>
        <v>0.2</v>
      </c>
      <c r="I3003" s="1">
        <f>0</f>
        <v>0</v>
      </c>
      <c r="J3003" s="1">
        <f>36.1564</f>
        <v>36.156399999999998</v>
      </c>
      <c r="K3003" s="1">
        <f>520.904</f>
        <v>520.904</v>
      </c>
      <c r="L3003" s="1">
        <f>0</f>
        <v>0</v>
      </c>
    </row>
    <row r="3004" spans="1:12" x14ac:dyDescent="0.25">
      <c r="A3004">
        <f>80653506*0.00001</f>
        <v>806.53506000000004</v>
      </c>
      <c r="B3004">
        <v>3506</v>
      </c>
      <c r="C3004">
        <v>160</v>
      </c>
      <c r="D3004" s="1">
        <f>242.816</f>
        <v>242.816</v>
      </c>
      <c r="E3004" s="1">
        <f>5246</f>
        <v>5246</v>
      </c>
      <c r="F3004">
        <v>1614</v>
      </c>
      <c r="G3004">
        <v>1</v>
      </c>
      <c r="H3004">
        <v>0.2</v>
      </c>
      <c r="I3004">
        <v>0</v>
      </c>
      <c r="J3004">
        <v>36.156399999999998</v>
      </c>
      <c r="K3004">
        <v>520.904</v>
      </c>
      <c r="L3004">
        <v>0</v>
      </c>
    </row>
    <row r="3005" spans="1:12" x14ac:dyDescent="0.25">
      <c r="A3005">
        <f>80653643*0.00001</f>
        <v>806.53643000000011</v>
      </c>
      <c r="B3005">
        <v>3506</v>
      </c>
      <c r="C3005">
        <v>161</v>
      </c>
      <c r="D3005">
        <v>242.816</v>
      </c>
      <c r="E3005">
        <v>5246</v>
      </c>
      <c r="F3005" s="1">
        <f>1614</f>
        <v>1614</v>
      </c>
      <c r="G3005" s="1">
        <f>1</f>
        <v>1</v>
      </c>
      <c r="H3005">
        <v>0.2</v>
      </c>
      <c r="I3005">
        <v>0</v>
      </c>
      <c r="J3005">
        <v>36.156399999999998</v>
      </c>
      <c r="K3005">
        <v>520.904</v>
      </c>
      <c r="L3005">
        <v>0</v>
      </c>
    </row>
    <row r="3006" spans="1:12" x14ac:dyDescent="0.25">
      <c r="A3006">
        <f>80653780*0.00001</f>
        <v>806.53780000000006</v>
      </c>
      <c r="B3006">
        <v>3506</v>
      </c>
      <c r="C3006">
        <v>162</v>
      </c>
      <c r="D3006">
        <v>242.816</v>
      </c>
      <c r="E3006">
        <v>5246</v>
      </c>
      <c r="F3006">
        <v>1614</v>
      </c>
      <c r="G3006">
        <v>1</v>
      </c>
      <c r="H3006" s="1">
        <f>0.2</f>
        <v>0.2</v>
      </c>
      <c r="I3006" s="1">
        <f>0</f>
        <v>0</v>
      </c>
      <c r="J3006">
        <v>36.156399999999998</v>
      </c>
      <c r="K3006">
        <v>520.904</v>
      </c>
      <c r="L3006">
        <v>0</v>
      </c>
    </row>
    <row r="3007" spans="1:12" x14ac:dyDescent="0.25">
      <c r="A3007">
        <f>80653916*0.00001</f>
        <v>806.53916000000004</v>
      </c>
      <c r="B3007">
        <v>3506</v>
      </c>
      <c r="C3007">
        <v>163</v>
      </c>
      <c r="D3007">
        <v>242.816</v>
      </c>
      <c r="E3007">
        <v>5246</v>
      </c>
      <c r="F3007">
        <v>1614</v>
      </c>
      <c r="G3007">
        <v>1</v>
      </c>
      <c r="H3007">
        <v>0.2</v>
      </c>
      <c r="I3007">
        <v>0</v>
      </c>
      <c r="J3007" s="1">
        <f>36.3295</f>
        <v>36.329500000000003</v>
      </c>
      <c r="K3007" s="1">
        <f>520.944</f>
        <v>520.94399999999996</v>
      </c>
      <c r="L3007">
        <v>0</v>
      </c>
    </row>
    <row r="3008" spans="1:12" x14ac:dyDescent="0.25">
      <c r="A3008">
        <f>80654053*0.00001</f>
        <v>806.5405300000001</v>
      </c>
      <c r="B3008">
        <v>3506</v>
      </c>
      <c r="C3008">
        <v>164</v>
      </c>
      <c r="D3008" s="1">
        <f>242.817</f>
        <v>242.81700000000001</v>
      </c>
      <c r="E3008">
        <v>5246</v>
      </c>
      <c r="F3008">
        <v>1614</v>
      </c>
      <c r="G3008">
        <v>1</v>
      </c>
      <c r="H3008">
        <v>0.2</v>
      </c>
      <c r="I3008">
        <v>0</v>
      </c>
      <c r="J3008">
        <v>36.329500000000003</v>
      </c>
      <c r="K3008">
        <v>520.94399999999996</v>
      </c>
      <c r="L3008" s="1">
        <f>0</f>
        <v>0</v>
      </c>
    </row>
    <row r="3009" spans="1:12" x14ac:dyDescent="0.25">
      <c r="A3009">
        <f>80654190*0.00001</f>
        <v>806.54190000000006</v>
      </c>
      <c r="B3009">
        <v>3506</v>
      </c>
      <c r="C3009">
        <v>165</v>
      </c>
      <c r="D3009">
        <v>242.81700000000001</v>
      </c>
      <c r="E3009">
        <v>5246</v>
      </c>
      <c r="F3009" s="1">
        <f>1614</f>
        <v>1614</v>
      </c>
      <c r="G3009">
        <v>1</v>
      </c>
      <c r="H3009">
        <v>0.2</v>
      </c>
      <c r="I3009">
        <v>0</v>
      </c>
      <c r="J3009">
        <v>36.329500000000003</v>
      </c>
      <c r="K3009">
        <v>520.94399999999996</v>
      </c>
      <c r="L3009">
        <v>0</v>
      </c>
    </row>
    <row r="3010" spans="1:12" x14ac:dyDescent="0.25">
      <c r="A3010">
        <f>80654326*0.00001</f>
        <v>806.54326000000003</v>
      </c>
      <c r="B3010">
        <v>3506</v>
      </c>
      <c r="C3010">
        <v>166</v>
      </c>
      <c r="D3010">
        <v>242.81700000000001</v>
      </c>
      <c r="E3010">
        <v>5246</v>
      </c>
      <c r="F3010">
        <v>1614</v>
      </c>
      <c r="G3010">
        <v>1</v>
      </c>
      <c r="H3010" s="1">
        <f>0.2</f>
        <v>0.2</v>
      </c>
      <c r="I3010">
        <v>0</v>
      </c>
      <c r="J3010">
        <v>36.329500000000003</v>
      </c>
      <c r="K3010">
        <v>520.94399999999996</v>
      </c>
      <c r="L3010">
        <v>0</v>
      </c>
    </row>
    <row r="3011" spans="1:12" x14ac:dyDescent="0.25">
      <c r="A3011">
        <f>80654463*0.00001</f>
        <v>806.5446300000001</v>
      </c>
      <c r="B3011">
        <v>3506</v>
      </c>
      <c r="C3011">
        <v>167</v>
      </c>
      <c r="D3011">
        <v>242.81700000000001</v>
      </c>
      <c r="E3011">
        <v>5246</v>
      </c>
      <c r="F3011">
        <v>1614</v>
      </c>
      <c r="G3011">
        <v>1</v>
      </c>
      <c r="H3011">
        <v>0.2</v>
      </c>
      <c r="I3011">
        <v>0</v>
      </c>
      <c r="J3011" s="1">
        <f>36.4534</f>
        <v>36.453400000000002</v>
      </c>
      <c r="K3011">
        <v>520.94399999999996</v>
      </c>
      <c r="L3011">
        <v>0</v>
      </c>
    </row>
    <row r="3012" spans="1:12" x14ac:dyDescent="0.25">
      <c r="A3012">
        <f>80654600*0.00001</f>
        <v>806.54600000000005</v>
      </c>
      <c r="B3012">
        <v>3506</v>
      </c>
      <c r="C3012">
        <v>168</v>
      </c>
      <c r="D3012">
        <v>242.81700000000001</v>
      </c>
      <c r="E3012">
        <v>5246</v>
      </c>
      <c r="F3012">
        <v>1614</v>
      </c>
      <c r="G3012">
        <v>1</v>
      </c>
      <c r="H3012">
        <v>0.2</v>
      </c>
      <c r="I3012">
        <v>0</v>
      </c>
      <c r="J3012">
        <v>36.453400000000002</v>
      </c>
      <c r="K3012">
        <v>520.94399999999996</v>
      </c>
      <c r="L3012" s="1">
        <f>0</f>
        <v>0</v>
      </c>
    </row>
    <row r="3013" spans="1:12" x14ac:dyDescent="0.25">
      <c r="A3013">
        <f>80654736*0.00001</f>
        <v>806.54736000000003</v>
      </c>
      <c r="B3013">
        <v>3506</v>
      </c>
      <c r="C3013">
        <v>169</v>
      </c>
      <c r="D3013">
        <v>242.81700000000001</v>
      </c>
      <c r="E3013" s="1">
        <f>5248</f>
        <v>5248</v>
      </c>
      <c r="F3013">
        <v>1614</v>
      </c>
      <c r="G3013">
        <v>1</v>
      </c>
      <c r="H3013">
        <v>0.2</v>
      </c>
      <c r="I3013">
        <v>0</v>
      </c>
      <c r="J3013">
        <v>36.453400000000002</v>
      </c>
      <c r="K3013">
        <v>520.94399999999996</v>
      </c>
      <c r="L3013">
        <v>0</v>
      </c>
    </row>
    <row r="3014" spans="1:12" x14ac:dyDescent="0.25">
      <c r="A3014">
        <f>80654873*0.00001</f>
        <v>806.54873000000009</v>
      </c>
      <c r="B3014">
        <v>3506</v>
      </c>
      <c r="C3014">
        <v>170</v>
      </c>
      <c r="D3014">
        <v>242.81700000000001</v>
      </c>
      <c r="E3014">
        <v>5248</v>
      </c>
      <c r="F3014">
        <v>1614</v>
      </c>
      <c r="G3014" s="1">
        <f>1</f>
        <v>1</v>
      </c>
      <c r="H3014">
        <v>0.2</v>
      </c>
      <c r="I3014">
        <v>0</v>
      </c>
      <c r="J3014">
        <v>36.453400000000002</v>
      </c>
      <c r="K3014">
        <v>520.94399999999996</v>
      </c>
      <c r="L3014">
        <v>0</v>
      </c>
    </row>
    <row r="3015" spans="1:12" x14ac:dyDescent="0.25">
      <c r="A3015">
        <f>80655010*0.00001</f>
        <v>806.55010000000004</v>
      </c>
      <c r="B3015">
        <v>3506</v>
      </c>
      <c r="C3015">
        <v>171</v>
      </c>
      <c r="D3015" s="1">
        <f>242.82</f>
        <v>242.82</v>
      </c>
      <c r="E3015" s="1">
        <f>5249</f>
        <v>5249</v>
      </c>
      <c r="F3015" s="1">
        <f>1614</f>
        <v>1614</v>
      </c>
      <c r="G3015" s="1">
        <f>1</f>
        <v>1</v>
      </c>
      <c r="H3015" s="1">
        <f>0.2</f>
        <v>0.2</v>
      </c>
      <c r="I3015" s="1">
        <f>0</f>
        <v>0</v>
      </c>
      <c r="J3015" s="1">
        <f>36.7513</f>
        <v>36.751300000000001</v>
      </c>
      <c r="K3015" s="1">
        <f>521.074</f>
        <v>521.07399999999996</v>
      </c>
      <c r="L3015" s="1">
        <f>0</f>
        <v>0</v>
      </c>
    </row>
    <row r="3016" spans="1:12" x14ac:dyDescent="0.25">
      <c r="A3016">
        <f>80655966*0.00001</f>
        <v>806.55966000000012</v>
      </c>
      <c r="B3016">
        <v>3506</v>
      </c>
      <c r="C3016">
        <v>178</v>
      </c>
      <c r="D3016">
        <v>242.82</v>
      </c>
      <c r="E3016" s="1">
        <f>5250</f>
        <v>5250</v>
      </c>
      <c r="F3016" s="1">
        <f>1614</f>
        <v>1614</v>
      </c>
      <c r="G3016" s="1">
        <f>1</f>
        <v>1</v>
      </c>
      <c r="H3016" s="1">
        <f>0.2</f>
        <v>0.2</v>
      </c>
      <c r="I3016">
        <v>0</v>
      </c>
      <c r="J3016">
        <v>36.751300000000001</v>
      </c>
      <c r="K3016">
        <v>521.07399999999996</v>
      </c>
      <c r="L3016">
        <v>0</v>
      </c>
    </row>
    <row r="3017" spans="1:12" s="2" customFormat="1" x14ac:dyDescent="0.25">
      <c r="A3017" s="2">
        <f>80656240*0.00001</f>
        <v>806.56240000000003</v>
      </c>
      <c r="B3017" s="2">
        <v>3507</v>
      </c>
      <c r="C3017" s="2">
        <v>0</v>
      </c>
      <c r="D3017" s="2">
        <v>242.82</v>
      </c>
      <c r="E3017" s="2">
        <v>5250</v>
      </c>
      <c r="F3017" s="2">
        <v>1614</v>
      </c>
      <c r="G3017" s="2">
        <v>1</v>
      </c>
      <c r="H3017" s="2">
        <v>0.2</v>
      </c>
      <c r="I3017" s="1">
        <f>0</f>
        <v>0</v>
      </c>
      <c r="J3017" s="1">
        <f>36.826</f>
        <v>36.826000000000001</v>
      </c>
      <c r="K3017" s="2">
        <v>521.07399999999996</v>
      </c>
      <c r="L3017" s="2">
        <v>0</v>
      </c>
    </row>
    <row r="3018" spans="1:12" x14ac:dyDescent="0.25">
      <c r="A3018">
        <f>80656377*0.00001</f>
        <v>806.56377000000009</v>
      </c>
      <c r="B3018">
        <v>3507</v>
      </c>
      <c r="C3018">
        <v>1</v>
      </c>
      <c r="D3018">
        <v>242.82</v>
      </c>
      <c r="E3018">
        <v>5250</v>
      </c>
      <c r="F3018">
        <v>1614</v>
      </c>
      <c r="G3018">
        <v>1</v>
      </c>
      <c r="H3018">
        <v>0.2</v>
      </c>
      <c r="I3018">
        <v>0</v>
      </c>
      <c r="J3018">
        <v>36.826000000000001</v>
      </c>
      <c r="K3018" s="1">
        <f>521.105</f>
        <v>521.10500000000002</v>
      </c>
      <c r="L3018" s="1">
        <f>0</f>
        <v>0</v>
      </c>
    </row>
    <row r="3019" spans="1:12" x14ac:dyDescent="0.25">
      <c r="A3019">
        <f>80656514*0.00001</f>
        <v>806.56514000000004</v>
      </c>
      <c r="B3019">
        <v>3507</v>
      </c>
      <c r="C3019">
        <v>2</v>
      </c>
      <c r="D3019" s="1">
        <f>242.821</f>
        <v>242.821</v>
      </c>
      <c r="E3019" s="1">
        <f>5251</f>
        <v>5251</v>
      </c>
      <c r="F3019">
        <v>1614</v>
      </c>
      <c r="G3019">
        <v>1</v>
      </c>
      <c r="H3019">
        <v>0.2</v>
      </c>
      <c r="I3019">
        <v>0</v>
      </c>
      <c r="J3019">
        <v>36.826000000000001</v>
      </c>
      <c r="K3019">
        <v>521.10500000000002</v>
      </c>
      <c r="L3019">
        <v>0</v>
      </c>
    </row>
    <row r="3020" spans="1:12" x14ac:dyDescent="0.25">
      <c r="A3020">
        <f>80656651*0.00001</f>
        <v>806.56651000000011</v>
      </c>
      <c r="B3020">
        <v>3507</v>
      </c>
      <c r="C3020">
        <v>3</v>
      </c>
      <c r="D3020">
        <v>242.821</v>
      </c>
      <c r="E3020">
        <v>5251</v>
      </c>
      <c r="F3020">
        <v>1614</v>
      </c>
      <c r="G3020" s="1">
        <f>1</f>
        <v>1</v>
      </c>
      <c r="H3020">
        <v>0.2</v>
      </c>
      <c r="I3020">
        <v>0</v>
      </c>
      <c r="J3020">
        <v>36.826000000000001</v>
      </c>
      <c r="K3020">
        <v>521.10500000000002</v>
      </c>
      <c r="L3020">
        <v>0</v>
      </c>
    </row>
    <row r="3021" spans="1:12" x14ac:dyDescent="0.25">
      <c r="A3021">
        <f>80656787*0.00001</f>
        <v>806.56787000000008</v>
      </c>
      <c r="B3021">
        <v>3507</v>
      </c>
      <c r="C3021">
        <v>4</v>
      </c>
      <c r="D3021">
        <v>242.821</v>
      </c>
      <c r="E3021">
        <v>5251</v>
      </c>
      <c r="F3021">
        <v>1614</v>
      </c>
      <c r="G3021">
        <v>1</v>
      </c>
      <c r="H3021">
        <v>0.2</v>
      </c>
      <c r="I3021" s="1">
        <f>0</f>
        <v>0</v>
      </c>
      <c r="J3021">
        <v>36.826000000000001</v>
      </c>
      <c r="K3021">
        <v>521.10500000000002</v>
      </c>
      <c r="L3021">
        <v>0</v>
      </c>
    </row>
    <row r="3022" spans="1:12" x14ac:dyDescent="0.25">
      <c r="A3022">
        <f>80656924*0.00001</f>
        <v>806.56924000000004</v>
      </c>
      <c r="B3022">
        <v>3507</v>
      </c>
      <c r="C3022">
        <v>5</v>
      </c>
      <c r="D3022">
        <v>242.821</v>
      </c>
      <c r="E3022">
        <v>5251</v>
      </c>
      <c r="F3022">
        <v>1614</v>
      </c>
      <c r="G3022">
        <v>1</v>
      </c>
      <c r="H3022">
        <v>0.2</v>
      </c>
      <c r="I3022">
        <v>0</v>
      </c>
      <c r="J3022">
        <v>36.826000000000001</v>
      </c>
      <c r="K3022" s="1">
        <f>521.145</f>
        <v>521.14499999999998</v>
      </c>
      <c r="L3022">
        <v>0</v>
      </c>
    </row>
    <row r="3023" spans="1:12" x14ac:dyDescent="0.25">
      <c r="A3023">
        <f>80657061*0.00001</f>
        <v>806.5706100000001</v>
      </c>
      <c r="B3023">
        <v>3507</v>
      </c>
      <c r="C3023">
        <v>6</v>
      </c>
      <c r="D3023" s="1">
        <f>242.821</f>
        <v>242.821</v>
      </c>
      <c r="E3023">
        <v>5251</v>
      </c>
      <c r="F3023">
        <v>1614</v>
      </c>
      <c r="G3023">
        <v>1</v>
      </c>
      <c r="H3023">
        <v>0.2</v>
      </c>
      <c r="I3023">
        <v>0</v>
      </c>
      <c r="J3023">
        <v>36.826000000000001</v>
      </c>
      <c r="K3023">
        <v>521.14499999999998</v>
      </c>
      <c r="L3023">
        <v>0</v>
      </c>
    </row>
    <row r="3024" spans="1:12" x14ac:dyDescent="0.25">
      <c r="A3024">
        <f>80657197*0.00001</f>
        <v>806.57197000000008</v>
      </c>
      <c r="B3024">
        <v>3507</v>
      </c>
      <c r="C3024">
        <v>7</v>
      </c>
      <c r="D3024">
        <v>242.821</v>
      </c>
      <c r="E3024">
        <v>5251</v>
      </c>
      <c r="F3024" s="1">
        <f>1614</f>
        <v>1614</v>
      </c>
      <c r="G3024">
        <v>1</v>
      </c>
      <c r="H3024">
        <v>0.2</v>
      </c>
      <c r="I3024">
        <v>0</v>
      </c>
      <c r="J3024">
        <v>36.826000000000001</v>
      </c>
      <c r="K3024">
        <v>521.14499999999998</v>
      </c>
      <c r="L3024">
        <v>0</v>
      </c>
    </row>
    <row r="3025" spans="1:12" x14ac:dyDescent="0.25">
      <c r="A3025">
        <f>80657334*0.00001</f>
        <v>806.57334000000003</v>
      </c>
      <c r="B3025">
        <v>3507</v>
      </c>
      <c r="C3025">
        <v>8</v>
      </c>
      <c r="D3025">
        <v>242.821</v>
      </c>
      <c r="E3025">
        <v>5251</v>
      </c>
      <c r="F3025">
        <v>1614</v>
      </c>
      <c r="G3025">
        <v>1</v>
      </c>
      <c r="H3025" s="1">
        <f>0.2</f>
        <v>0.2</v>
      </c>
      <c r="I3025">
        <v>0</v>
      </c>
      <c r="J3025">
        <v>36.826000000000001</v>
      </c>
      <c r="K3025">
        <v>521.14499999999998</v>
      </c>
      <c r="L3025">
        <v>0</v>
      </c>
    </row>
    <row r="3026" spans="1:12" x14ac:dyDescent="0.25">
      <c r="A3026">
        <f>80657471*0.00001</f>
        <v>806.5747100000001</v>
      </c>
      <c r="B3026">
        <v>3507</v>
      </c>
      <c r="C3026">
        <v>9</v>
      </c>
      <c r="D3026" s="1">
        <f>242.822</f>
        <v>242.822</v>
      </c>
      <c r="E3026" s="1">
        <f>5254</f>
        <v>5254</v>
      </c>
      <c r="F3026" s="1">
        <f>1614</f>
        <v>1614</v>
      </c>
      <c r="G3026" s="1">
        <f>1</f>
        <v>1</v>
      </c>
      <c r="H3026" s="1">
        <f>0.2</f>
        <v>0.2</v>
      </c>
      <c r="I3026" s="1">
        <f>0</f>
        <v>0</v>
      </c>
      <c r="J3026" s="1">
        <f>37.3743</f>
        <v>37.374299999999998</v>
      </c>
      <c r="K3026" s="1">
        <f>521.237</f>
        <v>521.23699999999997</v>
      </c>
      <c r="L3026" s="1">
        <f>0</f>
        <v>0</v>
      </c>
    </row>
    <row r="3027" spans="1:12" x14ac:dyDescent="0.25">
      <c r="A3027">
        <f>80658566*0.00001</f>
        <v>806.58566000000008</v>
      </c>
      <c r="B3027">
        <v>3507</v>
      </c>
      <c r="C3027">
        <v>17</v>
      </c>
      <c r="D3027">
        <v>242.822</v>
      </c>
      <c r="E3027">
        <v>5254</v>
      </c>
      <c r="F3027">
        <v>1614</v>
      </c>
      <c r="G3027" s="1">
        <f>1</f>
        <v>1</v>
      </c>
      <c r="H3027" s="1">
        <f>0.2</f>
        <v>0.2</v>
      </c>
      <c r="I3027">
        <v>0</v>
      </c>
      <c r="J3027">
        <v>37.374299999999998</v>
      </c>
      <c r="K3027">
        <v>521.23699999999997</v>
      </c>
      <c r="L3027">
        <v>0</v>
      </c>
    </row>
    <row r="3028" spans="1:12" x14ac:dyDescent="0.25">
      <c r="A3028">
        <f>80658703*0.00001</f>
        <v>806.58703000000003</v>
      </c>
      <c r="B3028">
        <v>3507</v>
      </c>
      <c r="C3028">
        <v>18</v>
      </c>
      <c r="D3028">
        <v>242.822</v>
      </c>
      <c r="E3028">
        <v>5254</v>
      </c>
      <c r="F3028">
        <v>1614</v>
      </c>
      <c r="G3028">
        <v>1</v>
      </c>
      <c r="H3028">
        <v>0.2</v>
      </c>
      <c r="I3028" s="1">
        <f>0</f>
        <v>0</v>
      </c>
      <c r="J3028" s="1">
        <f>37.5241</f>
        <v>37.524099999999997</v>
      </c>
      <c r="K3028">
        <v>521.23699999999997</v>
      </c>
      <c r="L3028">
        <v>0</v>
      </c>
    </row>
    <row r="3029" spans="1:12" x14ac:dyDescent="0.25">
      <c r="A3029">
        <f>80658840*0.00001</f>
        <v>806.58840000000009</v>
      </c>
      <c r="B3029">
        <v>3507</v>
      </c>
      <c r="C3029">
        <v>19</v>
      </c>
      <c r="D3029">
        <v>242.822</v>
      </c>
      <c r="E3029">
        <v>5254</v>
      </c>
      <c r="F3029">
        <v>1614</v>
      </c>
      <c r="G3029">
        <v>1</v>
      </c>
      <c r="H3029">
        <v>0.2</v>
      </c>
      <c r="I3029">
        <v>0</v>
      </c>
      <c r="J3029">
        <v>37.524099999999997</v>
      </c>
      <c r="K3029" s="1">
        <f>521.289</f>
        <v>521.28899999999999</v>
      </c>
      <c r="L3029" s="1">
        <f>0</f>
        <v>0</v>
      </c>
    </row>
    <row r="3030" spans="1:12" x14ac:dyDescent="0.25">
      <c r="A3030">
        <f>80658977*0.00001</f>
        <v>806.58977000000004</v>
      </c>
      <c r="B3030">
        <v>3507</v>
      </c>
      <c r="C3030">
        <v>20</v>
      </c>
      <c r="D3030" s="1">
        <f>242.822</f>
        <v>242.822</v>
      </c>
      <c r="E3030" s="1">
        <f>5255</f>
        <v>5255</v>
      </c>
      <c r="F3030">
        <v>1614</v>
      </c>
      <c r="G3030">
        <v>1</v>
      </c>
      <c r="H3030">
        <v>0.2</v>
      </c>
      <c r="I3030">
        <v>0</v>
      </c>
      <c r="J3030">
        <v>37.524099999999997</v>
      </c>
      <c r="K3030">
        <v>521.28899999999999</v>
      </c>
      <c r="L3030">
        <v>0</v>
      </c>
    </row>
    <row r="3031" spans="1:12" x14ac:dyDescent="0.25">
      <c r="A3031">
        <f>80659114*0.00001</f>
        <v>806.59114000000011</v>
      </c>
      <c r="B3031">
        <v>3507</v>
      </c>
      <c r="C3031">
        <v>21</v>
      </c>
      <c r="D3031">
        <v>242.822</v>
      </c>
      <c r="E3031">
        <v>5255</v>
      </c>
      <c r="F3031" s="1">
        <f>1614</f>
        <v>1614</v>
      </c>
      <c r="G3031" s="1">
        <f>1</f>
        <v>1</v>
      </c>
      <c r="H3031">
        <v>0.2</v>
      </c>
      <c r="I3031">
        <v>0</v>
      </c>
      <c r="J3031">
        <v>37.524099999999997</v>
      </c>
      <c r="K3031">
        <v>521.28899999999999</v>
      </c>
      <c r="L3031">
        <v>0</v>
      </c>
    </row>
    <row r="3032" spans="1:12" x14ac:dyDescent="0.25">
      <c r="A3032">
        <f>80659251*0.00001</f>
        <v>806.59251000000006</v>
      </c>
      <c r="B3032">
        <v>3507</v>
      </c>
      <c r="C3032">
        <v>22</v>
      </c>
      <c r="D3032">
        <v>242.822</v>
      </c>
      <c r="E3032">
        <v>5255</v>
      </c>
      <c r="F3032">
        <v>1614</v>
      </c>
      <c r="G3032">
        <v>1</v>
      </c>
      <c r="H3032">
        <v>0.2</v>
      </c>
      <c r="I3032" s="1">
        <f>0</f>
        <v>0</v>
      </c>
      <c r="J3032">
        <v>37.524099999999997</v>
      </c>
      <c r="K3032">
        <v>521.28899999999999</v>
      </c>
      <c r="L3032">
        <v>0</v>
      </c>
    </row>
    <row r="3033" spans="1:12" x14ac:dyDescent="0.25">
      <c r="A3033">
        <f>80659388*0.00001</f>
        <v>806.59388000000001</v>
      </c>
      <c r="B3033">
        <v>3507</v>
      </c>
      <c r="C3033">
        <v>23</v>
      </c>
      <c r="D3033">
        <v>242.822</v>
      </c>
      <c r="E3033">
        <v>5255</v>
      </c>
      <c r="F3033">
        <v>1614</v>
      </c>
      <c r="G3033">
        <v>1</v>
      </c>
      <c r="H3033">
        <v>0.2</v>
      </c>
      <c r="I3033">
        <v>0</v>
      </c>
      <c r="J3033">
        <v>37.524099999999997</v>
      </c>
      <c r="K3033" s="1">
        <f>521.33</f>
        <v>521.33000000000004</v>
      </c>
      <c r="L3033">
        <v>0</v>
      </c>
    </row>
    <row r="3034" spans="1:12" x14ac:dyDescent="0.25">
      <c r="A3034">
        <f>80659525*0.00001</f>
        <v>806.59525000000008</v>
      </c>
      <c r="B3034">
        <v>3507</v>
      </c>
      <c r="C3034">
        <v>24</v>
      </c>
      <c r="D3034" s="1">
        <f>242.822</f>
        <v>242.822</v>
      </c>
      <c r="E3034">
        <v>5255</v>
      </c>
      <c r="F3034">
        <v>1614</v>
      </c>
      <c r="G3034">
        <v>1</v>
      </c>
      <c r="H3034">
        <v>0.2</v>
      </c>
      <c r="I3034">
        <v>0</v>
      </c>
      <c r="J3034">
        <v>37.524099999999997</v>
      </c>
      <c r="K3034">
        <v>521.33000000000004</v>
      </c>
      <c r="L3034">
        <v>0</v>
      </c>
    </row>
    <row r="3035" spans="1:12" x14ac:dyDescent="0.25">
      <c r="A3035">
        <f>80659662*0.00001</f>
        <v>806.59662000000003</v>
      </c>
      <c r="B3035">
        <v>3507</v>
      </c>
      <c r="C3035">
        <v>25</v>
      </c>
      <c r="D3035">
        <v>242.822</v>
      </c>
      <c r="E3035">
        <v>5255</v>
      </c>
      <c r="F3035" s="1">
        <f>1614</f>
        <v>1614</v>
      </c>
      <c r="G3035">
        <v>1</v>
      </c>
      <c r="H3035">
        <v>0.2</v>
      </c>
      <c r="I3035">
        <v>0</v>
      </c>
      <c r="J3035">
        <v>37.524099999999997</v>
      </c>
      <c r="K3035">
        <v>521.33000000000004</v>
      </c>
      <c r="L3035">
        <v>0</v>
      </c>
    </row>
    <row r="3036" spans="1:12" x14ac:dyDescent="0.25">
      <c r="A3036">
        <f>80659799*0.00001</f>
        <v>806.5979900000001</v>
      </c>
      <c r="B3036">
        <v>3507</v>
      </c>
      <c r="C3036">
        <v>26</v>
      </c>
      <c r="D3036">
        <v>242.822</v>
      </c>
      <c r="E3036">
        <v>5255</v>
      </c>
      <c r="F3036">
        <v>1614</v>
      </c>
      <c r="G3036">
        <v>1</v>
      </c>
      <c r="H3036" s="1">
        <f>0.2</f>
        <v>0.2</v>
      </c>
      <c r="I3036">
        <v>0</v>
      </c>
      <c r="J3036">
        <v>37.524099999999997</v>
      </c>
      <c r="K3036">
        <v>521.33000000000004</v>
      </c>
      <c r="L3036">
        <v>0</v>
      </c>
    </row>
    <row r="3037" spans="1:12" x14ac:dyDescent="0.25">
      <c r="A3037">
        <f>80659936*0.00001</f>
        <v>806.59936000000005</v>
      </c>
      <c r="B3037">
        <v>3507</v>
      </c>
      <c r="C3037">
        <v>27</v>
      </c>
      <c r="D3037">
        <v>242.822</v>
      </c>
      <c r="E3037">
        <v>5255</v>
      </c>
      <c r="F3037">
        <v>1614</v>
      </c>
      <c r="G3037">
        <v>1</v>
      </c>
      <c r="H3037">
        <v>0.2</v>
      </c>
      <c r="I3037">
        <v>0</v>
      </c>
      <c r="J3037" s="1">
        <f>37.8236</f>
        <v>37.823599999999999</v>
      </c>
      <c r="K3037">
        <v>521.33000000000004</v>
      </c>
      <c r="L3037">
        <v>0</v>
      </c>
    </row>
    <row r="3038" spans="1:12" x14ac:dyDescent="0.25">
      <c r="A3038">
        <f>80660073*0.00001</f>
        <v>806.60073000000011</v>
      </c>
      <c r="B3038">
        <v>3507</v>
      </c>
      <c r="C3038">
        <v>28</v>
      </c>
      <c r="D3038" s="1">
        <f>242.823</f>
        <v>242.82300000000001</v>
      </c>
      <c r="E3038" s="1">
        <f>5259</f>
        <v>5259</v>
      </c>
      <c r="F3038" s="1">
        <f>1614</f>
        <v>1614</v>
      </c>
      <c r="G3038" s="1">
        <f>1</f>
        <v>1</v>
      </c>
      <c r="H3038" s="1">
        <f>0.2</f>
        <v>0.2</v>
      </c>
      <c r="I3038" s="1">
        <f>0</f>
        <v>0</v>
      </c>
      <c r="J3038" s="1">
        <f>37.9983</f>
        <v>37.9983</v>
      </c>
      <c r="K3038" s="1">
        <f>521.424</f>
        <v>521.42399999999998</v>
      </c>
      <c r="L3038" s="1">
        <f>0</f>
        <v>0</v>
      </c>
    </row>
    <row r="3039" spans="1:12" x14ac:dyDescent="0.25">
      <c r="A3039">
        <f>80661169*0.00001</f>
        <v>806.61169000000007</v>
      </c>
      <c r="B3039">
        <v>3507</v>
      </c>
      <c r="C3039">
        <v>36</v>
      </c>
      <c r="D3039">
        <v>242.82300000000001</v>
      </c>
      <c r="E3039">
        <v>5259</v>
      </c>
      <c r="F3039">
        <v>1614</v>
      </c>
      <c r="G3039">
        <v>1</v>
      </c>
      <c r="H3039">
        <v>0.2</v>
      </c>
      <c r="I3039" s="1">
        <f>0</f>
        <v>0</v>
      </c>
      <c r="J3039" s="1">
        <f>38.1232</f>
        <v>38.123199999999997</v>
      </c>
      <c r="K3039">
        <v>521.42399999999998</v>
      </c>
      <c r="L3039">
        <v>0</v>
      </c>
    </row>
    <row r="3040" spans="1:12" x14ac:dyDescent="0.25">
      <c r="A3040">
        <f>80661305*0.00001</f>
        <v>806.61305000000004</v>
      </c>
      <c r="B3040">
        <v>3507</v>
      </c>
      <c r="C3040">
        <v>37</v>
      </c>
      <c r="D3040">
        <v>242.82300000000001</v>
      </c>
      <c r="E3040">
        <v>5259</v>
      </c>
      <c r="F3040">
        <v>1614</v>
      </c>
      <c r="G3040">
        <v>1</v>
      </c>
      <c r="H3040">
        <v>0.2</v>
      </c>
      <c r="I3040">
        <v>0</v>
      </c>
      <c r="J3040">
        <v>38.123199999999997</v>
      </c>
      <c r="K3040" s="1">
        <f>521.476</f>
        <v>521.476</v>
      </c>
      <c r="L3040" s="1">
        <f>0</f>
        <v>0</v>
      </c>
    </row>
    <row r="3041" spans="1:12" x14ac:dyDescent="0.25">
      <c r="A3041">
        <f>80661442*0.00001</f>
        <v>806.61442000000011</v>
      </c>
      <c r="B3041">
        <v>3507</v>
      </c>
      <c r="C3041">
        <v>38</v>
      </c>
      <c r="D3041" s="1">
        <f>242.822</f>
        <v>242.822</v>
      </c>
      <c r="E3041" s="1">
        <f>5260</f>
        <v>5260</v>
      </c>
      <c r="F3041">
        <v>1614</v>
      </c>
      <c r="G3041">
        <v>1</v>
      </c>
      <c r="H3041">
        <v>0.2</v>
      </c>
      <c r="I3041">
        <v>0</v>
      </c>
      <c r="J3041">
        <v>38.123199999999997</v>
      </c>
      <c r="K3041">
        <v>521.476</v>
      </c>
      <c r="L3041">
        <v>0</v>
      </c>
    </row>
    <row r="3042" spans="1:12" x14ac:dyDescent="0.25">
      <c r="A3042">
        <f>80661579*0.00001</f>
        <v>806.61579000000006</v>
      </c>
      <c r="B3042">
        <v>3507</v>
      </c>
      <c r="C3042">
        <v>39</v>
      </c>
      <c r="D3042">
        <v>242.822</v>
      </c>
      <c r="E3042">
        <v>5260</v>
      </c>
      <c r="F3042" s="1">
        <f>1614</f>
        <v>1614</v>
      </c>
      <c r="G3042" s="1">
        <f>1</f>
        <v>1</v>
      </c>
      <c r="H3042">
        <v>0.2</v>
      </c>
      <c r="I3042">
        <v>0</v>
      </c>
      <c r="J3042">
        <v>38.123199999999997</v>
      </c>
      <c r="K3042">
        <v>521.476</v>
      </c>
      <c r="L3042">
        <v>0</v>
      </c>
    </row>
    <row r="3043" spans="1:12" x14ac:dyDescent="0.25">
      <c r="A3043">
        <f>80661716*0.00001</f>
        <v>806.61716000000001</v>
      </c>
      <c r="B3043">
        <v>3507</v>
      </c>
      <c r="C3043">
        <v>40</v>
      </c>
      <c r="D3043">
        <v>242.822</v>
      </c>
      <c r="E3043">
        <v>5260</v>
      </c>
      <c r="F3043">
        <v>1614</v>
      </c>
      <c r="G3043">
        <v>1</v>
      </c>
      <c r="H3043" s="1">
        <f>0.2</f>
        <v>0.2</v>
      </c>
      <c r="I3043" s="1">
        <f>0</f>
        <v>0</v>
      </c>
      <c r="J3043">
        <v>38.123199999999997</v>
      </c>
      <c r="K3043">
        <v>521.476</v>
      </c>
      <c r="L3043">
        <v>0</v>
      </c>
    </row>
    <row r="3044" spans="1:12" x14ac:dyDescent="0.25">
      <c r="A3044">
        <f>80661853*0.00001</f>
        <v>806.61853000000008</v>
      </c>
      <c r="B3044">
        <v>3507</v>
      </c>
      <c r="C3044">
        <v>41</v>
      </c>
      <c r="D3044">
        <v>242.822</v>
      </c>
      <c r="E3044">
        <v>5260</v>
      </c>
      <c r="F3044">
        <v>1614</v>
      </c>
      <c r="G3044">
        <v>1</v>
      </c>
      <c r="H3044">
        <v>0.2</v>
      </c>
      <c r="I3044">
        <v>0</v>
      </c>
      <c r="J3044" s="1">
        <f>38.2993</f>
        <v>38.299300000000002</v>
      </c>
      <c r="K3044" s="1">
        <f>521.518</f>
        <v>521.51800000000003</v>
      </c>
      <c r="L3044">
        <v>0</v>
      </c>
    </row>
    <row r="3045" spans="1:12" x14ac:dyDescent="0.25">
      <c r="A3045">
        <f>80661990*0.00001</f>
        <v>806.61990000000003</v>
      </c>
      <c r="B3045">
        <v>3507</v>
      </c>
      <c r="C3045">
        <v>42</v>
      </c>
      <c r="D3045" s="1">
        <f>242.823</f>
        <v>242.82300000000001</v>
      </c>
      <c r="E3045">
        <v>5260</v>
      </c>
      <c r="F3045">
        <v>1614</v>
      </c>
      <c r="G3045">
        <v>1</v>
      </c>
      <c r="H3045">
        <v>0.2</v>
      </c>
      <c r="I3045">
        <v>0</v>
      </c>
      <c r="J3045">
        <v>38.299300000000002</v>
      </c>
      <c r="K3045">
        <v>521.51800000000003</v>
      </c>
      <c r="L3045">
        <v>0</v>
      </c>
    </row>
    <row r="3046" spans="1:12" x14ac:dyDescent="0.25">
      <c r="A3046">
        <f>80662127*0.00001</f>
        <v>806.6212700000001</v>
      </c>
      <c r="B3046">
        <v>3507</v>
      </c>
      <c r="C3046">
        <v>43</v>
      </c>
      <c r="D3046">
        <v>242.82300000000001</v>
      </c>
      <c r="E3046">
        <v>5260</v>
      </c>
      <c r="F3046" s="1">
        <f>1614</f>
        <v>1614</v>
      </c>
      <c r="G3046">
        <v>1</v>
      </c>
      <c r="H3046">
        <v>0.2</v>
      </c>
      <c r="I3046">
        <v>0</v>
      </c>
      <c r="J3046">
        <v>38.299300000000002</v>
      </c>
      <c r="K3046">
        <v>521.51800000000003</v>
      </c>
      <c r="L3046">
        <v>0</v>
      </c>
    </row>
    <row r="3047" spans="1:12" x14ac:dyDescent="0.25">
      <c r="A3047">
        <f>80662264*0.00001</f>
        <v>806.62264000000005</v>
      </c>
      <c r="B3047">
        <v>3507</v>
      </c>
      <c r="C3047">
        <v>44</v>
      </c>
      <c r="D3047">
        <v>242.82300000000001</v>
      </c>
      <c r="E3047">
        <v>5260</v>
      </c>
      <c r="F3047">
        <v>1614</v>
      </c>
      <c r="G3047">
        <v>1</v>
      </c>
      <c r="H3047" s="1">
        <f>0.2</f>
        <v>0.2</v>
      </c>
      <c r="I3047">
        <v>0</v>
      </c>
      <c r="J3047">
        <v>38.299300000000002</v>
      </c>
      <c r="K3047">
        <v>521.51800000000003</v>
      </c>
      <c r="L3047">
        <v>0</v>
      </c>
    </row>
    <row r="3048" spans="1:12" x14ac:dyDescent="0.25">
      <c r="A3048">
        <f>80662401*0.00001</f>
        <v>806.62401000000011</v>
      </c>
      <c r="B3048">
        <v>3507</v>
      </c>
      <c r="C3048">
        <v>45</v>
      </c>
      <c r="D3048">
        <v>242.82300000000001</v>
      </c>
      <c r="E3048">
        <v>5260</v>
      </c>
      <c r="F3048">
        <v>1614</v>
      </c>
      <c r="G3048">
        <v>1</v>
      </c>
      <c r="H3048">
        <v>0.2</v>
      </c>
      <c r="I3048">
        <v>0</v>
      </c>
      <c r="J3048" s="1">
        <f>38.4477</f>
        <v>38.447699999999998</v>
      </c>
      <c r="K3048">
        <v>521.51800000000003</v>
      </c>
      <c r="L3048">
        <v>0</v>
      </c>
    </row>
    <row r="3049" spans="1:12" x14ac:dyDescent="0.25">
      <c r="A3049">
        <f>80662538*0.00001</f>
        <v>806.62538000000006</v>
      </c>
      <c r="B3049">
        <v>3507</v>
      </c>
      <c r="C3049">
        <v>46</v>
      </c>
      <c r="D3049">
        <v>242.82300000000001</v>
      </c>
      <c r="E3049">
        <v>5260</v>
      </c>
      <c r="F3049">
        <v>1614</v>
      </c>
      <c r="G3049">
        <v>1</v>
      </c>
      <c r="H3049">
        <v>0.2</v>
      </c>
      <c r="I3049">
        <v>0</v>
      </c>
      <c r="J3049">
        <v>38.447699999999998</v>
      </c>
      <c r="K3049">
        <v>521.51800000000003</v>
      </c>
      <c r="L3049" s="1">
        <f>0</f>
        <v>0</v>
      </c>
    </row>
    <row r="3050" spans="1:12" x14ac:dyDescent="0.25">
      <c r="A3050">
        <f>80662675*0.00001</f>
        <v>806.62675000000002</v>
      </c>
      <c r="B3050">
        <v>3507</v>
      </c>
      <c r="C3050">
        <v>47</v>
      </c>
      <c r="D3050" s="1">
        <f>242.823</f>
        <v>242.82300000000001</v>
      </c>
      <c r="E3050" s="1">
        <f>5263</f>
        <v>5263</v>
      </c>
      <c r="F3050" s="1">
        <f>1614</f>
        <v>1614</v>
      </c>
      <c r="G3050" s="1">
        <f>1</f>
        <v>1</v>
      </c>
      <c r="H3050" s="1">
        <f>0.2</f>
        <v>0.2</v>
      </c>
      <c r="I3050" s="1">
        <f>0</f>
        <v>0</v>
      </c>
      <c r="J3050" s="1">
        <f>38.7471</f>
        <v>38.747100000000003</v>
      </c>
      <c r="K3050" s="1">
        <f>521.655</f>
        <v>521.65499999999997</v>
      </c>
      <c r="L3050" s="1">
        <f>0</f>
        <v>0</v>
      </c>
    </row>
    <row r="3051" spans="1:12" x14ac:dyDescent="0.25">
      <c r="A3051">
        <f>80663770*0.00001</f>
        <v>806.63770000000011</v>
      </c>
      <c r="B3051">
        <v>3507</v>
      </c>
      <c r="C3051">
        <v>55</v>
      </c>
      <c r="D3051" s="1">
        <f>242.824</f>
        <v>242.82400000000001</v>
      </c>
      <c r="E3051">
        <v>5263</v>
      </c>
      <c r="F3051">
        <v>1614</v>
      </c>
      <c r="G3051">
        <v>1</v>
      </c>
      <c r="H3051">
        <v>0.2</v>
      </c>
      <c r="I3051">
        <v>0</v>
      </c>
      <c r="J3051">
        <v>38.747100000000003</v>
      </c>
      <c r="K3051">
        <v>521.65499999999997</v>
      </c>
      <c r="L3051" s="1">
        <f>0</f>
        <v>0</v>
      </c>
    </row>
    <row r="3052" spans="1:12" x14ac:dyDescent="0.25">
      <c r="A3052">
        <f>80663906*0.00001</f>
        <v>806.63906000000009</v>
      </c>
      <c r="B3052">
        <v>3507</v>
      </c>
      <c r="C3052">
        <v>56</v>
      </c>
      <c r="D3052">
        <v>242.82400000000001</v>
      </c>
      <c r="E3052" s="1">
        <f>5264</f>
        <v>5264</v>
      </c>
      <c r="F3052" s="1">
        <f>1614</f>
        <v>1614</v>
      </c>
      <c r="G3052">
        <v>1</v>
      </c>
      <c r="H3052">
        <v>0.2</v>
      </c>
      <c r="I3052">
        <v>0</v>
      </c>
      <c r="J3052">
        <v>38.747100000000003</v>
      </c>
      <c r="K3052">
        <v>521.65499999999997</v>
      </c>
      <c r="L3052">
        <v>0</v>
      </c>
    </row>
    <row r="3053" spans="1:12" x14ac:dyDescent="0.25">
      <c r="A3053">
        <f>80664043*0.00001</f>
        <v>806.64043000000004</v>
      </c>
      <c r="B3053">
        <v>3507</v>
      </c>
      <c r="C3053">
        <v>57</v>
      </c>
      <c r="D3053">
        <v>242.82400000000001</v>
      </c>
      <c r="E3053">
        <v>5264</v>
      </c>
      <c r="F3053">
        <v>1614</v>
      </c>
      <c r="G3053" s="1">
        <f>1</f>
        <v>1</v>
      </c>
      <c r="H3053" s="1">
        <f>0.2</f>
        <v>0.2</v>
      </c>
      <c r="I3053">
        <v>0</v>
      </c>
      <c r="J3053">
        <v>38.747100000000003</v>
      </c>
      <c r="K3053">
        <v>521.65499999999997</v>
      </c>
      <c r="L3053">
        <v>0</v>
      </c>
    </row>
    <row r="3054" spans="1:12" x14ac:dyDescent="0.25">
      <c r="A3054">
        <f>80664180*0.00001</f>
        <v>806.6418000000001</v>
      </c>
      <c r="B3054">
        <v>3507</v>
      </c>
      <c r="C3054">
        <v>58</v>
      </c>
      <c r="D3054">
        <v>242.82400000000001</v>
      </c>
      <c r="E3054">
        <v>5264</v>
      </c>
      <c r="F3054">
        <v>1614</v>
      </c>
      <c r="G3054">
        <v>1</v>
      </c>
      <c r="H3054">
        <v>0.2</v>
      </c>
      <c r="I3054" s="1">
        <f>0</f>
        <v>0</v>
      </c>
      <c r="J3054" s="1">
        <f>38.8722</f>
        <v>38.872199999999999</v>
      </c>
      <c r="K3054">
        <v>521.65499999999997</v>
      </c>
      <c r="L3054">
        <v>0</v>
      </c>
    </row>
    <row r="3055" spans="1:12" x14ac:dyDescent="0.25">
      <c r="A3055">
        <f>80664316*0.00001</f>
        <v>806.64316000000008</v>
      </c>
      <c r="B3055">
        <v>3507</v>
      </c>
      <c r="C3055">
        <v>59</v>
      </c>
      <c r="D3055">
        <v>242.82400000000001</v>
      </c>
      <c r="E3055">
        <v>5264</v>
      </c>
      <c r="F3055">
        <v>1614</v>
      </c>
      <c r="G3055">
        <v>1</v>
      </c>
      <c r="H3055">
        <v>0.2</v>
      </c>
      <c r="I3055">
        <v>0</v>
      </c>
      <c r="J3055">
        <v>38.872199999999999</v>
      </c>
      <c r="K3055" s="1">
        <f>521.709</f>
        <v>521.70899999999995</v>
      </c>
      <c r="L3055" s="1">
        <f>0</f>
        <v>0</v>
      </c>
    </row>
    <row r="3056" spans="1:12" x14ac:dyDescent="0.25">
      <c r="A3056">
        <f>80664453*0.00001</f>
        <v>806.64453000000003</v>
      </c>
      <c r="B3056">
        <v>3507</v>
      </c>
      <c r="C3056">
        <v>60</v>
      </c>
      <c r="D3056" s="1">
        <f>242.824</f>
        <v>242.82400000000001</v>
      </c>
      <c r="E3056" s="1">
        <f>5265</f>
        <v>5265</v>
      </c>
      <c r="F3056">
        <v>1614</v>
      </c>
      <c r="G3056">
        <v>1</v>
      </c>
      <c r="H3056">
        <v>0.2</v>
      </c>
      <c r="I3056">
        <v>0</v>
      </c>
      <c r="J3056">
        <v>38.872199999999999</v>
      </c>
      <c r="K3056">
        <v>521.70899999999995</v>
      </c>
      <c r="L3056">
        <v>0</v>
      </c>
    </row>
    <row r="3057" spans="1:12" x14ac:dyDescent="0.25">
      <c r="A3057">
        <f>80664590*0.00001</f>
        <v>806.6459000000001</v>
      </c>
      <c r="B3057">
        <v>3507</v>
      </c>
      <c r="C3057">
        <v>61</v>
      </c>
      <c r="D3057">
        <v>242.82400000000001</v>
      </c>
      <c r="E3057">
        <v>5265</v>
      </c>
      <c r="F3057">
        <v>1614</v>
      </c>
      <c r="G3057" s="1">
        <f>1</f>
        <v>1</v>
      </c>
      <c r="H3057">
        <v>0.2</v>
      </c>
      <c r="I3057">
        <v>0</v>
      </c>
      <c r="J3057">
        <v>38.872199999999999</v>
      </c>
      <c r="K3057">
        <v>521.70899999999995</v>
      </c>
      <c r="L3057">
        <v>0</v>
      </c>
    </row>
    <row r="3058" spans="1:12" x14ac:dyDescent="0.25">
      <c r="A3058">
        <f>80664726*0.00001</f>
        <v>806.64726000000007</v>
      </c>
      <c r="B3058">
        <v>3507</v>
      </c>
      <c r="C3058">
        <v>62</v>
      </c>
      <c r="D3058">
        <v>242.82400000000001</v>
      </c>
      <c r="E3058">
        <v>5265</v>
      </c>
      <c r="F3058">
        <v>1614</v>
      </c>
      <c r="G3058">
        <v>1</v>
      </c>
      <c r="H3058">
        <v>0.2</v>
      </c>
      <c r="I3058" s="1">
        <f>0</f>
        <v>0</v>
      </c>
      <c r="J3058">
        <v>38.872199999999999</v>
      </c>
      <c r="K3058">
        <v>521.70899999999995</v>
      </c>
      <c r="L3058">
        <v>0</v>
      </c>
    </row>
    <row r="3059" spans="1:12" x14ac:dyDescent="0.25">
      <c r="A3059">
        <f>80664863*0.00001</f>
        <v>806.64863000000003</v>
      </c>
      <c r="B3059">
        <v>3507</v>
      </c>
      <c r="C3059">
        <v>63</v>
      </c>
      <c r="D3059">
        <v>242.82400000000001</v>
      </c>
      <c r="E3059">
        <v>5265</v>
      </c>
      <c r="F3059">
        <v>1614</v>
      </c>
      <c r="G3059">
        <v>1</v>
      </c>
      <c r="H3059">
        <v>0.2</v>
      </c>
      <c r="I3059">
        <v>0</v>
      </c>
      <c r="J3059">
        <v>38.872199999999999</v>
      </c>
      <c r="K3059" s="1">
        <f>521.752</f>
        <v>521.75199999999995</v>
      </c>
      <c r="L3059">
        <v>0</v>
      </c>
    </row>
    <row r="3060" spans="1:12" x14ac:dyDescent="0.25">
      <c r="A3060">
        <f>80664999*0.00001</f>
        <v>806.64999000000012</v>
      </c>
      <c r="B3060">
        <v>3507</v>
      </c>
      <c r="C3060">
        <v>64</v>
      </c>
      <c r="D3060" s="1">
        <f>242.824</f>
        <v>242.82400000000001</v>
      </c>
      <c r="E3060">
        <v>5265</v>
      </c>
      <c r="F3060">
        <v>1614</v>
      </c>
      <c r="G3060">
        <v>1</v>
      </c>
      <c r="H3060">
        <v>0.2</v>
      </c>
      <c r="I3060">
        <v>0</v>
      </c>
      <c r="J3060">
        <v>38.872199999999999</v>
      </c>
      <c r="K3060">
        <v>521.75199999999995</v>
      </c>
      <c r="L3060">
        <v>0</v>
      </c>
    </row>
    <row r="3061" spans="1:12" x14ac:dyDescent="0.25">
      <c r="A3061">
        <f>80665135*0.00001</f>
        <v>806.65135000000009</v>
      </c>
      <c r="B3061">
        <v>3507</v>
      </c>
      <c r="C3061">
        <v>65</v>
      </c>
      <c r="D3061">
        <v>242.82400000000001</v>
      </c>
      <c r="E3061">
        <v>5265</v>
      </c>
      <c r="F3061" s="1">
        <f>1614</f>
        <v>1614</v>
      </c>
      <c r="G3061">
        <v>1</v>
      </c>
      <c r="H3061">
        <v>0.2</v>
      </c>
      <c r="I3061">
        <v>0</v>
      </c>
      <c r="J3061">
        <v>38.872199999999999</v>
      </c>
      <c r="K3061">
        <v>521.75199999999995</v>
      </c>
      <c r="L3061">
        <v>0</v>
      </c>
    </row>
    <row r="3062" spans="1:12" x14ac:dyDescent="0.25">
      <c r="A3062">
        <f>80665272*0.00001</f>
        <v>806.65272000000004</v>
      </c>
      <c r="B3062">
        <v>3507</v>
      </c>
      <c r="C3062">
        <v>66</v>
      </c>
      <c r="D3062" s="1">
        <f>242.823</f>
        <v>242.82300000000001</v>
      </c>
      <c r="E3062" s="1">
        <f>5269</f>
        <v>5269</v>
      </c>
      <c r="F3062" s="1">
        <f>1614</f>
        <v>1614</v>
      </c>
      <c r="G3062" s="1">
        <f>1</f>
        <v>1</v>
      </c>
      <c r="H3062" s="1">
        <f>0.2</f>
        <v>0.2</v>
      </c>
      <c r="I3062" s="1">
        <f>0</f>
        <v>0</v>
      </c>
      <c r="J3062" s="1">
        <f>39.3223</f>
        <v>39.322299999999998</v>
      </c>
      <c r="K3062" s="1">
        <f>521.848</f>
        <v>521.84799999999996</v>
      </c>
      <c r="L3062" s="1">
        <f>0</f>
        <v>0</v>
      </c>
    </row>
    <row r="3063" spans="1:12" x14ac:dyDescent="0.25">
      <c r="A3063">
        <f>80666365*0.00001</f>
        <v>806.66365000000008</v>
      </c>
      <c r="B3063">
        <v>3507</v>
      </c>
      <c r="C3063">
        <v>74</v>
      </c>
      <c r="D3063">
        <v>242.82300000000001</v>
      </c>
      <c r="E3063">
        <v>5269</v>
      </c>
      <c r="F3063" s="1">
        <f>1614</f>
        <v>1614</v>
      </c>
      <c r="G3063" s="1">
        <f>1</f>
        <v>1</v>
      </c>
      <c r="H3063">
        <v>0.2</v>
      </c>
      <c r="I3063">
        <v>0</v>
      </c>
      <c r="J3063">
        <v>39.322299999999998</v>
      </c>
      <c r="K3063">
        <v>521.84799999999996</v>
      </c>
      <c r="L3063">
        <v>0</v>
      </c>
    </row>
    <row r="3064" spans="1:12" x14ac:dyDescent="0.25">
      <c r="A3064">
        <f>80666502*0.00001</f>
        <v>806.66502000000003</v>
      </c>
      <c r="B3064">
        <v>3507</v>
      </c>
      <c r="C3064">
        <v>75</v>
      </c>
      <c r="D3064">
        <v>242.82300000000001</v>
      </c>
      <c r="E3064">
        <v>5269</v>
      </c>
      <c r="F3064">
        <v>1614</v>
      </c>
      <c r="G3064">
        <v>1</v>
      </c>
      <c r="H3064" s="1">
        <f>0.2</f>
        <v>0.2</v>
      </c>
      <c r="I3064" s="1">
        <f>0</f>
        <v>0</v>
      </c>
      <c r="J3064">
        <v>39.322299999999998</v>
      </c>
      <c r="K3064">
        <v>521.84799999999996</v>
      </c>
      <c r="L3064">
        <v>0</v>
      </c>
    </row>
    <row r="3065" spans="1:12" x14ac:dyDescent="0.25">
      <c r="A3065">
        <f>80666639*0.00001</f>
        <v>806.66639000000009</v>
      </c>
      <c r="B3065">
        <v>3507</v>
      </c>
      <c r="C3065">
        <v>76</v>
      </c>
      <c r="D3065">
        <v>242.82300000000001</v>
      </c>
      <c r="E3065">
        <v>5269</v>
      </c>
      <c r="F3065">
        <v>1614</v>
      </c>
      <c r="G3065">
        <v>1</v>
      </c>
      <c r="H3065">
        <v>0.2</v>
      </c>
      <c r="I3065">
        <v>0</v>
      </c>
      <c r="J3065" s="1">
        <f>39.4965</f>
        <v>39.496499999999997</v>
      </c>
      <c r="K3065" s="1">
        <f>521.892</f>
        <v>521.89200000000005</v>
      </c>
      <c r="L3065">
        <v>0</v>
      </c>
    </row>
    <row r="3066" spans="1:12" x14ac:dyDescent="0.25">
      <c r="A3066">
        <f>80666775*0.00001</f>
        <v>806.66775000000007</v>
      </c>
      <c r="B3066">
        <v>3507</v>
      </c>
      <c r="C3066">
        <v>77</v>
      </c>
      <c r="D3066" s="1">
        <f>242.824</f>
        <v>242.82400000000001</v>
      </c>
      <c r="E3066">
        <v>5269</v>
      </c>
      <c r="F3066">
        <v>1614</v>
      </c>
      <c r="G3066">
        <v>1</v>
      </c>
      <c r="H3066">
        <v>0.2</v>
      </c>
      <c r="I3066">
        <v>0</v>
      </c>
      <c r="J3066">
        <v>39.496499999999997</v>
      </c>
      <c r="K3066">
        <v>521.89200000000005</v>
      </c>
      <c r="L3066" s="1">
        <f>0</f>
        <v>0</v>
      </c>
    </row>
    <row r="3067" spans="1:12" x14ac:dyDescent="0.25">
      <c r="A3067">
        <f>80666912*0.00001</f>
        <v>806.66912000000002</v>
      </c>
      <c r="B3067">
        <v>3507</v>
      </c>
      <c r="C3067">
        <v>78</v>
      </c>
      <c r="D3067">
        <v>242.82400000000001</v>
      </c>
      <c r="E3067" s="1">
        <f>5270</f>
        <v>5270</v>
      </c>
      <c r="F3067" s="1">
        <f>1614</f>
        <v>1614</v>
      </c>
      <c r="G3067">
        <v>1</v>
      </c>
      <c r="H3067">
        <v>0.2</v>
      </c>
      <c r="I3067">
        <v>0</v>
      </c>
      <c r="J3067">
        <v>39.496499999999997</v>
      </c>
      <c r="K3067">
        <v>521.89200000000005</v>
      </c>
      <c r="L3067">
        <v>0</v>
      </c>
    </row>
    <row r="3068" spans="1:12" x14ac:dyDescent="0.25">
      <c r="A3068">
        <f>80667049*0.00001</f>
        <v>806.67049000000009</v>
      </c>
      <c r="B3068">
        <v>3507</v>
      </c>
      <c r="C3068">
        <v>79</v>
      </c>
      <c r="D3068">
        <v>242.82400000000001</v>
      </c>
      <c r="E3068">
        <v>5270</v>
      </c>
      <c r="F3068">
        <v>1614</v>
      </c>
      <c r="G3068">
        <v>1</v>
      </c>
      <c r="H3068" s="1">
        <f>0.2</f>
        <v>0.2</v>
      </c>
      <c r="I3068">
        <v>0</v>
      </c>
      <c r="J3068">
        <v>39.496499999999997</v>
      </c>
      <c r="K3068">
        <v>521.89200000000005</v>
      </c>
      <c r="L3068">
        <v>0</v>
      </c>
    </row>
    <row r="3069" spans="1:12" x14ac:dyDescent="0.25">
      <c r="A3069">
        <f>80667185*0.00001</f>
        <v>806.67185000000006</v>
      </c>
      <c r="B3069">
        <v>3507</v>
      </c>
      <c r="C3069">
        <v>80</v>
      </c>
      <c r="D3069">
        <v>242.82400000000001</v>
      </c>
      <c r="E3069">
        <v>5270</v>
      </c>
      <c r="F3069">
        <v>1614</v>
      </c>
      <c r="G3069">
        <v>1</v>
      </c>
      <c r="H3069">
        <v>0.2</v>
      </c>
      <c r="I3069">
        <v>0</v>
      </c>
      <c r="J3069" s="1">
        <f>39.6217</f>
        <v>39.621699999999997</v>
      </c>
      <c r="K3069">
        <v>521.89200000000005</v>
      </c>
      <c r="L3069">
        <v>0</v>
      </c>
    </row>
    <row r="3070" spans="1:12" x14ac:dyDescent="0.25">
      <c r="A3070">
        <f>80667322*0.00001</f>
        <v>806.67322000000001</v>
      </c>
      <c r="B3070">
        <v>3507</v>
      </c>
      <c r="C3070">
        <v>81</v>
      </c>
      <c r="D3070">
        <v>242.82400000000001</v>
      </c>
      <c r="E3070">
        <v>5270</v>
      </c>
      <c r="F3070">
        <v>1614</v>
      </c>
      <c r="G3070">
        <v>1</v>
      </c>
      <c r="H3070">
        <v>0.2</v>
      </c>
      <c r="I3070">
        <v>0</v>
      </c>
      <c r="J3070">
        <v>39.621699999999997</v>
      </c>
      <c r="K3070">
        <v>521.89200000000005</v>
      </c>
      <c r="L3070" s="1">
        <f>0</f>
        <v>0</v>
      </c>
    </row>
    <row r="3071" spans="1:12" x14ac:dyDescent="0.25">
      <c r="A3071">
        <f>80667459*0.00001</f>
        <v>806.67459000000008</v>
      </c>
      <c r="B3071">
        <v>3507</v>
      </c>
      <c r="C3071">
        <v>82</v>
      </c>
      <c r="D3071">
        <v>242.82400000000001</v>
      </c>
      <c r="E3071" s="1">
        <f>5271</f>
        <v>5271</v>
      </c>
      <c r="F3071">
        <v>1614</v>
      </c>
      <c r="G3071">
        <v>1</v>
      </c>
      <c r="H3071">
        <v>0.2</v>
      </c>
      <c r="I3071">
        <v>0</v>
      </c>
      <c r="J3071">
        <v>39.621699999999997</v>
      </c>
      <c r="K3071">
        <v>521.89200000000005</v>
      </c>
      <c r="L3071">
        <v>0</v>
      </c>
    </row>
    <row r="3072" spans="1:12" x14ac:dyDescent="0.25">
      <c r="A3072">
        <f>80667595*0.00001</f>
        <v>806.67595000000006</v>
      </c>
      <c r="B3072">
        <v>3507</v>
      </c>
      <c r="C3072">
        <v>83</v>
      </c>
      <c r="D3072">
        <v>242.82400000000001</v>
      </c>
      <c r="E3072">
        <v>5271</v>
      </c>
      <c r="F3072">
        <v>1614</v>
      </c>
      <c r="G3072" s="1">
        <f>1</f>
        <v>1</v>
      </c>
      <c r="H3072">
        <v>0.2</v>
      </c>
      <c r="I3072">
        <v>0</v>
      </c>
      <c r="J3072">
        <v>39.621699999999997</v>
      </c>
      <c r="K3072">
        <v>521.89200000000005</v>
      </c>
      <c r="L3072">
        <v>0</v>
      </c>
    </row>
    <row r="3073" spans="1:12" x14ac:dyDescent="0.25">
      <c r="A3073">
        <f>80667732*0.00001</f>
        <v>806.67732000000012</v>
      </c>
      <c r="B3073">
        <v>3507</v>
      </c>
      <c r="C3073">
        <v>84</v>
      </c>
      <c r="D3073">
        <v>242.82400000000001</v>
      </c>
      <c r="E3073">
        <v>5271</v>
      </c>
      <c r="F3073">
        <v>1614</v>
      </c>
      <c r="G3073">
        <v>1</v>
      </c>
      <c r="H3073">
        <v>0.2</v>
      </c>
      <c r="I3073" s="1">
        <f>0</f>
        <v>0</v>
      </c>
      <c r="J3073">
        <v>39.621699999999997</v>
      </c>
      <c r="K3073">
        <v>521.89200000000005</v>
      </c>
      <c r="L3073">
        <v>0</v>
      </c>
    </row>
    <row r="3074" spans="1:12" x14ac:dyDescent="0.25">
      <c r="A3074">
        <f>80667869*0.00001</f>
        <v>806.67869000000007</v>
      </c>
      <c r="B3074">
        <v>3507</v>
      </c>
      <c r="C3074">
        <v>85</v>
      </c>
      <c r="D3074" s="1">
        <f>242.824</f>
        <v>242.82400000000001</v>
      </c>
      <c r="E3074" s="1">
        <f>5273</f>
        <v>5273</v>
      </c>
      <c r="F3074" s="1">
        <f>1614</f>
        <v>1614</v>
      </c>
      <c r="G3074" s="1">
        <f>1</f>
        <v>1</v>
      </c>
      <c r="H3074" s="1">
        <f>0.2</f>
        <v>0.2</v>
      </c>
      <c r="I3074" s="1">
        <f>0</f>
        <v>0</v>
      </c>
      <c r="J3074" s="1">
        <f>39.9469</f>
        <v>39.946899999999999</v>
      </c>
      <c r="K3074" s="1">
        <f>522.034</f>
        <v>522.03399999999999</v>
      </c>
      <c r="L3074" s="1">
        <f>0</f>
        <v>0</v>
      </c>
    </row>
    <row r="3075" spans="1:12" x14ac:dyDescent="0.25">
      <c r="A3075">
        <f>80668825*0.00001</f>
        <v>806.68825000000004</v>
      </c>
      <c r="B3075">
        <v>3507</v>
      </c>
      <c r="C3075">
        <v>92</v>
      </c>
      <c r="D3075">
        <v>242.82400000000001</v>
      </c>
      <c r="E3075">
        <v>5273</v>
      </c>
      <c r="F3075">
        <v>1614</v>
      </c>
      <c r="G3075" s="1">
        <f>1</f>
        <v>1</v>
      </c>
      <c r="H3075" s="1">
        <f>0.2</f>
        <v>0.2</v>
      </c>
      <c r="I3075">
        <v>0</v>
      </c>
      <c r="J3075">
        <v>39.946899999999999</v>
      </c>
      <c r="K3075">
        <v>522.03399999999999</v>
      </c>
      <c r="L3075">
        <v>0</v>
      </c>
    </row>
    <row r="3076" spans="1:12" x14ac:dyDescent="0.25">
      <c r="A3076">
        <f>80668962*0.00001</f>
        <v>806.6896200000001</v>
      </c>
      <c r="B3076">
        <v>3507</v>
      </c>
      <c r="C3076">
        <v>93</v>
      </c>
      <c r="D3076">
        <v>242.82400000000001</v>
      </c>
      <c r="E3076">
        <v>5273</v>
      </c>
      <c r="F3076">
        <v>1614</v>
      </c>
      <c r="G3076">
        <v>1</v>
      </c>
      <c r="H3076">
        <v>0.2</v>
      </c>
      <c r="I3076" s="1">
        <f>0</f>
        <v>0</v>
      </c>
      <c r="J3076" s="1">
        <f>40.0719</f>
        <v>40.071899999999999</v>
      </c>
      <c r="K3076">
        <v>522.03399999999999</v>
      </c>
      <c r="L3076">
        <v>0</v>
      </c>
    </row>
    <row r="3077" spans="1:12" x14ac:dyDescent="0.25">
      <c r="A3077">
        <f>80669099*0.00001</f>
        <v>806.69099000000006</v>
      </c>
      <c r="B3077">
        <v>3507</v>
      </c>
      <c r="C3077">
        <v>94</v>
      </c>
      <c r="D3077">
        <v>242.82400000000001</v>
      </c>
      <c r="E3077">
        <v>5273</v>
      </c>
      <c r="F3077">
        <v>1614</v>
      </c>
      <c r="G3077">
        <v>1</v>
      </c>
      <c r="H3077">
        <v>0.2</v>
      </c>
      <c r="I3077">
        <v>0</v>
      </c>
      <c r="J3077">
        <v>40.071899999999999</v>
      </c>
      <c r="K3077" s="1">
        <f>522.089</f>
        <v>522.08900000000006</v>
      </c>
      <c r="L3077" s="1">
        <f>0</f>
        <v>0</v>
      </c>
    </row>
    <row r="3078" spans="1:12" x14ac:dyDescent="0.25">
      <c r="A3078">
        <f>80669235*0.00001</f>
        <v>806.69235000000003</v>
      </c>
      <c r="B3078">
        <v>3507</v>
      </c>
      <c r="C3078">
        <v>95</v>
      </c>
      <c r="D3078" s="1">
        <f>242.824</f>
        <v>242.82400000000001</v>
      </c>
      <c r="E3078" s="1">
        <f>5275</f>
        <v>5275</v>
      </c>
      <c r="F3078">
        <v>1614</v>
      </c>
      <c r="G3078">
        <v>1</v>
      </c>
      <c r="H3078">
        <v>0.2</v>
      </c>
      <c r="I3078">
        <v>0</v>
      </c>
      <c r="J3078">
        <v>40.071899999999999</v>
      </c>
      <c r="K3078">
        <v>522.08900000000006</v>
      </c>
      <c r="L3078">
        <v>0</v>
      </c>
    </row>
    <row r="3079" spans="1:12" x14ac:dyDescent="0.25">
      <c r="A3079">
        <f>80669372*0.00001</f>
        <v>806.6937200000001</v>
      </c>
      <c r="B3079">
        <v>3507</v>
      </c>
      <c r="C3079">
        <v>96</v>
      </c>
      <c r="D3079">
        <v>242.82400000000001</v>
      </c>
      <c r="E3079">
        <v>5275</v>
      </c>
      <c r="F3079" s="1">
        <f>1614</f>
        <v>1614</v>
      </c>
      <c r="G3079" s="1">
        <f>1</f>
        <v>1</v>
      </c>
      <c r="H3079">
        <v>0.2</v>
      </c>
      <c r="I3079">
        <v>0</v>
      </c>
      <c r="J3079">
        <v>40.071899999999999</v>
      </c>
      <c r="K3079">
        <v>522.08900000000006</v>
      </c>
      <c r="L3079">
        <v>0</v>
      </c>
    </row>
    <row r="3080" spans="1:12" x14ac:dyDescent="0.25">
      <c r="A3080">
        <f>80669509*0.00001</f>
        <v>806.69509000000005</v>
      </c>
      <c r="B3080">
        <v>3507</v>
      </c>
      <c r="C3080">
        <v>97</v>
      </c>
      <c r="D3080">
        <v>242.82400000000001</v>
      </c>
      <c r="E3080">
        <v>5275</v>
      </c>
      <c r="F3080">
        <v>1614</v>
      </c>
      <c r="G3080">
        <v>1</v>
      </c>
      <c r="H3080" s="1">
        <f>0.2</f>
        <v>0.2</v>
      </c>
      <c r="I3080" s="1">
        <f>0</f>
        <v>0</v>
      </c>
      <c r="J3080">
        <v>40.071899999999999</v>
      </c>
      <c r="K3080">
        <v>522.08900000000006</v>
      </c>
      <c r="L3080">
        <v>0</v>
      </c>
    </row>
    <row r="3081" spans="1:12" x14ac:dyDescent="0.25">
      <c r="A3081">
        <f>80669646*0.00001</f>
        <v>806.69646000000012</v>
      </c>
      <c r="B3081">
        <v>3507</v>
      </c>
      <c r="C3081">
        <v>98</v>
      </c>
      <c r="D3081">
        <v>242.82400000000001</v>
      </c>
      <c r="E3081">
        <v>5275</v>
      </c>
      <c r="F3081">
        <v>1614</v>
      </c>
      <c r="G3081">
        <v>1</v>
      </c>
      <c r="H3081">
        <v>0.2</v>
      </c>
      <c r="I3081">
        <v>0</v>
      </c>
      <c r="J3081">
        <v>40.071899999999999</v>
      </c>
      <c r="K3081" s="1">
        <f>522.133</f>
        <v>522.13300000000004</v>
      </c>
      <c r="L3081">
        <v>0</v>
      </c>
    </row>
    <row r="3082" spans="1:12" x14ac:dyDescent="0.25">
      <c r="A3082">
        <f>80669783*0.00001</f>
        <v>806.69783000000007</v>
      </c>
      <c r="B3082">
        <v>3507</v>
      </c>
      <c r="C3082">
        <v>99</v>
      </c>
      <c r="D3082" s="1">
        <f>242.889</f>
        <v>242.88900000000001</v>
      </c>
      <c r="E3082">
        <v>5275</v>
      </c>
      <c r="F3082">
        <v>1614</v>
      </c>
      <c r="G3082">
        <v>1</v>
      </c>
      <c r="H3082">
        <v>0.2</v>
      </c>
      <c r="I3082">
        <v>0</v>
      </c>
      <c r="J3082">
        <v>40.071899999999999</v>
      </c>
      <c r="K3082">
        <v>522.13300000000004</v>
      </c>
      <c r="L3082">
        <v>0</v>
      </c>
    </row>
    <row r="3083" spans="1:12" x14ac:dyDescent="0.25">
      <c r="A3083">
        <f>80669920*0.00001</f>
        <v>806.69920000000002</v>
      </c>
      <c r="B3083">
        <v>3507</v>
      </c>
      <c r="C3083">
        <v>100</v>
      </c>
      <c r="D3083">
        <v>242.88900000000001</v>
      </c>
      <c r="E3083">
        <v>5275</v>
      </c>
      <c r="F3083" s="1">
        <f>1614</f>
        <v>1614</v>
      </c>
      <c r="G3083">
        <v>1</v>
      </c>
      <c r="H3083">
        <v>0.2</v>
      </c>
      <c r="I3083">
        <v>0</v>
      </c>
      <c r="J3083">
        <v>40.071899999999999</v>
      </c>
      <c r="K3083">
        <v>522.13300000000004</v>
      </c>
      <c r="L3083">
        <v>0</v>
      </c>
    </row>
    <row r="3084" spans="1:12" x14ac:dyDescent="0.25">
      <c r="A3084">
        <f>80670056*0.00001</f>
        <v>806.70056000000011</v>
      </c>
      <c r="B3084">
        <v>3507</v>
      </c>
      <c r="C3084">
        <v>101</v>
      </c>
      <c r="D3084">
        <v>242.88900000000001</v>
      </c>
      <c r="E3084">
        <v>5275</v>
      </c>
      <c r="F3084">
        <v>1614</v>
      </c>
      <c r="G3084">
        <v>1</v>
      </c>
      <c r="H3084" s="1">
        <f>0.2</f>
        <v>0.2</v>
      </c>
      <c r="I3084">
        <v>0</v>
      </c>
      <c r="J3084">
        <v>40.071899999999999</v>
      </c>
      <c r="K3084">
        <v>522.13300000000004</v>
      </c>
      <c r="L3084">
        <v>0</v>
      </c>
    </row>
    <row r="3085" spans="1:12" x14ac:dyDescent="0.25">
      <c r="A3085">
        <f>80670192*0.00001</f>
        <v>806.70192000000009</v>
      </c>
      <c r="B3085">
        <v>3507</v>
      </c>
      <c r="C3085">
        <v>102</v>
      </c>
      <c r="D3085">
        <v>242.88900000000001</v>
      </c>
      <c r="E3085">
        <v>5275</v>
      </c>
      <c r="F3085">
        <v>1614</v>
      </c>
      <c r="G3085">
        <v>1</v>
      </c>
      <c r="H3085">
        <v>0.2</v>
      </c>
      <c r="I3085">
        <v>0</v>
      </c>
      <c r="J3085" s="1">
        <f>40.2649</f>
        <v>40.264899999999997</v>
      </c>
      <c r="K3085">
        <v>522.13300000000004</v>
      </c>
      <c r="L3085">
        <v>0</v>
      </c>
    </row>
    <row r="3086" spans="1:12" x14ac:dyDescent="0.25">
      <c r="A3086">
        <f>80670328*0.00001</f>
        <v>806.70328000000006</v>
      </c>
      <c r="B3086">
        <v>3507</v>
      </c>
      <c r="C3086">
        <v>103</v>
      </c>
      <c r="D3086">
        <v>242.88900000000001</v>
      </c>
      <c r="E3086">
        <v>5275</v>
      </c>
      <c r="F3086">
        <v>1614</v>
      </c>
      <c r="G3086">
        <v>1</v>
      </c>
      <c r="H3086">
        <v>0.2</v>
      </c>
      <c r="I3086">
        <v>0</v>
      </c>
      <c r="J3086">
        <v>40.264899999999997</v>
      </c>
      <c r="K3086">
        <v>522.13300000000004</v>
      </c>
      <c r="L3086" s="1">
        <f>0</f>
        <v>0</v>
      </c>
    </row>
    <row r="3087" spans="1:12" x14ac:dyDescent="0.25">
      <c r="A3087">
        <f>80670465*0.00001</f>
        <v>806.70465000000002</v>
      </c>
      <c r="B3087">
        <v>3507</v>
      </c>
      <c r="C3087">
        <v>104</v>
      </c>
      <c r="D3087" s="1">
        <f>242.995</f>
        <v>242.995</v>
      </c>
      <c r="E3087" s="1">
        <f>5273</f>
        <v>5273</v>
      </c>
      <c r="F3087" s="1">
        <f>1614</f>
        <v>1614</v>
      </c>
      <c r="G3087" s="1">
        <f>1</f>
        <v>1</v>
      </c>
      <c r="H3087" s="1">
        <f>0.2</f>
        <v>0.2</v>
      </c>
      <c r="I3087" s="1">
        <f>0</f>
        <v>0</v>
      </c>
      <c r="J3087" s="1">
        <f>40.4984</f>
        <v>40.498399999999997</v>
      </c>
      <c r="K3087" s="1">
        <f>522.277</f>
        <v>522.27700000000004</v>
      </c>
      <c r="L3087" s="1">
        <f>0</f>
        <v>0</v>
      </c>
    </row>
    <row r="3088" spans="1:12" x14ac:dyDescent="0.25">
      <c r="A3088">
        <f>80671558*0.00001</f>
        <v>806.71558000000005</v>
      </c>
      <c r="B3088">
        <v>3507</v>
      </c>
      <c r="C3088">
        <v>112</v>
      </c>
      <c r="D3088" s="1">
        <f>243.026</f>
        <v>243.02600000000001</v>
      </c>
      <c r="E3088">
        <v>5273</v>
      </c>
      <c r="F3088">
        <v>1614</v>
      </c>
      <c r="G3088">
        <v>1</v>
      </c>
      <c r="H3088">
        <v>0.2</v>
      </c>
      <c r="I3088">
        <v>0</v>
      </c>
      <c r="J3088">
        <v>40.498399999999997</v>
      </c>
      <c r="K3088">
        <v>522.27700000000004</v>
      </c>
      <c r="L3088" s="1">
        <f>0</f>
        <v>0</v>
      </c>
    </row>
    <row r="3089" spans="1:12" x14ac:dyDescent="0.25">
      <c r="A3089">
        <f>80671695*0.00001</f>
        <v>806.71695000000011</v>
      </c>
      <c r="B3089">
        <v>3507</v>
      </c>
      <c r="C3089">
        <v>113</v>
      </c>
      <c r="D3089">
        <v>243.02600000000001</v>
      </c>
      <c r="E3089" s="1">
        <f>5273</f>
        <v>5273</v>
      </c>
      <c r="F3089" s="1">
        <f>1614</f>
        <v>1614</v>
      </c>
      <c r="G3089">
        <v>1</v>
      </c>
      <c r="H3089">
        <v>0.2</v>
      </c>
      <c r="I3089">
        <v>0</v>
      </c>
      <c r="J3089">
        <v>40.498399999999997</v>
      </c>
      <c r="K3089">
        <v>522.27700000000004</v>
      </c>
      <c r="L3089">
        <v>0</v>
      </c>
    </row>
    <row r="3090" spans="1:12" x14ac:dyDescent="0.25">
      <c r="A3090">
        <f>80671832*0.00001</f>
        <v>806.71832000000006</v>
      </c>
      <c r="B3090">
        <v>3507</v>
      </c>
      <c r="C3090">
        <v>114</v>
      </c>
      <c r="D3090">
        <v>243.02600000000001</v>
      </c>
      <c r="E3090">
        <v>5273</v>
      </c>
      <c r="F3090">
        <v>1614</v>
      </c>
      <c r="G3090" s="1">
        <f>1</f>
        <v>1</v>
      </c>
      <c r="H3090" s="1">
        <f>0.2</f>
        <v>0.2</v>
      </c>
      <c r="I3090">
        <v>0</v>
      </c>
      <c r="J3090">
        <v>40.498399999999997</v>
      </c>
      <c r="K3090">
        <v>522.27700000000004</v>
      </c>
      <c r="L3090">
        <v>0</v>
      </c>
    </row>
    <row r="3091" spans="1:12" x14ac:dyDescent="0.25">
      <c r="A3091">
        <f>80671969*0.00001</f>
        <v>806.71969000000001</v>
      </c>
      <c r="B3091">
        <v>3507</v>
      </c>
      <c r="C3091">
        <v>115</v>
      </c>
      <c r="D3091">
        <v>243.02600000000001</v>
      </c>
      <c r="E3091">
        <v>5273</v>
      </c>
      <c r="F3091">
        <v>1614</v>
      </c>
      <c r="G3091">
        <v>1</v>
      </c>
      <c r="H3091">
        <v>0.2</v>
      </c>
      <c r="I3091" s="1">
        <f>0</f>
        <v>0</v>
      </c>
      <c r="J3091" s="1">
        <f>40.5943</f>
        <v>40.594299999999997</v>
      </c>
      <c r="K3091">
        <v>522.27700000000004</v>
      </c>
      <c r="L3091">
        <v>0</v>
      </c>
    </row>
    <row r="3092" spans="1:12" x14ac:dyDescent="0.25">
      <c r="A3092">
        <f>80672105*0.00001</f>
        <v>806.7210500000001</v>
      </c>
      <c r="B3092">
        <v>3507</v>
      </c>
      <c r="C3092">
        <v>116</v>
      </c>
      <c r="D3092">
        <v>243.02600000000001</v>
      </c>
      <c r="E3092">
        <v>5273</v>
      </c>
      <c r="F3092">
        <v>1614</v>
      </c>
      <c r="G3092">
        <v>1</v>
      </c>
      <c r="H3092">
        <v>0.2</v>
      </c>
      <c r="I3092">
        <v>0</v>
      </c>
      <c r="J3092">
        <v>40.594299999999997</v>
      </c>
      <c r="K3092" s="1">
        <f>522.332</f>
        <v>522.33199999999999</v>
      </c>
      <c r="L3092" s="1">
        <f>0</f>
        <v>0</v>
      </c>
    </row>
    <row r="3093" spans="1:12" x14ac:dyDescent="0.25">
      <c r="A3093">
        <f>80672241*0.00001</f>
        <v>806.72241000000008</v>
      </c>
      <c r="B3093">
        <v>3507</v>
      </c>
      <c r="C3093">
        <v>117</v>
      </c>
      <c r="D3093" s="1">
        <f>243.063</f>
        <v>243.06299999999999</v>
      </c>
      <c r="E3093" s="1">
        <f>5274</f>
        <v>5274</v>
      </c>
      <c r="F3093">
        <v>1614</v>
      </c>
      <c r="G3093">
        <v>1</v>
      </c>
      <c r="H3093">
        <v>0.2</v>
      </c>
      <c r="I3093">
        <v>0</v>
      </c>
      <c r="J3093">
        <v>40.594299999999997</v>
      </c>
      <c r="K3093">
        <v>522.33199999999999</v>
      </c>
      <c r="L3093">
        <v>0</v>
      </c>
    </row>
    <row r="3094" spans="1:12" x14ac:dyDescent="0.25">
      <c r="A3094">
        <f>80672377*0.00001</f>
        <v>806.72377000000006</v>
      </c>
      <c r="B3094">
        <v>3507</v>
      </c>
      <c r="C3094">
        <v>118</v>
      </c>
      <c r="D3094">
        <v>243.06299999999999</v>
      </c>
      <c r="E3094">
        <v>5274</v>
      </c>
      <c r="F3094">
        <v>1614</v>
      </c>
      <c r="G3094" s="1">
        <f>1</f>
        <v>1</v>
      </c>
      <c r="H3094">
        <v>0.2</v>
      </c>
      <c r="I3094">
        <v>0</v>
      </c>
      <c r="J3094">
        <v>40.594299999999997</v>
      </c>
      <c r="K3094">
        <v>522.33199999999999</v>
      </c>
      <c r="L3094">
        <v>0</v>
      </c>
    </row>
    <row r="3095" spans="1:12" x14ac:dyDescent="0.25">
      <c r="A3095">
        <f>80672514*0.00001</f>
        <v>806.72514000000001</v>
      </c>
      <c r="B3095">
        <v>3507</v>
      </c>
      <c r="C3095">
        <v>119</v>
      </c>
      <c r="D3095">
        <v>243.06299999999999</v>
      </c>
      <c r="E3095">
        <v>5274</v>
      </c>
      <c r="F3095">
        <v>1614</v>
      </c>
      <c r="G3095">
        <v>1</v>
      </c>
      <c r="H3095">
        <v>0.2</v>
      </c>
      <c r="I3095" s="1">
        <f>0</f>
        <v>0</v>
      </c>
      <c r="J3095">
        <v>40.594299999999997</v>
      </c>
      <c r="K3095">
        <v>522.33199999999999</v>
      </c>
      <c r="L3095">
        <v>0</v>
      </c>
    </row>
    <row r="3096" spans="1:12" x14ac:dyDescent="0.25">
      <c r="A3096">
        <f>80672651*0.00001</f>
        <v>806.72651000000008</v>
      </c>
      <c r="B3096">
        <v>3507</v>
      </c>
      <c r="C3096">
        <v>120</v>
      </c>
      <c r="D3096">
        <v>243.06299999999999</v>
      </c>
      <c r="E3096">
        <v>5274</v>
      </c>
      <c r="F3096">
        <v>1614</v>
      </c>
      <c r="G3096">
        <v>1</v>
      </c>
      <c r="H3096">
        <v>0.2</v>
      </c>
      <c r="I3096">
        <v>0</v>
      </c>
      <c r="J3096">
        <v>40.594299999999997</v>
      </c>
      <c r="K3096" s="1">
        <f>522.377</f>
        <v>522.37699999999995</v>
      </c>
      <c r="L3096">
        <v>0</v>
      </c>
    </row>
    <row r="3097" spans="1:12" x14ac:dyDescent="0.25">
      <c r="A3097">
        <f>80672788*0.00001</f>
        <v>806.72788000000003</v>
      </c>
      <c r="B3097">
        <v>3507</v>
      </c>
      <c r="C3097">
        <v>121</v>
      </c>
      <c r="D3097" s="1">
        <f>243.085</f>
        <v>243.08500000000001</v>
      </c>
      <c r="E3097">
        <v>5274</v>
      </c>
      <c r="F3097">
        <v>1614</v>
      </c>
      <c r="G3097">
        <v>1</v>
      </c>
      <c r="H3097">
        <v>0.2</v>
      </c>
      <c r="I3097">
        <v>0</v>
      </c>
      <c r="J3097">
        <v>40.594299999999997</v>
      </c>
      <c r="K3097">
        <v>522.37699999999995</v>
      </c>
      <c r="L3097">
        <v>0</v>
      </c>
    </row>
    <row r="3098" spans="1:12" x14ac:dyDescent="0.25">
      <c r="A3098">
        <f>80672925*0.00001</f>
        <v>806.72925000000009</v>
      </c>
      <c r="B3098">
        <v>3507</v>
      </c>
      <c r="C3098">
        <v>122</v>
      </c>
      <c r="D3098">
        <v>243.08500000000001</v>
      </c>
      <c r="E3098">
        <v>5274</v>
      </c>
      <c r="F3098" s="1">
        <f>1614</f>
        <v>1614</v>
      </c>
      <c r="G3098">
        <v>1</v>
      </c>
      <c r="H3098">
        <v>0.2</v>
      </c>
      <c r="I3098">
        <v>0</v>
      </c>
      <c r="J3098">
        <v>40.594299999999997</v>
      </c>
      <c r="K3098">
        <v>522.37699999999995</v>
      </c>
      <c r="L3098">
        <v>0</v>
      </c>
    </row>
    <row r="3099" spans="1:12" x14ac:dyDescent="0.25">
      <c r="A3099">
        <f>80673061*0.00001</f>
        <v>806.73061000000007</v>
      </c>
      <c r="B3099">
        <v>3507</v>
      </c>
      <c r="C3099">
        <v>123</v>
      </c>
      <c r="D3099">
        <v>243.08500000000001</v>
      </c>
      <c r="E3099">
        <v>5274</v>
      </c>
      <c r="F3099">
        <v>1614</v>
      </c>
      <c r="G3099">
        <v>1</v>
      </c>
      <c r="H3099" s="1">
        <f>0.2</f>
        <v>0.2</v>
      </c>
      <c r="I3099">
        <v>0</v>
      </c>
      <c r="J3099">
        <v>40.594299999999997</v>
      </c>
      <c r="K3099">
        <v>522.37699999999995</v>
      </c>
      <c r="L3099">
        <v>0</v>
      </c>
    </row>
    <row r="3100" spans="1:12" x14ac:dyDescent="0.25">
      <c r="A3100">
        <f>80673197*0.00001</f>
        <v>806.73197000000005</v>
      </c>
      <c r="B3100">
        <v>3507</v>
      </c>
      <c r="C3100">
        <v>124</v>
      </c>
      <c r="D3100" s="1">
        <f>243.119</f>
        <v>243.119</v>
      </c>
      <c r="E3100" s="1">
        <f>5275</f>
        <v>5275</v>
      </c>
      <c r="F3100" s="1">
        <f>1614</f>
        <v>1614</v>
      </c>
      <c r="G3100" s="1">
        <f>1</f>
        <v>1</v>
      </c>
      <c r="H3100" s="1">
        <f>0.2</f>
        <v>0.2</v>
      </c>
      <c r="I3100" s="1">
        <f>0</f>
        <v>0</v>
      </c>
      <c r="J3100" s="1">
        <f>40.9825</f>
        <v>40.982500000000002</v>
      </c>
      <c r="K3100" s="1">
        <f>522.478</f>
        <v>522.47799999999995</v>
      </c>
      <c r="L3100" s="1">
        <f>0</f>
        <v>0</v>
      </c>
    </row>
    <row r="3101" spans="1:12" x14ac:dyDescent="0.25">
      <c r="A3101">
        <f>80674290*0.00001</f>
        <v>806.74290000000008</v>
      </c>
      <c r="B3101">
        <v>3507</v>
      </c>
      <c r="C3101">
        <v>132</v>
      </c>
      <c r="D3101">
        <v>243.119</v>
      </c>
      <c r="E3101">
        <v>5275</v>
      </c>
      <c r="F3101">
        <v>1614</v>
      </c>
      <c r="G3101">
        <v>1</v>
      </c>
      <c r="H3101" s="1">
        <f>0.2</f>
        <v>0.2</v>
      </c>
      <c r="I3101" s="1">
        <f>0</f>
        <v>0</v>
      </c>
      <c r="J3101">
        <v>40.982500000000002</v>
      </c>
      <c r="K3101">
        <v>522.47799999999995</v>
      </c>
      <c r="L3101">
        <v>0</v>
      </c>
    </row>
    <row r="3102" spans="1:12" x14ac:dyDescent="0.25">
      <c r="A3102">
        <f>80674426*0.00001</f>
        <v>806.74426000000005</v>
      </c>
      <c r="B3102">
        <v>3507</v>
      </c>
      <c r="C3102">
        <v>133</v>
      </c>
      <c r="D3102">
        <v>243.119</v>
      </c>
      <c r="E3102">
        <v>5275</v>
      </c>
      <c r="F3102">
        <v>1614</v>
      </c>
      <c r="G3102">
        <v>1</v>
      </c>
      <c r="H3102">
        <v>0.2</v>
      </c>
      <c r="I3102">
        <v>0</v>
      </c>
      <c r="J3102" s="1">
        <f>41.1428</f>
        <v>41.142800000000001</v>
      </c>
      <c r="K3102" s="1">
        <f>522.523</f>
        <v>522.52300000000002</v>
      </c>
      <c r="L3102">
        <v>0</v>
      </c>
    </row>
    <row r="3103" spans="1:12" x14ac:dyDescent="0.25">
      <c r="A3103">
        <f>80674562*0.00001</f>
        <v>806.74562000000003</v>
      </c>
      <c r="B3103">
        <v>3507</v>
      </c>
      <c r="C3103">
        <v>134</v>
      </c>
      <c r="D3103" s="1">
        <f>243.13</f>
        <v>243.13</v>
      </c>
      <c r="E3103">
        <v>5275</v>
      </c>
      <c r="F3103">
        <v>1614</v>
      </c>
      <c r="G3103">
        <v>1</v>
      </c>
      <c r="H3103">
        <v>0.2</v>
      </c>
      <c r="I3103">
        <v>0</v>
      </c>
      <c r="J3103">
        <v>41.142800000000001</v>
      </c>
      <c r="K3103">
        <v>522.52300000000002</v>
      </c>
      <c r="L3103" s="1">
        <f>0</f>
        <v>0</v>
      </c>
    </row>
    <row r="3104" spans="1:12" x14ac:dyDescent="0.25">
      <c r="A3104">
        <f>80674699*0.00001</f>
        <v>806.7469900000001</v>
      </c>
      <c r="B3104">
        <v>3507</v>
      </c>
      <c r="C3104">
        <v>135</v>
      </c>
      <c r="D3104">
        <v>243.13</v>
      </c>
      <c r="E3104" s="1">
        <f>5276</f>
        <v>5276</v>
      </c>
      <c r="F3104" s="1">
        <f>1614</f>
        <v>1614</v>
      </c>
      <c r="G3104">
        <v>1</v>
      </c>
      <c r="H3104">
        <v>0.2</v>
      </c>
      <c r="I3104">
        <v>0</v>
      </c>
      <c r="J3104">
        <v>41.142800000000001</v>
      </c>
      <c r="K3104">
        <v>522.52300000000002</v>
      </c>
      <c r="L3104">
        <v>0</v>
      </c>
    </row>
    <row r="3105" spans="1:12" x14ac:dyDescent="0.25">
      <c r="A3105">
        <f>80674836*0.00001</f>
        <v>806.74836000000005</v>
      </c>
      <c r="B3105">
        <v>3507</v>
      </c>
      <c r="C3105">
        <v>136</v>
      </c>
      <c r="D3105">
        <v>243.13</v>
      </c>
      <c r="E3105">
        <v>5276</v>
      </c>
      <c r="F3105">
        <v>1614</v>
      </c>
      <c r="G3105" s="1">
        <f>1</f>
        <v>1</v>
      </c>
      <c r="H3105" s="1">
        <f>0.2</f>
        <v>0.2</v>
      </c>
      <c r="I3105">
        <v>0</v>
      </c>
      <c r="J3105">
        <v>41.142800000000001</v>
      </c>
      <c r="K3105">
        <v>522.52300000000002</v>
      </c>
      <c r="L3105">
        <v>0</v>
      </c>
    </row>
    <row r="3106" spans="1:12" x14ac:dyDescent="0.25">
      <c r="A3106">
        <f>80674973*0.00001</f>
        <v>806.74973000000011</v>
      </c>
      <c r="B3106">
        <v>3507</v>
      </c>
      <c r="C3106">
        <v>137</v>
      </c>
      <c r="D3106">
        <v>243.13</v>
      </c>
      <c r="E3106">
        <v>5276</v>
      </c>
      <c r="F3106">
        <v>1614</v>
      </c>
      <c r="G3106">
        <v>1</v>
      </c>
      <c r="H3106">
        <v>0.2</v>
      </c>
      <c r="I3106" s="1">
        <f>0</f>
        <v>0</v>
      </c>
      <c r="J3106" s="1">
        <f>41.2583</f>
        <v>41.258299999999998</v>
      </c>
      <c r="K3106">
        <v>522.52300000000002</v>
      </c>
      <c r="L3106">
        <v>0</v>
      </c>
    </row>
    <row r="3107" spans="1:12" x14ac:dyDescent="0.25">
      <c r="A3107">
        <f>80675110*0.00001</f>
        <v>806.75110000000006</v>
      </c>
      <c r="B3107">
        <v>3507</v>
      </c>
      <c r="C3107">
        <v>138</v>
      </c>
      <c r="D3107">
        <v>243.13</v>
      </c>
      <c r="E3107">
        <v>5276</v>
      </c>
      <c r="F3107">
        <v>1614</v>
      </c>
      <c r="G3107">
        <v>1</v>
      </c>
      <c r="H3107">
        <v>0.2</v>
      </c>
      <c r="I3107">
        <v>0</v>
      </c>
      <c r="J3107">
        <v>41.258299999999998</v>
      </c>
      <c r="K3107">
        <v>522.52300000000002</v>
      </c>
      <c r="L3107" s="1">
        <f>0</f>
        <v>0</v>
      </c>
    </row>
    <row r="3108" spans="1:12" x14ac:dyDescent="0.25">
      <c r="A3108">
        <f>80675246*0.00001</f>
        <v>806.75246000000004</v>
      </c>
      <c r="B3108">
        <v>3507</v>
      </c>
      <c r="C3108">
        <v>139</v>
      </c>
      <c r="D3108">
        <v>243.13</v>
      </c>
      <c r="E3108" s="1">
        <f>5277</f>
        <v>5277</v>
      </c>
      <c r="F3108">
        <v>1614</v>
      </c>
      <c r="G3108">
        <v>1</v>
      </c>
      <c r="H3108">
        <v>0.2</v>
      </c>
      <c r="I3108">
        <v>0</v>
      </c>
      <c r="J3108">
        <v>41.258299999999998</v>
      </c>
      <c r="K3108">
        <v>522.52300000000002</v>
      </c>
      <c r="L3108">
        <v>0</v>
      </c>
    </row>
    <row r="3109" spans="1:12" x14ac:dyDescent="0.25">
      <c r="A3109">
        <f>80675382*0.00001</f>
        <v>806.75382000000002</v>
      </c>
      <c r="B3109">
        <v>3507</v>
      </c>
      <c r="C3109">
        <v>140</v>
      </c>
      <c r="D3109">
        <v>243.13</v>
      </c>
      <c r="E3109">
        <v>5277</v>
      </c>
      <c r="F3109">
        <v>1614</v>
      </c>
      <c r="G3109" s="1">
        <f>1</f>
        <v>1</v>
      </c>
      <c r="H3109">
        <v>0.2</v>
      </c>
      <c r="I3109">
        <v>0</v>
      </c>
      <c r="J3109">
        <v>41.258299999999998</v>
      </c>
      <c r="K3109">
        <v>522.52300000000002</v>
      </c>
      <c r="L3109">
        <v>0</v>
      </c>
    </row>
    <row r="3110" spans="1:12" x14ac:dyDescent="0.25">
      <c r="A3110">
        <f>80675518*0.00001</f>
        <v>806.75518000000011</v>
      </c>
      <c r="B3110">
        <v>3507</v>
      </c>
      <c r="C3110">
        <v>141</v>
      </c>
      <c r="D3110">
        <v>243.13</v>
      </c>
      <c r="E3110">
        <v>5277</v>
      </c>
      <c r="F3110">
        <v>1614</v>
      </c>
      <c r="G3110">
        <v>1</v>
      </c>
      <c r="H3110">
        <v>0.2</v>
      </c>
      <c r="I3110" s="1">
        <f>0</f>
        <v>0</v>
      </c>
      <c r="J3110">
        <v>41.258299999999998</v>
      </c>
      <c r="K3110">
        <v>522.52300000000002</v>
      </c>
      <c r="L3110">
        <v>0</v>
      </c>
    </row>
    <row r="3111" spans="1:12" x14ac:dyDescent="0.25">
      <c r="A3111">
        <f>80675655*0.00001</f>
        <v>806.75655000000006</v>
      </c>
      <c r="B3111">
        <v>3507</v>
      </c>
      <c r="C3111">
        <v>142</v>
      </c>
      <c r="D3111">
        <v>243.13</v>
      </c>
      <c r="E3111">
        <v>5277</v>
      </c>
      <c r="F3111">
        <v>1614</v>
      </c>
      <c r="G3111">
        <v>1</v>
      </c>
      <c r="H3111">
        <v>0.2</v>
      </c>
      <c r="I3111">
        <v>0</v>
      </c>
      <c r="J3111">
        <v>41.258299999999998</v>
      </c>
      <c r="K3111" s="1">
        <f>522.625</f>
        <v>522.625</v>
      </c>
      <c r="L3111">
        <v>0</v>
      </c>
    </row>
    <row r="3112" spans="1:12" x14ac:dyDescent="0.25">
      <c r="A3112">
        <f>80675792*0.00001</f>
        <v>806.75792000000001</v>
      </c>
      <c r="B3112">
        <v>3507</v>
      </c>
      <c r="C3112">
        <v>143</v>
      </c>
      <c r="D3112" s="1">
        <f>243.148</f>
        <v>243.148</v>
      </c>
      <c r="E3112">
        <v>5277</v>
      </c>
      <c r="F3112">
        <v>1614</v>
      </c>
      <c r="G3112">
        <v>1</v>
      </c>
      <c r="H3112">
        <v>0.2</v>
      </c>
      <c r="I3112">
        <v>0</v>
      </c>
      <c r="J3112">
        <v>41.258299999999998</v>
      </c>
      <c r="K3112">
        <v>522.625</v>
      </c>
      <c r="L3112">
        <v>0</v>
      </c>
    </row>
    <row r="3113" spans="1:12" x14ac:dyDescent="0.25">
      <c r="A3113">
        <f>80675929*0.00001</f>
        <v>806.75929000000008</v>
      </c>
      <c r="B3113">
        <v>3507</v>
      </c>
      <c r="C3113">
        <v>144</v>
      </c>
      <c r="D3113" s="1">
        <f>243.153</f>
        <v>243.15299999999999</v>
      </c>
      <c r="E3113" s="1">
        <f>5279</f>
        <v>5279</v>
      </c>
      <c r="F3113" s="1">
        <f>1614</f>
        <v>1614</v>
      </c>
      <c r="G3113" s="1">
        <f>1</f>
        <v>1</v>
      </c>
      <c r="H3113" s="1">
        <f>0.2</f>
        <v>0.2</v>
      </c>
      <c r="I3113" s="1">
        <f>0</f>
        <v>0</v>
      </c>
      <c r="J3113" s="1">
        <f>41.6881</f>
        <v>41.688099999999999</v>
      </c>
      <c r="K3113" s="1">
        <f>522.727</f>
        <v>522.72699999999998</v>
      </c>
      <c r="L3113" s="1">
        <f>0</f>
        <v>0</v>
      </c>
    </row>
    <row r="3114" spans="1:12" x14ac:dyDescent="0.25">
      <c r="A3114">
        <f>80677022*0.00001</f>
        <v>806.77022000000011</v>
      </c>
      <c r="B3114">
        <v>3507</v>
      </c>
      <c r="C3114">
        <v>152</v>
      </c>
      <c r="D3114" s="1">
        <f>243.159</f>
        <v>243.15899999999999</v>
      </c>
      <c r="E3114" s="1">
        <f>5280</f>
        <v>5280</v>
      </c>
      <c r="F3114">
        <v>1614</v>
      </c>
      <c r="G3114">
        <v>1</v>
      </c>
      <c r="H3114">
        <v>0.2</v>
      </c>
      <c r="I3114">
        <v>0</v>
      </c>
      <c r="J3114">
        <v>41.688099999999999</v>
      </c>
      <c r="K3114">
        <v>522.72699999999998</v>
      </c>
      <c r="L3114">
        <v>0</v>
      </c>
    </row>
    <row r="3115" spans="1:12" x14ac:dyDescent="0.25">
      <c r="A3115">
        <f>80677159*0.00001</f>
        <v>806.77159000000006</v>
      </c>
      <c r="B3115">
        <v>3507</v>
      </c>
      <c r="C3115">
        <v>153</v>
      </c>
      <c r="D3115">
        <v>243.15899999999999</v>
      </c>
      <c r="E3115">
        <v>5280</v>
      </c>
      <c r="F3115" s="1">
        <f>1614</f>
        <v>1614</v>
      </c>
      <c r="G3115" s="1">
        <f>1</f>
        <v>1</v>
      </c>
      <c r="H3115">
        <v>0.2</v>
      </c>
      <c r="I3115">
        <v>0</v>
      </c>
      <c r="J3115">
        <v>41.688099999999999</v>
      </c>
      <c r="K3115">
        <v>522.72699999999998</v>
      </c>
      <c r="L3115">
        <v>0</v>
      </c>
    </row>
    <row r="3116" spans="1:12" x14ac:dyDescent="0.25">
      <c r="A3116">
        <f>80677296*0.00001</f>
        <v>806.77296000000001</v>
      </c>
      <c r="B3116">
        <v>3507</v>
      </c>
      <c r="C3116">
        <v>154</v>
      </c>
      <c r="D3116">
        <v>243.15899999999999</v>
      </c>
      <c r="E3116">
        <v>5280</v>
      </c>
      <c r="F3116">
        <v>1614</v>
      </c>
      <c r="G3116">
        <v>1</v>
      </c>
      <c r="H3116" s="1">
        <f>0.2</f>
        <v>0.2</v>
      </c>
      <c r="I3116" s="1">
        <f>0</f>
        <v>0</v>
      </c>
      <c r="J3116">
        <v>41.688099999999999</v>
      </c>
      <c r="K3116">
        <v>522.72699999999998</v>
      </c>
      <c r="L3116">
        <v>0</v>
      </c>
    </row>
    <row r="3117" spans="1:12" x14ac:dyDescent="0.25">
      <c r="A3117">
        <f>80677432*0.00001</f>
        <v>806.7743200000001</v>
      </c>
      <c r="B3117">
        <v>3507</v>
      </c>
      <c r="C3117">
        <v>155</v>
      </c>
      <c r="D3117">
        <v>243.15899999999999</v>
      </c>
      <c r="E3117">
        <v>5280</v>
      </c>
      <c r="F3117">
        <v>1614</v>
      </c>
      <c r="G3117">
        <v>1</v>
      </c>
      <c r="H3117">
        <v>0.2</v>
      </c>
      <c r="I3117">
        <v>0</v>
      </c>
      <c r="J3117" s="1">
        <f>41.8582</f>
        <v>41.858199999999997</v>
      </c>
      <c r="K3117" s="1">
        <f>522.773</f>
        <v>522.77300000000002</v>
      </c>
      <c r="L3117">
        <v>0</v>
      </c>
    </row>
    <row r="3118" spans="1:12" x14ac:dyDescent="0.25">
      <c r="A3118">
        <f>80677568*0.00001</f>
        <v>806.77568000000008</v>
      </c>
      <c r="B3118">
        <v>3507</v>
      </c>
      <c r="C3118">
        <v>156</v>
      </c>
      <c r="D3118" s="1">
        <f>243.163</f>
        <v>243.16300000000001</v>
      </c>
      <c r="E3118">
        <v>5280</v>
      </c>
      <c r="F3118">
        <v>1614</v>
      </c>
      <c r="G3118">
        <v>1</v>
      </c>
      <c r="H3118">
        <v>0.2</v>
      </c>
      <c r="I3118">
        <v>0</v>
      </c>
      <c r="J3118">
        <v>41.858199999999997</v>
      </c>
      <c r="K3118">
        <v>522.77300000000002</v>
      </c>
      <c r="L3118" s="1">
        <f>0</f>
        <v>0</v>
      </c>
    </row>
    <row r="3119" spans="1:12" x14ac:dyDescent="0.25">
      <c r="A3119">
        <f>80677704*0.00001</f>
        <v>806.77704000000006</v>
      </c>
      <c r="B3119">
        <v>3507</v>
      </c>
      <c r="C3119">
        <v>157</v>
      </c>
      <c r="D3119">
        <v>243.16300000000001</v>
      </c>
      <c r="E3119" s="1">
        <f>5281</f>
        <v>5281</v>
      </c>
      <c r="F3119" s="1">
        <f>1614</f>
        <v>1614</v>
      </c>
      <c r="G3119">
        <v>1</v>
      </c>
      <c r="H3119">
        <v>0.2</v>
      </c>
      <c r="I3119">
        <v>0</v>
      </c>
      <c r="J3119">
        <v>41.858199999999997</v>
      </c>
      <c r="K3119">
        <v>522.77300000000002</v>
      </c>
      <c r="L3119">
        <v>0</v>
      </c>
    </row>
    <row r="3120" spans="1:12" x14ac:dyDescent="0.25">
      <c r="A3120">
        <f>80677841*0.00001</f>
        <v>806.77841000000012</v>
      </c>
      <c r="B3120">
        <v>3507</v>
      </c>
      <c r="C3120">
        <v>158</v>
      </c>
      <c r="D3120">
        <v>243.16300000000001</v>
      </c>
      <c r="E3120">
        <v>5281</v>
      </c>
      <c r="F3120">
        <v>1614</v>
      </c>
      <c r="G3120" s="1">
        <f>1</f>
        <v>1</v>
      </c>
      <c r="H3120" s="1">
        <f>0.2</f>
        <v>0.2</v>
      </c>
      <c r="I3120">
        <v>0</v>
      </c>
      <c r="J3120">
        <v>41.858199999999997</v>
      </c>
      <c r="K3120">
        <v>522.77300000000002</v>
      </c>
      <c r="L3120">
        <v>0</v>
      </c>
    </row>
    <row r="3121" spans="1:12" x14ac:dyDescent="0.25">
      <c r="A3121">
        <f>80677978*0.00001</f>
        <v>806.77978000000007</v>
      </c>
      <c r="B3121">
        <v>3507</v>
      </c>
      <c r="C3121">
        <v>159</v>
      </c>
      <c r="D3121">
        <v>243.16300000000001</v>
      </c>
      <c r="E3121">
        <v>5281</v>
      </c>
      <c r="F3121">
        <v>1614</v>
      </c>
      <c r="G3121">
        <v>1</v>
      </c>
      <c r="H3121">
        <v>0.2</v>
      </c>
      <c r="I3121">
        <v>0</v>
      </c>
      <c r="J3121" s="1">
        <f>41.9803</f>
        <v>41.9803</v>
      </c>
      <c r="K3121">
        <v>522.77300000000002</v>
      </c>
      <c r="L3121">
        <v>0</v>
      </c>
    </row>
    <row r="3122" spans="1:12" x14ac:dyDescent="0.25">
      <c r="A3122">
        <f>80678115*0.00001</f>
        <v>806.78115000000003</v>
      </c>
      <c r="B3122">
        <v>3507</v>
      </c>
      <c r="C3122">
        <v>160</v>
      </c>
      <c r="D3122">
        <v>243.16300000000001</v>
      </c>
      <c r="E3122">
        <v>5281</v>
      </c>
      <c r="F3122">
        <v>1614</v>
      </c>
      <c r="G3122">
        <v>1</v>
      </c>
      <c r="H3122">
        <v>0.2</v>
      </c>
      <c r="I3122">
        <v>0</v>
      </c>
      <c r="J3122">
        <v>41.9803</v>
      </c>
      <c r="K3122">
        <v>522.77300000000002</v>
      </c>
      <c r="L3122" s="1">
        <f>0</f>
        <v>0</v>
      </c>
    </row>
    <row r="3123" spans="1:12" x14ac:dyDescent="0.25">
      <c r="A3123">
        <f>80678252*0.00001</f>
        <v>806.78252000000009</v>
      </c>
      <c r="B3123">
        <v>3507</v>
      </c>
      <c r="C3123">
        <v>161</v>
      </c>
      <c r="D3123">
        <v>243.16300000000001</v>
      </c>
      <c r="E3123" s="1">
        <f>5282</f>
        <v>5282</v>
      </c>
      <c r="F3123">
        <v>1614</v>
      </c>
      <c r="G3123">
        <v>1</v>
      </c>
      <c r="H3123">
        <v>0.2</v>
      </c>
      <c r="I3123">
        <v>0</v>
      </c>
      <c r="J3123">
        <v>41.9803</v>
      </c>
      <c r="K3123">
        <v>522.77300000000002</v>
      </c>
      <c r="L3123">
        <v>0</v>
      </c>
    </row>
    <row r="3124" spans="1:12" x14ac:dyDescent="0.25">
      <c r="A3124">
        <f>80678388*0.00001</f>
        <v>806.78388000000007</v>
      </c>
      <c r="B3124">
        <v>3507</v>
      </c>
      <c r="C3124">
        <v>162</v>
      </c>
      <c r="D3124">
        <v>243.16300000000001</v>
      </c>
      <c r="E3124">
        <v>5282</v>
      </c>
      <c r="F3124">
        <v>1614</v>
      </c>
      <c r="G3124" s="1">
        <f>1</f>
        <v>1</v>
      </c>
      <c r="H3124">
        <v>0.2</v>
      </c>
      <c r="I3124">
        <v>0</v>
      </c>
      <c r="J3124">
        <v>41.9803</v>
      </c>
      <c r="K3124">
        <v>522.77300000000002</v>
      </c>
      <c r="L3124">
        <v>0</v>
      </c>
    </row>
    <row r="3125" spans="1:12" x14ac:dyDescent="0.25">
      <c r="A3125">
        <f>80678524*0.00001</f>
        <v>806.78524000000004</v>
      </c>
      <c r="B3125">
        <v>3507</v>
      </c>
      <c r="C3125">
        <v>163</v>
      </c>
      <c r="D3125">
        <v>243.16300000000001</v>
      </c>
      <c r="E3125">
        <v>5282</v>
      </c>
      <c r="F3125">
        <v>1614</v>
      </c>
      <c r="G3125">
        <v>1</v>
      </c>
      <c r="H3125">
        <v>0.2</v>
      </c>
      <c r="I3125" s="1">
        <f>0</f>
        <v>0</v>
      </c>
      <c r="J3125">
        <v>41.9803</v>
      </c>
      <c r="K3125">
        <v>522.77300000000002</v>
      </c>
      <c r="L3125">
        <v>0</v>
      </c>
    </row>
    <row r="3126" spans="1:12" x14ac:dyDescent="0.25">
      <c r="A3126">
        <f>80678660*0.00001</f>
        <v>806.78660000000002</v>
      </c>
      <c r="B3126">
        <v>3507</v>
      </c>
      <c r="C3126">
        <v>164</v>
      </c>
      <c r="D3126" s="1">
        <f>243.17</f>
        <v>243.17</v>
      </c>
      <c r="E3126" s="1">
        <f>5284</f>
        <v>5284</v>
      </c>
      <c r="F3126" s="1">
        <f>1615</f>
        <v>1615</v>
      </c>
      <c r="G3126" s="1">
        <f>1</f>
        <v>1</v>
      </c>
      <c r="H3126" s="1">
        <f>0.2</f>
        <v>0.2</v>
      </c>
      <c r="I3126" s="1">
        <f>0</f>
        <v>0</v>
      </c>
      <c r="J3126" s="1">
        <f>42.3002</f>
        <v>42.300199999999997</v>
      </c>
      <c r="K3126" s="1">
        <f>522.923</f>
        <v>522.923</v>
      </c>
      <c r="L3126" s="1">
        <f>0</f>
        <v>0</v>
      </c>
    </row>
    <row r="3127" spans="1:12" x14ac:dyDescent="0.25">
      <c r="A3127">
        <f>80679753*0.00001</f>
        <v>806.79753000000005</v>
      </c>
      <c r="B3127">
        <v>3507</v>
      </c>
      <c r="C3127">
        <v>172</v>
      </c>
      <c r="D3127">
        <v>243.17</v>
      </c>
      <c r="E3127">
        <v>5284</v>
      </c>
      <c r="F3127">
        <v>1615</v>
      </c>
      <c r="G3127">
        <v>1</v>
      </c>
      <c r="H3127">
        <v>0.2</v>
      </c>
      <c r="I3127" s="1">
        <f>0</f>
        <v>0</v>
      </c>
      <c r="J3127" s="1">
        <f>42.4238</f>
        <v>42.4238</v>
      </c>
      <c r="K3127">
        <v>522.923</v>
      </c>
      <c r="L3127">
        <v>0</v>
      </c>
    </row>
    <row r="3128" spans="1:12" x14ac:dyDescent="0.25">
      <c r="A3128">
        <f>80679890*0.00001</f>
        <v>806.79890000000012</v>
      </c>
      <c r="B3128">
        <v>3507</v>
      </c>
      <c r="C3128">
        <v>173</v>
      </c>
      <c r="D3128">
        <v>243.17</v>
      </c>
      <c r="E3128">
        <v>5284</v>
      </c>
      <c r="F3128">
        <v>1615</v>
      </c>
      <c r="G3128">
        <v>1</v>
      </c>
      <c r="H3128">
        <v>0.2</v>
      </c>
      <c r="I3128">
        <v>0</v>
      </c>
      <c r="J3128">
        <v>42.4238</v>
      </c>
      <c r="K3128" s="1">
        <f>522.981</f>
        <v>522.98099999999999</v>
      </c>
      <c r="L3128" s="1">
        <f>0</f>
        <v>0</v>
      </c>
    </row>
    <row r="3129" spans="1:12" x14ac:dyDescent="0.25">
      <c r="A3129">
        <f>80680027*0.00001</f>
        <v>806.80027000000007</v>
      </c>
      <c r="B3129">
        <v>3507</v>
      </c>
      <c r="C3129">
        <v>174</v>
      </c>
      <c r="D3129" s="1">
        <f>243.172</f>
        <v>243.172</v>
      </c>
      <c r="E3129" s="1">
        <f>5285</f>
        <v>5285</v>
      </c>
      <c r="F3129">
        <v>1615</v>
      </c>
      <c r="G3129">
        <v>1</v>
      </c>
      <c r="H3129">
        <v>0.2</v>
      </c>
      <c r="I3129">
        <v>0</v>
      </c>
      <c r="J3129">
        <v>42.4238</v>
      </c>
      <c r="K3129">
        <v>522.98099999999999</v>
      </c>
      <c r="L3129">
        <v>0</v>
      </c>
    </row>
    <row r="3130" spans="1:12" x14ac:dyDescent="0.25">
      <c r="A3130">
        <f>80680164*0.00001</f>
        <v>806.80164000000002</v>
      </c>
      <c r="B3130">
        <v>3507</v>
      </c>
      <c r="C3130">
        <v>175</v>
      </c>
      <c r="D3130">
        <v>243.172</v>
      </c>
      <c r="E3130">
        <v>5285</v>
      </c>
      <c r="F3130" s="1">
        <f>1615</f>
        <v>1615</v>
      </c>
      <c r="G3130" s="1">
        <f>1</f>
        <v>1</v>
      </c>
      <c r="H3130">
        <v>0.2</v>
      </c>
      <c r="I3130">
        <v>0</v>
      </c>
      <c r="J3130">
        <v>42.4238</v>
      </c>
      <c r="K3130">
        <v>522.98099999999999</v>
      </c>
      <c r="L3130">
        <v>0</v>
      </c>
    </row>
    <row r="3131" spans="1:12" x14ac:dyDescent="0.25">
      <c r="A3131">
        <f>80680301*0.00001</f>
        <v>806.80301000000009</v>
      </c>
      <c r="B3131">
        <v>3507</v>
      </c>
      <c r="C3131">
        <v>176</v>
      </c>
      <c r="D3131">
        <v>243.172</v>
      </c>
      <c r="E3131">
        <v>5285</v>
      </c>
      <c r="F3131">
        <v>1615</v>
      </c>
      <c r="G3131">
        <v>1</v>
      </c>
      <c r="H3131" s="1">
        <f>0.2</f>
        <v>0.2</v>
      </c>
      <c r="I3131" s="1">
        <f>0</f>
        <v>0</v>
      </c>
      <c r="J3131">
        <v>42.4238</v>
      </c>
      <c r="K3131">
        <v>522.98099999999999</v>
      </c>
      <c r="L3131">
        <v>0</v>
      </c>
    </row>
    <row r="3132" spans="1:12" x14ac:dyDescent="0.25">
      <c r="A3132">
        <f>80680438*0.00001</f>
        <v>806.80438000000004</v>
      </c>
      <c r="B3132">
        <v>3507</v>
      </c>
      <c r="C3132">
        <v>177</v>
      </c>
      <c r="D3132">
        <v>243.172</v>
      </c>
      <c r="E3132">
        <v>5285</v>
      </c>
      <c r="F3132">
        <v>1615</v>
      </c>
      <c r="G3132">
        <v>1</v>
      </c>
      <c r="H3132">
        <v>0.2</v>
      </c>
      <c r="I3132">
        <v>0</v>
      </c>
      <c r="J3132" s="1">
        <f>42.5973</f>
        <v>42.597299999999997</v>
      </c>
      <c r="K3132" s="1">
        <f>523.028</f>
        <v>523.02800000000002</v>
      </c>
      <c r="L3132">
        <v>0</v>
      </c>
    </row>
    <row r="3133" spans="1:12" x14ac:dyDescent="0.25">
      <c r="A3133">
        <f>80680574*0.00001</f>
        <v>806.80574000000001</v>
      </c>
      <c r="B3133">
        <v>3507</v>
      </c>
      <c r="C3133">
        <v>178</v>
      </c>
      <c r="D3133" s="1">
        <f>243.173</f>
        <v>243.173</v>
      </c>
      <c r="E3133" s="1">
        <f>5286</f>
        <v>5286</v>
      </c>
      <c r="F3133" s="1">
        <f>1615</f>
        <v>1615</v>
      </c>
      <c r="G3133">
        <v>1</v>
      </c>
      <c r="H3133">
        <v>0.2</v>
      </c>
      <c r="I3133">
        <v>0</v>
      </c>
      <c r="J3133">
        <v>42.597299999999997</v>
      </c>
      <c r="K3133">
        <v>523.02800000000002</v>
      </c>
      <c r="L3133">
        <v>0</v>
      </c>
    </row>
    <row r="3134" spans="1:12" s="2" customFormat="1" x14ac:dyDescent="0.25">
      <c r="A3134" s="2">
        <f>80680847*0.00001</f>
        <v>806.80847000000006</v>
      </c>
      <c r="B3134" s="2">
        <v>3508</v>
      </c>
      <c r="C3134" s="2">
        <v>0</v>
      </c>
      <c r="D3134" s="2">
        <v>243.173</v>
      </c>
      <c r="E3134" s="2">
        <v>5286</v>
      </c>
      <c r="F3134" s="2">
        <v>1615</v>
      </c>
      <c r="G3134" s="2">
        <v>1</v>
      </c>
      <c r="H3134" s="1">
        <f>0.2</f>
        <v>0.2</v>
      </c>
      <c r="I3134" s="2">
        <v>0</v>
      </c>
      <c r="J3134" s="2">
        <v>42.597299999999997</v>
      </c>
      <c r="K3134" s="2">
        <v>523.02800000000002</v>
      </c>
      <c r="L3134" s="2">
        <v>0</v>
      </c>
    </row>
    <row r="3135" spans="1:12" x14ac:dyDescent="0.25">
      <c r="A3135">
        <f>80680985*0.00001</f>
        <v>806.8098500000001</v>
      </c>
      <c r="B3135">
        <v>3508</v>
      </c>
      <c r="C3135">
        <v>1</v>
      </c>
      <c r="D3135">
        <v>243.173</v>
      </c>
      <c r="E3135">
        <v>5286</v>
      </c>
      <c r="F3135">
        <v>1615</v>
      </c>
      <c r="G3135">
        <v>1</v>
      </c>
      <c r="H3135">
        <v>0.2</v>
      </c>
      <c r="I3135">
        <v>0</v>
      </c>
      <c r="J3135" s="1">
        <f>42.7218</f>
        <v>42.721800000000002</v>
      </c>
      <c r="K3135">
        <v>523.02800000000002</v>
      </c>
      <c r="L3135">
        <v>0</v>
      </c>
    </row>
    <row r="3136" spans="1:12" x14ac:dyDescent="0.25">
      <c r="A3136">
        <f>80681122*0.00001</f>
        <v>806.81122000000005</v>
      </c>
      <c r="B3136">
        <v>3508</v>
      </c>
      <c r="C3136">
        <v>2</v>
      </c>
      <c r="D3136">
        <v>243.173</v>
      </c>
      <c r="E3136">
        <v>5286</v>
      </c>
      <c r="F3136">
        <v>1615</v>
      </c>
      <c r="G3136">
        <v>1</v>
      </c>
      <c r="H3136">
        <v>0.2</v>
      </c>
      <c r="I3136">
        <v>0</v>
      </c>
      <c r="J3136">
        <v>42.721800000000002</v>
      </c>
      <c r="K3136">
        <v>523.02800000000002</v>
      </c>
      <c r="L3136" s="1">
        <f>0</f>
        <v>0</v>
      </c>
    </row>
    <row r="3137" spans="1:12" x14ac:dyDescent="0.25">
      <c r="A3137">
        <f>80681259*0.00001</f>
        <v>806.81259000000011</v>
      </c>
      <c r="B3137">
        <v>3508</v>
      </c>
      <c r="C3137">
        <v>3</v>
      </c>
      <c r="D3137">
        <v>243.173</v>
      </c>
      <c r="E3137" s="1">
        <f>5288</f>
        <v>5288</v>
      </c>
      <c r="F3137">
        <v>1615</v>
      </c>
      <c r="G3137">
        <v>1</v>
      </c>
      <c r="H3137">
        <v>0.2</v>
      </c>
      <c r="I3137">
        <v>0</v>
      </c>
      <c r="J3137">
        <v>42.721800000000002</v>
      </c>
      <c r="K3137">
        <v>523.02800000000002</v>
      </c>
      <c r="L3137">
        <v>0</v>
      </c>
    </row>
    <row r="3138" spans="1:12" x14ac:dyDescent="0.25">
      <c r="A3138">
        <f>80681396*0.00001</f>
        <v>806.81396000000007</v>
      </c>
      <c r="B3138">
        <v>3508</v>
      </c>
      <c r="C3138">
        <v>4</v>
      </c>
      <c r="D3138" s="1">
        <f>243.174</f>
        <v>243.17400000000001</v>
      </c>
      <c r="E3138" s="1">
        <f>5289</f>
        <v>5289</v>
      </c>
      <c r="F3138" s="1">
        <f>1615</f>
        <v>1615</v>
      </c>
      <c r="G3138" s="1">
        <f>1</f>
        <v>1</v>
      </c>
      <c r="H3138" s="1">
        <f>0.2</f>
        <v>0.2</v>
      </c>
      <c r="I3138" s="1">
        <f>0</f>
        <v>0</v>
      </c>
      <c r="J3138" s="1">
        <f>43.0448</f>
        <v>43.044800000000002</v>
      </c>
      <c r="K3138" s="1">
        <f>523.169</f>
        <v>523.16899999999998</v>
      </c>
      <c r="L3138" s="1">
        <f>0</f>
        <v>0</v>
      </c>
    </row>
    <row r="3139" spans="1:12" x14ac:dyDescent="0.25">
      <c r="A3139">
        <f>80682488*0.00001</f>
        <v>806.82488000000012</v>
      </c>
      <c r="B3139">
        <v>3508</v>
      </c>
      <c r="C3139">
        <v>12</v>
      </c>
      <c r="D3139" s="1">
        <f>243.175</f>
        <v>243.17500000000001</v>
      </c>
      <c r="E3139" s="1">
        <f>5290</f>
        <v>5290</v>
      </c>
      <c r="F3139">
        <v>1615</v>
      </c>
      <c r="G3139">
        <v>1</v>
      </c>
      <c r="H3139">
        <v>0.2</v>
      </c>
      <c r="I3139">
        <v>0</v>
      </c>
      <c r="J3139">
        <v>43.044800000000002</v>
      </c>
      <c r="K3139">
        <v>523.16899999999998</v>
      </c>
      <c r="L3139">
        <v>0</v>
      </c>
    </row>
    <row r="3140" spans="1:12" x14ac:dyDescent="0.25">
      <c r="A3140">
        <f>80682624*0.00001</f>
        <v>806.8262400000001</v>
      </c>
      <c r="B3140">
        <v>3508</v>
      </c>
      <c r="C3140">
        <v>13</v>
      </c>
      <c r="D3140">
        <v>243.17500000000001</v>
      </c>
      <c r="E3140">
        <v>5290</v>
      </c>
      <c r="F3140" s="1">
        <f>1615</f>
        <v>1615</v>
      </c>
      <c r="G3140" s="1">
        <f>1</f>
        <v>1</v>
      </c>
      <c r="H3140">
        <v>0.2</v>
      </c>
      <c r="I3140">
        <v>0</v>
      </c>
      <c r="J3140">
        <v>43.044800000000002</v>
      </c>
      <c r="K3140">
        <v>523.16899999999998</v>
      </c>
      <c r="L3140">
        <v>0</v>
      </c>
    </row>
    <row r="3141" spans="1:12" x14ac:dyDescent="0.25">
      <c r="A3141">
        <f>80682760*0.00001</f>
        <v>806.82760000000007</v>
      </c>
      <c r="B3141">
        <v>3508</v>
      </c>
      <c r="C3141">
        <v>14</v>
      </c>
      <c r="D3141">
        <v>243.17500000000001</v>
      </c>
      <c r="E3141">
        <v>5290</v>
      </c>
      <c r="F3141">
        <v>1615</v>
      </c>
      <c r="G3141">
        <v>1</v>
      </c>
      <c r="H3141" s="1">
        <f>0.2</f>
        <v>0.2</v>
      </c>
      <c r="I3141" s="1">
        <f>0</f>
        <v>0</v>
      </c>
      <c r="J3141">
        <v>43.044800000000002</v>
      </c>
      <c r="K3141">
        <v>523.16899999999998</v>
      </c>
      <c r="L3141">
        <v>0</v>
      </c>
    </row>
    <row r="3142" spans="1:12" x14ac:dyDescent="0.25">
      <c r="A3142">
        <f>80682896*0.00001</f>
        <v>806.82896000000005</v>
      </c>
      <c r="B3142">
        <v>3508</v>
      </c>
      <c r="C3142">
        <v>15</v>
      </c>
      <c r="D3142">
        <v>243.17500000000001</v>
      </c>
      <c r="E3142">
        <v>5290</v>
      </c>
      <c r="F3142">
        <v>1615</v>
      </c>
      <c r="G3142">
        <v>1</v>
      </c>
      <c r="H3142">
        <v>0.2</v>
      </c>
      <c r="I3142">
        <v>0</v>
      </c>
      <c r="J3142" s="1">
        <f>43.1938</f>
        <v>43.193800000000003</v>
      </c>
      <c r="K3142" s="1">
        <f>523.216</f>
        <v>523.21600000000001</v>
      </c>
      <c r="L3142">
        <v>0</v>
      </c>
    </row>
    <row r="3143" spans="1:12" x14ac:dyDescent="0.25">
      <c r="A3143">
        <f>80683033*0.00001</f>
        <v>806.83033000000012</v>
      </c>
      <c r="B3143">
        <v>3508</v>
      </c>
      <c r="C3143">
        <v>16</v>
      </c>
      <c r="D3143" s="1">
        <f>243.172</f>
        <v>243.172</v>
      </c>
      <c r="E3143">
        <v>5290</v>
      </c>
      <c r="F3143">
        <v>1615</v>
      </c>
      <c r="G3143">
        <v>1</v>
      </c>
      <c r="H3143">
        <v>0.2</v>
      </c>
      <c r="I3143">
        <v>0</v>
      </c>
      <c r="J3143">
        <v>43.193800000000003</v>
      </c>
      <c r="K3143">
        <v>523.21600000000001</v>
      </c>
      <c r="L3143" s="1">
        <f>0</f>
        <v>0</v>
      </c>
    </row>
    <row r="3144" spans="1:12" x14ac:dyDescent="0.25">
      <c r="A3144">
        <f>80683170*0.00001</f>
        <v>806.83170000000007</v>
      </c>
      <c r="B3144">
        <v>3508</v>
      </c>
      <c r="C3144">
        <v>17</v>
      </c>
      <c r="D3144">
        <v>243.172</v>
      </c>
      <c r="E3144" s="1">
        <f>5291</f>
        <v>5291</v>
      </c>
      <c r="F3144" s="1">
        <f>1615</f>
        <v>1615</v>
      </c>
      <c r="G3144">
        <v>1</v>
      </c>
      <c r="H3144">
        <v>0.2</v>
      </c>
      <c r="I3144">
        <v>0</v>
      </c>
      <c r="J3144">
        <v>43.193800000000003</v>
      </c>
      <c r="K3144">
        <v>523.21600000000001</v>
      </c>
      <c r="L3144">
        <v>0</v>
      </c>
    </row>
    <row r="3145" spans="1:12" x14ac:dyDescent="0.25">
      <c r="A3145">
        <f>80683307*0.00001</f>
        <v>806.83307000000002</v>
      </c>
      <c r="B3145">
        <v>3508</v>
      </c>
      <c r="C3145">
        <v>18</v>
      </c>
      <c r="D3145">
        <v>243.172</v>
      </c>
      <c r="E3145">
        <v>5291</v>
      </c>
      <c r="F3145">
        <v>1615</v>
      </c>
      <c r="G3145" s="1">
        <f>1</f>
        <v>1</v>
      </c>
      <c r="H3145" s="1">
        <f>0.2</f>
        <v>0.2</v>
      </c>
      <c r="I3145">
        <v>0</v>
      </c>
      <c r="J3145">
        <v>43.193800000000003</v>
      </c>
      <c r="K3145">
        <v>523.21600000000001</v>
      </c>
      <c r="L3145">
        <v>0</v>
      </c>
    </row>
    <row r="3146" spans="1:12" x14ac:dyDescent="0.25">
      <c r="A3146">
        <f>80683444*0.00001</f>
        <v>806.83444000000009</v>
      </c>
      <c r="B3146">
        <v>3508</v>
      </c>
      <c r="C3146">
        <v>19</v>
      </c>
      <c r="D3146">
        <v>243.172</v>
      </c>
      <c r="E3146">
        <v>5291</v>
      </c>
      <c r="F3146">
        <v>1615</v>
      </c>
      <c r="G3146">
        <v>1</v>
      </c>
      <c r="H3146">
        <v>0.2</v>
      </c>
      <c r="I3146">
        <v>0</v>
      </c>
      <c r="J3146" s="1">
        <f>43.3433</f>
        <v>43.343299999999999</v>
      </c>
      <c r="K3146">
        <v>523.21600000000001</v>
      </c>
      <c r="L3146">
        <v>0</v>
      </c>
    </row>
    <row r="3147" spans="1:12" x14ac:dyDescent="0.25">
      <c r="A3147">
        <f>80683581*0.00001</f>
        <v>806.83581000000004</v>
      </c>
      <c r="B3147">
        <v>3508</v>
      </c>
      <c r="C3147">
        <v>20</v>
      </c>
      <c r="D3147">
        <v>243.172</v>
      </c>
      <c r="E3147">
        <v>5291</v>
      </c>
      <c r="F3147">
        <v>1615</v>
      </c>
      <c r="G3147">
        <v>1</v>
      </c>
      <c r="H3147">
        <v>0.2</v>
      </c>
      <c r="I3147">
        <v>0</v>
      </c>
      <c r="J3147">
        <v>43.343299999999999</v>
      </c>
      <c r="K3147">
        <v>523.21600000000001</v>
      </c>
      <c r="L3147" s="1">
        <f>0</f>
        <v>0</v>
      </c>
    </row>
    <row r="3148" spans="1:12" x14ac:dyDescent="0.25">
      <c r="A3148">
        <f>80683717*0.00001</f>
        <v>806.83717000000001</v>
      </c>
      <c r="B3148">
        <v>3508</v>
      </c>
      <c r="C3148">
        <v>21</v>
      </c>
      <c r="D3148">
        <v>243.172</v>
      </c>
      <c r="E3148" s="1">
        <f>5292</f>
        <v>5292</v>
      </c>
      <c r="F3148">
        <v>1615</v>
      </c>
      <c r="G3148">
        <v>1</v>
      </c>
      <c r="H3148">
        <v>0.2</v>
      </c>
      <c r="I3148">
        <v>0</v>
      </c>
      <c r="J3148">
        <v>43.343299999999999</v>
      </c>
      <c r="K3148">
        <v>523.21600000000001</v>
      </c>
      <c r="L3148">
        <v>0</v>
      </c>
    </row>
    <row r="3149" spans="1:12" x14ac:dyDescent="0.25">
      <c r="A3149">
        <f>80683853*0.00001</f>
        <v>806.83853000000011</v>
      </c>
      <c r="B3149">
        <v>3508</v>
      </c>
      <c r="C3149">
        <v>22</v>
      </c>
      <c r="D3149">
        <v>243.172</v>
      </c>
      <c r="E3149">
        <v>5292</v>
      </c>
      <c r="F3149">
        <v>1615</v>
      </c>
      <c r="G3149" s="1">
        <f>1</f>
        <v>1</v>
      </c>
      <c r="H3149">
        <v>0.2</v>
      </c>
      <c r="I3149">
        <v>0</v>
      </c>
      <c r="J3149">
        <v>43.343299999999999</v>
      </c>
      <c r="K3149">
        <v>523.21600000000001</v>
      </c>
      <c r="L3149">
        <v>0</v>
      </c>
    </row>
    <row r="3150" spans="1:12" x14ac:dyDescent="0.25">
      <c r="A3150">
        <f>80683989*0.00001</f>
        <v>806.83989000000008</v>
      </c>
      <c r="B3150">
        <v>3508</v>
      </c>
      <c r="C3150">
        <v>23</v>
      </c>
      <c r="D3150">
        <v>243.172</v>
      </c>
      <c r="E3150">
        <v>5292</v>
      </c>
      <c r="F3150">
        <v>1615</v>
      </c>
      <c r="G3150">
        <v>1</v>
      </c>
      <c r="H3150">
        <v>0.2</v>
      </c>
      <c r="I3150" s="1">
        <f>0</f>
        <v>0</v>
      </c>
      <c r="J3150">
        <v>43.343299999999999</v>
      </c>
      <c r="K3150">
        <v>523.21600000000001</v>
      </c>
      <c r="L3150">
        <v>0</v>
      </c>
    </row>
    <row r="3151" spans="1:12" x14ac:dyDescent="0.25">
      <c r="A3151">
        <f>80684126*0.00001</f>
        <v>806.84126000000003</v>
      </c>
      <c r="B3151">
        <v>3508</v>
      </c>
      <c r="C3151">
        <v>24</v>
      </c>
      <c r="D3151">
        <v>243.172</v>
      </c>
      <c r="E3151">
        <v>5292</v>
      </c>
      <c r="F3151">
        <v>1615</v>
      </c>
      <c r="G3151">
        <v>1</v>
      </c>
      <c r="H3151">
        <v>0.2</v>
      </c>
      <c r="I3151">
        <v>0</v>
      </c>
      <c r="J3151">
        <v>43.343299999999999</v>
      </c>
      <c r="K3151" s="1">
        <f>523.323</f>
        <v>523.32299999999998</v>
      </c>
      <c r="L3151">
        <v>0</v>
      </c>
    </row>
    <row r="3152" spans="1:12" x14ac:dyDescent="0.25">
      <c r="A3152">
        <f>80684263*0.00001</f>
        <v>806.8426300000001</v>
      </c>
      <c r="B3152">
        <v>3508</v>
      </c>
      <c r="C3152">
        <v>25</v>
      </c>
      <c r="D3152" s="1">
        <f>243.169</f>
        <v>243.16900000000001</v>
      </c>
      <c r="E3152" s="1">
        <f>5295</f>
        <v>5295</v>
      </c>
      <c r="F3152" s="1">
        <f>1615</f>
        <v>1615</v>
      </c>
      <c r="G3152" s="1">
        <f>1</f>
        <v>1</v>
      </c>
      <c r="H3152" s="1">
        <f>0.2</f>
        <v>0.2</v>
      </c>
      <c r="I3152" s="1">
        <f>0</f>
        <v>0</v>
      </c>
      <c r="J3152" s="1">
        <f>43.792</f>
        <v>43.792000000000002</v>
      </c>
      <c r="K3152" s="1">
        <f>523.371</f>
        <v>523.37099999999998</v>
      </c>
      <c r="L3152" s="1">
        <f>0</f>
        <v>0</v>
      </c>
    </row>
    <row r="3153" spans="1:12" x14ac:dyDescent="0.25">
      <c r="A3153">
        <f>80685356*0.00001</f>
        <v>806.85356000000002</v>
      </c>
      <c r="B3153">
        <v>3508</v>
      </c>
      <c r="C3153">
        <v>33</v>
      </c>
      <c r="D3153">
        <v>243.16900000000001</v>
      </c>
      <c r="E3153">
        <v>5295</v>
      </c>
      <c r="F3153">
        <v>1615</v>
      </c>
      <c r="G3153">
        <v>1</v>
      </c>
      <c r="H3153">
        <v>0.2</v>
      </c>
      <c r="I3153">
        <v>0</v>
      </c>
      <c r="J3153">
        <v>43.792000000000002</v>
      </c>
      <c r="K3153" s="1">
        <f>523.431</f>
        <v>523.43100000000004</v>
      </c>
      <c r="L3153" s="1">
        <f>0</f>
        <v>0</v>
      </c>
    </row>
    <row r="3154" spans="1:12" x14ac:dyDescent="0.25">
      <c r="A3154">
        <f>80685493*0.00001</f>
        <v>806.85493000000008</v>
      </c>
      <c r="B3154">
        <v>3508</v>
      </c>
      <c r="C3154">
        <v>34</v>
      </c>
      <c r="D3154" s="1">
        <f>243.177</f>
        <v>243.17699999999999</v>
      </c>
      <c r="E3154" s="1">
        <f>5296</f>
        <v>5296</v>
      </c>
      <c r="F3154">
        <v>1615</v>
      </c>
      <c r="G3154">
        <v>1</v>
      </c>
      <c r="H3154">
        <v>0.2</v>
      </c>
      <c r="I3154">
        <v>0</v>
      </c>
      <c r="J3154">
        <v>43.792000000000002</v>
      </c>
      <c r="K3154">
        <v>523.43100000000004</v>
      </c>
      <c r="L3154">
        <v>0</v>
      </c>
    </row>
    <row r="3155" spans="1:12" x14ac:dyDescent="0.25">
      <c r="A3155">
        <f>80685630*0.00001</f>
        <v>806.85630000000003</v>
      </c>
      <c r="B3155">
        <v>3508</v>
      </c>
      <c r="C3155">
        <v>35</v>
      </c>
      <c r="D3155">
        <v>243.17699999999999</v>
      </c>
      <c r="E3155">
        <v>5296</v>
      </c>
      <c r="F3155" s="1">
        <f>1615</f>
        <v>1615</v>
      </c>
      <c r="G3155" s="1">
        <f>1</f>
        <v>1</v>
      </c>
      <c r="H3155">
        <v>0.2</v>
      </c>
      <c r="I3155">
        <v>0</v>
      </c>
      <c r="J3155">
        <v>43.792000000000002</v>
      </c>
      <c r="K3155">
        <v>523.43100000000004</v>
      </c>
      <c r="L3155">
        <v>0</v>
      </c>
    </row>
    <row r="3156" spans="1:12" x14ac:dyDescent="0.25">
      <c r="A3156">
        <f>80685766*0.00001</f>
        <v>806.85766000000001</v>
      </c>
      <c r="B3156">
        <v>3508</v>
      </c>
      <c r="C3156">
        <v>36</v>
      </c>
      <c r="D3156">
        <v>243.17699999999999</v>
      </c>
      <c r="E3156">
        <v>5296</v>
      </c>
      <c r="F3156">
        <v>1615</v>
      </c>
      <c r="G3156">
        <v>1</v>
      </c>
      <c r="H3156" s="1">
        <f>0.2</f>
        <v>0.2</v>
      </c>
      <c r="I3156" s="1">
        <f>0</f>
        <v>0</v>
      </c>
      <c r="J3156">
        <v>43.792000000000002</v>
      </c>
      <c r="K3156">
        <v>523.43100000000004</v>
      </c>
      <c r="L3156">
        <v>0</v>
      </c>
    </row>
    <row r="3157" spans="1:12" x14ac:dyDescent="0.25">
      <c r="A3157">
        <f>80685902*0.00001</f>
        <v>806.8590200000001</v>
      </c>
      <c r="B3157">
        <v>3508</v>
      </c>
      <c r="C3157">
        <v>37</v>
      </c>
      <c r="D3157">
        <v>243.17699999999999</v>
      </c>
      <c r="E3157">
        <v>5296</v>
      </c>
      <c r="F3157">
        <v>1615</v>
      </c>
      <c r="G3157">
        <v>1</v>
      </c>
      <c r="H3157">
        <v>0.2</v>
      </c>
      <c r="I3157">
        <v>0</v>
      </c>
      <c r="J3157" s="1">
        <f>43.9669</f>
        <v>43.966900000000003</v>
      </c>
      <c r="K3157" s="1">
        <f>523.479</f>
        <v>523.47900000000004</v>
      </c>
      <c r="L3157">
        <v>0</v>
      </c>
    </row>
    <row r="3158" spans="1:12" x14ac:dyDescent="0.25">
      <c r="A3158">
        <f>80686038*0.00001</f>
        <v>806.86038000000008</v>
      </c>
      <c r="B3158">
        <v>3508</v>
      </c>
      <c r="C3158">
        <v>38</v>
      </c>
      <c r="D3158" s="1">
        <f>243.195</f>
        <v>243.19499999999999</v>
      </c>
      <c r="E3158">
        <v>5296</v>
      </c>
      <c r="F3158">
        <v>1615</v>
      </c>
      <c r="G3158">
        <v>1</v>
      </c>
      <c r="H3158">
        <v>0.2</v>
      </c>
      <c r="I3158">
        <v>0</v>
      </c>
      <c r="J3158">
        <v>43.966900000000003</v>
      </c>
      <c r="K3158">
        <v>523.47900000000004</v>
      </c>
      <c r="L3158" s="1">
        <f>0</f>
        <v>0</v>
      </c>
    </row>
    <row r="3159" spans="1:12" x14ac:dyDescent="0.25">
      <c r="A3159">
        <f>80686174*0.00001</f>
        <v>806.86174000000005</v>
      </c>
      <c r="B3159">
        <v>3508</v>
      </c>
      <c r="C3159">
        <v>39</v>
      </c>
      <c r="D3159">
        <v>243.19499999999999</v>
      </c>
      <c r="E3159">
        <v>5296</v>
      </c>
      <c r="F3159" s="1">
        <f>1615</f>
        <v>1615</v>
      </c>
      <c r="G3159">
        <v>1</v>
      </c>
      <c r="H3159">
        <v>0.2</v>
      </c>
      <c r="I3159">
        <v>0</v>
      </c>
      <c r="J3159">
        <v>43.966900000000003</v>
      </c>
      <c r="K3159">
        <v>523.47900000000004</v>
      </c>
      <c r="L3159">
        <v>0</v>
      </c>
    </row>
    <row r="3160" spans="1:12" x14ac:dyDescent="0.25">
      <c r="A3160">
        <f>80686310*0.00001</f>
        <v>806.86310000000003</v>
      </c>
      <c r="B3160">
        <v>3508</v>
      </c>
      <c r="C3160">
        <v>40</v>
      </c>
      <c r="D3160">
        <v>243.19499999999999</v>
      </c>
      <c r="E3160">
        <v>5296</v>
      </c>
      <c r="F3160">
        <v>1615</v>
      </c>
      <c r="G3160">
        <v>1</v>
      </c>
      <c r="H3160" s="1">
        <f>0.2</f>
        <v>0.2</v>
      </c>
      <c r="I3160">
        <v>0</v>
      </c>
      <c r="J3160">
        <v>43.966900000000003</v>
      </c>
      <c r="K3160">
        <v>523.47900000000004</v>
      </c>
      <c r="L3160">
        <v>0</v>
      </c>
    </row>
    <row r="3161" spans="1:12" x14ac:dyDescent="0.25">
      <c r="A3161">
        <f>80686446*0.00001</f>
        <v>806.86446000000012</v>
      </c>
      <c r="B3161">
        <v>3508</v>
      </c>
      <c r="C3161">
        <v>41</v>
      </c>
      <c r="D3161">
        <v>243.19499999999999</v>
      </c>
      <c r="E3161">
        <v>5296</v>
      </c>
      <c r="F3161">
        <v>1615</v>
      </c>
      <c r="G3161">
        <v>1</v>
      </c>
      <c r="H3161">
        <v>0.2</v>
      </c>
      <c r="I3161">
        <v>0</v>
      </c>
      <c r="J3161" s="1">
        <f>44.026</f>
        <v>44.026000000000003</v>
      </c>
      <c r="K3161">
        <v>523.47900000000004</v>
      </c>
      <c r="L3161">
        <v>0</v>
      </c>
    </row>
    <row r="3162" spans="1:12" x14ac:dyDescent="0.25">
      <c r="A3162">
        <f>80686582*0.00001</f>
        <v>806.8658200000001</v>
      </c>
      <c r="B3162">
        <v>3508</v>
      </c>
      <c r="C3162">
        <v>42</v>
      </c>
      <c r="D3162">
        <v>243.19499999999999</v>
      </c>
      <c r="E3162">
        <v>5296</v>
      </c>
      <c r="F3162">
        <v>1615</v>
      </c>
      <c r="G3162">
        <v>1</v>
      </c>
      <c r="H3162">
        <v>0.2</v>
      </c>
      <c r="I3162">
        <v>0</v>
      </c>
      <c r="J3162">
        <v>44.026000000000003</v>
      </c>
      <c r="K3162">
        <v>523.47900000000004</v>
      </c>
      <c r="L3162" s="1">
        <f>0</f>
        <v>0</v>
      </c>
    </row>
    <row r="3163" spans="1:12" x14ac:dyDescent="0.25">
      <c r="A3163">
        <f>80686719*0.00001</f>
        <v>806.86719000000005</v>
      </c>
      <c r="B3163">
        <v>3508</v>
      </c>
      <c r="C3163">
        <v>43</v>
      </c>
      <c r="D3163">
        <v>243.19499999999999</v>
      </c>
      <c r="E3163" s="1">
        <f>5296</f>
        <v>5296</v>
      </c>
      <c r="F3163">
        <v>1615</v>
      </c>
      <c r="G3163">
        <v>1</v>
      </c>
      <c r="H3163">
        <v>0.2</v>
      </c>
      <c r="I3163">
        <v>0</v>
      </c>
      <c r="J3163">
        <v>44.026000000000003</v>
      </c>
      <c r="K3163">
        <v>523.47900000000004</v>
      </c>
      <c r="L3163">
        <v>0</v>
      </c>
    </row>
    <row r="3164" spans="1:12" x14ac:dyDescent="0.25">
      <c r="A3164">
        <f>80686856*0.00001</f>
        <v>806.86856000000012</v>
      </c>
      <c r="B3164">
        <v>3508</v>
      </c>
      <c r="C3164">
        <v>44</v>
      </c>
      <c r="D3164">
        <v>243.19499999999999</v>
      </c>
      <c r="E3164">
        <v>5296</v>
      </c>
      <c r="F3164">
        <v>1615</v>
      </c>
      <c r="G3164" s="1">
        <f>1</f>
        <v>1</v>
      </c>
      <c r="H3164">
        <v>0.2</v>
      </c>
      <c r="I3164">
        <v>0</v>
      </c>
      <c r="J3164">
        <v>44.026000000000003</v>
      </c>
      <c r="K3164">
        <v>523.47900000000004</v>
      </c>
      <c r="L3164">
        <v>0</v>
      </c>
    </row>
    <row r="3165" spans="1:12" x14ac:dyDescent="0.25">
      <c r="A3165">
        <f>80686993*0.00001</f>
        <v>806.86993000000007</v>
      </c>
      <c r="B3165">
        <v>3508</v>
      </c>
      <c r="C3165">
        <v>45</v>
      </c>
      <c r="D3165">
        <v>243.19499999999999</v>
      </c>
      <c r="E3165">
        <v>5296</v>
      </c>
      <c r="F3165">
        <v>1615</v>
      </c>
      <c r="G3165">
        <v>1</v>
      </c>
      <c r="H3165">
        <v>0.2</v>
      </c>
      <c r="I3165" s="1">
        <f>0</f>
        <v>0</v>
      </c>
      <c r="J3165">
        <v>44.026000000000003</v>
      </c>
      <c r="K3165">
        <v>523.47900000000004</v>
      </c>
      <c r="L3165">
        <v>0</v>
      </c>
    </row>
    <row r="3166" spans="1:12" x14ac:dyDescent="0.25">
      <c r="A3166">
        <f>80687130*0.00001</f>
        <v>806.87130000000002</v>
      </c>
      <c r="B3166">
        <v>3508</v>
      </c>
      <c r="C3166">
        <v>46</v>
      </c>
      <c r="D3166" s="1">
        <f>243.36</f>
        <v>243.36</v>
      </c>
      <c r="E3166" s="1">
        <f>5295</f>
        <v>5295</v>
      </c>
      <c r="F3166" s="1">
        <f>1615</f>
        <v>1615</v>
      </c>
      <c r="G3166" s="1">
        <f>1</f>
        <v>1</v>
      </c>
      <c r="H3166" s="1">
        <f>0.2</f>
        <v>0.2</v>
      </c>
      <c r="I3166" s="1">
        <f>0</f>
        <v>0</v>
      </c>
      <c r="J3166" s="1">
        <f>44.2189</f>
        <v>44.218899999999998</v>
      </c>
      <c r="K3166" s="1">
        <f>523.636</f>
        <v>523.63599999999997</v>
      </c>
      <c r="L3166" s="1">
        <f>0</f>
        <v>0</v>
      </c>
    </row>
    <row r="3167" spans="1:12" x14ac:dyDescent="0.25">
      <c r="A3167">
        <f>80688220*0.00001</f>
        <v>806.88220000000001</v>
      </c>
      <c r="B3167">
        <v>3508</v>
      </c>
      <c r="C3167">
        <v>54</v>
      </c>
      <c r="D3167">
        <v>243.36</v>
      </c>
      <c r="E3167">
        <v>5295</v>
      </c>
      <c r="F3167">
        <v>1615</v>
      </c>
      <c r="G3167">
        <v>1</v>
      </c>
      <c r="H3167">
        <v>0.2</v>
      </c>
      <c r="I3167" s="1">
        <f>0</f>
        <v>0</v>
      </c>
      <c r="J3167" s="1">
        <f>44.3351</f>
        <v>44.335099999999997</v>
      </c>
      <c r="K3167">
        <v>523.63599999999997</v>
      </c>
      <c r="L3167">
        <v>0</v>
      </c>
    </row>
    <row r="3168" spans="1:12" x14ac:dyDescent="0.25">
      <c r="A3168">
        <f>80688356*0.00001</f>
        <v>806.8835600000001</v>
      </c>
      <c r="B3168">
        <v>3508</v>
      </c>
      <c r="C3168">
        <v>55</v>
      </c>
      <c r="D3168">
        <v>243.36</v>
      </c>
      <c r="E3168">
        <v>5295</v>
      </c>
      <c r="F3168">
        <v>1615</v>
      </c>
      <c r="G3168">
        <v>1</v>
      </c>
      <c r="H3168">
        <v>0.2</v>
      </c>
      <c r="I3168">
        <v>0</v>
      </c>
      <c r="J3168">
        <v>44.335099999999997</v>
      </c>
      <c r="K3168" s="1">
        <f>523.697</f>
        <v>523.697</v>
      </c>
      <c r="L3168" s="1">
        <f>0</f>
        <v>0</v>
      </c>
    </row>
    <row r="3169" spans="1:12" x14ac:dyDescent="0.25">
      <c r="A3169">
        <f>80688492*0.00001</f>
        <v>806.88492000000008</v>
      </c>
      <c r="B3169">
        <v>3508</v>
      </c>
      <c r="C3169">
        <v>56</v>
      </c>
      <c r="D3169" s="1">
        <f>243.398</f>
        <v>243.398</v>
      </c>
      <c r="E3169" s="1">
        <f>5295</f>
        <v>5295</v>
      </c>
      <c r="F3169">
        <v>1615</v>
      </c>
      <c r="G3169">
        <v>1</v>
      </c>
      <c r="H3169">
        <v>0.2</v>
      </c>
      <c r="I3169">
        <v>0</v>
      </c>
      <c r="J3169">
        <v>44.335099999999997</v>
      </c>
      <c r="K3169">
        <v>523.697</v>
      </c>
      <c r="L3169">
        <v>0</v>
      </c>
    </row>
    <row r="3170" spans="1:12" x14ac:dyDescent="0.25">
      <c r="A3170">
        <f>80688628*0.00001</f>
        <v>806.88628000000006</v>
      </c>
      <c r="B3170">
        <v>3508</v>
      </c>
      <c r="C3170">
        <v>57</v>
      </c>
      <c r="D3170">
        <v>243.398</v>
      </c>
      <c r="E3170">
        <v>5295</v>
      </c>
      <c r="F3170" s="1">
        <f>1615</f>
        <v>1615</v>
      </c>
      <c r="G3170" s="1">
        <f>1</f>
        <v>1</v>
      </c>
      <c r="H3170">
        <v>0.2</v>
      </c>
      <c r="I3170">
        <v>0</v>
      </c>
      <c r="J3170">
        <v>44.335099999999997</v>
      </c>
      <c r="K3170">
        <v>523.697</v>
      </c>
      <c r="L3170">
        <v>0</v>
      </c>
    </row>
    <row r="3171" spans="1:12" x14ac:dyDescent="0.25">
      <c r="A3171">
        <f>80688765*0.00001</f>
        <v>806.88765000000012</v>
      </c>
      <c r="B3171">
        <v>3508</v>
      </c>
      <c r="C3171">
        <v>58</v>
      </c>
      <c r="D3171">
        <v>243.398</v>
      </c>
      <c r="E3171">
        <v>5295</v>
      </c>
      <c r="F3171">
        <v>1615</v>
      </c>
      <c r="G3171">
        <v>1</v>
      </c>
      <c r="H3171" s="1">
        <f>0.2</f>
        <v>0.2</v>
      </c>
      <c r="I3171" s="1">
        <f>0</f>
        <v>0</v>
      </c>
      <c r="J3171">
        <v>44.335099999999997</v>
      </c>
      <c r="K3171">
        <v>523.697</v>
      </c>
      <c r="L3171">
        <v>0</v>
      </c>
    </row>
    <row r="3172" spans="1:12" x14ac:dyDescent="0.25">
      <c r="A3172">
        <f>80688901*0.00001</f>
        <v>806.8890100000001</v>
      </c>
      <c r="B3172">
        <v>3508</v>
      </c>
      <c r="C3172">
        <v>59</v>
      </c>
      <c r="D3172">
        <v>243.398</v>
      </c>
      <c r="E3172">
        <v>5295</v>
      </c>
      <c r="F3172">
        <v>1615</v>
      </c>
      <c r="G3172">
        <v>1</v>
      </c>
      <c r="H3172">
        <v>0.2</v>
      </c>
      <c r="I3172">
        <v>0</v>
      </c>
      <c r="J3172" s="1">
        <f>44.4763</f>
        <v>44.476300000000002</v>
      </c>
      <c r="K3172" s="1">
        <f>523.745</f>
        <v>523.745</v>
      </c>
      <c r="L3172">
        <v>0</v>
      </c>
    </row>
    <row r="3173" spans="1:12" x14ac:dyDescent="0.25">
      <c r="A3173">
        <f>80689038*0.00001</f>
        <v>806.89038000000005</v>
      </c>
      <c r="B3173">
        <v>3508</v>
      </c>
      <c r="C3173">
        <v>60</v>
      </c>
      <c r="D3173" s="1">
        <f>243.424</f>
        <v>243.42400000000001</v>
      </c>
      <c r="E3173">
        <v>5295</v>
      </c>
      <c r="F3173">
        <v>1615</v>
      </c>
      <c r="G3173">
        <v>1</v>
      </c>
      <c r="H3173">
        <v>0.2</v>
      </c>
      <c r="I3173">
        <v>0</v>
      </c>
      <c r="J3173">
        <v>44.476300000000002</v>
      </c>
      <c r="K3173">
        <v>523.745</v>
      </c>
      <c r="L3173" s="1">
        <f>0</f>
        <v>0</v>
      </c>
    </row>
    <row r="3174" spans="1:12" x14ac:dyDescent="0.25">
      <c r="A3174">
        <f>80689175*0.00001</f>
        <v>806.89175000000012</v>
      </c>
      <c r="B3174">
        <v>3508</v>
      </c>
      <c r="C3174">
        <v>61</v>
      </c>
      <c r="D3174">
        <v>243.42400000000001</v>
      </c>
      <c r="E3174" s="1">
        <f>5296</f>
        <v>5296</v>
      </c>
      <c r="F3174" s="1">
        <f>1615</f>
        <v>1615</v>
      </c>
      <c r="G3174">
        <v>1</v>
      </c>
      <c r="H3174">
        <v>0.2</v>
      </c>
      <c r="I3174">
        <v>0</v>
      </c>
      <c r="J3174">
        <v>44.476300000000002</v>
      </c>
      <c r="K3174">
        <v>523.745</v>
      </c>
      <c r="L3174">
        <v>0</v>
      </c>
    </row>
    <row r="3175" spans="1:12" x14ac:dyDescent="0.25">
      <c r="A3175">
        <f>80689312*0.00001</f>
        <v>806.89312000000007</v>
      </c>
      <c r="B3175">
        <v>3508</v>
      </c>
      <c r="C3175">
        <v>62</v>
      </c>
      <c r="D3175">
        <v>243.42400000000001</v>
      </c>
      <c r="E3175">
        <v>5296</v>
      </c>
      <c r="F3175">
        <v>1615</v>
      </c>
      <c r="G3175">
        <v>1</v>
      </c>
      <c r="H3175" s="1">
        <f>0.2</f>
        <v>0.2</v>
      </c>
      <c r="I3175">
        <v>0</v>
      </c>
      <c r="J3175">
        <v>44.476300000000002</v>
      </c>
      <c r="K3175">
        <v>523.745</v>
      </c>
      <c r="L3175">
        <v>0</v>
      </c>
    </row>
    <row r="3176" spans="1:12" x14ac:dyDescent="0.25">
      <c r="A3176">
        <f>80689449*0.00001</f>
        <v>806.89449000000002</v>
      </c>
      <c r="B3176">
        <v>3508</v>
      </c>
      <c r="C3176">
        <v>63</v>
      </c>
      <c r="D3176">
        <v>243.42400000000001</v>
      </c>
      <c r="E3176">
        <v>5296</v>
      </c>
      <c r="F3176">
        <v>1615</v>
      </c>
      <c r="G3176">
        <v>1</v>
      </c>
      <c r="H3176">
        <v>0.2</v>
      </c>
      <c r="I3176">
        <v>0</v>
      </c>
      <c r="J3176" s="1">
        <f>44.5849</f>
        <v>44.584899999999998</v>
      </c>
      <c r="K3176">
        <v>523.745</v>
      </c>
      <c r="L3176">
        <v>0</v>
      </c>
    </row>
    <row r="3177" spans="1:12" x14ac:dyDescent="0.25">
      <c r="A3177">
        <f>80689585*0.00001</f>
        <v>806.89585000000011</v>
      </c>
      <c r="B3177">
        <v>3508</v>
      </c>
      <c r="C3177">
        <v>64</v>
      </c>
      <c r="D3177">
        <v>243.42400000000001</v>
      </c>
      <c r="E3177">
        <v>5296</v>
      </c>
      <c r="F3177">
        <v>1615</v>
      </c>
      <c r="G3177">
        <v>1</v>
      </c>
      <c r="H3177">
        <v>0.2</v>
      </c>
      <c r="I3177">
        <v>0</v>
      </c>
      <c r="J3177">
        <v>44.584899999999998</v>
      </c>
      <c r="K3177">
        <v>523.745</v>
      </c>
      <c r="L3177" s="1">
        <f>0</f>
        <v>0</v>
      </c>
    </row>
    <row r="3178" spans="1:12" x14ac:dyDescent="0.25">
      <c r="A3178">
        <f>80689721*0.00001</f>
        <v>806.89721000000009</v>
      </c>
      <c r="B3178">
        <v>3508</v>
      </c>
      <c r="C3178">
        <v>65</v>
      </c>
      <c r="D3178">
        <v>243.42400000000001</v>
      </c>
      <c r="E3178" s="1">
        <f>5296</f>
        <v>5296</v>
      </c>
      <c r="F3178">
        <v>1615</v>
      </c>
      <c r="G3178">
        <v>1</v>
      </c>
      <c r="H3178">
        <v>0.2</v>
      </c>
      <c r="I3178">
        <v>0</v>
      </c>
      <c r="J3178">
        <v>44.584899999999998</v>
      </c>
      <c r="K3178">
        <v>523.745</v>
      </c>
      <c r="L3178">
        <v>0</v>
      </c>
    </row>
    <row r="3179" spans="1:12" x14ac:dyDescent="0.25">
      <c r="A3179">
        <f>80689857*0.00001</f>
        <v>806.89857000000006</v>
      </c>
      <c r="B3179">
        <v>3508</v>
      </c>
      <c r="C3179">
        <v>66</v>
      </c>
      <c r="D3179">
        <v>243.42400000000001</v>
      </c>
      <c r="E3179">
        <v>5296</v>
      </c>
      <c r="F3179">
        <v>1615</v>
      </c>
      <c r="G3179" s="1">
        <f>1</f>
        <v>1</v>
      </c>
      <c r="H3179">
        <v>0.2</v>
      </c>
      <c r="I3179">
        <v>0</v>
      </c>
      <c r="J3179">
        <v>44.584899999999998</v>
      </c>
      <c r="K3179">
        <v>523.745</v>
      </c>
      <c r="L3179">
        <v>0</v>
      </c>
    </row>
    <row r="3180" spans="1:12" x14ac:dyDescent="0.25">
      <c r="A3180">
        <f>80689993*0.00001</f>
        <v>806.89993000000004</v>
      </c>
      <c r="B3180">
        <v>3508</v>
      </c>
      <c r="C3180">
        <v>67</v>
      </c>
      <c r="D3180">
        <v>243.42400000000001</v>
      </c>
      <c r="E3180">
        <v>5296</v>
      </c>
      <c r="F3180">
        <v>1615</v>
      </c>
      <c r="G3180">
        <v>1</v>
      </c>
      <c r="H3180">
        <v>0.2</v>
      </c>
      <c r="I3180" s="1">
        <f>0</f>
        <v>0</v>
      </c>
      <c r="J3180">
        <v>44.584899999999998</v>
      </c>
      <c r="K3180">
        <v>523.745</v>
      </c>
      <c r="L3180">
        <v>0</v>
      </c>
    </row>
    <row r="3181" spans="1:12" x14ac:dyDescent="0.25">
      <c r="A3181">
        <f>80690129*0.00001</f>
        <v>806.90129000000002</v>
      </c>
      <c r="B3181">
        <v>3508</v>
      </c>
      <c r="C3181">
        <v>68</v>
      </c>
      <c r="D3181" s="1">
        <f>243.477</f>
        <v>243.477</v>
      </c>
      <c r="E3181" s="1">
        <f>5298</f>
        <v>5298</v>
      </c>
      <c r="F3181" s="1">
        <f>1615</f>
        <v>1615</v>
      </c>
      <c r="G3181" s="1">
        <f>1</f>
        <v>1</v>
      </c>
      <c r="H3181" s="1">
        <f>0.2</f>
        <v>0.2</v>
      </c>
      <c r="I3181" s="1">
        <f>0</f>
        <v>0</v>
      </c>
      <c r="J3181" s="1">
        <f>44.9841</f>
        <v>44.984099999999998</v>
      </c>
      <c r="K3181" s="1">
        <f>523.904</f>
        <v>523.904</v>
      </c>
      <c r="L3181" s="1">
        <f>0</f>
        <v>0</v>
      </c>
    </row>
    <row r="3182" spans="1:12" x14ac:dyDescent="0.25">
      <c r="A3182">
        <f>80691360*0.00001</f>
        <v>806.91360000000009</v>
      </c>
      <c r="B3182">
        <v>3508</v>
      </c>
      <c r="C3182">
        <v>77</v>
      </c>
      <c r="D3182">
        <v>243.477</v>
      </c>
      <c r="E3182">
        <v>5298</v>
      </c>
      <c r="F3182">
        <v>1615</v>
      </c>
      <c r="G3182">
        <v>1</v>
      </c>
      <c r="H3182">
        <v>0.2</v>
      </c>
      <c r="I3182">
        <v>0</v>
      </c>
      <c r="J3182">
        <v>44.984099999999998</v>
      </c>
      <c r="K3182" s="1">
        <f>523.966</f>
        <v>523.96600000000001</v>
      </c>
      <c r="L3182" s="1">
        <f>0</f>
        <v>0</v>
      </c>
    </row>
    <row r="3183" spans="1:12" x14ac:dyDescent="0.25">
      <c r="A3183">
        <f>80691496*0.00001</f>
        <v>806.91496000000006</v>
      </c>
      <c r="B3183">
        <v>3508</v>
      </c>
      <c r="C3183">
        <v>78</v>
      </c>
      <c r="D3183" s="1">
        <f>243.49</f>
        <v>243.49</v>
      </c>
      <c r="E3183" s="1">
        <f>5299</f>
        <v>5299</v>
      </c>
      <c r="F3183">
        <v>1615</v>
      </c>
      <c r="G3183">
        <v>1</v>
      </c>
      <c r="H3183">
        <v>0.2</v>
      </c>
      <c r="I3183">
        <v>0</v>
      </c>
      <c r="J3183">
        <v>44.984099999999998</v>
      </c>
      <c r="K3183">
        <v>523.96600000000001</v>
      </c>
      <c r="L3183">
        <v>0</v>
      </c>
    </row>
    <row r="3184" spans="1:12" x14ac:dyDescent="0.25">
      <c r="A3184">
        <f>80691632*0.00001</f>
        <v>806.91632000000004</v>
      </c>
      <c r="B3184">
        <v>3508</v>
      </c>
      <c r="C3184">
        <v>79</v>
      </c>
      <c r="D3184">
        <v>243.49</v>
      </c>
      <c r="E3184">
        <v>5299</v>
      </c>
      <c r="F3184" s="1">
        <f>1615</f>
        <v>1615</v>
      </c>
      <c r="G3184" s="1">
        <f>1</f>
        <v>1</v>
      </c>
      <c r="H3184">
        <v>0.2</v>
      </c>
      <c r="I3184">
        <v>0</v>
      </c>
      <c r="J3184">
        <v>44.984099999999998</v>
      </c>
      <c r="K3184">
        <v>523.96600000000001</v>
      </c>
      <c r="L3184">
        <v>0</v>
      </c>
    </row>
    <row r="3185" spans="1:12" x14ac:dyDescent="0.25">
      <c r="A3185">
        <f>80691768*0.00001</f>
        <v>806.91768000000002</v>
      </c>
      <c r="B3185">
        <v>3508</v>
      </c>
      <c r="C3185">
        <v>80</v>
      </c>
      <c r="D3185">
        <v>243.49</v>
      </c>
      <c r="E3185">
        <v>5299</v>
      </c>
      <c r="F3185">
        <v>1615</v>
      </c>
      <c r="G3185">
        <v>1</v>
      </c>
      <c r="H3185" s="1">
        <f>0.2</f>
        <v>0.2</v>
      </c>
      <c r="I3185" s="1">
        <f>0</f>
        <v>0</v>
      </c>
      <c r="J3185">
        <v>44.984099999999998</v>
      </c>
      <c r="K3185">
        <v>523.96600000000001</v>
      </c>
      <c r="L3185">
        <v>0</v>
      </c>
    </row>
    <row r="3186" spans="1:12" x14ac:dyDescent="0.25">
      <c r="A3186">
        <f>80691904*0.00001</f>
        <v>806.91904000000011</v>
      </c>
      <c r="B3186">
        <v>3508</v>
      </c>
      <c r="C3186">
        <v>81</v>
      </c>
      <c r="D3186">
        <v>243.49</v>
      </c>
      <c r="E3186">
        <v>5299</v>
      </c>
      <c r="F3186">
        <v>1615</v>
      </c>
      <c r="G3186">
        <v>1</v>
      </c>
      <c r="H3186">
        <v>0.2</v>
      </c>
      <c r="I3186">
        <v>0</v>
      </c>
      <c r="J3186" s="1">
        <f>45.1482</f>
        <v>45.148200000000003</v>
      </c>
      <c r="K3186" s="1">
        <f>524.015</f>
        <v>524.01499999999999</v>
      </c>
      <c r="L3186">
        <v>0</v>
      </c>
    </row>
    <row r="3187" spans="1:12" x14ac:dyDescent="0.25">
      <c r="A3187">
        <f>80692040*0.00001</f>
        <v>806.92040000000009</v>
      </c>
      <c r="B3187">
        <v>3508</v>
      </c>
      <c r="C3187">
        <v>82</v>
      </c>
      <c r="D3187" s="1">
        <f>243.498</f>
        <v>243.49799999999999</v>
      </c>
      <c r="E3187">
        <v>5299</v>
      </c>
      <c r="F3187">
        <v>1615</v>
      </c>
      <c r="G3187">
        <v>1</v>
      </c>
      <c r="H3187">
        <v>0.2</v>
      </c>
      <c r="I3187">
        <v>0</v>
      </c>
      <c r="J3187">
        <v>45.148200000000003</v>
      </c>
      <c r="K3187">
        <v>524.01499999999999</v>
      </c>
      <c r="L3187" s="1">
        <f>0</f>
        <v>0</v>
      </c>
    </row>
    <row r="3188" spans="1:12" x14ac:dyDescent="0.25">
      <c r="A3188">
        <f>80692176*0.00001</f>
        <v>806.92176000000006</v>
      </c>
      <c r="B3188">
        <v>3508</v>
      </c>
      <c r="C3188">
        <v>83</v>
      </c>
      <c r="D3188">
        <v>243.49799999999999</v>
      </c>
      <c r="E3188">
        <v>5299</v>
      </c>
      <c r="F3188" s="1">
        <f>1615</f>
        <v>1615</v>
      </c>
      <c r="G3188">
        <v>1</v>
      </c>
      <c r="H3188">
        <v>0.2</v>
      </c>
      <c r="I3188">
        <v>0</v>
      </c>
      <c r="J3188">
        <v>45.148200000000003</v>
      </c>
      <c r="K3188">
        <v>524.01499999999999</v>
      </c>
      <c r="L3188">
        <v>0</v>
      </c>
    </row>
    <row r="3189" spans="1:12" x14ac:dyDescent="0.25">
      <c r="A3189">
        <f>80692312*0.00001</f>
        <v>806.92312000000004</v>
      </c>
      <c r="B3189">
        <v>3508</v>
      </c>
      <c r="C3189">
        <v>84</v>
      </c>
      <c r="D3189">
        <v>243.49799999999999</v>
      </c>
      <c r="E3189">
        <v>5299</v>
      </c>
      <c r="F3189">
        <v>1615</v>
      </c>
      <c r="G3189">
        <v>1</v>
      </c>
      <c r="H3189" s="1">
        <f>0.2</f>
        <v>0.2</v>
      </c>
      <c r="I3189">
        <v>0</v>
      </c>
      <c r="J3189">
        <v>45.148200000000003</v>
      </c>
      <c r="K3189">
        <v>524.01499999999999</v>
      </c>
      <c r="L3189">
        <v>0</v>
      </c>
    </row>
    <row r="3190" spans="1:12" x14ac:dyDescent="0.25">
      <c r="A3190">
        <f>80692448*0.00001</f>
        <v>806.92448000000002</v>
      </c>
      <c r="B3190">
        <v>3508</v>
      </c>
      <c r="C3190">
        <v>85</v>
      </c>
      <c r="D3190">
        <v>243.49799999999999</v>
      </c>
      <c r="E3190">
        <v>5299</v>
      </c>
      <c r="F3190">
        <v>1615</v>
      </c>
      <c r="G3190">
        <v>1</v>
      </c>
      <c r="H3190">
        <v>0.2</v>
      </c>
      <c r="I3190">
        <v>0</v>
      </c>
      <c r="J3190" s="1">
        <f>45.2663</f>
        <v>45.266300000000001</v>
      </c>
      <c r="K3190">
        <v>524.01499999999999</v>
      </c>
      <c r="L3190">
        <v>0</v>
      </c>
    </row>
    <row r="3191" spans="1:12" x14ac:dyDescent="0.25">
      <c r="A3191">
        <f>80692584*0.00001</f>
        <v>806.92584000000011</v>
      </c>
      <c r="B3191">
        <v>3508</v>
      </c>
      <c r="C3191">
        <v>86</v>
      </c>
      <c r="D3191">
        <v>243.49799999999999</v>
      </c>
      <c r="E3191">
        <v>5299</v>
      </c>
      <c r="F3191">
        <v>1615</v>
      </c>
      <c r="G3191">
        <v>1</v>
      </c>
      <c r="H3191">
        <v>0.2</v>
      </c>
      <c r="I3191">
        <v>0</v>
      </c>
      <c r="J3191">
        <v>45.266300000000001</v>
      </c>
      <c r="K3191">
        <v>524.01499999999999</v>
      </c>
      <c r="L3191" s="1">
        <f>0</f>
        <v>0</v>
      </c>
    </row>
    <row r="3192" spans="1:12" x14ac:dyDescent="0.25">
      <c r="A3192">
        <f>80692721*0.00001</f>
        <v>806.92721000000006</v>
      </c>
      <c r="B3192">
        <v>3508</v>
      </c>
      <c r="C3192">
        <v>87</v>
      </c>
      <c r="D3192">
        <v>243.49799999999999</v>
      </c>
      <c r="E3192" s="1">
        <f>5301</f>
        <v>5301</v>
      </c>
      <c r="F3192">
        <v>1615</v>
      </c>
      <c r="G3192">
        <v>1</v>
      </c>
      <c r="H3192">
        <v>0.2</v>
      </c>
      <c r="I3192">
        <v>0</v>
      </c>
      <c r="J3192">
        <v>45.266300000000001</v>
      </c>
      <c r="K3192">
        <v>524.01499999999999</v>
      </c>
      <c r="L3192">
        <v>0</v>
      </c>
    </row>
    <row r="3193" spans="1:12" x14ac:dyDescent="0.25">
      <c r="A3193">
        <f>80692858*0.00001</f>
        <v>806.92858000000001</v>
      </c>
      <c r="B3193">
        <v>3508</v>
      </c>
      <c r="C3193">
        <v>88</v>
      </c>
      <c r="D3193">
        <v>243.49799999999999</v>
      </c>
      <c r="E3193">
        <v>5301</v>
      </c>
      <c r="F3193">
        <v>1615</v>
      </c>
      <c r="G3193" s="1">
        <f>1</f>
        <v>1</v>
      </c>
      <c r="H3193">
        <v>0.2</v>
      </c>
      <c r="I3193">
        <v>0</v>
      </c>
      <c r="J3193">
        <v>45.266300000000001</v>
      </c>
      <c r="K3193">
        <v>524.01499999999999</v>
      </c>
      <c r="L3193">
        <v>0</v>
      </c>
    </row>
    <row r="3194" spans="1:12" x14ac:dyDescent="0.25">
      <c r="A3194">
        <f>80692995*0.00001</f>
        <v>806.92995000000008</v>
      </c>
      <c r="B3194">
        <v>3508</v>
      </c>
      <c r="C3194">
        <v>89</v>
      </c>
      <c r="D3194">
        <v>243.49799999999999</v>
      </c>
      <c r="E3194">
        <v>5301</v>
      </c>
      <c r="F3194">
        <v>1615</v>
      </c>
      <c r="G3194">
        <v>1</v>
      </c>
      <c r="H3194">
        <v>0.2</v>
      </c>
      <c r="I3194" s="1">
        <f>0</f>
        <v>0</v>
      </c>
      <c r="J3194">
        <v>45.266300000000001</v>
      </c>
      <c r="K3194">
        <v>524.01499999999999</v>
      </c>
      <c r="L3194">
        <v>0</v>
      </c>
    </row>
    <row r="3195" spans="1:12" x14ac:dyDescent="0.25">
      <c r="A3195">
        <f>80693132*0.00001</f>
        <v>806.93132000000003</v>
      </c>
      <c r="B3195">
        <v>3508</v>
      </c>
      <c r="C3195">
        <v>90</v>
      </c>
      <c r="D3195" s="1">
        <f>243.515</f>
        <v>243.51499999999999</v>
      </c>
      <c r="E3195" s="1">
        <f>5303</f>
        <v>5303</v>
      </c>
      <c r="F3195" s="1">
        <f>1615</f>
        <v>1615</v>
      </c>
      <c r="G3195" s="1">
        <f>1</f>
        <v>1</v>
      </c>
      <c r="H3195" s="1">
        <f>0.2</f>
        <v>0.2</v>
      </c>
      <c r="I3195" s="1">
        <f>0</f>
        <v>0</v>
      </c>
      <c r="J3195" s="1">
        <f>45.7014</f>
        <v>45.7014</v>
      </c>
      <c r="K3195" s="1">
        <f>524.177</f>
        <v>524.17700000000002</v>
      </c>
      <c r="L3195" s="1">
        <f>0</f>
        <v>0</v>
      </c>
    </row>
    <row r="3196" spans="1:12" x14ac:dyDescent="0.25">
      <c r="A3196">
        <f>80694357*0.00001</f>
        <v>806.94357000000002</v>
      </c>
      <c r="B3196">
        <v>3508</v>
      </c>
      <c r="C3196">
        <v>99</v>
      </c>
      <c r="D3196">
        <v>243.51499999999999</v>
      </c>
      <c r="E3196">
        <v>5303</v>
      </c>
      <c r="F3196">
        <v>1615</v>
      </c>
      <c r="G3196">
        <v>1</v>
      </c>
      <c r="H3196">
        <v>0.2</v>
      </c>
      <c r="I3196">
        <v>0</v>
      </c>
      <c r="J3196">
        <v>45.7014</v>
      </c>
      <c r="K3196" s="1">
        <f>524.239</f>
        <v>524.23900000000003</v>
      </c>
      <c r="L3196" s="1">
        <f>0</f>
        <v>0</v>
      </c>
    </row>
    <row r="3197" spans="1:12" x14ac:dyDescent="0.25">
      <c r="A3197">
        <f>80694493*0.00001</f>
        <v>806.94493000000011</v>
      </c>
      <c r="B3197">
        <v>3508</v>
      </c>
      <c r="C3197">
        <v>100</v>
      </c>
      <c r="D3197" s="1">
        <f>243.519</f>
        <v>243.51900000000001</v>
      </c>
      <c r="E3197" s="1">
        <f>5304</f>
        <v>5304</v>
      </c>
      <c r="F3197">
        <v>1615</v>
      </c>
      <c r="G3197">
        <v>1</v>
      </c>
      <c r="H3197">
        <v>0.2</v>
      </c>
      <c r="I3197">
        <v>0</v>
      </c>
      <c r="J3197">
        <v>45.7014</v>
      </c>
      <c r="K3197">
        <v>524.23900000000003</v>
      </c>
      <c r="L3197">
        <v>0</v>
      </c>
    </row>
    <row r="3198" spans="1:12" x14ac:dyDescent="0.25">
      <c r="A3198">
        <f>80694630*0.00001</f>
        <v>806.94630000000006</v>
      </c>
      <c r="B3198">
        <v>3508</v>
      </c>
      <c r="C3198">
        <v>101</v>
      </c>
      <c r="D3198">
        <v>243.51900000000001</v>
      </c>
      <c r="E3198">
        <v>5304</v>
      </c>
      <c r="F3198" s="1">
        <f>1615</f>
        <v>1615</v>
      </c>
      <c r="G3198" s="1">
        <f>1</f>
        <v>1</v>
      </c>
      <c r="H3198">
        <v>0.2</v>
      </c>
      <c r="I3198">
        <v>0</v>
      </c>
      <c r="J3198">
        <v>45.7014</v>
      </c>
      <c r="K3198">
        <v>524.23900000000003</v>
      </c>
      <c r="L3198">
        <v>0</v>
      </c>
    </row>
    <row r="3199" spans="1:12" x14ac:dyDescent="0.25">
      <c r="A3199">
        <f>80694767*0.00001</f>
        <v>806.94767000000002</v>
      </c>
      <c r="B3199">
        <v>3508</v>
      </c>
      <c r="C3199">
        <v>102</v>
      </c>
      <c r="D3199">
        <v>243.51900000000001</v>
      </c>
      <c r="E3199">
        <v>5304</v>
      </c>
      <c r="F3199">
        <v>1615</v>
      </c>
      <c r="G3199">
        <v>1</v>
      </c>
      <c r="H3199" s="1">
        <f>0.2</f>
        <v>0.2</v>
      </c>
      <c r="I3199" s="1">
        <f>0</f>
        <v>0</v>
      </c>
      <c r="J3199">
        <v>45.7014</v>
      </c>
      <c r="K3199">
        <v>524.23900000000003</v>
      </c>
      <c r="L3199">
        <v>0</v>
      </c>
    </row>
    <row r="3200" spans="1:12" x14ac:dyDescent="0.25">
      <c r="A3200">
        <f>80694904*0.00001</f>
        <v>806.94904000000008</v>
      </c>
      <c r="B3200">
        <v>3508</v>
      </c>
      <c r="C3200">
        <v>103</v>
      </c>
      <c r="D3200">
        <v>243.51900000000001</v>
      </c>
      <c r="E3200">
        <v>5304</v>
      </c>
      <c r="F3200">
        <v>1615</v>
      </c>
      <c r="G3200">
        <v>1</v>
      </c>
      <c r="H3200">
        <v>0.2</v>
      </c>
      <c r="I3200">
        <v>0</v>
      </c>
      <c r="J3200" s="1">
        <f>45.8729</f>
        <v>45.872900000000001</v>
      </c>
      <c r="K3200" s="1">
        <f>524.289</f>
        <v>524.28899999999999</v>
      </c>
      <c r="L3200">
        <v>0</v>
      </c>
    </row>
    <row r="3201" spans="1:12" x14ac:dyDescent="0.25">
      <c r="A3201">
        <f>80695041*0.00001</f>
        <v>806.95041000000003</v>
      </c>
      <c r="B3201">
        <v>3508</v>
      </c>
      <c r="C3201">
        <v>104</v>
      </c>
      <c r="D3201" s="1">
        <f>243.522</f>
        <v>243.52199999999999</v>
      </c>
      <c r="E3201">
        <v>5304</v>
      </c>
      <c r="F3201">
        <v>1615</v>
      </c>
      <c r="G3201">
        <v>1</v>
      </c>
      <c r="H3201">
        <v>0.2</v>
      </c>
      <c r="I3201">
        <v>0</v>
      </c>
      <c r="J3201">
        <v>45.872900000000001</v>
      </c>
      <c r="K3201">
        <v>524.28899999999999</v>
      </c>
      <c r="L3201" s="1">
        <f>0</f>
        <v>0</v>
      </c>
    </row>
    <row r="3202" spans="1:12" x14ac:dyDescent="0.25">
      <c r="A3202">
        <f>80695178*0.00001</f>
        <v>806.9517800000001</v>
      </c>
      <c r="B3202">
        <v>3508</v>
      </c>
      <c r="C3202">
        <v>105</v>
      </c>
      <c r="D3202">
        <v>243.52199999999999</v>
      </c>
      <c r="E3202">
        <v>5304</v>
      </c>
      <c r="F3202" s="1">
        <f>1615</f>
        <v>1615</v>
      </c>
      <c r="G3202">
        <v>1</v>
      </c>
      <c r="H3202">
        <v>0.2</v>
      </c>
      <c r="I3202">
        <v>0</v>
      </c>
      <c r="J3202">
        <v>45.872900000000001</v>
      </c>
      <c r="K3202">
        <v>524.28899999999999</v>
      </c>
      <c r="L3202">
        <v>0</v>
      </c>
    </row>
    <row r="3203" spans="1:12" x14ac:dyDescent="0.25">
      <c r="A3203">
        <f>80695315*0.00001</f>
        <v>806.95315000000005</v>
      </c>
      <c r="B3203">
        <v>3508</v>
      </c>
      <c r="C3203">
        <v>106</v>
      </c>
      <c r="D3203">
        <v>243.52199999999999</v>
      </c>
      <c r="E3203">
        <v>5304</v>
      </c>
      <c r="F3203">
        <v>1615</v>
      </c>
      <c r="G3203">
        <v>1</v>
      </c>
      <c r="H3203" s="1">
        <f>0.2</f>
        <v>0.2</v>
      </c>
      <c r="I3203">
        <v>0</v>
      </c>
      <c r="J3203">
        <v>45.872900000000001</v>
      </c>
      <c r="K3203">
        <v>524.28899999999999</v>
      </c>
      <c r="L3203">
        <v>0</v>
      </c>
    </row>
    <row r="3204" spans="1:12" x14ac:dyDescent="0.25">
      <c r="A3204">
        <f>80695451*0.00001</f>
        <v>806.95451000000003</v>
      </c>
      <c r="B3204">
        <v>3508</v>
      </c>
      <c r="C3204">
        <v>107</v>
      </c>
      <c r="D3204">
        <v>243.52199999999999</v>
      </c>
      <c r="E3204">
        <v>5304</v>
      </c>
      <c r="F3204">
        <v>1615</v>
      </c>
      <c r="G3204">
        <v>1</v>
      </c>
      <c r="H3204">
        <v>0.2</v>
      </c>
      <c r="I3204">
        <v>0</v>
      </c>
      <c r="J3204" s="1">
        <f>45.9957</f>
        <v>45.995699999999999</v>
      </c>
      <c r="K3204">
        <v>524.28899999999999</v>
      </c>
      <c r="L3204">
        <v>0</v>
      </c>
    </row>
    <row r="3205" spans="1:12" x14ac:dyDescent="0.25">
      <c r="A3205">
        <f>80695587*0.00001</f>
        <v>806.95587000000012</v>
      </c>
      <c r="B3205">
        <v>3508</v>
      </c>
      <c r="C3205">
        <v>108</v>
      </c>
      <c r="D3205">
        <v>243.52199999999999</v>
      </c>
      <c r="E3205">
        <v>5304</v>
      </c>
      <c r="F3205">
        <v>1615</v>
      </c>
      <c r="G3205">
        <v>1</v>
      </c>
      <c r="H3205">
        <v>0.2</v>
      </c>
      <c r="I3205">
        <v>0</v>
      </c>
      <c r="J3205">
        <v>45.995699999999999</v>
      </c>
      <c r="K3205">
        <v>524.28899999999999</v>
      </c>
      <c r="L3205" s="1">
        <f>0</f>
        <v>0</v>
      </c>
    </row>
    <row r="3206" spans="1:12" x14ac:dyDescent="0.25">
      <c r="A3206">
        <f>80695723*0.00001</f>
        <v>806.9572300000001</v>
      </c>
      <c r="B3206">
        <v>3508</v>
      </c>
      <c r="C3206">
        <v>109</v>
      </c>
      <c r="D3206">
        <v>243.52199999999999</v>
      </c>
      <c r="E3206" s="1">
        <f>5306</f>
        <v>5306</v>
      </c>
      <c r="F3206">
        <v>1615</v>
      </c>
      <c r="G3206">
        <v>1</v>
      </c>
      <c r="H3206">
        <v>0.2</v>
      </c>
      <c r="I3206">
        <v>0</v>
      </c>
      <c r="J3206">
        <v>45.995699999999999</v>
      </c>
      <c r="K3206">
        <v>524.28899999999999</v>
      </c>
      <c r="L3206">
        <v>0</v>
      </c>
    </row>
    <row r="3207" spans="1:12" x14ac:dyDescent="0.25">
      <c r="A3207">
        <f>80695859*0.00001</f>
        <v>806.95859000000007</v>
      </c>
      <c r="B3207">
        <v>3508</v>
      </c>
      <c r="C3207">
        <v>110</v>
      </c>
      <c r="D3207">
        <v>243.52199999999999</v>
      </c>
      <c r="E3207">
        <v>5306</v>
      </c>
      <c r="F3207">
        <v>1615</v>
      </c>
      <c r="G3207" s="1">
        <f>1</f>
        <v>1</v>
      </c>
      <c r="H3207">
        <v>0.2</v>
      </c>
      <c r="I3207">
        <v>0</v>
      </c>
      <c r="J3207">
        <v>45.995699999999999</v>
      </c>
      <c r="K3207">
        <v>524.28899999999999</v>
      </c>
      <c r="L3207">
        <v>0</v>
      </c>
    </row>
    <row r="3208" spans="1:12" x14ac:dyDescent="0.25">
      <c r="A3208">
        <f>80695995*0.00001</f>
        <v>806.95995000000005</v>
      </c>
      <c r="B3208">
        <v>3508</v>
      </c>
      <c r="C3208">
        <v>111</v>
      </c>
      <c r="D3208">
        <v>243.52199999999999</v>
      </c>
      <c r="E3208">
        <v>5306</v>
      </c>
      <c r="F3208">
        <v>1615</v>
      </c>
      <c r="G3208">
        <v>1</v>
      </c>
      <c r="H3208">
        <v>0.2</v>
      </c>
      <c r="I3208" s="1">
        <f>0</f>
        <v>0</v>
      </c>
      <c r="J3208">
        <v>45.995699999999999</v>
      </c>
      <c r="K3208">
        <v>524.28899999999999</v>
      </c>
      <c r="L3208">
        <v>0</v>
      </c>
    </row>
    <row r="3209" spans="1:12" x14ac:dyDescent="0.25">
      <c r="A3209">
        <f>80696131*0.00001</f>
        <v>806.96131000000003</v>
      </c>
      <c r="B3209">
        <v>3508</v>
      </c>
      <c r="C3209">
        <v>112</v>
      </c>
      <c r="D3209" s="1">
        <f>243.634</f>
        <v>243.63399999999999</v>
      </c>
      <c r="E3209" s="1">
        <f>5305</f>
        <v>5305</v>
      </c>
      <c r="F3209" s="1">
        <f>1615</f>
        <v>1615</v>
      </c>
      <c r="G3209" s="1">
        <f>1</f>
        <v>1</v>
      </c>
      <c r="H3209" s="1">
        <f>0.2</f>
        <v>0.2</v>
      </c>
      <c r="I3209" s="1">
        <f>0</f>
        <v>0</v>
      </c>
      <c r="J3209" s="1">
        <f>46.2985</f>
        <v>46.298499999999997</v>
      </c>
      <c r="K3209" s="1">
        <f>524.453</f>
        <v>524.45299999999997</v>
      </c>
      <c r="L3209" s="1">
        <f>0</f>
        <v>0</v>
      </c>
    </row>
    <row r="3210" spans="1:12" x14ac:dyDescent="0.25">
      <c r="A3210">
        <f>80697358*0.00001</f>
        <v>806.97358000000008</v>
      </c>
      <c r="B3210">
        <v>3508</v>
      </c>
      <c r="C3210">
        <v>121</v>
      </c>
      <c r="D3210">
        <v>243.63399999999999</v>
      </c>
      <c r="E3210">
        <v>5305</v>
      </c>
      <c r="F3210">
        <v>1615</v>
      </c>
      <c r="G3210">
        <v>1</v>
      </c>
      <c r="H3210">
        <v>0.2</v>
      </c>
      <c r="I3210">
        <v>0</v>
      </c>
      <c r="J3210">
        <v>46.298499999999997</v>
      </c>
      <c r="K3210" s="1">
        <f>524.516</f>
        <v>524.51599999999996</v>
      </c>
      <c r="L3210" s="1">
        <f>0</f>
        <v>0</v>
      </c>
    </row>
    <row r="3211" spans="1:12" x14ac:dyDescent="0.25">
      <c r="A3211">
        <f>80697494*0.00001</f>
        <v>806.97494000000006</v>
      </c>
      <c r="B3211">
        <v>3508</v>
      </c>
      <c r="C3211">
        <v>122</v>
      </c>
      <c r="D3211" s="1">
        <f>243.692</f>
        <v>243.69200000000001</v>
      </c>
      <c r="E3211" s="1">
        <f>5305</f>
        <v>5305</v>
      </c>
      <c r="F3211">
        <v>1615</v>
      </c>
      <c r="G3211">
        <v>1</v>
      </c>
      <c r="H3211">
        <v>0.2</v>
      </c>
      <c r="I3211">
        <v>0</v>
      </c>
      <c r="J3211">
        <v>46.298499999999997</v>
      </c>
      <c r="K3211">
        <v>524.51599999999996</v>
      </c>
      <c r="L3211">
        <v>0</v>
      </c>
    </row>
    <row r="3212" spans="1:12" x14ac:dyDescent="0.25">
      <c r="A3212">
        <f>80697630*0.00001</f>
        <v>806.97630000000004</v>
      </c>
      <c r="B3212">
        <v>3508</v>
      </c>
      <c r="C3212">
        <v>123</v>
      </c>
      <c r="D3212">
        <v>243.69200000000001</v>
      </c>
      <c r="E3212">
        <v>5305</v>
      </c>
      <c r="F3212" s="1">
        <f>1615</f>
        <v>1615</v>
      </c>
      <c r="G3212" s="1">
        <f>1</f>
        <v>1</v>
      </c>
      <c r="H3212">
        <v>0.2</v>
      </c>
      <c r="I3212">
        <v>0</v>
      </c>
      <c r="J3212">
        <v>46.298499999999997</v>
      </c>
      <c r="K3212">
        <v>524.51599999999996</v>
      </c>
      <c r="L3212">
        <v>0</v>
      </c>
    </row>
    <row r="3213" spans="1:12" x14ac:dyDescent="0.25">
      <c r="A3213">
        <f>80697766*0.00001</f>
        <v>806.97766000000001</v>
      </c>
      <c r="B3213">
        <v>3508</v>
      </c>
      <c r="C3213">
        <v>124</v>
      </c>
      <c r="D3213">
        <v>243.69200000000001</v>
      </c>
      <c r="E3213">
        <v>5305</v>
      </c>
      <c r="F3213">
        <v>1615</v>
      </c>
      <c r="G3213">
        <v>1</v>
      </c>
      <c r="H3213" s="1">
        <f>0.2</f>
        <v>0.2</v>
      </c>
      <c r="I3213" s="1">
        <f>0</f>
        <v>0</v>
      </c>
      <c r="J3213">
        <v>46.298499999999997</v>
      </c>
      <c r="K3213">
        <v>524.51599999999996</v>
      </c>
      <c r="L3213">
        <v>0</v>
      </c>
    </row>
    <row r="3214" spans="1:12" x14ac:dyDescent="0.25">
      <c r="A3214">
        <f>80697902*0.00001</f>
        <v>806.97902000000011</v>
      </c>
      <c r="B3214">
        <v>3508</v>
      </c>
      <c r="C3214">
        <v>125</v>
      </c>
      <c r="D3214">
        <v>243.69200000000001</v>
      </c>
      <c r="E3214">
        <v>5305</v>
      </c>
      <c r="F3214">
        <v>1615</v>
      </c>
      <c r="G3214">
        <v>1</v>
      </c>
      <c r="H3214">
        <v>0.2</v>
      </c>
      <c r="I3214">
        <v>0</v>
      </c>
      <c r="J3214" s="1">
        <f>46.4232</f>
        <v>46.423200000000001</v>
      </c>
      <c r="K3214" s="1">
        <f>524.567</f>
        <v>524.56700000000001</v>
      </c>
      <c r="L3214">
        <v>0</v>
      </c>
    </row>
    <row r="3215" spans="1:12" x14ac:dyDescent="0.25">
      <c r="A3215">
        <f>80698038*0.00001</f>
        <v>806.98038000000008</v>
      </c>
      <c r="B3215">
        <v>3508</v>
      </c>
      <c r="C3215">
        <v>126</v>
      </c>
      <c r="D3215" s="1">
        <f>243.729</f>
        <v>243.72900000000001</v>
      </c>
      <c r="E3215">
        <v>5305</v>
      </c>
      <c r="F3215">
        <v>1615</v>
      </c>
      <c r="G3215">
        <v>1</v>
      </c>
      <c r="H3215">
        <v>0.2</v>
      </c>
      <c r="I3215">
        <v>0</v>
      </c>
      <c r="J3215">
        <v>46.423200000000001</v>
      </c>
      <c r="K3215">
        <v>524.56700000000001</v>
      </c>
      <c r="L3215" s="1">
        <f>0</f>
        <v>0</v>
      </c>
    </row>
    <row r="3216" spans="1:12" x14ac:dyDescent="0.25">
      <c r="A3216">
        <f>80698175*0.00001</f>
        <v>806.98175000000003</v>
      </c>
      <c r="B3216">
        <v>3508</v>
      </c>
      <c r="C3216">
        <v>127</v>
      </c>
      <c r="D3216">
        <v>243.72900000000001</v>
      </c>
      <c r="E3216" s="1">
        <f>5305</f>
        <v>5305</v>
      </c>
      <c r="F3216" s="1">
        <f>1615</f>
        <v>1615</v>
      </c>
      <c r="G3216">
        <v>1</v>
      </c>
      <c r="H3216">
        <v>0.2</v>
      </c>
      <c r="I3216">
        <v>0</v>
      </c>
      <c r="J3216">
        <v>46.423200000000001</v>
      </c>
      <c r="K3216">
        <v>524.56700000000001</v>
      </c>
      <c r="L3216">
        <v>0</v>
      </c>
    </row>
    <row r="3217" spans="1:12" x14ac:dyDescent="0.25">
      <c r="A3217">
        <f>80698311*0.00001</f>
        <v>806.98311000000001</v>
      </c>
      <c r="B3217">
        <v>3508</v>
      </c>
      <c r="C3217">
        <v>128</v>
      </c>
      <c r="D3217">
        <v>243.72900000000001</v>
      </c>
      <c r="E3217">
        <v>5305</v>
      </c>
      <c r="F3217">
        <v>1615</v>
      </c>
      <c r="G3217" s="1">
        <f>1</f>
        <v>1</v>
      </c>
      <c r="H3217" s="1">
        <f>0.2</f>
        <v>0.2</v>
      </c>
      <c r="I3217">
        <v>0</v>
      </c>
      <c r="J3217">
        <v>46.423200000000001</v>
      </c>
      <c r="K3217">
        <v>524.56700000000001</v>
      </c>
      <c r="L3217">
        <v>0</v>
      </c>
    </row>
    <row r="3218" spans="1:12" x14ac:dyDescent="0.25">
      <c r="A3218">
        <f>80698447*0.00001</f>
        <v>806.9844700000001</v>
      </c>
      <c r="B3218">
        <v>3508</v>
      </c>
      <c r="C3218">
        <v>129</v>
      </c>
      <c r="D3218">
        <v>243.72900000000001</v>
      </c>
      <c r="E3218">
        <v>5305</v>
      </c>
      <c r="F3218">
        <v>1615</v>
      </c>
      <c r="G3218">
        <v>1</v>
      </c>
      <c r="H3218">
        <v>0.2</v>
      </c>
      <c r="I3218">
        <v>0</v>
      </c>
      <c r="J3218" s="1">
        <f>46.5169</f>
        <v>46.5169</v>
      </c>
      <c r="K3218">
        <v>524.56700000000001</v>
      </c>
      <c r="L3218">
        <v>0</v>
      </c>
    </row>
    <row r="3219" spans="1:12" x14ac:dyDescent="0.25">
      <c r="A3219">
        <f>80698583*0.00001</f>
        <v>806.98583000000008</v>
      </c>
      <c r="B3219">
        <v>3508</v>
      </c>
      <c r="C3219">
        <v>130</v>
      </c>
      <c r="D3219">
        <v>243.72900000000001</v>
      </c>
      <c r="E3219">
        <v>5305</v>
      </c>
      <c r="F3219">
        <v>1615</v>
      </c>
      <c r="G3219">
        <v>1</v>
      </c>
      <c r="H3219">
        <v>0.2</v>
      </c>
      <c r="I3219">
        <v>0</v>
      </c>
      <c r="J3219">
        <v>46.5169</v>
      </c>
      <c r="K3219">
        <v>524.56700000000001</v>
      </c>
      <c r="L3219" s="1">
        <f>0</f>
        <v>0</v>
      </c>
    </row>
    <row r="3220" spans="1:12" x14ac:dyDescent="0.25">
      <c r="A3220">
        <f>80698719*0.00001</f>
        <v>806.98719000000006</v>
      </c>
      <c r="B3220">
        <v>3508</v>
      </c>
      <c r="C3220">
        <v>131</v>
      </c>
      <c r="D3220">
        <v>243.72900000000001</v>
      </c>
      <c r="E3220" s="1">
        <f>5305</f>
        <v>5305</v>
      </c>
      <c r="F3220">
        <v>1615</v>
      </c>
      <c r="G3220">
        <v>1</v>
      </c>
      <c r="H3220">
        <v>0.2</v>
      </c>
      <c r="I3220">
        <v>0</v>
      </c>
      <c r="J3220">
        <v>46.5169</v>
      </c>
      <c r="K3220">
        <v>524.56700000000001</v>
      </c>
      <c r="L3220">
        <v>0</v>
      </c>
    </row>
    <row r="3221" spans="1:12" x14ac:dyDescent="0.25">
      <c r="A3221">
        <f>80698855*0.00001</f>
        <v>806.98855000000003</v>
      </c>
      <c r="B3221">
        <v>3508</v>
      </c>
      <c r="C3221">
        <v>132</v>
      </c>
      <c r="D3221">
        <v>243.72900000000001</v>
      </c>
      <c r="E3221">
        <v>5305</v>
      </c>
      <c r="F3221">
        <v>1615</v>
      </c>
      <c r="G3221" s="1">
        <f>1</f>
        <v>1</v>
      </c>
      <c r="H3221">
        <v>0.2</v>
      </c>
      <c r="I3221">
        <v>0</v>
      </c>
      <c r="J3221">
        <v>46.5169</v>
      </c>
      <c r="K3221">
        <v>524.56700000000001</v>
      </c>
      <c r="L3221">
        <v>0</v>
      </c>
    </row>
    <row r="3222" spans="1:12" x14ac:dyDescent="0.25">
      <c r="A3222">
        <f>80698991*0.00001</f>
        <v>806.98991000000012</v>
      </c>
      <c r="B3222">
        <v>3508</v>
      </c>
      <c r="C3222">
        <v>133</v>
      </c>
      <c r="D3222">
        <v>243.72900000000001</v>
      </c>
      <c r="E3222">
        <v>5305</v>
      </c>
      <c r="F3222">
        <v>1615</v>
      </c>
      <c r="G3222">
        <v>1</v>
      </c>
      <c r="H3222">
        <v>0.2</v>
      </c>
      <c r="I3222" s="1">
        <f>0</f>
        <v>0</v>
      </c>
      <c r="J3222">
        <v>46.5169</v>
      </c>
      <c r="K3222">
        <v>524.56700000000001</v>
      </c>
      <c r="L3222">
        <v>0</v>
      </c>
    </row>
    <row r="3223" spans="1:12" x14ac:dyDescent="0.25">
      <c r="A3223">
        <f>80699127*0.00001</f>
        <v>806.9912700000001</v>
      </c>
      <c r="B3223">
        <v>3508</v>
      </c>
      <c r="C3223">
        <v>134</v>
      </c>
      <c r="D3223">
        <v>243.72900000000001</v>
      </c>
      <c r="E3223">
        <v>5305</v>
      </c>
      <c r="F3223">
        <v>1615</v>
      </c>
      <c r="G3223">
        <v>1</v>
      </c>
      <c r="H3223">
        <v>0.2</v>
      </c>
      <c r="I3223">
        <v>0</v>
      </c>
      <c r="J3223">
        <v>46.5169</v>
      </c>
      <c r="K3223" s="1">
        <f>524.682</f>
        <v>524.68200000000002</v>
      </c>
      <c r="L3223">
        <v>0</v>
      </c>
    </row>
    <row r="3224" spans="1:12" x14ac:dyDescent="0.25">
      <c r="A3224">
        <f>80699264*0.00001</f>
        <v>806.99264000000005</v>
      </c>
      <c r="B3224">
        <v>3508</v>
      </c>
      <c r="C3224">
        <v>135</v>
      </c>
      <c r="D3224" s="1">
        <f>243.784</f>
        <v>243.78399999999999</v>
      </c>
      <c r="E3224">
        <v>5305</v>
      </c>
      <c r="F3224">
        <v>1615</v>
      </c>
      <c r="G3224">
        <v>1</v>
      </c>
      <c r="H3224">
        <v>0.2</v>
      </c>
      <c r="I3224">
        <v>0</v>
      </c>
      <c r="J3224">
        <v>46.5169</v>
      </c>
      <c r="K3224">
        <v>524.68200000000002</v>
      </c>
      <c r="L3224">
        <v>0</v>
      </c>
    </row>
    <row r="3225" spans="1:12" x14ac:dyDescent="0.25">
      <c r="A3225">
        <f>80699400*0.00001</f>
        <v>806.99400000000003</v>
      </c>
      <c r="B3225">
        <v>3508</v>
      </c>
      <c r="C3225">
        <v>136</v>
      </c>
      <c r="D3225" s="1">
        <f>243.826</f>
        <v>243.82599999999999</v>
      </c>
      <c r="E3225" s="1">
        <f>5307</f>
        <v>5307</v>
      </c>
      <c r="F3225" s="1">
        <f>1615</f>
        <v>1615</v>
      </c>
      <c r="G3225" s="1">
        <f>1</f>
        <v>1</v>
      </c>
      <c r="H3225" s="1">
        <f>0.2</f>
        <v>0.2</v>
      </c>
      <c r="I3225" s="1">
        <f>0</f>
        <v>0</v>
      </c>
      <c r="J3225" s="1">
        <f>46.8994</f>
        <v>46.8994</v>
      </c>
      <c r="K3225" s="1">
        <f>524.797</f>
        <v>524.79700000000003</v>
      </c>
      <c r="L3225" s="1">
        <f>0</f>
        <v>0</v>
      </c>
    </row>
    <row r="3226" spans="1:12" x14ac:dyDescent="0.25">
      <c r="A3226">
        <f>80700626*0.00001</f>
        <v>807.00626000000011</v>
      </c>
      <c r="B3226">
        <v>3508</v>
      </c>
      <c r="C3226">
        <v>145</v>
      </c>
      <c r="D3226">
        <v>243.82599999999999</v>
      </c>
      <c r="E3226">
        <v>5307</v>
      </c>
      <c r="F3226" s="1">
        <f>1615</f>
        <v>1615</v>
      </c>
      <c r="G3226" s="1">
        <f>1</f>
        <v>1</v>
      </c>
      <c r="H3226">
        <v>0.2</v>
      </c>
      <c r="I3226">
        <v>0</v>
      </c>
      <c r="J3226">
        <v>46.8994</v>
      </c>
      <c r="K3226">
        <v>524.79700000000003</v>
      </c>
      <c r="L3226">
        <v>0</v>
      </c>
    </row>
    <row r="3227" spans="1:12" x14ac:dyDescent="0.25">
      <c r="A3227">
        <f>80700763*0.00001</f>
        <v>807.00763000000006</v>
      </c>
      <c r="B3227">
        <v>3508</v>
      </c>
      <c r="C3227">
        <v>146</v>
      </c>
      <c r="D3227">
        <v>243.82599999999999</v>
      </c>
      <c r="E3227">
        <v>5307</v>
      </c>
      <c r="F3227">
        <v>1615</v>
      </c>
      <c r="G3227">
        <v>1</v>
      </c>
      <c r="H3227" s="1">
        <f>0.2</f>
        <v>0.2</v>
      </c>
      <c r="I3227" s="1">
        <f>0</f>
        <v>0</v>
      </c>
      <c r="J3227">
        <v>46.8994</v>
      </c>
      <c r="K3227">
        <v>524.79700000000003</v>
      </c>
      <c r="L3227">
        <v>0</v>
      </c>
    </row>
    <row r="3228" spans="1:12" x14ac:dyDescent="0.25">
      <c r="A3228">
        <f>80700899*0.00001</f>
        <v>807.00899000000004</v>
      </c>
      <c r="B3228">
        <v>3508</v>
      </c>
      <c r="C3228">
        <v>147</v>
      </c>
      <c r="D3228">
        <v>243.82599999999999</v>
      </c>
      <c r="E3228">
        <v>5307</v>
      </c>
      <c r="F3228">
        <v>1615</v>
      </c>
      <c r="G3228">
        <v>1</v>
      </c>
      <c r="H3228">
        <v>0.2</v>
      </c>
      <c r="I3228">
        <v>0</v>
      </c>
      <c r="J3228" s="1">
        <f>47.0336</f>
        <v>47.0336</v>
      </c>
      <c r="K3228" s="1">
        <f>524.848</f>
        <v>524.84799999999996</v>
      </c>
      <c r="L3228">
        <v>0</v>
      </c>
    </row>
    <row r="3229" spans="1:12" x14ac:dyDescent="0.25">
      <c r="A3229">
        <f>80701035*0.00001</f>
        <v>807.01035000000002</v>
      </c>
      <c r="B3229">
        <v>3508</v>
      </c>
      <c r="C3229">
        <v>148</v>
      </c>
      <c r="D3229" s="1">
        <f>243.838</f>
        <v>243.83799999999999</v>
      </c>
      <c r="E3229">
        <v>5307</v>
      </c>
      <c r="F3229">
        <v>1615</v>
      </c>
      <c r="G3229">
        <v>1</v>
      </c>
      <c r="H3229">
        <v>0.2</v>
      </c>
      <c r="I3229">
        <v>0</v>
      </c>
      <c r="J3229">
        <v>47.0336</v>
      </c>
      <c r="K3229">
        <v>524.84799999999996</v>
      </c>
      <c r="L3229" s="1">
        <f>0</f>
        <v>0</v>
      </c>
    </row>
    <row r="3230" spans="1:12" x14ac:dyDescent="0.25">
      <c r="A3230">
        <f>80701171*0.00001</f>
        <v>807.01171000000011</v>
      </c>
      <c r="B3230">
        <v>3508</v>
      </c>
      <c r="C3230">
        <v>149</v>
      </c>
      <c r="D3230">
        <v>243.83799999999999</v>
      </c>
      <c r="E3230" s="1">
        <f>5308</f>
        <v>5308</v>
      </c>
      <c r="F3230" s="1">
        <f>1615</f>
        <v>1615</v>
      </c>
      <c r="G3230">
        <v>1</v>
      </c>
      <c r="H3230">
        <v>0.2</v>
      </c>
      <c r="I3230">
        <v>0</v>
      </c>
      <c r="J3230">
        <v>47.0336</v>
      </c>
      <c r="K3230">
        <v>524.84799999999996</v>
      </c>
      <c r="L3230">
        <v>0</v>
      </c>
    </row>
    <row r="3231" spans="1:12" x14ac:dyDescent="0.25">
      <c r="A3231">
        <f>80701307*0.00001</f>
        <v>807.01307000000008</v>
      </c>
      <c r="B3231">
        <v>3508</v>
      </c>
      <c r="C3231">
        <v>150</v>
      </c>
      <c r="D3231">
        <v>243.83799999999999</v>
      </c>
      <c r="E3231">
        <v>5308</v>
      </c>
      <c r="F3231">
        <v>1615</v>
      </c>
      <c r="G3231" s="1">
        <f>1</f>
        <v>1</v>
      </c>
      <c r="H3231" s="1">
        <f>0.2</f>
        <v>0.2</v>
      </c>
      <c r="I3231">
        <v>0</v>
      </c>
      <c r="J3231">
        <v>47.0336</v>
      </c>
      <c r="K3231">
        <v>524.84799999999996</v>
      </c>
      <c r="L3231">
        <v>0</v>
      </c>
    </row>
    <row r="3232" spans="1:12" x14ac:dyDescent="0.25">
      <c r="A3232">
        <f>80701443*0.00001</f>
        <v>807.01443000000006</v>
      </c>
      <c r="B3232">
        <v>3508</v>
      </c>
      <c r="C3232">
        <v>151</v>
      </c>
      <c r="D3232">
        <v>243.83799999999999</v>
      </c>
      <c r="E3232">
        <v>5308</v>
      </c>
      <c r="F3232">
        <v>1615</v>
      </c>
      <c r="G3232">
        <v>1</v>
      </c>
      <c r="H3232">
        <v>0.2</v>
      </c>
      <c r="I3232">
        <v>0</v>
      </c>
      <c r="J3232" s="1">
        <f>47.1734</f>
        <v>47.173400000000001</v>
      </c>
      <c r="K3232">
        <v>524.84799999999996</v>
      </c>
      <c r="L3232">
        <v>0</v>
      </c>
    </row>
    <row r="3233" spans="1:12" x14ac:dyDescent="0.25">
      <c r="A3233">
        <f>80701579*0.00001</f>
        <v>807.01579000000004</v>
      </c>
      <c r="B3233">
        <v>3508</v>
      </c>
      <c r="C3233">
        <v>152</v>
      </c>
      <c r="D3233">
        <v>243.83799999999999</v>
      </c>
      <c r="E3233">
        <v>5308</v>
      </c>
      <c r="F3233">
        <v>1615</v>
      </c>
      <c r="G3233">
        <v>1</v>
      </c>
      <c r="H3233">
        <v>0.2</v>
      </c>
      <c r="I3233">
        <v>0</v>
      </c>
      <c r="J3233">
        <v>47.173400000000001</v>
      </c>
      <c r="K3233">
        <v>524.84799999999996</v>
      </c>
      <c r="L3233" s="1">
        <f>0</f>
        <v>0</v>
      </c>
    </row>
    <row r="3234" spans="1:12" x14ac:dyDescent="0.25">
      <c r="A3234">
        <f>80701716*0.00001</f>
        <v>807.0171600000001</v>
      </c>
      <c r="B3234">
        <v>3508</v>
      </c>
      <c r="C3234">
        <v>153</v>
      </c>
      <c r="D3234">
        <v>243.83799999999999</v>
      </c>
      <c r="E3234" s="1">
        <f>5309</f>
        <v>5309</v>
      </c>
      <c r="F3234">
        <v>1615</v>
      </c>
      <c r="G3234">
        <v>1</v>
      </c>
      <c r="H3234">
        <v>0.2</v>
      </c>
      <c r="I3234">
        <v>0</v>
      </c>
      <c r="J3234">
        <v>47.173400000000001</v>
      </c>
      <c r="K3234">
        <v>524.84799999999996</v>
      </c>
      <c r="L3234">
        <v>0</v>
      </c>
    </row>
    <row r="3235" spans="1:12" x14ac:dyDescent="0.25">
      <c r="A3235">
        <f>80701852*0.00001</f>
        <v>807.01852000000008</v>
      </c>
      <c r="B3235">
        <v>3508</v>
      </c>
      <c r="C3235">
        <v>154</v>
      </c>
      <c r="D3235">
        <v>243.83799999999999</v>
      </c>
      <c r="E3235">
        <v>5309</v>
      </c>
      <c r="F3235">
        <v>1615</v>
      </c>
      <c r="G3235" s="1">
        <f>1</f>
        <v>1</v>
      </c>
      <c r="H3235">
        <v>0.2</v>
      </c>
      <c r="I3235">
        <v>0</v>
      </c>
      <c r="J3235">
        <v>47.173400000000001</v>
      </c>
      <c r="K3235">
        <v>524.84799999999996</v>
      </c>
      <c r="L3235">
        <v>0</v>
      </c>
    </row>
    <row r="3236" spans="1:12" x14ac:dyDescent="0.25">
      <c r="A3236">
        <f>80701988*0.00001</f>
        <v>807.01988000000006</v>
      </c>
      <c r="B3236">
        <v>3508</v>
      </c>
      <c r="C3236">
        <v>155</v>
      </c>
      <c r="D3236">
        <v>243.83799999999999</v>
      </c>
      <c r="E3236">
        <v>5309</v>
      </c>
      <c r="F3236">
        <v>1615</v>
      </c>
      <c r="G3236">
        <v>1</v>
      </c>
      <c r="H3236">
        <v>0.2</v>
      </c>
      <c r="I3236" s="1">
        <f>0</f>
        <v>0</v>
      </c>
      <c r="J3236">
        <v>47.173400000000001</v>
      </c>
      <c r="K3236">
        <v>524.84799999999996</v>
      </c>
      <c r="L3236">
        <v>0</v>
      </c>
    </row>
    <row r="3237" spans="1:12" x14ac:dyDescent="0.25">
      <c r="A3237">
        <f>80702124*0.00001</f>
        <v>807.02124000000003</v>
      </c>
      <c r="B3237">
        <v>3508</v>
      </c>
      <c r="C3237">
        <v>156</v>
      </c>
      <c r="D3237">
        <v>243.83799999999999</v>
      </c>
      <c r="E3237">
        <v>5309</v>
      </c>
      <c r="F3237">
        <v>1615</v>
      </c>
      <c r="G3237">
        <v>1</v>
      </c>
      <c r="H3237">
        <v>0.2</v>
      </c>
      <c r="I3237">
        <v>0</v>
      </c>
      <c r="J3237">
        <v>47.173400000000001</v>
      </c>
      <c r="K3237" s="1">
        <f>524.964</f>
        <v>524.96400000000006</v>
      </c>
      <c r="L3237">
        <v>0</v>
      </c>
    </row>
    <row r="3238" spans="1:12" x14ac:dyDescent="0.25">
      <c r="A3238">
        <f>80702261*0.00001</f>
        <v>807.0226100000001</v>
      </c>
      <c r="B3238">
        <v>3508</v>
      </c>
      <c r="C3238">
        <v>157</v>
      </c>
      <c r="D3238" s="1">
        <f>243.857</f>
        <v>243.857</v>
      </c>
      <c r="E3238">
        <v>5309</v>
      </c>
      <c r="F3238">
        <v>1615</v>
      </c>
      <c r="G3238">
        <v>1</v>
      </c>
      <c r="H3238">
        <v>0.2</v>
      </c>
      <c r="I3238">
        <v>0</v>
      </c>
      <c r="J3238">
        <v>47.173400000000001</v>
      </c>
      <c r="K3238">
        <v>524.96400000000006</v>
      </c>
      <c r="L3238">
        <v>0</v>
      </c>
    </row>
    <row r="3239" spans="1:12" x14ac:dyDescent="0.25">
      <c r="A3239">
        <f>80702397*0.00001</f>
        <v>807.02397000000008</v>
      </c>
      <c r="B3239">
        <v>3508</v>
      </c>
      <c r="C3239">
        <v>158</v>
      </c>
      <c r="D3239">
        <v>243.857</v>
      </c>
      <c r="E3239">
        <v>5309</v>
      </c>
      <c r="F3239" s="1">
        <f>1615</f>
        <v>1615</v>
      </c>
      <c r="G3239">
        <v>1</v>
      </c>
      <c r="H3239">
        <v>0.2</v>
      </c>
      <c r="I3239">
        <v>0</v>
      </c>
      <c r="J3239">
        <v>47.173400000000001</v>
      </c>
      <c r="K3239">
        <v>524.96400000000006</v>
      </c>
      <c r="L3239">
        <v>0</v>
      </c>
    </row>
    <row r="3240" spans="1:12" x14ac:dyDescent="0.25">
      <c r="A3240">
        <f>80702533*0.00001</f>
        <v>807.02533000000005</v>
      </c>
      <c r="B3240">
        <v>3508</v>
      </c>
      <c r="C3240">
        <v>159</v>
      </c>
      <c r="D3240" s="1">
        <f>243.869</f>
        <v>243.869</v>
      </c>
      <c r="E3240" s="1">
        <f>5312</f>
        <v>5312</v>
      </c>
      <c r="F3240" s="1">
        <f>1615</f>
        <v>1615</v>
      </c>
      <c r="G3240" s="1">
        <f>1</f>
        <v>1</v>
      </c>
      <c r="H3240" s="1">
        <f>0.2</f>
        <v>0.2</v>
      </c>
      <c r="I3240" s="1">
        <f>0</f>
        <v>0</v>
      </c>
      <c r="J3240" s="1">
        <f>47.6016</f>
        <v>47.601599999999998</v>
      </c>
      <c r="K3240" s="1">
        <f>525.081</f>
        <v>525.08100000000002</v>
      </c>
      <c r="L3240" s="1">
        <f>0</f>
        <v>0</v>
      </c>
    </row>
    <row r="3241" spans="1:12" x14ac:dyDescent="0.25">
      <c r="A3241">
        <f>80703760*0.00001</f>
        <v>807.03760000000011</v>
      </c>
      <c r="B3241">
        <v>3508</v>
      </c>
      <c r="C3241">
        <v>168</v>
      </c>
      <c r="D3241">
        <v>243.869</v>
      </c>
      <c r="E3241">
        <v>5312</v>
      </c>
      <c r="F3241">
        <v>1615</v>
      </c>
      <c r="G3241">
        <v>1</v>
      </c>
      <c r="H3241" s="1">
        <f>0.2</f>
        <v>0.2</v>
      </c>
      <c r="I3241" s="1">
        <f>0</f>
        <v>0</v>
      </c>
      <c r="J3241">
        <v>47.601599999999998</v>
      </c>
      <c r="K3241">
        <v>525.08100000000002</v>
      </c>
      <c r="L3241">
        <v>0</v>
      </c>
    </row>
    <row r="3242" spans="1:12" x14ac:dyDescent="0.25">
      <c r="A3242">
        <f>80703896*0.00001</f>
        <v>807.03896000000009</v>
      </c>
      <c r="B3242">
        <v>3508</v>
      </c>
      <c r="C3242">
        <v>169</v>
      </c>
      <c r="D3242">
        <v>243.869</v>
      </c>
      <c r="E3242">
        <v>5312</v>
      </c>
      <c r="F3242">
        <v>1615</v>
      </c>
      <c r="G3242">
        <v>1</v>
      </c>
      <c r="H3242">
        <v>0.2</v>
      </c>
      <c r="I3242">
        <v>0</v>
      </c>
      <c r="J3242" s="1">
        <f>47.7466</f>
        <v>47.746600000000001</v>
      </c>
      <c r="K3242" s="1">
        <f>525.133</f>
        <v>525.13300000000004</v>
      </c>
      <c r="L3242">
        <v>0</v>
      </c>
    </row>
    <row r="3243" spans="1:12" x14ac:dyDescent="0.25">
      <c r="A3243">
        <f>80704032*0.00001</f>
        <v>807.04032000000007</v>
      </c>
      <c r="B3243">
        <v>3508</v>
      </c>
      <c r="C3243">
        <v>170</v>
      </c>
      <c r="D3243" s="1">
        <f>243.873</f>
        <v>243.87299999999999</v>
      </c>
      <c r="E3243">
        <v>5312</v>
      </c>
      <c r="F3243">
        <v>1615</v>
      </c>
      <c r="G3243">
        <v>1</v>
      </c>
      <c r="H3243">
        <v>0.2</v>
      </c>
      <c r="I3243">
        <v>0</v>
      </c>
      <c r="J3243">
        <v>47.746600000000001</v>
      </c>
      <c r="K3243">
        <v>525.13300000000004</v>
      </c>
      <c r="L3243" s="1">
        <f>0</f>
        <v>0</v>
      </c>
    </row>
    <row r="3244" spans="1:12" x14ac:dyDescent="0.25">
      <c r="A3244">
        <f>80704168*0.00001</f>
        <v>807.04168000000004</v>
      </c>
      <c r="B3244">
        <v>3508</v>
      </c>
      <c r="C3244">
        <v>171</v>
      </c>
      <c r="D3244">
        <v>243.87299999999999</v>
      </c>
      <c r="E3244" s="1">
        <f>5313</f>
        <v>5313</v>
      </c>
      <c r="F3244" s="1">
        <f>1615</f>
        <v>1615</v>
      </c>
      <c r="G3244">
        <v>1</v>
      </c>
      <c r="H3244">
        <v>0.2</v>
      </c>
      <c r="I3244">
        <v>0</v>
      </c>
      <c r="J3244">
        <v>47.746600000000001</v>
      </c>
      <c r="K3244">
        <v>525.13300000000004</v>
      </c>
      <c r="L3244">
        <v>0</v>
      </c>
    </row>
    <row r="3245" spans="1:12" x14ac:dyDescent="0.25">
      <c r="A3245">
        <f>80704305*0.00001</f>
        <v>807.04305000000011</v>
      </c>
      <c r="B3245">
        <v>3508</v>
      </c>
      <c r="C3245">
        <v>172</v>
      </c>
      <c r="D3245">
        <v>243.87299999999999</v>
      </c>
      <c r="E3245">
        <v>5313</v>
      </c>
      <c r="F3245">
        <v>1615</v>
      </c>
      <c r="G3245" s="1">
        <f>1</f>
        <v>1</v>
      </c>
      <c r="H3245" s="1">
        <f>0.2</f>
        <v>0.2</v>
      </c>
      <c r="I3245">
        <v>0</v>
      </c>
      <c r="J3245">
        <v>47.746600000000001</v>
      </c>
      <c r="K3245">
        <v>525.13300000000004</v>
      </c>
      <c r="L3245">
        <v>0</v>
      </c>
    </row>
    <row r="3246" spans="1:12" x14ac:dyDescent="0.25">
      <c r="A3246">
        <f>80704441*0.00001</f>
        <v>807.04441000000008</v>
      </c>
      <c r="B3246">
        <v>3508</v>
      </c>
      <c r="C3246">
        <v>173</v>
      </c>
      <c r="D3246">
        <v>243.87299999999999</v>
      </c>
      <c r="E3246">
        <v>5313</v>
      </c>
      <c r="F3246">
        <v>1615</v>
      </c>
      <c r="G3246">
        <v>1</v>
      </c>
      <c r="H3246">
        <v>0.2</v>
      </c>
      <c r="I3246" s="1">
        <f>0</f>
        <v>0</v>
      </c>
      <c r="J3246" s="1">
        <f>47.9013</f>
        <v>47.901299999999999</v>
      </c>
      <c r="K3246">
        <v>525.13300000000004</v>
      </c>
      <c r="L3246">
        <v>0</v>
      </c>
    </row>
    <row r="3247" spans="1:12" x14ac:dyDescent="0.25">
      <c r="A3247">
        <f>80704577*0.00001</f>
        <v>807.04577000000006</v>
      </c>
      <c r="B3247">
        <v>3508</v>
      </c>
      <c r="C3247">
        <v>174</v>
      </c>
      <c r="D3247">
        <v>243.87299999999999</v>
      </c>
      <c r="E3247">
        <v>5313</v>
      </c>
      <c r="F3247">
        <v>1615</v>
      </c>
      <c r="G3247">
        <v>1</v>
      </c>
      <c r="H3247">
        <v>0.2</v>
      </c>
      <c r="I3247">
        <v>0</v>
      </c>
      <c r="J3247">
        <v>47.901299999999999</v>
      </c>
      <c r="K3247" s="1">
        <f>525.199</f>
        <v>525.19899999999996</v>
      </c>
      <c r="L3247" s="1">
        <f>0</f>
        <v>0</v>
      </c>
    </row>
    <row r="3248" spans="1:12" x14ac:dyDescent="0.25">
      <c r="A3248">
        <f>80704713*0.00001</f>
        <v>807.04713000000004</v>
      </c>
      <c r="B3248">
        <v>3508</v>
      </c>
      <c r="C3248">
        <v>175</v>
      </c>
      <c r="D3248" s="1">
        <f>243.877</f>
        <v>243.87700000000001</v>
      </c>
      <c r="E3248" s="1">
        <f>5314</f>
        <v>5314</v>
      </c>
      <c r="F3248">
        <v>1615</v>
      </c>
      <c r="G3248">
        <v>1</v>
      </c>
      <c r="H3248">
        <v>0.2</v>
      </c>
      <c r="I3248">
        <v>0</v>
      </c>
      <c r="J3248">
        <v>47.901299999999999</v>
      </c>
      <c r="K3248">
        <v>525.19899999999996</v>
      </c>
      <c r="L3248">
        <v>0</v>
      </c>
    </row>
    <row r="3249" spans="1:12" x14ac:dyDescent="0.25">
      <c r="A3249">
        <f>80704849*0.00001</f>
        <v>807.04849000000002</v>
      </c>
      <c r="B3249">
        <v>3508</v>
      </c>
      <c r="C3249">
        <v>176</v>
      </c>
      <c r="D3249">
        <v>243.87700000000001</v>
      </c>
      <c r="E3249">
        <v>5314</v>
      </c>
      <c r="F3249">
        <v>1615</v>
      </c>
      <c r="G3249" s="1">
        <f>1</f>
        <v>1</v>
      </c>
      <c r="H3249">
        <v>0.2</v>
      </c>
      <c r="I3249">
        <v>0</v>
      </c>
      <c r="J3249">
        <v>47.901299999999999</v>
      </c>
      <c r="K3249">
        <v>525.19899999999996</v>
      </c>
      <c r="L3249">
        <v>0</v>
      </c>
    </row>
    <row r="3250" spans="1:12" x14ac:dyDescent="0.25">
      <c r="A3250">
        <f>80704985*0.00001</f>
        <v>807.04985000000011</v>
      </c>
      <c r="B3250">
        <v>3508</v>
      </c>
      <c r="C3250">
        <v>177</v>
      </c>
      <c r="D3250">
        <v>243.87700000000001</v>
      </c>
      <c r="E3250">
        <v>5314</v>
      </c>
      <c r="F3250">
        <v>1615</v>
      </c>
      <c r="G3250">
        <v>1</v>
      </c>
      <c r="H3250">
        <v>0.2</v>
      </c>
      <c r="I3250" s="1">
        <f>0</f>
        <v>0</v>
      </c>
      <c r="J3250">
        <v>47.901299999999999</v>
      </c>
      <c r="K3250">
        <v>525.19899999999996</v>
      </c>
      <c r="L3250">
        <v>0</v>
      </c>
    </row>
    <row r="3251" spans="1:12" x14ac:dyDescent="0.25">
      <c r="A3251">
        <f>80705121*0.00001</f>
        <v>807.05121000000008</v>
      </c>
      <c r="B3251">
        <v>3508</v>
      </c>
      <c r="C3251">
        <v>178</v>
      </c>
      <c r="D3251" s="1">
        <f>243.879</f>
        <v>243.87899999999999</v>
      </c>
      <c r="E3251">
        <v>5314</v>
      </c>
      <c r="F3251">
        <v>1615</v>
      </c>
      <c r="G3251">
        <v>1</v>
      </c>
      <c r="H3251">
        <v>0.2</v>
      </c>
      <c r="I3251">
        <v>0</v>
      </c>
      <c r="J3251">
        <v>47.901299999999999</v>
      </c>
      <c r="K3251" s="1">
        <f>525.251</f>
        <v>525.25099999999998</v>
      </c>
      <c r="L3251" s="1">
        <f>0</f>
        <v>0</v>
      </c>
    </row>
    <row r="3252" spans="1:12" s="2" customFormat="1" x14ac:dyDescent="0.25">
      <c r="A3252" s="2">
        <f>80705394*0.00001</f>
        <v>807.05394000000001</v>
      </c>
      <c r="B3252" s="2">
        <v>3509</v>
      </c>
      <c r="C3252" s="2">
        <v>0</v>
      </c>
      <c r="D3252" s="2">
        <v>243.87899999999999</v>
      </c>
      <c r="E3252" s="2">
        <v>5314</v>
      </c>
      <c r="F3252" s="1">
        <f>1615</f>
        <v>1615</v>
      </c>
      <c r="G3252" s="2">
        <v>1</v>
      </c>
      <c r="H3252" s="2">
        <v>0.2</v>
      </c>
      <c r="I3252" s="2">
        <v>0</v>
      </c>
      <c r="J3252" s="2">
        <v>47.901299999999999</v>
      </c>
      <c r="K3252" s="2">
        <v>525.25099999999998</v>
      </c>
      <c r="L3252" s="2">
        <v>0</v>
      </c>
    </row>
    <row r="3253" spans="1:12" x14ac:dyDescent="0.25">
      <c r="A3253">
        <f>80705531*0.00001</f>
        <v>807.05531000000008</v>
      </c>
      <c r="B3253">
        <v>3509</v>
      </c>
      <c r="C3253">
        <v>1</v>
      </c>
      <c r="D3253">
        <v>243.87899999999999</v>
      </c>
      <c r="E3253">
        <v>5314</v>
      </c>
      <c r="F3253">
        <v>1615</v>
      </c>
      <c r="G3253">
        <v>1</v>
      </c>
      <c r="H3253" s="1">
        <f>0.2</f>
        <v>0.2</v>
      </c>
      <c r="I3253">
        <v>0</v>
      </c>
      <c r="J3253">
        <v>47.901299999999999</v>
      </c>
      <c r="K3253">
        <v>525.25099999999998</v>
      </c>
      <c r="L3253">
        <v>0</v>
      </c>
    </row>
    <row r="3254" spans="1:12" x14ac:dyDescent="0.25">
      <c r="A3254">
        <f>80705667*0.00001</f>
        <v>807.05667000000005</v>
      </c>
      <c r="B3254">
        <v>3509</v>
      </c>
      <c r="C3254">
        <v>2</v>
      </c>
      <c r="D3254" s="1">
        <f>243.909</f>
        <v>243.90899999999999</v>
      </c>
      <c r="E3254" s="1">
        <f>5316</f>
        <v>5316</v>
      </c>
      <c r="F3254" s="1">
        <f>1615</f>
        <v>1615</v>
      </c>
      <c r="G3254" s="1">
        <f>1</f>
        <v>1</v>
      </c>
      <c r="H3254" s="1">
        <f>0.2</f>
        <v>0.2</v>
      </c>
      <c r="I3254" s="1">
        <f>0</f>
        <v>0</v>
      </c>
      <c r="J3254" s="1">
        <f>48.414</f>
        <v>48.414000000000001</v>
      </c>
      <c r="K3254" s="1">
        <f>525.396</f>
        <v>525.39599999999996</v>
      </c>
      <c r="L3254" s="1">
        <f>0</f>
        <v>0</v>
      </c>
    </row>
    <row r="3255" spans="1:12" x14ac:dyDescent="0.25">
      <c r="A3255">
        <f>80707028*0.00001</f>
        <v>807.07028000000003</v>
      </c>
      <c r="B3255">
        <v>3509</v>
      </c>
      <c r="C3255">
        <v>12</v>
      </c>
      <c r="D3255" s="1">
        <f>243.971</f>
        <v>243.971</v>
      </c>
      <c r="E3255">
        <v>5316</v>
      </c>
      <c r="F3255">
        <v>1615</v>
      </c>
      <c r="G3255">
        <v>1</v>
      </c>
      <c r="H3255">
        <v>0.2</v>
      </c>
      <c r="I3255">
        <v>0</v>
      </c>
      <c r="J3255">
        <v>48.414000000000001</v>
      </c>
      <c r="K3255">
        <v>525.39599999999996</v>
      </c>
      <c r="L3255" s="1">
        <f>0</f>
        <v>0</v>
      </c>
    </row>
    <row r="3256" spans="1:12" x14ac:dyDescent="0.25">
      <c r="A3256">
        <f>80707164*0.00001</f>
        <v>807.07164000000012</v>
      </c>
      <c r="B3256">
        <v>3509</v>
      </c>
      <c r="C3256">
        <v>13</v>
      </c>
      <c r="D3256">
        <v>243.971</v>
      </c>
      <c r="E3256" s="1">
        <f>5316</f>
        <v>5316</v>
      </c>
      <c r="F3256" s="1">
        <f>1615</f>
        <v>1615</v>
      </c>
      <c r="G3256">
        <v>1</v>
      </c>
      <c r="H3256">
        <v>0.2</v>
      </c>
      <c r="I3256">
        <v>0</v>
      </c>
      <c r="J3256">
        <v>48.414000000000001</v>
      </c>
      <c r="K3256">
        <v>525.39599999999996</v>
      </c>
      <c r="L3256">
        <v>0</v>
      </c>
    </row>
    <row r="3257" spans="1:12" x14ac:dyDescent="0.25">
      <c r="A3257">
        <f>80707300*0.00001</f>
        <v>807.07300000000009</v>
      </c>
      <c r="B3257">
        <v>3509</v>
      </c>
      <c r="C3257">
        <v>14</v>
      </c>
      <c r="D3257">
        <v>243.971</v>
      </c>
      <c r="E3257">
        <v>5316</v>
      </c>
      <c r="F3257">
        <v>1615</v>
      </c>
      <c r="G3257" s="1">
        <f>1</f>
        <v>1</v>
      </c>
      <c r="H3257" s="1">
        <f>0.2</f>
        <v>0.2</v>
      </c>
      <c r="I3257">
        <v>0</v>
      </c>
      <c r="J3257">
        <v>48.414000000000001</v>
      </c>
      <c r="K3257">
        <v>525.39599999999996</v>
      </c>
      <c r="L3257">
        <v>0</v>
      </c>
    </row>
    <row r="3258" spans="1:12" x14ac:dyDescent="0.25">
      <c r="A3258">
        <f>80707436*0.00001</f>
        <v>807.07436000000007</v>
      </c>
      <c r="B3258">
        <v>3509</v>
      </c>
      <c r="C3258">
        <v>15</v>
      </c>
      <c r="D3258">
        <v>243.971</v>
      </c>
      <c r="E3258">
        <v>5316</v>
      </c>
      <c r="F3258">
        <v>1615</v>
      </c>
      <c r="G3258">
        <v>1</v>
      </c>
      <c r="H3258">
        <v>0.2</v>
      </c>
      <c r="I3258" s="1">
        <f>0</f>
        <v>0</v>
      </c>
      <c r="J3258" s="1">
        <f>48.5071</f>
        <v>48.507100000000001</v>
      </c>
      <c r="K3258">
        <v>525.39599999999996</v>
      </c>
      <c r="L3258">
        <v>0</v>
      </c>
    </row>
    <row r="3259" spans="1:12" x14ac:dyDescent="0.25">
      <c r="A3259">
        <f>80707572*0.00001</f>
        <v>807.07572000000005</v>
      </c>
      <c r="B3259">
        <v>3509</v>
      </c>
      <c r="C3259">
        <v>16</v>
      </c>
      <c r="D3259">
        <v>243.971</v>
      </c>
      <c r="E3259">
        <v>5316</v>
      </c>
      <c r="F3259">
        <v>1615</v>
      </c>
      <c r="G3259">
        <v>1</v>
      </c>
      <c r="H3259">
        <v>0.2</v>
      </c>
      <c r="I3259">
        <v>0</v>
      </c>
      <c r="J3259">
        <v>48.507100000000001</v>
      </c>
      <c r="K3259" s="1">
        <f>525.463</f>
        <v>525.46299999999997</v>
      </c>
      <c r="L3259" s="1">
        <f>0</f>
        <v>0</v>
      </c>
    </row>
    <row r="3260" spans="1:12" x14ac:dyDescent="0.25">
      <c r="A3260">
        <f>80707708*0.00001</f>
        <v>807.07708000000002</v>
      </c>
      <c r="B3260">
        <v>3509</v>
      </c>
      <c r="C3260">
        <v>17</v>
      </c>
      <c r="D3260" s="1">
        <f>244.034</f>
        <v>244.03399999999999</v>
      </c>
      <c r="E3260" s="1">
        <f>5315</f>
        <v>5315</v>
      </c>
      <c r="F3260">
        <v>1615</v>
      </c>
      <c r="G3260">
        <v>1</v>
      </c>
      <c r="H3260">
        <v>0.2</v>
      </c>
      <c r="I3260">
        <v>0</v>
      </c>
      <c r="J3260">
        <v>48.507100000000001</v>
      </c>
      <c r="K3260">
        <v>525.46299999999997</v>
      </c>
      <c r="L3260">
        <v>0</v>
      </c>
    </row>
    <row r="3261" spans="1:12" x14ac:dyDescent="0.25">
      <c r="A3261">
        <f>80707844*0.00001</f>
        <v>807.07844000000011</v>
      </c>
      <c r="B3261">
        <v>3509</v>
      </c>
      <c r="C3261">
        <v>18</v>
      </c>
      <c r="D3261">
        <v>244.03399999999999</v>
      </c>
      <c r="E3261">
        <v>5315</v>
      </c>
      <c r="F3261" s="1">
        <f>1615</f>
        <v>1615</v>
      </c>
      <c r="G3261" s="1">
        <f>1</f>
        <v>1</v>
      </c>
      <c r="H3261">
        <v>0.2</v>
      </c>
      <c r="I3261">
        <v>0</v>
      </c>
      <c r="J3261">
        <v>48.507100000000001</v>
      </c>
      <c r="K3261">
        <v>525.46299999999997</v>
      </c>
      <c r="L3261">
        <v>0</v>
      </c>
    </row>
    <row r="3262" spans="1:12" x14ac:dyDescent="0.25">
      <c r="A3262">
        <f>80707980*0.00001</f>
        <v>807.07980000000009</v>
      </c>
      <c r="B3262">
        <v>3509</v>
      </c>
      <c r="C3262">
        <v>19</v>
      </c>
      <c r="D3262">
        <v>244.03399999999999</v>
      </c>
      <c r="E3262">
        <v>5315</v>
      </c>
      <c r="F3262">
        <v>1615</v>
      </c>
      <c r="G3262">
        <v>1</v>
      </c>
      <c r="H3262" s="1">
        <f>0.2</f>
        <v>0.2</v>
      </c>
      <c r="I3262" s="1">
        <f>0</f>
        <v>0</v>
      </c>
      <c r="J3262">
        <v>48.507100000000001</v>
      </c>
      <c r="K3262">
        <v>525.46299999999997</v>
      </c>
      <c r="L3262">
        <v>0</v>
      </c>
    </row>
    <row r="3263" spans="1:12" x14ac:dyDescent="0.25">
      <c r="A3263">
        <f>80708116*0.00001</f>
        <v>807.08116000000007</v>
      </c>
      <c r="B3263">
        <v>3509</v>
      </c>
      <c r="C3263">
        <v>20</v>
      </c>
      <c r="D3263">
        <v>244.03399999999999</v>
      </c>
      <c r="E3263">
        <v>5315</v>
      </c>
      <c r="F3263">
        <v>1615</v>
      </c>
      <c r="G3263">
        <v>1</v>
      </c>
      <c r="H3263">
        <v>0.2</v>
      </c>
      <c r="I3263">
        <v>0</v>
      </c>
      <c r="J3263">
        <v>48.507100000000001</v>
      </c>
      <c r="K3263" s="1">
        <f>525.516</f>
        <v>525.51599999999996</v>
      </c>
      <c r="L3263">
        <v>0</v>
      </c>
    </row>
    <row r="3264" spans="1:12" x14ac:dyDescent="0.25">
      <c r="A3264">
        <f>80708252*0.00001</f>
        <v>807.08252000000005</v>
      </c>
      <c r="B3264">
        <v>3509</v>
      </c>
      <c r="C3264">
        <v>21</v>
      </c>
      <c r="D3264" s="1">
        <f>244.074</f>
        <v>244.07400000000001</v>
      </c>
      <c r="E3264">
        <v>5315</v>
      </c>
      <c r="F3264">
        <v>1615</v>
      </c>
      <c r="G3264">
        <v>1</v>
      </c>
      <c r="H3264">
        <v>0.2</v>
      </c>
      <c r="I3264">
        <v>0</v>
      </c>
      <c r="J3264">
        <v>48.507100000000001</v>
      </c>
      <c r="K3264">
        <v>525.51599999999996</v>
      </c>
      <c r="L3264">
        <v>0</v>
      </c>
    </row>
    <row r="3265" spans="1:12" x14ac:dyDescent="0.25">
      <c r="A3265">
        <f>80708388*0.00001</f>
        <v>807.08388000000002</v>
      </c>
      <c r="B3265">
        <v>3509</v>
      </c>
      <c r="C3265">
        <v>22</v>
      </c>
      <c r="D3265">
        <v>244.07400000000001</v>
      </c>
      <c r="E3265">
        <v>5315</v>
      </c>
      <c r="F3265" s="1">
        <f>1615</f>
        <v>1615</v>
      </c>
      <c r="G3265">
        <v>1</v>
      </c>
      <c r="H3265">
        <v>0.2</v>
      </c>
      <c r="I3265">
        <v>0</v>
      </c>
      <c r="J3265">
        <v>48.507100000000001</v>
      </c>
      <c r="K3265">
        <v>525.51599999999996</v>
      </c>
      <c r="L3265">
        <v>0</v>
      </c>
    </row>
    <row r="3266" spans="1:12" x14ac:dyDescent="0.25">
      <c r="A3266">
        <f>80708524*0.00001</f>
        <v>807.08524000000011</v>
      </c>
      <c r="B3266">
        <v>3509</v>
      </c>
      <c r="C3266">
        <v>23</v>
      </c>
      <c r="D3266">
        <v>244.07400000000001</v>
      </c>
      <c r="E3266">
        <v>5315</v>
      </c>
      <c r="F3266">
        <v>1615</v>
      </c>
      <c r="G3266">
        <v>1</v>
      </c>
      <c r="H3266" s="1">
        <f>0.2</f>
        <v>0.2</v>
      </c>
      <c r="I3266">
        <v>0</v>
      </c>
      <c r="J3266">
        <v>48.507100000000001</v>
      </c>
      <c r="K3266">
        <v>525.51599999999996</v>
      </c>
      <c r="L3266">
        <v>0</v>
      </c>
    </row>
    <row r="3267" spans="1:12" x14ac:dyDescent="0.25">
      <c r="A3267">
        <f>80708660*0.00001</f>
        <v>807.08660000000009</v>
      </c>
      <c r="B3267">
        <v>3509</v>
      </c>
      <c r="C3267">
        <v>24</v>
      </c>
      <c r="D3267">
        <v>244.07400000000001</v>
      </c>
      <c r="E3267">
        <v>5315</v>
      </c>
      <c r="F3267">
        <v>1615</v>
      </c>
      <c r="G3267">
        <v>1</v>
      </c>
      <c r="H3267">
        <v>0.2</v>
      </c>
      <c r="I3267">
        <v>0</v>
      </c>
      <c r="J3267" s="1">
        <f>48.7198</f>
        <v>48.719799999999999</v>
      </c>
      <c r="K3267">
        <v>525.51599999999996</v>
      </c>
      <c r="L3267">
        <v>0</v>
      </c>
    </row>
    <row r="3268" spans="1:12" x14ac:dyDescent="0.25">
      <c r="A3268">
        <f>80708796*0.00001</f>
        <v>807.08796000000007</v>
      </c>
      <c r="B3268">
        <v>3509</v>
      </c>
      <c r="C3268">
        <v>25</v>
      </c>
      <c r="D3268">
        <v>244.07400000000001</v>
      </c>
      <c r="E3268">
        <v>5315</v>
      </c>
      <c r="F3268">
        <v>1615</v>
      </c>
      <c r="G3268">
        <v>1</v>
      </c>
      <c r="H3268">
        <v>0.2</v>
      </c>
      <c r="I3268">
        <v>0</v>
      </c>
      <c r="J3268">
        <v>48.719799999999999</v>
      </c>
      <c r="K3268">
        <v>525.51599999999996</v>
      </c>
      <c r="L3268" s="1">
        <f>0</f>
        <v>0</v>
      </c>
    </row>
    <row r="3269" spans="1:12" x14ac:dyDescent="0.25">
      <c r="A3269">
        <f>80708932*0.00001</f>
        <v>807.08932000000004</v>
      </c>
      <c r="B3269">
        <v>3509</v>
      </c>
      <c r="C3269">
        <v>26</v>
      </c>
      <c r="D3269">
        <v>244.07400000000001</v>
      </c>
      <c r="E3269" s="1">
        <f>5316</f>
        <v>5316</v>
      </c>
      <c r="F3269">
        <v>1615</v>
      </c>
      <c r="G3269">
        <v>1</v>
      </c>
      <c r="H3269">
        <v>0.2</v>
      </c>
      <c r="I3269">
        <v>0</v>
      </c>
      <c r="J3269">
        <v>48.719799999999999</v>
      </c>
      <c r="K3269">
        <v>525.51599999999996</v>
      </c>
      <c r="L3269">
        <v>0</v>
      </c>
    </row>
    <row r="3270" spans="1:12" x14ac:dyDescent="0.25">
      <c r="A3270">
        <f>80709068*0.00001</f>
        <v>807.09068000000002</v>
      </c>
      <c r="B3270">
        <v>3509</v>
      </c>
      <c r="C3270">
        <v>27</v>
      </c>
      <c r="D3270" s="1">
        <f>244.158</f>
        <v>244.15799999999999</v>
      </c>
      <c r="E3270" s="1">
        <f>5317</f>
        <v>5317</v>
      </c>
      <c r="F3270" s="1">
        <f>1615</f>
        <v>1615</v>
      </c>
      <c r="G3270" s="1">
        <f>1</f>
        <v>1</v>
      </c>
      <c r="H3270" s="1">
        <f>0.2</f>
        <v>0.2</v>
      </c>
      <c r="I3270" s="1">
        <f>0</f>
        <v>0</v>
      </c>
      <c r="J3270" s="1">
        <f>48.9649</f>
        <v>48.9649</v>
      </c>
      <c r="K3270" s="1">
        <f>525.689</f>
        <v>525.68899999999996</v>
      </c>
      <c r="L3270" s="1">
        <f>0</f>
        <v>0</v>
      </c>
    </row>
    <row r="3271" spans="1:12" x14ac:dyDescent="0.25">
      <c r="A3271">
        <f>80710428*0.00001</f>
        <v>807.10428000000002</v>
      </c>
      <c r="B3271">
        <v>3509</v>
      </c>
      <c r="C3271">
        <v>37</v>
      </c>
      <c r="D3271">
        <v>244.15799999999999</v>
      </c>
      <c r="E3271">
        <v>5317</v>
      </c>
      <c r="F3271">
        <v>1615</v>
      </c>
      <c r="G3271">
        <v>1</v>
      </c>
      <c r="H3271">
        <v>0.2</v>
      </c>
      <c r="I3271" s="1">
        <f>0</f>
        <v>0</v>
      </c>
      <c r="J3271" s="1">
        <f>49.0974</f>
        <v>49.0974</v>
      </c>
      <c r="K3271">
        <v>525.68899999999996</v>
      </c>
      <c r="L3271">
        <v>0</v>
      </c>
    </row>
    <row r="3272" spans="1:12" x14ac:dyDescent="0.25">
      <c r="A3272">
        <f>80710564*0.00001</f>
        <v>807.10564000000011</v>
      </c>
      <c r="B3272">
        <v>3509</v>
      </c>
      <c r="C3272">
        <v>38</v>
      </c>
      <c r="D3272">
        <v>244.15799999999999</v>
      </c>
      <c r="E3272">
        <v>5317</v>
      </c>
      <c r="F3272">
        <v>1615</v>
      </c>
      <c r="G3272">
        <v>1</v>
      </c>
      <c r="H3272">
        <v>0.2</v>
      </c>
      <c r="I3272">
        <v>0</v>
      </c>
      <c r="J3272">
        <v>49.0974</v>
      </c>
      <c r="K3272" s="1">
        <f>525.756</f>
        <v>525.75599999999997</v>
      </c>
      <c r="L3272" s="1">
        <f>0</f>
        <v>0</v>
      </c>
    </row>
    <row r="3273" spans="1:12" x14ac:dyDescent="0.25">
      <c r="A3273">
        <f>80710700*0.00001</f>
        <v>807.10700000000008</v>
      </c>
      <c r="B3273">
        <v>3509</v>
      </c>
      <c r="C3273">
        <v>39</v>
      </c>
      <c r="D3273" s="1">
        <f>244.178</f>
        <v>244.178</v>
      </c>
      <c r="E3273" s="1">
        <f>5317</f>
        <v>5317</v>
      </c>
      <c r="F3273">
        <v>1615</v>
      </c>
      <c r="G3273">
        <v>1</v>
      </c>
      <c r="H3273">
        <v>0.2</v>
      </c>
      <c r="I3273">
        <v>0</v>
      </c>
      <c r="J3273">
        <v>49.0974</v>
      </c>
      <c r="K3273">
        <v>525.75599999999997</v>
      </c>
      <c r="L3273">
        <v>0</v>
      </c>
    </row>
    <row r="3274" spans="1:12" x14ac:dyDescent="0.25">
      <c r="A3274">
        <f>80710836*0.00001</f>
        <v>807.10836000000006</v>
      </c>
      <c r="B3274">
        <v>3509</v>
      </c>
      <c r="C3274">
        <v>40</v>
      </c>
      <c r="D3274">
        <v>244.178</v>
      </c>
      <c r="E3274">
        <v>5317</v>
      </c>
      <c r="F3274" s="1">
        <f>1615</f>
        <v>1615</v>
      </c>
      <c r="G3274" s="1">
        <f>1</f>
        <v>1</v>
      </c>
      <c r="H3274">
        <v>0.2</v>
      </c>
      <c r="I3274">
        <v>0</v>
      </c>
      <c r="J3274">
        <v>49.0974</v>
      </c>
      <c r="K3274">
        <v>525.75599999999997</v>
      </c>
      <c r="L3274">
        <v>0</v>
      </c>
    </row>
    <row r="3275" spans="1:12" x14ac:dyDescent="0.25">
      <c r="A3275">
        <f>80710972*0.00001</f>
        <v>807.10972000000004</v>
      </c>
      <c r="B3275">
        <v>3509</v>
      </c>
      <c r="C3275">
        <v>41</v>
      </c>
      <c r="D3275">
        <v>244.178</v>
      </c>
      <c r="E3275">
        <v>5317</v>
      </c>
      <c r="F3275">
        <v>1615</v>
      </c>
      <c r="G3275">
        <v>1</v>
      </c>
      <c r="H3275" s="1">
        <f>0.2</f>
        <v>0.2</v>
      </c>
      <c r="I3275" s="1">
        <f>0</f>
        <v>0</v>
      </c>
      <c r="J3275">
        <v>49.0974</v>
      </c>
      <c r="K3275">
        <v>525.75599999999997</v>
      </c>
      <c r="L3275">
        <v>0</v>
      </c>
    </row>
    <row r="3276" spans="1:12" x14ac:dyDescent="0.25">
      <c r="A3276">
        <f>80711108*0.00001</f>
        <v>807.11108000000002</v>
      </c>
      <c r="B3276">
        <v>3509</v>
      </c>
      <c r="C3276">
        <v>42</v>
      </c>
      <c r="D3276">
        <v>244.178</v>
      </c>
      <c r="E3276">
        <v>5317</v>
      </c>
      <c r="F3276">
        <v>1615</v>
      </c>
      <c r="G3276">
        <v>1</v>
      </c>
      <c r="H3276">
        <v>0.2</v>
      </c>
      <c r="I3276">
        <v>0</v>
      </c>
      <c r="J3276" s="1">
        <f>49.2551</f>
        <v>49.255099999999999</v>
      </c>
      <c r="K3276" s="1">
        <f>525.81</f>
        <v>525.80999999999995</v>
      </c>
      <c r="L3276">
        <v>0</v>
      </c>
    </row>
    <row r="3277" spans="1:12" x14ac:dyDescent="0.25">
      <c r="A3277">
        <f>80711244*0.00001</f>
        <v>807.11244000000011</v>
      </c>
      <c r="B3277">
        <v>3509</v>
      </c>
      <c r="C3277">
        <v>43</v>
      </c>
      <c r="D3277" s="1">
        <f>244.187</f>
        <v>244.18700000000001</v>
      </c>
      <c r="E3277">
        <v>5317</v>
      </c>
      <c r="F3277">
        <v>1615</v>
      </c>
      <c r="G3277">
        <v>1</v>
      </c>
      <c r="H3277">
        <v>0.2</v>
      </c>
      <c r="I3277">
        <v>0</v>
      </c>
      <c r="J3277">
        <v>49.255099999999999</v>
      </c>
      <c r="K3277">
        <v>525.80999999999995</v>
      </c>
      <c r="L3277" s="1">
        <f>0</f>
        <v>0</v>
      </c>
    </row>
    <row r="3278" spans="1:12" x14ac:dyDescent="0.25">
      <c r="A3278">
        <f>80711380*0.00001</f>
        <v>807.11380000000008</v>
      </c>
      <c r="B3278">
        <v>3509</v>
      </c>
      <c r="C3278">
        <v>44</v>
      </c>
      <c r="D3278">
        <v>244.18700000000001</v>
      </c>
      <c r="E3278" s="1">
        <f>5318</f>
        <v>5318</v>
      </c>
      <c r="F3278" s="1">
        <f>1615</f>
        <v>1615</v>
      </c>
      <c r="G3278">
        <v>1</v>
      </c>
      <c r="H3278">
        <v>0.2</v>
      </c>
      <c r="I3278">
        <v>0</v>
      </c>
      <c r="J3278">
        <v>49.255099999999999</v>
      </c>
      <c r="K3278">
        <v>525.80999999999995</v>
      </c>
      <c r="L3278">
        <v>0</v>
      </c>
    </row>
    <row r="3279" spans="1:12" x14ac:dyDescent="0.25">
      <c r="A3279">
        <f>80711516*0.00001</f>
        <v>807.11516000000006</v>
      </c>
      <c r="B3279">
        <v>3509</v>
      </c>
      <c r="C3279">
        <v>45</v>
      </c>
      <c r="D3279">
        <v>244.18700000000001</v>
      </c>
      <c r="E3279">
        <v>5318</v>
      </c>
      <c r="F3279">
        <v>1615</v>
      </c>
      <c r="G3279">
        <v>1</v>
      </c>
      <c r="H3279" s="1">
        <f>0.2</f>
        <v>0.2</v>
      </c>
      <c r="I3279">
        <v>0</v>
      </c>
      <c r="J3279">
        <v>49.255099999999999</v>
      </c>
      <c r="K3279">
        <v>525.80999999999995</v>
      </c>
      <c r="L3279">
        <v>0</v>
      </c>
    </row>
    <row r="3280" spans="1:12" x14ac:dyDescent="0.25">
      <c r="A3280">
        <f>80711652*0.00001</f>
        <v>807.11652000000004</v>
      </c>
      <c r="B3280">
        <v>3509</v>
      </c>
      <c r="C3280">
        <v>46</v>
      </c>
      <c r="D3280">
        <v>244.18700000000001</v>
      </c>
      <c r="E3280">
        <v>5318</v>
      </c>
      <c r="F3280">
        <v>1615</v>
      </c>
      <c r="G3280">
        <v>1</v>
      </c>
      <c r="H3280">
        <v>0.2</v>
      </c>
      <c r="I3280">
        <v>0</v>
      </c>
      <c r="J3280" s="1">
        <f>49.3689</f>
        <v>49.368899999999996</v>
      </c>
      <c r="K3280">
        <v>525.80999999999995</v>
      </c>
      <c r="L3280">
        <v>0</v>
      </c>
    </row>
    <row r="3281" spans="1:12" x14ac:dyDescent="0.25">
      <c r="A3281">
        <f>80711788*0.00001</f>
        <v>807.11788000000001</v>
      </c>
      <c r="B3281">
        <v>3509</v>
      </c>
      <c r="C3281">
        <v>47</v>
      </c>
      <c r="D3281">
        <v>244.18700000000001</v>
      </c>
      <c r="E3281">
        <v>5318</v>
      </c>
      <c r="F3281">
        <v>1615</v>
      </c>
      <c r="G3281">
        <v>1</v>
      </c>
      <c r="H3281">
        <v>0.2</v>
      </c>
      <c r="I3281">
        <v>0</v>
      </c>
      <c r="J3281">
        <v>49.368899999999996</v>
      </c>
      <c r="K3281">
        <v>525.80999999999995</v>
      </c>
      <c r="L3281" s="1">
        <f>0</f>
        <v>0</v>
      </c>
    </row>
    <row r="3282" spans="1:12" x14ac:dyDescent="0.25">
      <c r="A3282">
        <f>80711924*0.00001</f>
        <v>807.1192400000001</v>
      </c>
      <c r="B3282">
        <v>3509</v>
      </c>
      <c r="C3282">
        <v>48</v>
      </c>
      <c r="D3282">
        <v>244.18700000000001</v>
      </c>
      <c r="E3282" s="1">
        <f>5319</f>
        <v>5319</v>
      </c>
      <c r="F3282">
        <v>1615</v>
      </c>
      <c r="G3282">
        <v>1</v>
      </c>
      <c r="H3282">
        <v>0.2</v>
      </c>
      <c r="I3282">
        <v>0</v>
      </c>
      <c r="J3282">
        <v>49.368899999999996</v>
      </c>
      <c r="K3282">
        <v>525.80999999999995</v>
      </c>
      <c r="L3282">
        <v>0</v>
      </c>
    </row>
    <row r="3283" spans="1:12" x14ac:dyDescent="0.25">
      <c r="A3283">
        <f>80712060*0.00001</f>
        <v>807.12060000000008</v>
      </c>
      <c r="B3283">
        <v>3509</v>
      </c>
      <c r="C3283">
        <v>49</v>
      </c>
      <c r="D3283">
        <v>244.18700000000001</v>
      </c>
      <c r="E3283">
        <v>5319</v>
      </c>
      <c r="F3283">
        <v>1615</v>
      </c>
      <c r="G3283" s="1">
        <f>1</f>
        <v>1</v>
      </c>
      <c r="H3283">
        <v>0.2</v>
      </c>
      <c r="I3283">
        <v>0</v>
      </c>
      <c r="J3283">
        <v>49.368899999999996</v>
      </c>
      <c r="K3283">
        <v>525.80999999999995</v>
      </c>
      <c r="L3283">
        <v>0</v>
      </c>
    </row>
    <row r="3284" spans="1:12" x14ac:dyDescent="0.25">
      <c r="A3284">
        <f>80712196*0.00001</f>
        <v>807.12196000000006</v>
      </c>
      <c r="B3284">
        <v>3509</v>
      </c>
      <c r="C3284">
        <v>50</v>
      </c>
      <c r="D3284">
        <v>244.18700000000001</v>
      </c>
      <c r="E3284">
        <v>5319</v>
      </c>
      <c r="F3284">
        <v>1615</v>
      </c>
      <c r="G3284">
        <v>1</v>
      </c>
      <c r="H3284">
        <v>0.2</v>
      </c>
      <c r="I3284" s="1">
        <f>0</f>
        <v>0</v>
      </c>
      <c r="J3284">
        <v>49.368899999999996</v>
      </c>
      <c r="K3284">
        <v>525.80999999999995</v>
      </c>
      <c r="L3284">
        <v>0</v>
      </c>
    </row>
    <row r="3285" spans="1:12" x14ac:dyDescent="0.25">
      <c r="A3285">
        <f>80712332*0.00001</f>
        <v>807.12332000000004</v>
      </c>
      <c r="B3285">
        <v>3509</v>
      </c>
      <c r="C3285">
        <v>51</v>
      </c>
      <c r="D3285">
        <v>244.18700000000001</v>
      </c>
      <c r="E3285">
        <v>5319</v>
      </c>
      <c r="F3285">
        <v>1615</v>
      </c>
      <c r="G3285">
        <v>1</v>
      </c>
      <c r="H3285">
        <v>0.2</v>
      </c>
      <c r="I3285">
        <v>0</v>
      </c>
      <c r="J3285">
        <v>49.368899999999996</v>
      </c>
      <c r="K3285" s="1">
        <f>525.931</f>
        <v>525.93100000000004</v>
      </c>
      <c r="L3285">
        <v>0</v>
      </c>
    </row>
    <row r="3286" spans="1:12" x14ac:dyDescent="0.25">
      <c r="A3286">
        <f>80712468*0.00001</f>
        <v>807.12468000000001</v>
      </c>
      <c r="B3286">
        <v>3509</v>
      </c>
      <c r="C3286">
        <v>52</v>
      </c>
      <c r="D3286" s="1">
        <f>244.225</f>
        <v>244.22499999999999</v>
      </c>
      <c r="E3286" s="1">
        <f>5322</f>
        <v>5322</v>
      </c>
      <c r="F3286" s="1">
        <f>1615</f>
        <v>1615</v>
      </c>
      <c r="G3286" s="1">
        <f>1</f>
        <v>1</v>
      </c>
      <c r="H3286" s="1">
        <f>0.2</f>
        <v>0.2</v>
      </c>
      <c r="I3286" s="1">
        <f>0</f>
        <v>0</v>
      </c>
      <c r="J3286" s="1">
        <f>49.7956</f>
        <v>49.7956</v>
      </c>
      <c r="K3286" s="1">
        <f>526.053</f>
        <v>526.053</v>
      </c>
      <c r="L3286" s="1">
        <f>0</f>
        <v>0</v>
      </c>
    </row>
    <row r="3287" spans="1:12" x14ac:dyDescent="0.25">
      <c r="A3287">
        <f>80713828*0.00001</f>
        <v>807.13828000000012</v>
      </c>
      <c r="B3287">
        <v>3509</v>
      </c>
      <c r="C3287">
        <v>62</v>
      </c>
      <c r="D3287">
        <v>244.22499999999999</v>
      </c>
      <c r="E3287">
        <v>5322</v>
      </c>
      <c r="F3287" s="1">
        <f>1615</f>
        <v>1615</v>
      </c>
      <c r="G3287" s="1">
        <f>1</f>
        <v>1</v>
      </c>
      <c r="H3287">
        <v>0.2</v>
      </c>
      <c r="I3287">
        <v>0</v>
      </c>
      <c r="J3287">
        <v>49.7956</v>
      </c>
      <c r="K3287">
        <v>526.053</v>
      </c>
      <c r="L3287">
        <v>0</v>
      </c>
    </row>
    <row r="3288" spans="1:12" x14ac:dyDescent="0.25">
      <c r="A3288">
        <f>80713964*0.00001</f>
        <v>807.1396400000001</v>
      </c>
      <c r="B3288">
        <v>3509</v>
      </c>
      <c r="C3288">
        <v>63</v>
      </c>
      <c r="D3288">
        <v>244.22499999999999</v>
      </c>
      <c r="E3288">
        <v>5322</v>
      </c>
      <c r="F3288">
        <v>1615</v>
      </c>
      <c r="G3288">
        <v>1</v>
      </c>
      <c r="H3288" s="1">
        <f>0.2</f>
        <v>0.2</v>
      </c>
      <c r="I3288" s="1">
        <f>0</f>
        <v>0</v>
      </c>
      <c r="J3288">
        <v>49.7956</v>
      </c>
      <c r="K3288">
        <v>526.053</v>
      </c>
      <c r="L3288">
        <v>0</v>
      </c>
    </row>
    <row r="3289" spans="1:12" x14ac:dyDescent="0.25">
      <c r="A3289">
        <f>80714100*0.00001</f>
        <v>807.14100000000008</v>
      </c>
      <c r="B3289">
        <v>3509</v>
      </c>
      <c r="C3289">
        <v>64</v>
      </c>
      <c r="D3289">
        <v>244.22499999999999</v>
      </c>
      <c r="E3289">
        <v>5322</v>
      </c>
      <c r="F3289">
        <v>1615</v>
      </c>
      <c r="G3289">
        <v>1</v>
      </c>
      <c r="H3289">
        <v>0.2</v>
      </c>
      <c r="I3289">
        <v>0</v>
      </c>
      <c r="J3289" s="1">
        <f>49.965</f>
        <v>49.965000000000003</v>
      </c>
      <c r="K3289" s="1">
        <f>526.107</f>
        <v>526.10699999999997</v>
      </c>
      <c r="L3289">
        <v>0</v>
      </c>
    </row>
    <row r="3290" spans="1:12" x14ac:dyDescent="0.25">
      <c r="A3290">
        <f>80714236*0.00001</f>
        <v>807.14236000000005</v>
      </c>
      <c r="B3290">
        <v>3509</v>
      </c>
      <c r="C3290">
        <v>65</v>
      </c>
      <c r="D3290" s="1">
        <f>244.229</f>
        <v>244.22900000000001</v>
      </c>
      <c r="E3290">
        <v>5322</v>
      </c>
      <c r="F3290">
        <v>1615</v>
      </c>
      <c r="G3290">
        <v>1</v>
      </c>
      <c r="H3290">
        <v>0.2</v>
      </c>
      <c r="I3290">
        <v>0</v>
      </c>
      <c r="J3290">
        <v>49.965000000000003</v>
      </c>
      <c r="K3290">
        <v>526.10699999999997</v>
      </c>
      <c r="L3290" s="1">
        <f>0</f>
        <v>0</v>
      </c>
    </row>
    <row r="3291" spans="1:12" x14ac:dyDescent="0.25">
      <c r="A3291">
        <f>80714372*0.00001</f>
        <v>807.14372000000003</v>
      </c>
      <c r="B3291">
        <v>3509</v>
      </c>
      <c r="C3291">
        <v>66</v>
      </c>
      <c r="D3291">
        <v>244.22900000000001</v>
      </c>
      <c r="E3291" s="1">
        <f>5323</f>
        <v>5323</v>
      </c>
      <c r="F3291" s="1">
        <f>1615</f>
        <v>1615</v>
      </c>
      <c r="G3291">
        <v>1</v>
      </c>
      <c r="H3291">
        <v>0.2</v>
      </c>
      <c r="I3291">
        <v>0</v>
      </c>
      <c r="J3291">
        <v>49.965000000000003</v>
      </c>
      <c r="K3291">
        <v>526.10699999999997</v>
      </c>
      <c r="L3291">
        <v>0</v>
      </c>
    </row>
    <row r="3292" spans="1:12" x14ac:dyDescent="0.25">
      <c r="A3292">
        <f>80714508*0.00001</f>
        <v>807.14508000000012</v>
      </c>
      <c r="B3292">
        <v>3509</v>
      </c>
      <c r="C3292">
        <v>67</v>
      </c>
      <c r="D3292">
        <v>244.22900000000001</v>
      </c>
      <c r="E3292">
        <v>5323</v>
      </c>
      <c r="F3292">
        <v>1615</v>
      </c>
      <c r="G3292" s="1">
        <f>1</f>
        <v>1</v>
      </c>
      <c r="H3292" s="1">
        <f>0.2</f>
        <v>0.2</v>
      </c>
      <c r="I3292">
        <v>0</v>
      </c>
      <c r="J3292">
        <v>49.965000000000003</v>
      </c>
      <c r="K3292">
        <v>526.10699999999997</v>
      </c>
      <c r="L3292">
        <v>0</v>
      </c>
    </row>
    <row r="3293" spans="1:12" x14ac:dyDescent="0.25">
      <c r="A3293">
        <f>80714644*0.00001</f>
        <v>807.1464400000001</v>
      </c>
      <c r="B3293">
        <v>3509</v>
      </c>
      <c r="C3293">
        <v>68</v>
      </c>
      <c r="D3293">
        <v>244.22900000000001</v>
      </c>
      <c r="E3293">
        <v>5323</v>
      </c>
      <c r="F3293">
        <v>1615</v>
      </c>
      <c r="G3293">
        <v>1</v>
      </c>
      <c r="H3293">
        <v>0.2</v>
      </c>
      <c r="I3293" s="1">
        <f>0</f>
        <v>0</v>
      </c>
      <c r="J3293" s="1">
        <f>50.0864</f>
        <v>50.086399999999998</v>
      </c>
      <c r="K3293">
        <v>526.10699999999997</v>
      </c>
      <c r="L3293">
        <v>0</v>
      </c>
    </row>
    <row r="3294" spans="1:12" x14ac:dyDescent="0.25">
      <c r="A3294">
        <f>80714780*0.00001</f>
        <v>807.14780000000007</v>
      </c>
      <c r="B3294">
        <v>3509</v>
      </c>
      <c r="C3294">
        <v>69</v>
      </c>
      <c r="D3294">
        <v>244.22900000000001</v>
      </c>
      <c r="E3294">
        <v>5323</v>
      </c>
      <c r="F3294">
        <v>1615</v>
      </c>
      <c r="G3294">
        <v>1</v>
      </c>
      <c r="H3294">
        <v>0.2</v>
      </c>
      <c r="I3294">
        <v>0</v>
      </c>
      <c r="J3294">
        <v>50.086399999999998</v>
      </c>
      <c r="K3294" s="1">
        <f>526.176</f>
        <v>526.17600000000004</v>
      </c>
      <c r="L3294" s="1">
        <f>0</f>
        <v>0</v>
      </c>
    </row>
    <row r="3295" spans="1:12" x14ac:dyDescent="0.25">
      <c r="A3295">
        <f>80714916*0.00001</f>
        <v>807.14916000000005</v>
      </c>
      <c r="B3295">
        <v>3509</v>
      </c>
      <c r="C3295">
        <v>70</v>
      </c>
      <c r="D3295">
        <v>244.22900000000001</v>
      </c>
      <c r="E3295" s="1">
        <f>5324</f>
        <v>5324</v>
      </c>
      <c r="F3295">
        <v>1615</v>
      </c>
      <c r="G3295">
        <v>1</v>
      </c>
      <c r="H3295">
        <v>0.2</v>
      </c>
      <c r="I3295">
        <v>0</v>
      </c>
      <c r="J3295">
        <v>50.086399999999998</v>
      </c>
      <c r="K3295">
        <v>526.17600000000004</v>
      </c>
      <c r="L3295">
        <v>0</v>
      </c>
    </row>
    <row r="3296" spans="1:12" x14ac:dyDescent="0.25">
      <c r="A3296">
        <f>80715052*0.00001</f>
        <v>807.15052000000003</v>
      </c>
      <c r="B3296">
        <v>3509</v>
      </c>
      <c r="C3296">
        <v>71</v>
      </c>
      <c r="D3296">
        <v>244.22900000000001</v>
      </c>
      <c r="E3296">
        <v>5324</v>
      </c>
      <c r="F3296">
        <v>1615</v>
      </c>
      <c r="G3296" s="1">
        <f>1</f>
        <v>1</v>
      </c>
      <c r="H3296">
        <v>0.2</v>
      </c>
      <c r="I3296">
        <v>0</v>
      </c>
      <c r="J3296">
        <v>50.086399999999998</v>
      </c>
      <c r="K3296">
        <v>526.17600000000004</v>
      </c>
      <c r="L3296">
        <v>0</v>
      </c>
    </row>
    <row r="3297" spans="1:12" x14ac:dyDescent="0.25">
      <c r="A3297">
        <f>80715188*0.00001</f>
        <v>807.15188000000012</v>
      </c>
      <c r="B3297">
        <v>3509</v>
      </c>
      <c r="C3297">
        <v>72</v>
      </c>
      <c r="D3297">
        <v>244.22900000000001</v>
      </c>
      <c r="E3297">
        <v>5324</v>
      </c>
      <c r="F3297">
        <v>1615</v>
      </c>
      <c r="G3297">
        <v>1</v>
      </c>
      <c r="H3297">
        <v>0.2</v>
      </c>
      <c r="I3297" s="1">
        <f>0</f>
        <v>0</v>
      </c>
      <c r="J3297">
        <v>50.086399999999998</v>
      </c>
      <c r="K3297">
        <v>526.17600000000004</v>
      </c>
      <c r="L3297">
        <v>0</v>
      </c>
    </row>
    <row r="3298" spans="1:12" x14ac:dyDescent="0.25">
      <c r="A3298">
        <f>80715324*0.00001</f>
        <v>807.1532400000001</v>
      </c>
      <c r="B3298">
        <v>3509</v>
      </c>
      <c r="C3298">
        <v>73</v>
      </c>
      <c r="D3298">
        <v>244.22900000000001</v>
      </c>
      <c r="E3298">
        <v>5324</v>
      </c>
      <c r="F3298">
        <v>1615</v>
      </c>
      <c r="G3298">
        <v>1</v>
      </c>
      <c r="H3298">
        <v>0.2</v>
      </c>
      <c r="I3298">
        <v>0</v>
      </c>
      <c r="J3298">
        <v>50.086399999999998</v>
      </c>
      <c r="K3298" s="1">
        <f>526.231</f>
        <v>526.23099999999999</v>
      </c>
      <c r="L3298">
        <v>0</v>
      </c>
    </row>
    <row r="3299" spans="1:12" x14ac:dyDescent="0.25">
      <c r="A3299">
        <f>80715460*0.00001</f>
        <v>807.15460000000007</v>
      </c>
      <c r="B3299">
        <v>3509</v>
      </c>
      <c r="C3299">
        <v>74</v>
      </c>
      <c r="D3299" s="1">
        <f>244.235</f>
        <v>244.23500000000001</v>
      </c>
      <c r="E3299">
        <v>5324</v>
      </c>
      <c r="F3299">
        <v>1615</v>
      </c>
      <c r="G3299">
        <v>1</v>
      </c>
      <c r="H3299">
        <v>0.2</v>
      </c>
      <c r="I3299">
        <v>0</v>
      </c>
      <c r="J3299">
        <v>50.086399999999998</v>
      </c>
      <c r="K3299">
        <v>526.23099999999999</v>
      </c>
      <c r="L3299">
        <v>0</v>
      </c>
    </row>
    <row r="3300" spans="1:12" x14ac:dyDescent="0.25">
      <c r="A3300">
        <f>80715596*0.00001</f>
        <v>807.15596000000005</v>
      </c>
      <c r="B3300">
        <v>3509</v>
      </c>
      <c r="C3300">
        <v>75</v>
      </c>
      <c r="D3300">
        <v>244.23500000000001</v>
      </c>
      <c r="E3300">
        <v>5324</v>
      </c>
      <c r="F3300" s="1">
        <f>1615</f>
        <v>1615</v>
      </c>
      <c r="G3300">
        <v>1</v>
      </c>
      <c r="H3300">
        <v>0.2</v>
      </c>
      <c r="I3300">
        <v>0</v>
      </c>
      <c r="J3300">
        <v>50.086399999999998</v>
      </c>
      <c r="K3300">
        <v>526.23099999999999</v>
      </c>
      <c r="L3300">
        <v>0</v>
      </c>
    </row>
    <row r="3301" spans="1:12" x14ac:dyDescent="0.25">
      <c r="A3301">
        <f>80715732*0.00001</f>
        <v>807.15732000000003</v>
      </c>
      <c r="B3301">
        <v>3509</v>
      </c>
      <c r="C3301">
        <v>76</v>
      </c>
      <c r="D3301">
        <v>244.23500000000001</v>
      </c>
      <c r="E3301">
        <v>5324</v>
      </c>
      <c r="F3301">
        <v>1615</v>
      </c>
      <c r="G3301">
        <v>1</v>
      </c>
      <c r="H3301" s="1">
        <f>0.2</f>
        <v>0.2</v>
      </c>
      <c r="I3301">
        <v>0</v>
      </c>
      <c r="J3301">
        <v>50.086399999999998</v>
      </c>
      <c r="K3301">
        <v>526.23099999999999</v>
      </c>
      <c r="L3301">
        <v>0</v>
      </c>
    </row>
    <row r="3302" spans="1:12" x14ac:dyDescent="0.25">
      <c r="A3302">
        <f>80715868*0.00001</f>
        <v>807.15868000000012</v>
      </c>
      <c r="B3302">
        <v>3509</v>
      </c>
      <c r="C3302">
        <v>77</v>
      </c>
      <c r="D3302" s="1">
        <f>244.239</f>
        <v>244.239</v>
      </c>
      <c r="E3302" s="1">
        <f>5328</f>
        <v>5328</v>
      </c>
      <c r="F3302" s="1">
        <f>1615</f>
        <v>1615</v>
      </c>
      <c r="G3302" s="1">
        <f>1</f>
        <v>1</v>
      </c>
      <c r="H3302" s="1">
        <f>0.2</f>
        <v>0.2</v>
      </c>
      <c r="I3302" s="1">
        <f>0</f>
        <v>0</v>
      </c>
      <c r="J3302" s="1">
        <f>50.5534</f>
        <v>50.553400000000003</v>
      </c>
      <c r="K3302" s="1">
        <f>526.354</f>
        <v>526.35400000000004</v>
      </c>
      <c r="L3302" s="1">
        <f>0</f>
        <v>0</v>
      </c>
    </row>
    <row r="3303" spans="1:12" x14ac:dyDescent="0.25">
      <c r="A3303">
        <f>80717092*0.00001</f>
        <v>807.17092000000002</v>
      </c>
      <c r="B3303">
        <v>3509</v>
      </c>
      <c r="C3303">
        <v>86</v>
      </c>
      <c r="D3303">
        <v>244.239</v>
      </c>
      <c r="E3303">
        <v>5328</v>
      </c>
      <c r="F3303">
        <v>1615</v>
      </c>
      <c r="G3303">
        <v>1</v>
      </c>
      <c r="H3303">
        <v>0.2</v>
      </c>
      <c r="I3303" s="1">
        <f>0</f>
        <v>0</v>
      </c>
      <c r="J3303" s="1">
        <f>50.6769</f>
        <v>50.676900000000003</v>
      </c>
      <c r="K3303">
        <v>526.35400000000004</v>
      </c>
      <c r="L3303">
        <v>0</v>
      </c>
    </row>
    <row r="3304" spans="1:12" x14ac:dyDescent="0.25">
      <c r="A3304">
        <f>80717228*0.00001</f>
        <v>807.17228000000011</v>
      </c>
      <c r="B3304">
        <v>3509</v>
      </c>
      <c r="C3304">
        <v>87</v>
      </c>
      <c r="D3304">
        <v>244.239</v>
      </c>
      <c r="E3304">
        <v>5328</v>
      </c>
      <c r="F3304">
        <v>1615</v>
      </c>
      <c r="G3304">
        <v>1</v>
      </c>
      <c r="H3304">
        <v>0.2</v>
      </c>
      <c r="I3304">
        <v>0</v>
      </c>
      <c r="J3304">
        <v>50.676900000000003</v>
      </c>
      <c r="K3304" s="1">
        <f>526.424</f>
        <v>526.42399999999998</v>
      </c>
      <c r="L3304" s="1">
        <f>0</f>
        <v>0</v>
      </c>
    </row>
    <row r="3305" spans="1:12" x14ac:dyDescent="0.25">
      <c r="A3305">
        <f>80717364*0.00001</f>
        <v>807.17364000000009</v>
      </c>
      <c r="B3305">
        <v>3509</v>
      </c>
      <c r="C3305">
        <v>88</v>
      </c>
      <c r="D3305" s="1">
        <f>244.268</f>
        <v>244.268</v>
      </c>
      <c r="E3305" s="1">
        <f>5328</f>
        <v>5328</v>
      </c>
      <c r="F3305">
        <v>1615</v>
      </c>
      <c r="G3305">
        <v>1</v>
      </c>
      <c r="H3305">
        <v>0.2</v>
      </c>
      <c r="I3305">
        <v>0</v>
      </c>
      <c r="J3305">
        <v>50.676900000000003</v>
      </c>
      <c r="K3305">
        <v>526.42399999999998</v>
      </c>
      <c r="L3305">
        <v>0</v>
      </c>
    </row>
    <row r="3306" spans="1:12" x14ac:dyDescent="0.25">
      <c r="A3306">
        <f>80717499*0.00001</f>
        <v>807.17499000000009</v>
      </c>
      <c r="B3306">
        <v>3509</v>
      </c>
      <c r="C3306">
        <v>89</v>
      </c>
      <c r="D3306">
        <v>244.268</v>
      </c>
      <c r="E3306">
        <v>5328</v>
      </c>
      <c r="F3306" s="1">
        <f>1615</f>
        <v>1615</v>
      </c>
      <c r="G3306" s="1">
        <f>1</f>
        <v>1</v>
      </c>
      <c r="H3306">
        <v>0.2</v>
      </c>
      <c r="I3306">
        <v>0</v>
      </c>
      <c r="J3306">
        <v>50.676900000000003</v>
      </c>
      <c r="K3306">
        <v>526.42399999999998</v>
      </c>
      <c r="L3306">
        <v>0</v>
      </c>
    </row>
    <row r="3307" spans="1:12" x14ac:dyDescent="0.25">
      <c r="A3307">
        <f>80717635*0.00001</f>
        <v>807.17635000000007</v>
      </c>
      <c r="B3307">
        <v>3509</v>
      </c>
      <c r="C3307">
        <v>90</v>
      </c>
      <c r="D3307">
        <v>244.268</v>
      </c>
      <c r="E3307">
        <v>5328</v>
      </c>
      <c r="F3307">
        <v>1615</v>
      </c>
      <c r="G3307">
        <v>1</v>
      </c>
      <c r="H3307" s="1">
        <f>0.2</f>
        <v>0.2</v>
      </c>
      <c r="I3307" s="1">
        <f>0</f>
        <v>0</v>
      </c>
      <c r="J3307">
        <v>50.676900000000003</v>
      </c>
      <c r="K3307">
        <v>526.42399999999998</v>
      </c>
      <c r="L3307">
        <v>0</v>
      </c>
    </row>
    <row r="3308" spans="1:12" x14ac:dyDescent="0.25">
      <c r="A3308">
        <f>80717771*0.00001</f>
        <v>807.17771000000005</v>
      </c>
      <c r="B3308">
        <v>3509</v>
      </c>
      <c r="C3308">
        <v>91</v>
      </c>
      <c r="D3308">
        <v>244.268</v>
      </c>
      <c r="E3308">
        <v>5328</v>
      </c>
      <c r="F3308">
        <v>1615</v>
      </c>
      <c r="G3308">
        <v>1</v>
      </c>
      <c r="H3308">
        <v>0.2</v>
      </c>
      <c r="I3308">
        <v>0</v>
      </c>
      <c r="J3308" s="1">
        <f>50.7768</f>
        <v>50.776800000000001</v>
      </c>
      <c r="K3308" s="1">
        <f>526.479</f>
        <v>526.47900000000004</v>
      </c>
      <c r="L3308">
        <v>0</v>
      </c>
    </row>
    <row r="3309" spans="1:12" x14ac:dyDescent="0.25">
      <c r="A3309">
        <f>80717906*0.00001</f>
        <v>807.17906000000005</v>
      </c>
      <c r="B3309">
        <v>3509</v>
      </c>
      <c r="C3309">
        <v>92</v>
      </c>
      <c r="D3309" s="1">
        <f>244.33</f>
        <v>244.33</v>
      </c>
      <c r="E3309">
        <v>5328</v>
      </c>
      <c r="F3309">
        <v>1615</v>
      </c>
      <c r="G3309">
        <v>1</v>
      </c>
      <c r="H3309">
        <v>0.2</v>
      </c>
      <c r="I3309">
        <v>0</v>
      </c>
      <c r="J3309">
        <v>50.776800000000001</v>
      </c>
      <c r="K3309">
        <v>526.47900000000004</v>
      </c>
      <c r="L3309" s="1">
        <f>0</f>
        <v>0</v>
      </c>
    </row>
    <row r="3310" spans="1:12" x14ac:dyDescent="0.25">
      <c r="A3310">
        <f>80718042*0.00001</f>
        <v>807.18042000000003</v>
      </c>
      <c r="B3310">
        <v>3509</v>
      </c>
      <c r="C3310">
        <v>93</v>
      </c>
      <c r="D3310">
        <v>244.33</v>
      </c>
      <c r="E3310" s="1">
        <f>5328</f>
        <v>5328</v>
      </c>
      <c r="F3310" s="1">
        <f>1615</f>
        <v>1615</v>
      </c>
      <c r="G3310">
        <v>1</v>
      </c>
      <c r="H3310">
        <v>0.2</v>
      </c>
      <c r="I3310">
        <v>0</v>
      </c>
      <c r="J3310">
        <v>50.776800000000001</v>
      </c>
      <c r="K3310">
        <v>526.47900000000004</v>
      </c>
      <c r="L3310">
        <v>0</v>
      </c>
    </row>
    <row r="3311" spans="1:12" x14ac:dyDescent="0.25">
      <c r="A3311">
        <f>80718178*0.00001</f>
        <v>807.18178000000012</v>
      </c>
      <c r="B3311">
        <v>3509</v>
      </c>
      <c r="C3311">
        <v>94</v>
      </c>
      <c r="D3311">
        <v>244.33</v>
      </c>
      <c r="E3311">
        <v>5328</v>
      </c>
      <c r="F3311">
        <v>1615</v>
      </c>
      <c r="G3311">
        <v>1</v>
      </c>
      <c r="H3311" s="1">
        <f>0.2</f>
        <v>0.2</v>
      </c>
      <c r="I3311">
        <v>0</v>
      </c>
      <c r="J3311">
        <v>50.776800000000001</v>
      </c>
      <c r="K3311">
        <v>526.47900000000004</v>
      </c>
      <c r="L3311">
        <v>0</v>
      </c>
    </row>
    <row r="3312" spans="1:12" x14ac:dyDescent="0.25">
      <c r="A3312">
        <f>80718313*0.00001</f>
        <v>807.18313000000012</v>
      </c>
      <c r="B3312">
        <v>3509</v>
      </c>
      <c r="C3312">
        <v>95</v>
      </c>
      <c r="D3312">
        <v>244.33</v>
      </c>
      <c r="E3312">
        <v>5328</v>
      </c>
      <c r="F3312">
        <v>1615</v>
      </c>
      <c r="G3312">
        <v>1</v>
      </c>
      <c r="H3312">
        <v>0.2</v>
      </c>
      <c r="I3312">
        <v>0</v>
      </c>
      <c r="J3312" s="1">
        <f>50.873</f>
        <v>50.872999999999998</v>
      </c>
      <c r="K3312">
        <v>526.47900000000004</v>
      </c>
      <c r="L3312">
        <v>0</v>
      </c>
    </row>
    <row r="3313" spans="1:12" x14ac:dyDescent="0.25">
      <c r="A3313">
        <f>80718449*0.00001</f>
        <v>807.1844900000001</v>
      </c>
      <c r="B3313">
        <v>3509</v>
      </c>
      <c r="C3313">
        <v>96</v>
      </c>
      <c r="D3313">
        <v>244.33</v>
      </c>
      <c r="E3313">
        <v>5328</v>
      </c>
      <c r="F3313">
        <v>1615</v>
      </c>
      <c r="G3313">
        <v>1</v>
      </c>
      <c r="H3313">
        <v>0.2</v>
      </c>
      <c r="I3313">
        <v>0</v>
      </c>
      <c r="J3313">
        <v>50.872999999999998</v>
      </c>
      <c r="K3313">
        <v>526.47900000000004</v>
      </c>
      <c r="L3313" s="1">
        <f>0</f>
        <v>0</v>
      </c>
    </row>
    <row r="3314" spans="1:12" x14ac:dyDescent="0.25">
      <c r="A3314">
        <f>80718585*0.00001</f>
        <v>807.18585000000007</v>
      </c>
      <c r="B3314">
        <v>3509</v>
      </c>
      <c r="C3314">
        <v>97</v>
      </c>
      <c r="D3314">
        <v>244.33</v>
      </c>
      <c r="E3314" s="1">
        <f>5327</f>
        <v>5327</v>
      </c>
      <c r="F3314">
        <v>1615</v>
      </c>
      <c r="G3314">
        <v>1</v>
      </c>
      <c r="H3314">
        <v>0.2</v>
      </c>
      <c r="I3314">
        <v>0</v>
      </c>
      <c r="J3314">
        <v>50.872999999999998</v>
      </c>
      <c r="K3314">
        <v>526.47900000000004</v>
      </c>
      <c r="L3314">
        <v>0</v>
      </c>
    </row>
    <row r="3315" spans="1:12" x14ac:dyDescent="0.25">
      <c r="A3315">
        <f>80718720*0.00001</f>
        <v>807.18720000000008</v>
      </c>
      <c r="B3315">
        <v>3509</v>
      </c>
      <c r="C3315">
        <v>98</v>
      </c>
      <c r="D3315">
        <v>244.33</v>
      </c>
      <c r="E3315">
        <v>5327</v>
      </c>
      <c r="F3315">
        <v>1615</v>
      </c>
      <c r="G3315" s="1">
        <f>1</f>
        <v>1</v>
      </c>
      <c r="H3315">
        <v>0.2</v>
      </c>
      <c r="I3315">
        <v>0</v>
      </c>
      <c r="J3315">
        <v>50.872999999999998</v>
      </c>
      <c r="K3315">
        <v>526.47900000000004</v>
      </c>
      <c r="L3315">
        <v>0</v>
      </c>
    </row>
    <row r="3316" spans="1:12" x14ac:dyDescent="0.25">
      <c r="A3316">
        <f>80718856*0.00001</f>
        <v>807.18856000000005</v>
      </c>
      <c r="B3316">
        <v>3509</v>
      </c>
      <c r="C3316">
        <v>99</v>
      </c>
      <c r="D3316">
        <v>244.33</v>
      </c>
      <c r="E3316">
        <v>5327</v>
      </c>
      <c r="F3316">
        <v>1615</v>
      </c>
      <c r="G3316">
        <v>1</v>
      </c>
      <c r="H3316">
        <v>0.2</v>
      </c>
      <c r="I3316" s="1">
        <f>0</f>
        <v>0</v>
      </c>
      <c r="J3316">
        <v>50.872999999999998</v>
      </c>
      <c r="K3316">
        <v>526.47900000000004</v>
      </c>
      <c r="L3316">
        <v>0</v>
      </c>
    </row>
    <row r="3317" spans="1:12" x14ac:dyDescent="0.25">
      <c r="A3317">
        <f>80718992*0.00001</f>
        <v>807.18992000000003</v>
      </c>
      <c r="B3317">
        <v>3509</v>
      </c>
      <c r="C3317">
        <v>100</v>
      </c>
      <c r="D3317">
        <v>244.33</v>
      </c>
      <c r="E3317">
        <v>5327</v>
      </c>
      <c r="F3317">
        <v>1615</v>
      </c>
      <c r="G3317">
        <v>1</v>
      </c>
      <c r="H3317">
        <v>0.2</v>
      </c>
      <c r="I3317">
        <v>0</v>
      </c>
      <c r="J3317">
        <v>50.872999999999998</v>
      </c>
      <c r="K3317" s="1">
        <f>526.604</f>
        <v>526.60400000000004</v>
      </c>
      <c r="L3317">
        <v>0</v>
      </c>
    </row>
    <row r="3318" spans="1:12" x14ac:dyDescent="0.25">
      <c r="A3318">
        <f>80719127*0.00001</f>
        <v>807.19127000000003</v>
      </c>
      <c r="B3318">
        <v>3509</v>
      </c>
      <c r="C3318">
        <v>101</v>
      </c>
      <c r="D3318" s="1">
        <f>244.497</f>
        <v>244.49700000000001</v>
      </c>
      <c r="E3318" s="1">
        <f>5328</f>
        <v>5328</v>
      </c>
      <c r="F3318" s="1">
        <f>1615</f>
        <v>1615</v>
      </c>
      <c r="G3318" s="1">
        <f>1</f>
        <v>1</v>
      </c>
      <c r="H3318" s="1">
        <f>0.2</f>
        <v>0.2</v>
      </c>
      <c r="I3318" s="1">
        <f>0</f>
        <v>0</v>
      </c>
      <c r="J3318" s="1">
        <f>51.1824</f>
        <v>51.182400000000001</v>
      </c>
      <c r="K3318" s="1">
        <f>526.729</f>
        <v>526.72900000000004</v>
      </c>
      <c r="L3318" s="1">
        <f>0</f>
        <v>0</v>
      </c>
    </row>
    <row r="3319" spans="1:12" x14ac:dyDescent="0.25">
      <c r="A3319">
        <f>80720620*0.00001</f>
        <v>807.20620000000008</v>
      </c>
      <c r="B3319">
        <v>3509</v>
      </c>
      <c r="C3319">
        <v>112</v>
      </c>
      <c r="D3319">
        <v>244.49700000000001</v>
      </c>
      <c r="E3319">
        <v>5328</v>
      </c>
      <c r="F3319">
        <v>1615</v>
      </c>
      <c r="G3319">
        <v>1</v>
      </c>
      <c r="H3319" s="1">
        <f>0.2</f>
        <v>0.2</v>
      </c>
      <c r="I3319" s="1">
        <f>0</f>
        <v>0</v>
      </c>
      <c r="J3319">
        <v>51.182400000000001</v>
      </c>
      <c r="K3319">
        <v>526.72900000000004</v>
      </c>
      <c r="L3319">
        <v>0</v>
      </c>
    </row>
    <row r="3320" spans="1:12" x14ac:dyDescent="0.25">
      <c r="A3320">
        <f>80720755*0.00001</f>
        <v>807.20755000000008</v>
      </c>
      <c r="B3320">
        <v>3509</v>
      </c>
      <c r="C3320">
        <v>113</v>
      </c>
      <c r="D3320">
        <v>244.49700000000001</v>
      </c>
      <c r="E3320">
        <v>5328</v>
      </c>
      <c r="F3320">
        <v>1615</v>
      </c>
      <c r="G3320">
        <v>1</v>
      </c>
      <c r="H3320">
        <v>0.2</v>
      </c>
      <c r="I3320">
        <v>0</v>
      </c>
      <c r="J3320" s="1">
        <f>51.3302</f>
        <v>51.330199999999998</v>
      </c>
      <c r="K3320" s="1">
        <f>526.785</f>
        <v>526.78499999999997</v>
      </c>
      <c r="L3320">
        <v>0</v>
      </c>
    </row>
    <row r="3321" spans="1:12" x14ac:dyDescent="0.25">
      <c r="A3321">
        <f>80720891*0.00001</f>
        <v>807.20891000000006</v>
      </c>
      <c r="B3321">
        <v>3509</v>
      </c>
      <c r="C3321">
        <v>114</v>
      </c>
      <c r="D3321" s="1">
        <f>244.517</f>
        <v>244.517</v>
      </c>
      <c r="E3321">
        <v>5328</v>
      </c>
      <c r="F3321">
        <v>1615</v>
      </c>
      <c r="G3321">
        <v>1</v>
      </c>
      <c r="H3321">
        <v>0.2</v>
      </c>
      <c r="I3321">
        <v>0</v>
      </c>
      <c r="J3321">
        <v>51.330199999999998</v>
      </c>
      <c r="K3321">
        <v>526.78499999999997</v>
      </c>
      <c r="L3321" s="1">
        <f>0</f>
        <v>0</v>
      </c>
    </row>
    <row r="3322" spans="1:12" x14ac:dyDescent="0.25">
      <c r="A3322">
        <f>80721027*0.00001</f>
        <v>807.21027000000004</v>
      </c>
      <c r="B3322">
        <v>3509</v>
      </c>
      <c r="C3322">
        <v>115</v>
      </c>
      <c r="D3322">
        <v>244.517</v>
      </c>
      <c r="E3322" s="1">
        <f>5328</f>
        <v>5328</v>
      </c>
      <c r="F3322" s="1">
        <f>1615</f>
        <v>1615</v>
      </c>
      <c r="G3322">
        <v>1</v>
      </c>
      <c r="H3322">
        <v>0.2</v>
      </c>
      <c r="I3322">
        <v>0</v>
      </c>
      <c r="J3322">
        <v>51.330199999999998</v>
      </c>
      <c r="K3322">
        <v>526.78499999999997</v>
      </c>
      <c r="L3322">
        <v>0</v>
      </c>
    </row>
    <row r="3323" spans="1:12" x14ac:dyDescent="0.25">
      <c r="A3323">
        <f>80721162*0.00001</f>
        <v>807.21162000000004</v>
      </c>
      <c r="B3323">
        <v>3509</v>
      </c>
      <c r="C3323">
        <v>116</v>
      </c>
      <c r="D3323">
        <v>244.517</v>
      </c>
      <c r="E3323">
        <v>5328</v>
      </c>
      <c r="F3323">
        <v>1615</v>
      </c>
      <c r="G3323" s="1">
        <f>1</f>
        <v>1</v>
      </c>
      <c r="H3323" s="1">
        <f>0.2</f>
        <v>0.2</v>
      </c>
      <c r="I3323">
        <v>0</v>
      </c>
      <c r="J3323">
        <v>51.330199999999998</v>
      </c>
      <c r="K3323">
        <v>526.78499999999997</v>
      </c>
      <c r="L3323">
        <v>0</v>
      </c>
    </row>
    <row r="3324" spans="1:12" x14ac:dyDescent="0.25">
      <c r="A3324">
        <f>80721298*0.00001</f>
        <v>807.21298000000002</v>
      </c>
      <c r="B3324">
        <v>3509</v>
      </c>
      <c r="C3324">
        <v>117</v>
      </c>
      <c r="D3324">
        <v>244.517</v>
      </c>
      <c r="E3324">
        <v>5328</v>
      </c>
      <c r="F3324">
        <v>1615</v>
      </c>
      <c r="G3324">
        <v>1</v>
      </c>
      <c r="H3324">
        <v>0.2</v>
      </c>
      <c r="I3324" s="1">
        <f>0</f>
        <v>0</v>
      </c>
      <c r="J3324" s="1">
        <f>51.4379</f>
        <v>51.437899999999999</v>
      </c>
      <c r="K3324">
        <v>526.78499999999997</v>
      </c>
      <c r="L3324">
        <v>0</v>
      </c>
    </row>
    <row r="3325" spans="1:12" x14ac:dyDescent="0.25">
      <c r="A3325">
        <f>80721434*0.00001</f>
        <v>807.21434000000011</v>
      </c>
      <c r="B3325">
        <v>3509</v>
      </c>
      <c r="C3325">
        <v>118</v>
      </c>
      <c r="D3325">
        <v>244.517</v>
      </c>
      <c r="E3325">
        <v>5328</v>
      </c>
      <c r="F3325">
        <v>1615</v>
      </c>
      <c r="G3325">
        <v>1</v>
      </c>
      <c r="H3325">
        <v>0.2</v>
      </c>
      <c r="I3325">
        <v>0</v>
      </c>
      <c r="J3325">
        <v>51.437899999999999</v>
      </c>
      <c r="K3325" s="1">
        <f>526.855</f>
        <v>526.85500000000002</v>
      </c>
      <c r="L3325" s="1">
        <f>0</f>
        <v>0</v>
      </c>
    </row>
    <row r="3326" spans="1:12" x14ac:dyDescent="0.25">
      <c r="A3326">
        <f>80721569*0.00001</f>
        <v>807.21569000000011</v>
      </c>
      <c r="B3326">
        <v>3509</v>
      </c>
      <c r="C3326">
        <v>119</v>
      </c>
      <c r="D3326" s="1">
        <f>244.537</f>
        <v>244.53700000000001</v>
      </c>
      <c r="E3326" s="1">
        <f>5329</f>
        <v>5329</v>
      </c>
      <c r="F3326">
        <v>1615</v>
      </c>
      <c r="G3326">
        <v>1</v>
      </c>
      <c r="H3326">
        <v>0.2</v>
      </c>
      <c r="I3326">
        <v>0</v>
      </c>
      <c r="J3326">
        <v>51.437899999999999</v>
      </c>
      <c r="K3326">
        <v>526.85500000000002</v>
      </c>
      <c r="L3326">
        <v>0</v>
      </c>
    </row>
    <row r="3327" spans="1:12" x14ac:dyDescent="0.25">
      <c r="A3327">
        <f>80721705*0.00001</f>
        <v>807.21705000000009</v>
      </c>
      <c r="B3327">
        <v>3509</v>
      </c>
      <c r="C3327">
        <v>120</v>
      </c>
      <c r="D3327">
        <v>244.53700000000001</v>
      </c>
      <c r="E3327">
        <v>5329</v>
      </c>
      <c r="F3327">
        <v>1615</v>
      </c>
      <c r="G3327" s="1">
        <f>1</f>
        <v>1</v>
      </c>
      <c r="H3327">
        <v>0.2</v>
      </c>
      <c r="I3327">
        <v>0</v>
      </c>
      <c r="J3327">
        <v>51.437899999999999</v>
      </c>
      <c r="K3327">
        <v>526.85500000000002</v>
      </c>
      <c r="L3327">
        <v>0</v>
      </c>
    </row>
    <row r="3328" spans="1:12" x14ac:dyDescent="0.25">
      <c r="A3328">
        <f>80721841*0.00001</f>
        <v>807.21841000000006</v>
      </c>
      <c r="B3328">
        <v>3509</v>
      </c>
      <c r="C3328">
        <v>121</v>
      </c>
      <c r="D3328">
        <v>244.53700000000001</v>
      </c>
      <c r="E3328">
        <v>5329</v>
      </c>
      <c r="F3328">
        <v>1615</v>
      </c>
      <c r="G3328">
        <v>1</v>
      </c>
      <c r="H3328">
        <v>0.2</v>
      </c>
      <c r="I3328" s="1">
        <f>0</f>
        <v>0</v>
      </c>
      <c r="J3328">
        <v>51.437899999999999</v>
      </c>
      <c r="K3328">
        <v>526.85500000000002</v>
      </c>
      <c r="L3328">
        <v>0</v>
      </c>
    </row>
    <row r="3329" spans="1:12" x14ac:dyDescent="0.25">
      <c r="A3329">
        <f>80721976*0.00001</f>
        <v>807.21976000000006</v>
      </c>
      <c r="B3329">
        <v>3509</v>
      </c>
      <c r="C3329">
        <v>122</v>
      </c>
      <c r="D3329">
        <v>244.53700000000001</v>
      </c>
      <c r="E3329">
        <v>5329</v>
      </c>
      <c r="F3329">
        <v>1615</v>
      </c>
      <c r="G3329">
        <v>1</v>
      </c>
      <c r="H3329">
        <v>0.2</v>
      </c>
      <c r="I3329">
        <v>0</v>
      </c>
      <c r="J3329">
        <v>51.437899999999999</v>
      </c>
      <c r="K3329" s="1">
        <f>526.911</f>
        <v>526.91099999999994</v>
      </c>
      <c r="L3329">
        <v>0</v>
      </c>
    </row>
    <row r="3330" spans="1:12" x14ac:dyDescent="0.25">
      <c r="A3330">
        <f>80722112*0.00001</f>
        <v>807.22112000000004</v>
      </c>
      <c r="B3330">
        <v>3509</v>
      </c>
      <c r="C3330">
        <v>123</v>
      </c>
      <c r="D3330" s="1">
        <f>244.549</f>
        <v>244.54900000000001</v>
      </c>
      <c r="E3330">
        <v>5329</v>
      </c>
      <c r="F3330">
        <v>1615</v>
      </c>
      <c r="G3330">
        <v>1</v>
      </c>
      <c r="H3330">
        <v>0.2</v>
      </c>
      <c r="I3330">
        <v>0</v>
      </c>
      <c r="J3330">
        <v>51.437899999999999</v>
      </c>
      <c r="K3330">
        <v>526.91099999999994</v>
      </c>
      <c r="L3330">
        <v>0</v>
      </c>
    </row>
    <row r="3331" spans="1:12" x14ac:dyDescent="0.25">
      <c r="A3331">
        <f>80722248*0.00001</f>
        <v>807.22248000000002</v>
      </c>
      <c r="B3331">
        <v>3509</v>
      </c>
      <c r="C3331">
        <v>124</v>
      </c>
      <c r="D3331">
        <v>244.54900000000001</v>
      </c>
      <c r="E3331">
        <v>5329</v>
      </c>
      <c r="F3331" s="1">
        <f>1615</f>
        <v>1615</v>
      </c>
      <c r="G3331">
        <v>1</v>
      </c>
      <c r="H3331">
        <v>0.2</v>
      </c>
      <c r="I3331">
        <v>0</v>
      </c>
      <c r="J3331">
        <v>51.437899999999999</v>
      </c>
      <c r="K3331">
        <v>526.91099999999994</v>
      </c>
      <c r="L3331">
        <v>0</v>
      </c>
    </row>
    <row r="3332" spans="1:12" x14ac:dyDescent="0.25">
      <c r="A3332">
        <f>80722383*0.00001</f>
        <v>807.22383000000002</v>
      </c>
      <c r="B3332">
        <v>3509</v>
      </c>
      <c r="C3332">
        <v>125</v>
      </c>
      <c r="D3332">
        <v>244.54900000000001</v>
      </c>
      <c r="E3332">
        <v>5329</v>
      </c>
      <c r="F3332">
        <v>1615</v>
      </c>
      <c r="G3332">
        <v>1</v>
      </c>
      <c r="H3332" s="1">
        <f>0.2</f>
        <v>0.2</v>
      </c>
      <c r="I3332">
        <v>0</v>
      </c>
      <c r="J3332">
        <v>51.437899999999999</v>
      </c>
      <c r="K3332">
        <v>526.91099999999994</v>
      </c>
      <c r="L3332">
        <v>0</v>
      </c>
    </row>
    <row r="3333" spans="1:12" x14ac:dyDescent="0.25">
      <c r="A3333">
        <f>80722519*0.00001</f>
        <v>807.22519000000011</v>
      </c>
      <c r="B3333">
        <v>3509</v>
      </c>
      <c r="C3333">
        <v>126</v>
      </c>
      <c r="D3333">
        <v>244.54900000000001</v>
      </c>
      <c r="E3333">
        <v>5329</v>
      </c>
      <c r="F3333">
        <v>1615</v>
      </c>
      <c r="G3333">
        <v>1</v>
      </c>
      <c r="H3333">
        <v>0.2</v>
      </c>
      <c r="I3333">
        <v>0</v>
      </c>
      <c r="J3333" s="1">
        <f>51.7349</f>
        <v>51.734900000000003</v>
      </c>
      <c r="K3333">
        <v>526.91099999999994</v>
      </c>
      <c r="L3333">
        <v>0</v>
      </c>
    </row>
    <row r="3334" spans="1:12" x14ac:dyDescent="0.25">
      <c r="A3334">
        <f>80722655*0.00001</f>
        <v>807.22655000000009</v>
      </c>
      <c r="B3334">
        <v>3509</v>
      </c>
      <c r="C3334">
        <v>127</v>
      </c>
      <c r="D3334" s="1">
        <f>244.577</f>
        <v>244.577</v>
      </c>
      <c r="E3334" s="1">
        <f>5332</f>
        <v>5332</v>
      </c>
      <c r="F3334" s="1">
        <f>1615</f>
        <v>1615</v>
      </c>
      <c r="G3334" s="1">
        <f>1</f>
        <v>1</v>
      </c>
      <c r="H3334" s="1">
        <f>0.2</f>
        <v>0.2</v>
      </c>
      <c r="I3334" s="1">
        <f>0</f>
        <v>0</v>
      </c>
      <c r="J3334" s="1">
        <f>52.0242</f>
        <v>52.0242</v>
      </c>
      <c r="K3334" s="1">
        <f>527.095</f>
        <v>527.09500000000003</v>
      </c>
      <c r="L3334" s="1">
        <f>0</f>
        <v>0</v>
      </c>
    </row>
    <row r="3335" spans="1:12" x14ac:dyDescent="0.25">
      <c r="A3335">
        <f>80724012*0.00001</f>
        <v>807.24012000000005</v>
      </c>
      <c r="B3335">
        <v>3509</v>
      </c>
      <c r="C3335">
        <v>137</v>
      </c>
      <c r="D3335">
        <v>244.577</v>
      </c>
      <c r="E3335" s="1">
        <f>5333</f>
        <v>5333</v>
      </c>
      <c r="F3335" s="1">
        <f>1615</f>
        <v>1615</v>
      </c>
      <c r="G3335">
        <v>1</v>
      </c>
      <c r="H3335">
        <v>0.2</v>
      </c>
      <c r="I3335">
        <v>0</v>
      </c>
      <c r="J3335">
        <v>52.0242</v>
      </c>
      <c r="K3335">
        <v>527.09500000000003</v>
      </c>
      <c r="L3335">
        <v>0</v>
      </c>
    </row>
    <row r="3336" spans="1:12" x14ac:dyDescent="0.25">
      <c r="A3336">
        <f>80724148*0.00001</f>
        <v>807.24148000000002</v>
      </c>
      <c r="B3336">
        <v>3509</v>
      </c>
      <c r="C3336">
        <v>138</v>
      </c>
      <c r="D3336">
        <v>244.577</v>
      </c>
      <c r="E3336">
        <v>5333</v>
      </c>
      <c r="F3336">
        <v>1615</v>
      </c>
      <c r="G3336" s="1">
        <f>1</f>
        <v>1</v>
      </c>
      <c r="H3336" s="1">
        <f>0.2</f>
        <v>0.2</v>
      </c>
      <c r="I3336">
        <v>0</v>
      </c>
      <c r="J3336">
        <v>52.0242</v>
      </c>
      <c r="K3336">
        <v>527.09500000000003</v>
      </c>
      <c r="L3336">
        <v>0</v>
      </c>
    </row>
    <row r="3337" spans="1:12" x14ac:dyDescent="0.25">
      <c r="A3337">
        <f>80724284*0.00001</f>
        <v>807.24284000000011</v>
      </c>
      <c r="B3337">
        <v>3509</v>
      </c>
      <c r="C3337">
        <v>139</v>
      </c>
      <c r="D3337">
        <v>244.577</v>
      </c>
      <c r="E3337">
        <v>5333</v>
      </c>
      <c r="F3337">
        <v>1615</v>
      </c>
      <c r="G3337">
        <v>1</v>
      </c>
      <c r="H3337">
        <v>0.2</v>
      </c>
      <c r="I3337" s="1">
        <f>0</f>
        <v>0</v>
      </c>
      <c r="J3337" s="1">
        <f>52.1363</f>
        <v>52.136299999999999</v>
      </c>
      <c r="K3337">
        <v>527.09500000000003</v>
      </c>
      <c r="L3337">
        <v>0</v>
      </c>
    </row>
    <row r="3338" spans="1:12" x14ac:dyDescent="0.25">
      <c r="A3338">
        <f>80724419*0.00001</f>
        <v>807.24419000000012</v>
      </c>
      <c r="B3338">
        <v>3509</v>
      </c>
      <c r="C3338">
        <v>140</v>
      </c>
      <c r="D3338">
        <v>244.577</v>
      </c>
      <c r="E3338">
        <v>5333</v>
      </c>
      <c r="F3338">
        <v>1615</v>
      </c>
      <c r="G3338">
        <v>1</v>
      </c>
      <c r="H3338">
        <v>0.2</v>
      </c>
      <c r="I3338">
        <v>0</v>
      </c>
      <c r="J3338">
        <v>52.136299999999999</v>
      </c>
      <c r="K3338" s="1">
        <f>527.166</f>
        <v>527.16600000000005</v>
      </c>
      <c r="L3338" s="1">
        <f>0</f>
        <v>0</v>
      </c>
    </row>
    <row r="3339" spans="1:12" x14ac:dyDescent="0.25">
      <c r="A3339">
        <f>80724555*0.00001</f>
        <v>807.24555000000009</v>
      </c>
      <c r="B3339">
        <v>3509</v>
      </c>
      <c r="C3339">
        <v>141</v>
      </c>
      <c r="D3339" s="1">
        <f>244.583</f>
        <v>244.583</v>
      </c>
      <c r="E3339" s="1">
        <f>5334</f>
        <v>5334</v>
      </c>
      <c r="F3339">
        <v>1615</v>
      </c>
      <c r="G3339">
        <v>1</v>
      </c>
      <c r="H3339">
        <v>0.2</v>
      </c>
      <c r="I3339">
        <v>0</v>
      </c>
      <c r="J3339">
        <v>52.136299999999999</v>
      </c>
      <c r="K3339">
        <v>527.16600000000005</v>
      </c>
      <c r="L3339">
        <v>0</v>
      </c>
    </row>
    <row r="3340" spans="1:12" x14ac:dyDescent="0.25">
      <c r="A3340">
        <f>80724691*0.00001</f>
        <v>807.24691000000007</v>
      </c>
      <c r="B3340">
        <v>3509</v>
      </c>
      <c r="C3340">
        <v>142</v>
      </c>
      <c r="D3340">
        <v>244.583</v>
      </c>
      <c r="E3340">
        <v>5334</v>
      </c>
      <c r="F3340" s="1">
        <f>1615</f>
        <v>1615</v>
      </c>
      <c r="G3340" s="1">
        <f>1</f>
        <v>1</v>
      </c>
      <c r="H3340">
        <v>0.2</v>
      </c>
      <c r="I3340">
        <v>0</v>
      </c>
      <c r="J3340">
        <v>52.136299999999999</v>
      </c>
      <c r="K3340">
        <v>527.16600000000005</v>
      </c>
      <c r="L3340">
        <v>0</v>
      </c>
    </row>
    <row r="3341" spans="1:12" x14ac:dyDescent="0.25">
      <c r="A3341">
        <f>80724827*0.00001</f>
        <v>807.24827000000005</v>
      </c>
      <c r="B3341">
        <v>3509</v>
      </c>
      <c r="C3341">
        <v>143</v>
      </c>
      <c r="D3341">
        <v>244.583</v>
      </c>
      <c r="E3341">
        <v>5334</v>
      </c>
      <c r="F3341">
        <v>1615</v>
      </c>
      <c r="G3341">
        <v>1</v>
      </c>
      <c r="H3341" s="1">
        <f>0.2</f>
        <v>0.2</v>
      </c>
      <c r="I3341" s="1">
        <f>0</f>
        <v>0</v>
      </c>
      <c r="J3341">
        <v>52.136299999999999</v>
      </c>
      <c r="K3341">
        <v>527.16600000000005</v>
      </c>
      <c r="L3341">
        <v>0</v>
      </c>
    </row>
    <row r="3342" spans="1:12" x14ac:dyDescent="0.25">
      <c r="A3342">
        <f>80724963*0.00001</f>
        <v>807.24963000000002</v>
      </c>
      <c r="B3342">
        <v>3509</v>
      </c>
      <c r="C3342">
        <v>144</v>
      </c>
      <c r="D3342">
        <v>244.583</v>
      </c>
      <c r="E3342">
        <v>5334</v>
      </c>
      <c r="F3342">
        <v>1615</v>
      </c>
      <c r="G3342">
        <v>1</v>
      </c>
      <c r="H3342">
        <v>0.2</v>
      </c>
      <c r="I3342">
        <v>0</v>
      </c>
      <c r="J3342" s="1">
        <f>52.3057</f>
        <v>52.305700000000002</v>
      </c>
      <c r="K3342" s="1">
        <f>527.223</f>
        <v>527.22299999999996</v>
      </c>
      <c r="L3342">
        <v>0</v>
      </c>
    </row>
    <row r="3343" spans="1:12" x14ac:dyDescent="0.25">
      <c r="A3343">
        <f>80725099*0.00001</f>
        <v>807.25099000000012</v>
      </c>
      <c r="B3343">
        <v>3509</v>
      </c>
      <c r="C3343">
        <v>145</v>
      </c>
      <c r="D3343" s="1">
        <f>244.587</f>
        <v>244.58699999999999</v>
      </c>
      <c r="E3343">
        <v>5334</v>
      </c>
      <c r="F3343">
        <v>1615</v>
      </c>
      <c r="G3343">
        <v>1</v>
      </c>
      <c r="H3343">
        <v>0.2</v>
      </c>
      <c r="I3343">
        <v>0</v>
      </c>
      <c r="J3343">
        <v>52.305700000000002</v>
      </c>
      <c r="K3343">
        <v>527.22299999999996</v>
      </c>
      <c r="L3343" s="1">
        <f>0</f>
        <v>0</v>
      </c>
    </row>
    <row r="3344" spans="1:12" x14ac:dyDescent="0.25">
      <c r="A3344">
        <f>80725235*0.00001</f>
        <v>807.25235000000009</v>
      </c>
      <c r="B3344">
        <v>3509</v>
      </c>
      <c r="C3344">
        <v>146</v>
      </c>
      <c r="D3344">
        <v>244.58699999999999</v>
      </c>
      <c r="E3344">
        <v>5334</v>
      </c>
      <c r="F3344" s="1">
        <f>1615</f>
        <v>1615</v>
      </c>
      <c r="G3344">
        <v>1</v>
      </c>
      <c r="H3344">
        <v>0.2</v>
      </c>
      <c r="I3344">
        <v>0</v>
      </c>
      <c r="J3344">
        <v>52.305700000000002</v>
      </c>
      <c r="K3344">
        <v>527.22299999999996</v>
      </c>
      <c r="L3344">
        <v>0</v>
      </c>
    </row>
    <row r="3345" spans="1:12" x14ac:dyDescent="0.25">
      <c r="A3345">
        <f>80725371*0.00001</f>
        <v>807.25371000000007</v>
      </c>
      <c r="B3345">
        <v>3509</v>
      </c>
      <c r="C3345">
        <v>147</v>
      </c>
      <c r="D3345">
        <v>244.58699999999999</v>
      </c>
      <c r="E3345">
        <v>5334</v>
      </c>
      <c r="F3345">
        <v>1615</v>
      </c>
      <c r="G3345">
        <v>1</v>
      </c>
      <c r="H3345" s="1">
        <f>0.2</f>
        <v>0.2</v>
      </c>
      <c r="I3345">
        <v>0</v>
      </c>
      <c r="J3345">
        <v>52.305700000000002</v>
      </c>
      <c r="K3345">
        <v>527.22299999999996</v>
      </c>
      <c r="L3345">
        <v>0</v>
      </c>
    </row>
    <row r="3346" spans="1:12" x14ac:dyDescent="0.25">
      <c r="A3346">
        <f>80725507*0.00001</f>
        <v>807.25507000000005</v>
      </c>
      <c r="B3346">
        <v>3509</v>
      </c>
      <c r="C3346">
        <v>148</v>
      </c>
      <c r="D3346">
        <v>244.58699999999999</v>
      </c>
      <c r="E3346">
        <v>5334</v>
      </c>
      <c r="F3346">
        <v>1615</v>
      </c>
      <c r="G3346">
        <v>1</v>
      </c>
      <c r="H3346">
        <v>0.2</v>
      </c>
      <c r="I3346">
        <v>0</v>
      </c>
      <c r="J3346" s="1">
        <f>52.4522</f>
        <v>52.452199999999998</v>
      </c>
      <c r="K3346">
        <v>527.22299999999996</v>
      </c>
      <c r="L3346">
        <v>0</v>
      </c>
    </row>
    <row r="3347" spans="1:12" x14ac:dyDescent="0.25">
      <c r="A3347">
        <f>80725643*0.00001</f>
        <v>807.25643000000002</v>
      </c>
      <c r="B3347">
        <v>3509</v>
      </c>
      <c r="C3347">
        <v>149</v>
      </c>
      <c r="D3347">
        <v>244.58699999999999</v>
      </c>
      <c r="E3347">
        <v>5334</v>
      </c>
      <c r="F3347">
        <v>1615</v>
      </c>
      <c r="G3347">
        <v>1</v>
      </c>
      <c r="H3347">
        <v>0.2</v>
      </c>
      <c r="I3347">
        <v>0</v>
      </c>
      <c r="J3347">
        <v>52.452199999999998</v>
      </c>
      <c r="K3347">
        <v>527.22299999999996</v>
      </c>
      <c r="L3347" s="1">
        <f>0</f>
        <v>0</v>
      </c>
    </row>
    <row r="3348" spans="1:12" x14ac:dyDescent="0.25">
      <c r="A3348">
        <f>80725779*0.00001</f>
        <v>807.25779000000011</v>
      </c>
      <c r="B3348">
        <v>3509</v>
      </c>
      <c r="C3348">
        <v>150</v>
      </c>
      <c r="D3348">
        <v>244.58699999999999</v>
      </c>
      <c r="E3348" s="1">
        <f>5336</f>
        <v>5336</v>
      </c>
      <c r="F3348">
        <v>1615</v>
      </c>
      <c r="G3348">
        <v>1</v>
      </c>
      <c r="H3348">
        <v>0.2</v>
      </c>
      <c r="I3348">
        <v>0</v>
      </c>
      <c r="J3348">
        <v>52.452199999999998</v>
      </c>
      <c r="K3348">
        <v>527.22299999999996</v>
      </c>
      <c r="L3348">
        <v>0</v>
      </c>
    </row>
    <row r="3349" spans="1:12" x14ac:dyDescent="0.25">
      <c r="A3349">
        <f>80725915*0.00001</f>
        <v>807.25915000000009</v>
      </c>
      <c r="B3349">
        <v>3509</v>
      </c>
      <c r="C3349">
        <v>151</v>
      </c>
      <c r="D3349">
        <v>244.58699999999999</v>
      </c>
      <c r="E3349">
        <v>5336</v>
      </c>
      <c r="F3349">
        <v>1615</v>
      </c>
      <c r="G3349" s="1">
        <f>1</f>
        <v>1</v>
      </c>
      <c r="H3349">
        <v>0.2</v>
      </c>
      <c r="I3349">
        <v>0</v>
      </c>
      <c r="J3349">
        <v>52.452199999999998</v>
      </c>
      <c r="K3349">
        <v>527.22299999999996</v>
      </c>
      <c r="L3349">
        <v>0</v>
      </c>
    </row>
    <row r="3350" spans="1:12" x14ac:dyDescent="0.25">
      <c r="A3350">
        <f>80726051*0.00001</f>
        <v>807.26051000000007</v>
      </c>
      <c r="B3350">
        <v>3509</v>
      </c>
      <c r="C3350">
        <v>152</v>
      </c>
      <c r="D3350">
        <v>244.58699999999999</v>
      </c>
      <c r="E3350">
        <v>5336</v>
      </c>
      <c r="F3350">
        <v>1615</v>
      </c>
      <c r="G3350">
        <v>1</v>
      </c>
      <c r="H3350">
        <v>0.2</v>
      </c>
      <c r="I3350" s="1">
        <f>0</f>
        <v>0</v>
      </c>
      <c r="J3350">
        <v>52.452199999999998</v>
      </c>
      <c r="K3350">
        <v>527.22299999999996</v>
      </c>
      <c r="L3350">
        <v>0</v>
      </c>
    </row>
    <row r="3351" spans="1:12" x14ac:dyDescent="0.25">
      <c r="A3351">
        <f>80726187*0.00001</f>
        <v>807.26187000000004</v>
      </c>
      <c r="B3351">
        <v>3509</v>
      </c>
      <c r="C3351">
        <v>153</v>
      </c>
      <c r="D3351" s="1">
        <f>244.599</f>
        <v>244.59899999999999</v>
      </c>
      <c r="E3351" s="1">
        <f>5340</f>
        <v>5340</v>
      </c>
      <c r="F3351" s="1">
        <f>1616</f>
        <v>1616</v>
      </c>
      <c r="G3351" s="1">
        <f>1</f>
        <v>1</v>
      </c>
      <c r="H3351" s="1">
        <f>0.2</f>
        <v>0.2</v>
      </c>
      <c r="I3351" s="1">
        <f>0</f>
        <v>0</v>
      </c>
      <c r="J3351" s="1">
        <f>52.8943</f>
        <v>52.894300000000001</v>
      </c>
      <c r="K3351" s="1">
        <f>527.481</f>
        <v>527.48099999999999</v>
      </c>
      <c r="L3351" s="1">
        <f>0</f>
        <v>0</v>
      </c>
    </row>
    <row r="3352" spans="1:12" x14ac:dyDescent="0.25">
      <c r="A3352">
        <f>80727681*0.00001</f>
        <v>807.27681000000007</v>
      </c>
      <c r="B3352">
        <v>3509</v>
      </c>
      <c r="C3352">
        <v>164</v>
      </c>
      <c r="D3352">
        <v>244.59899999999999</v>
      </c>
      <c r="E3352">
        <v>5340</v>
      </c>
      <c r="F3352" s="1">
        <f>1616</f>
        <v>1616</v>
      </c>
      <c r="G3352" s="1">
        <f>1</f>
        <v>1</v>
      </c>
      <c r="H3352">
        <v>0.2</v>
      </c>
      <c r="I3352">
        <v>0</v>
      </c>
      <c r="J3352">
        <v>52.894300000000001</v>
      </c>
      <c r="K3352">
        <v>527.48099999999999</v>
      </c>
      <c r="L3352">
        <v>0</v>
      </c>
    </row>
    <row r="3353" spans="1:12" x14ac:dyDescent="0.25">
      <c r="A3353">
        <f>80727817*0.00001</f>
        <v>807.27817000000005</v>
      </c>
      <c r="B3353">
        <v>3509</v>
      </c>
      <c r="C3353">
        <v>165</v>
      </c>
      <c r="D3353">
        <v>244.59899999999999</v>
      </c>
      <c r="E3353">
        <v>5340</v>
      </c>
      <c r="F3353">
        <v>1616</v>
      </c>
      <c r="G3353">
        <v>1</v>
      </c>
      <c r="H3353" s="1">
        <f>0.2</f>
        <v>0.2</v>
      </c>
      <c r="I3353" s="1">
        <f>0</f>
        <v>0</v>
      </c>
      <c r="J3353">
        <v>52.894300000000001</v>
      </c>
      <c r="K3353">
        <v>527.48099999999999</v>
      </c>
      <c r="L3353">
        <v>0</v>
      </c>
    </row>
    <row r="3354" spans="1:12" x14ac:dyDescent="0.25">
      <c r="A3354">
        <f>80727953*0.00001</f>
        <v>807.27953000000002</v>
      </c>
      <c r="B3354">
        <v>3509</v>
      </c>
      <c r="C3354">
        <v>166</v>
      </c>
      <c r="D3354">
        <v>244.59899999999999</v>
      </c>
      <c r="E3354">
        <v>5340</v>
      </c>
      <c r="F3354">
        <v>1616</v>
      </c>
      <c r="G3354">
        <v>1</v>
      </c>
      <c r="H3354">
        <v>0.2</v>
      </c>
      <c r="I3354">
        <v>0</v>
      </c>
      <c r="J3354" s="1">
        <f>53.0418</f>
        <v>53.041800000000002</v>
      </c>
      <c r="K3354" s="1">
        <f>527.539</f>
        <v>527.53899999999999</v>
      </c>
      <c r="L3354">
        <v>0</v>
      </c>
    </row>
    <row r="3355" spans="1:12" x14ac:dyDescent="0.25">
      <c r="A3355">
        <f>80728089*0.00001</f>
        <v>807.28089000000011</v>
      </c>
      <c r="B3355">
        <v>3509</v>
      </c>
      <c r="C3355">
        <v>167</v>
      </c>
      <c r="D3355" s="1">
        <f>244.6</f>
        <v>244.6</v>
      </c>
      <c r="E3355">
        <v>5340</v>
      </c>
      <c r="F3355">
        <v>1616</v>
      </c>
      <c r="G3355">
        <v>1</v>
      </c>
      <c r="H3355">
        <v>0.2</v>
      </c>
      <c r="I3355">
        <v>0</v>
      </c>
      <c r="J3355">
        <v>53.041800000000002</v>
      </c>
      <c r="K3355">
        <v>527.53899999999999</v>
      </c>
      <c r="L3355" s="1">
        <f>0</f>
        <v>0</v>
      </c>
    </row>
    <row r="3356" spans="1:12" x14ac:dyDescent="0.25">
      <c r="A3356">
        <f>80728225*0.00001</f>
        <v>807.28225000000009</v>
      </c>
      <c r="B3356">
        <v>3509</v>
      </c>
      <c r="C3356">
        <v>168</v>
      </c>
      <c r="D3356">
        <v>244.6</v>
      </c>
      <c r="E3356" s="1">
        <f>5341</f>
        <v>5341</v>
      </c>
      <c r="F3356" s="1">
        <f>1616</f>
        <v>1616</v>
      </c>
      <c r="G3356">
        <v>1</v>
      </c>
      <c r="H3356">
        <v>0.2</v>
      </c>
      <c r="I3356">
        <v>0</v>
      </c>
      <c r="J3356">
        <v>53.041800000000002</v>
      </c>
      <c r="K3356">
        <v>527.53899999999999</v>
      </c>
      <c r="L3356">
        <v>0</v>
      </c>
    </row>
    <row r="3357" spans="1:12" x14ac:dyDescent="0.25">
      <c r="A3357">
        <f>80728361*0.00001</f>
        <v>807.28361000000007</v>
      </c>
      <c r="B3357">
        <v>3509</v>
      </c>
      <c r="C3357">
        <v>169</v>
      </c>
      <c r="D3357">
        <v>244.6</v>
      </c>
      <c r="E3357">
        <v>5341</v>
      </c>
      <c r="F3357">
        <v>1616</v>
      </c>
      <c r="G3357" s="1">
        <f>1</f>
        <v>1</v>
      </c>
      <c r="H3357" s="1">
        <f>0.2</f>
        <v>0.2</v>
      </c>
      <c r="I3357">
        <v>0</v>
      </c>
      <c r="J3357">
        <v>53.041800000000002</v>
      </c>
      <c r="K3357">
        <v>527.53899999999999</v>
      </c>
      <c r="L3357">
        <v>0</v>
      </c>
    </row>
    <row r="3358" spans="1:12" x14ac:dyDescent="0.25">
      <c r="A3358">
        <f>80728497*0.00001</f>
        <v>807.28497000000004</v>
      </c>
      <c r="B3358">
        <v>3509</v>
      </c>
      <c r="C3358">
        <v>170</v>
      </c>
      <c r="D3358">
        <v>244.6</v>
      </c>
      <c r="E3358">
        <v>5341</v>
      </c>
      <c r="F3358">
        <v>1616</v>
      </c>
      <c r="G3358">
        <v>1</v>
      </c>
      <c r="H3358">
        <v>0.2</v>
      </c>
      <c r="I3358" s="1">
        <f>0</f>
        <v>0</v>
      </c>
      <c r="J3358" s="1">
        <f>53.1658</f>
        <v>53.165799999999997</v>
      </c>
      <c r="K3358">
        <v>527.53899999999999</v>
      </c>
      <c r="L3358">
        <v>0</v>
      </c>
    </row>
    <row r="3359" spans="1:12" x14ac:dyDescent="0.25">
      <c r="A3359">
        <f>80728632*0.00001</f>
        <v>807.28632000000005</v>
      </c>
      <c r="B3359">
        <v>3509</v>
      </c>
      <c r="C3359">
        <v>171</v>
      </c>
      <c r="D3359">
        <v>244.6</v>
      </c>
      <c r="E3359">
        <v>5341</v>
      </c>
      <c r="F3359">
        <v>1616</v>
      </c>
      <c r="G3359">
        <v>1</v>
      </c>
      <c r="H3359">
        <v>0.2</v>
      </c>
      <c r="I3359">
        <v>0</v>
      </c>
      <c r="J3359">
        <v>53.165799999999997</v>
      </c>
      <c r="K3359" s="1">
        <f>527.611</f>
        <v>527.61099999999999</v>
      </c>
      <c r="L3359" s="1">
        <f>0</f>
        <v>0</v>
      </c>
    </row>
    <row r="3360" spans="1:12" x14ac:dyDescent="0.25">
      <c r="A3360">
        <f>80728768*0.00001</f>
        <v>807.28768000000002</v>
      </c>
      <c r="B3360">
        <v>3509</v>
      </c>
      <c r="C3360">
        <v>172</v>
      </c>
      <c r="D3360">
        <v>244.6</v>
      </c>
      <c r="E3360" s="1">
        <f>5341</f>
        <v>5341</v>
      </c>
      <c r="F3360">
        <v>1616</v>
      </c>
      <c r="G3360">
        <v>1</v>
      </c>
      <c r="H3360">
        <v>0.2</v>
      </c>
      <c r="I3360">
        <v>0</v>
      </c>
      <c r="J3360">
        <v>53.165799999999997</v>
      </c>
      <c r="K3360">
        <v>527.61099999999999</v>
      </c>
      <c r="L3360">
        <v>0</v>
      </c>
    </row>
    <row r="3361" spans="1:12" x14ac:dyDescent="0.25">
      <c r="A3361">
        <f>80728904*0.00001</f>
        <v>807.28904000000011</v>
      </c>
      <c r="B3361">
        <v>3509</v>
      </c>
      <c r="C3361">
        <v>173</v>
      </c>
      <c r="D3361">
        <v>244.6</v>
      </c>
      <c r="E3361">
        <v>5341</v>
      </c>
      <c r="F3361">
        <v>1616</v>
      </c>
      <c r="G3361" s="1">
        <f>1</f>
        <v>1</v>
      </c>
      <c r="H3361">
        <v>0.2</v>
      </c>
      <c r="I3361">
        <v>0</v>
      </c>
      <c r="J3361">
        <v>53.165799999999997</v>
      </c>
      <c r="K3361">
        <v>527.61099999999999</v>
      </c>
      <c r="L3361">
        <v>0</v>
      </c>
    </row>
    <row r="3362" spans="1:12" x14ac:dyDescent="0.25">
      <c r="A3362">
        <f>80729040*0.00001</f>
        <v>807.29040000000009</v>
      </c>
      <c r="B3362">
        <v>3509</v>
      </c>
      <c r="C3362">
        <v>174</v>
      </c>
      <c r="D3362">
        <v>244.6</v>
      </c>
      <c r="E3362">
        <v>5341</v>
      </c>
      <c r="F3362">
        <v>1616</v>
      </c>
      <c r="G3362">
        <v>1</v>
      </c>
      <c r="H3362">
        <v>0.2</v>
      </c>
      <c r="I3362" s="1">
        <f>0</f>
        <v>0</v>
      </c>
      <c r="J3362">
        <v>53.165799999999997</v>
      </c>
      <c r="K3362">
        <v>527.61099999999999</v>
      </c>
      <c r="L3362">
        <v>0</v>
      </c>
    </row>
    <row r="3363" spans="1:12" x14ac:dyDescent="0.25">
      <c r="A3363">
        <f>80729175*0.00001</f>
        <v>807.29175000000009</v>
      </c>
      <c r="B3363">
        <v>3509</v>
      </c>
      <c r="C3363">
        <v>175</v>
      </c>
      <c r="D3363">
        <v>244.6</v>
      </c>
      <c r="E3363">
        <v>5341</v>
      </c>
      <c r="F3363">
        <v>1616</v>
      </c>
      <c r="G3363">
        <v>1</v>
      </c>
      <c r="H3363">
        <v>0.2</v>
      </c>
      <c r="I3363">
        <v>0</v>
      </c>
      <c r="J3363">
        <v>53.165799999999997</v>
      </c>
      <c r="K3363" s="1">
        <f>527.669</f>
        <v>527.66899999999998</v>
      </c>
      <c r="L3363">
        <v>0</v>
      </c>
    </row>
    <row r="3364" spans="1:12" x14ac:dyDescent="0.25">
      <c r="A3364">
        <f>80729310*0.00001</f>
        <v>807.29310000000009</v>
      </c>
      <c r="B3364">
        <v>3509</v>
      </c>
      <c r="C3364">
        <v>176</v>
      </c>
      <c r="D3364" s="1">
        <f>244.691</f>
        <v>244.691</v>
      </c>
      <c r="E3364">
        <v>5341</v>
      </c>
      <c r="F3364">
        <v>1616</v>
      </c>
      <c r="G3364">
        <v>1</v>
      </c>
      <c r="H3364">
        <v>0.2</v>
      </c>
      <c r="I3364">
        <v>0</v>
      </c>
      <c r="J3364">
        <v>53.165799999999997</v>
      </c>
      <c r="K3364">
        <v>527.66899999999998</v>
      </c>
      <c r="L3364">
        <v>0</v>
      </c>
    </row>
    <row r="3365" spans="1:12" x14ac:dyDescent="0.25">
      <c r="A3365">
        <f>80729445*0.00001</f>
        <v>807.2944500000001</v>
      </c>
      <c r="B3365">
        <v>3509</v>
      </c>
      <c r="C3365">
        <v>177</v>
      </c>
      <c r="D3365">
        <v>244.691</v>
      </c>
      <c r="E3365">
        <v>5341</v>
      </c>
      <c r="F3365" s="1">
        <f>1616</f>
        <v>1616</v>
      </c>
      <c r="G3365">
        <v>1</v>
      </c>
      <c r="H3365">
        <v>0.2</v>
      </c>
      <c r="I3365">
        <v>0</v>
      </c>
      <c r="J3365">
        <v>53.165799999999997</v>
      </c>
      <c r="K3365">
        <v>527.66899999999998</v>
      </c>
      <c r="L3365">
        <v>0</v>
      </c>
    </row>
    <row r="3366" spans="1:12" x14ac:dyDescent="0.25">
      <c r="A3366">
        <f>80729580*0.00001</f>
        <v>807.2958000000001</v>
      </c>
      <c r="B3366">
        <v>3509</v>
      </c>
      <c r="C3366">
        <v>178</v>
      </c>
      <c r="D3366" s="1">
        <f>244.809</f>
        <v>244.809</v>
      </c>
      <c r="E3366" s="1">
        <f>5341</f>
        <v>5341</v>
      </c>
      <c r="F3366" s="1">
        <f>1616</f>
        <v>1616</v>
      </c>
      <c r="G3366" s="1">
        <f>1</f>
        <v>1</v>
      </c>
      <c r="H3366" s="1">
        <f>0.2</f>
        <v>0.2</v>
      </c>
      <c r="I3366" s="1">
        <f>0</f>
        <v>0</v>
      </c>
      <c r="J3366" s="1">
        <f>53.5912</f>
        <v>53.591200000000001</v>
      </c>
      <c r="K3366" s="1">
        <f>527.829</f>
        <v>527.82899999999995</v>
      </c>
      <c r="L3366" s="1">
        <f>0</f>
        <v>0</v>
      </c>
    </row>
    <row r="3367" spans="1:12" s="2" customFormat="1" x14ac:dyDescent="0.25">
      <c r="A3367" s="2">
        <f>80731209*0.00001</f>
        <v>807.31209000000001</v>
      </c>
      <c r="B3367" s="2">
        <v>3510</v>
      </c>
      <c r="C3367" s="2">
        <v>10</v>
      </c>
      <c r="D3367" s="2">
        <v>244.809</v>
      </c>
      <c r="E3367" s="1">
        <f>5341</f>
        <v>5341</v>
      </c>
      <c r="F3367" s="1">
        <f>1616</f>
        <v>1616</v>
      </c>
      <c r="G3367" s="2">
        <v>1</v>
      </c>
      <c r="H3367" s="2">
        <v>0.2</v>
      </c>
      <c r="I3367" s="2">
        <v>0</v>
      </c>
      <c r="J3367" s="2">
        <v>53.591200000000001</v>
      </c>
      <c r="K3367" s="2">
        <v>527.82899999999995</v>
      </c>
      <c r="L3367" s="2">
        <v>0</v>
      </c>
    </row>
    <row r="3368" spans="1:12" x14ac:dyDescent="0.25">
      <c r="A3368">
        <f>80731344*0.00001</f>
        <v>807.31344000000001</v>
      </c>
      <c r="B3368">
        <v>3510</v>
      </c>
      <c r="C3368">
        <v>11</v>
      </c>
      <c r="D3368">
        <v>244.809</v>
      </c>
      <c r="E3368">
        <v>5341</v>
      </c>
      <c r="F3368">
        <v>1616</v>
      </c>
      <c r="G3368" s="1">
        <f>1</f>
        <v>1</v>
      </c>
      <c r="H3368" s="1">
        <f>0.2</f>
        <v>0.2</v>
      </c>
      <c r="I3368">
        <v>0</v>
      </c>
      <c r="J3368">
        <v>53.591200000000001</v>
      </c>
      <c r="K3368">
        <v>527.82899999999995</v>
      </c>
      <c r="L3368">
        <v>0</v>
      </c>
    </row>
    <row r="3369" spans="1:12" x14ac:dyDescent="0.25">
      <c r="A3369">
        <f>80731479*0.00001</f>
        <v>807.31479000000002</v>
      </c>
      <c r="B3369">
        <v>3510</v>
      </c>
      <c r="C3369">
        <v>12</v>
      </c>
      <c r="D3369">
        <v>244.809</v>
      </c>
      <c r="E3369">
        <v>5341</v>
      </c>
      <c r="F3369">
        <v>1616</v>
      </c>
      <c r="G3369">
        <v>1</v>
      </c>
      <c r="H3369">
        <v>0.2</v>
      </c>
      <c r="I3369" s="1">
        <f>0</f>
        <v>0</v>
      </c>
      <c r="J3369" s="1">
        <f>53.6858</f>
        <v>53.6858</v>
      </c>
      <c r="K3369">
        <v>527.82899999999995</v>
      </c>
      <c r="L3369">
        <v>0</v>
      </c>
    </row>
    <row r="3370" spans="1:12" x14ac:dyDescent="0.25">
      <c r="A3370">
        <f>80731614*0.00001</f>
        <v>807.31614000000002</v>
      </c>
      <c r="B3370">
        <v>3510</v>
      </c>
      <c r="C3370">
        <v>13</v>
      </c>
      <c r="D3370">
        <v>244.809</v>
      </c>
      <c r="E3370">
        <v>5341</v>
      </c>
      <c r="F3370">
        <v>1616</v>
      </c>
      <c r="G3370">
        <v>1</v>
      </c>
      <c r="H3370">
        <v>0.2</v>
      </c>
      <c r="I3370">
        <v>0</v>
      </c>
      <c r="J3370">
        <v>53.6858</v>
      </c>
      <c r="K3370" s="1">
        <f>527.902</f>
        <v>527.90200000000004</v>
      </c>
      <c r="L3370" s="1">
        <f>0</f>
        <v>0</v>
      </c>
    </row>
    <row r="3371" spans="1:12" x14ac:dyDescent="0.25">
      <c r="A3371">
        <f>80731749*0.00001</f>
        <v>807.31749000000002</v>
      </c>
      <c r="B3371">
        <v>3510</v>
      </c>
      <c r="C3371">
        <v>14</v>
      </c>
      <c r="D3371" s="1">
        <f>244.844</f>
        <v>244.84399999999999</v>
      </c>
      <c r="E3371" s="1">
        <f>5341</f>
        <v>5341</v>
      </c>
      <c r="F3371">
        <v>1616</v>
      </c>
      <c r="G3371">
        <v>1</v>
      </c>
      <c r="H3371">
        <v>0.2</v>
      </c>
      <c r="I3371">
        <v>0</v>
      </c>
      <c r="J3371">
        <v>53.6858</v>
      </c>
      <c r="K3371">
        <v>527.90200000000004</v>
      </c>
      <c r="L3371">
        <v>0</v>
      </c>
    </row>
    <row r="3372" spans="1:12" x14ac:dyDescent="0.25">
      <c r="A3372">
        <f>80731885*0.00001</f>
        <v>807.31885000000011</v>
      </c>
      <c r="B3372">
        <v>3510</v>
      </c>
      <c r="C3372">
        <v>15</v>
      </c>
      <c r="D3372">
        <v>244.84399999999999</v>
      </c>
      <c r="E3372">
        <v>5341</v>
      </c>
      <c r="F3372" s="1">
        <f>1616</f>
        <v>1616</v>
      </c>
      <c r="G3372" s="1">
        <f>1</f>
        <v>1</v>
      </c>
      <c r="H3372">
        <v>0.2</v>
      </c>
      <c r="I3372">
        <v>0</v>
      </c>
      <c r="J3372">
        <v>53.6858</v>
      </c>
      <c r="K3372">
        <v>527.90200000000004</v>
      </c>
      <c r="L3372">
        <v>0</v>
      </c>
    </row>
    <row r="3373" spans="1:12" x14ac:dyDescent="0.25">
      <c r="A3373">
        <f>80732021*0.00001</f>
        <v>807.32021000000009</v>
      </c>
      <c r="B3373">
        <v>3510</v>
      </c>
      <c r="C3373">
        <v>16</v>
      </c>
      <c r="D3373">
        <v>244.84399999999999</v>
      </c>
      <c r="E3373">
        <v>5341</v>
      </c>
      <c r="F3373">
        <v>1616</v>
      </c>
      <c r="G3373">
        <v>1</v>
      </c>
      <c r="H3373" s="1">
        <f>0.2</f>
        <v>0.2</v>
      </c>
      <c r="I3373" s="1">
        <f>0</f>
        <v>0</v>
      </c>
      <c r="J3373">
        <v>53.6858</v>
      </c>
      <c r="K3373">
        <v>527.90200000000004</v>
      </c>
      <c r="L3373">
        <v>0</v>
      </c>
    </row>
    <row r="3374" spans="1:12" x14ac:dyDescent="0.25">
      <c r="A3374">
        <f>80732157*0.00001</f>
        <v>807.32157000000007</v>
      </c>
      <c r="B3374">
        <v>3510</v>
      </c>
      <c r="C3374">
        <v>17</v>
      </c>
      <c r="D3374">
        <v>244.84399999999999</v>
      </c>
      <c r="E3374">
        <v>5341</v>
      </c>
      <c r="F3374">
        <v>1616</v>
      </c>
      <c r="G3374">
        <v>1</v>
      </c>
      <c r="H3374">
        <v>0.2</v>
      </c>
      <c r="I3374">
        <v>0</v>
      </c>
      <c r="J3374" s="1">
        <f>53.8305</f>
        <v>53.830500000000001</v>
      </c>
      <c r="K3374" s="1">
        <f>527.961</f>
        <v>527.96100000000001</v>
      </c>
      <c r="L3374">
        <v>0</v>
      </c>
    </row>
    <row r="3375" spans="1:12" x14ac:dyDescent="0.25">
      <c r="A3375">
        <f>80732293*0.00001</f>
        <v>807.32293000000004</v>
      </c>
      <c r="B3375">
        <v>3510</v>
      </c>
      <c r="C3375">
        <v>18</v>
      </c>
      <c r="D3375" s="1">
        <f>244.866</f>
        <v>244.86600000000001</v>
      </c>
      <c r="E3375">
        <v>5341</v>
      </c>
      <c r="F3375">
        <v>1616</v>
      </c>
      <c r="G3375">
        <v>1</v>
      </c>
      <c r="H3375">
        <v>0.2</v>
      </c>
      <c r="I3375">
        <v>0</v>
      </c>
      <c r="J3375">
        <v>53.830500000000001</v>
      </c>
      <c r="K3375">
        <v>527.96100000000001</v>
      </c>
      <c r="L3375" s="1">
        <f>0</f>
        <v>0</v>
      </c>
    </row>
    <row r="3376" spans="1:12" x14ac:dyDescent="0.25">
      <c r="A3376">
        <f>80732428*0.00001</f>
        <v>807.32428000000004</v>
      </c>
      <c r="B3376">
        <v>3510</v>
      </c>
      <c r="C3376">
        <v>19</v>
      </c>
      <c r="D3376">
        <v>244.86600000000001</v>
      </c>
      <c r="E3376" s="1">
        <f>5342</f>
        <v>5342</v>
      </c>
      <c r="F3376" s="1">
        <f>1616</f>
        <v>1616</v>
      </c>
      <c r="G3376">
        <v>1</v>
      </c>
      <c r="H3376">
        <v>0.2</v>
      </c>
      <c r="I3376">
        <v>0</v>
      </c>
      <c r="J3376">
        <v>53.830500000000001</v>
      </c>
      <c r="K3376">
        <v>527.96100000000001</v>
      </c>
      <c r="L3376">
        <v>0</v>
      </c>
    </row>
    <row r="3377" spans="1:12" x14ac:dyDescent="0.25">
      <c r="A3377">
        <f>80732563*0.00001</f>
        <v>807.32563000000005</v>
      </c>
      <c r="B3377">
        <v>3510</v>
      </c>
      <c r="C3377">
        <v>20</v>
      </c>
      <c r="D3377">
        <v>244.86600000000001</v>
      </c>
      <c r="E3377">
        <v>5342</v>
      </c>
      <c r="F3377">
        <v>1616</v>
      </c>
      <c r="G3377">
        <v>1</v>
      </c>
      <c r="H3377" s="1">
        <f>0.2</f>
        <v>0.2</v>
      </c>
      <c r="I3377">
        <v>0</v>
      </c>
      <c r="J3377">
        <v>53.830500000000001</v>
      </c>
      <c r="K3377">
        <v>527.96100000000001</v>
      </c>
      <c r="L3377">
        <v>0</v>
      </c>
    </row>
    <row r="3378" spans="1:12" x14ac:dyDescent="0.25">
      <c r="A3378">
        <f>80732698*0.00001</f>
        <v>807.32698000000005</v>
      </c>
      <c r="B3378">
        <v>3510</v>
      </c>
      <c r="C3378">
        <v>21</v>
      </c>
      <c r="D3378">
        <v>244.86600000000001</v>
      </c>
      <c r="E3378">
        <v>5342</v>
      </c>
      <c r="F3378">
        <v>1616</v>
      </c>
      <c r="G3378">
        <v>1</v>
      </c>
      <c r="H3378">
        <v>0.2</v>
      </c>
      <c r="I3378">
        <v>0</v>
      </c>
      <c r="J3378" s="1">
        <f>53.9363</f>
        <v>53.936300000000003</v>
      </c>
      <c r="K3378">
        <v>527.96100000000001</v>
      </c>
      <c r="L3378">
        <v>0</v>
      </c>
    </row>
    <row r="3379" spans="1:12" x14ac:dyDescent="0.25">
      <c r="A3379">
        <f>80732834*0.00001</f>
        <v>807.32834000000003</v>
      </c>
      <c r="B3379">
        <v>3510</v>
      </c>
      <c r="C3379">
        <v>22</v>
      </c>
      <c r="D3379">
        <v>244.86600000000001</v>
      </c>
      <c r="E3379">
        <v>5342</v>
      </c>
      <c r="F3379">
        <v>1616</v>
      </c>
      <c r="G3379">
        <v>1</v>
      </c>
      <c r="H3379">
        <v>0.2</v>
      </c>
      <c r="I3379">
        <v>0</v>
      </c>
      <c r="J3379">
        <v>53.936300000000003</v>
      </c>
      <c r="K3379">
        <v>527.96100000000001</v>
      </c>
      <c r="L3379" s="1">
        <f>0</f>
        <v>0</v>
      </c>
    </row>
    <row r="3380" spans="1:12" x14ac:dyDescent="0.25">
      <c r="A3380">
        <f>80732970*0.00001</f>
        <v>807.32970000000012</v>
      </c>
      <c r="B3380">
        <v>3510</v>
      </c>
      <c r="C3380">
        <v>23</v>
      </c>
      <c r="D3380">
        <v>244.86600000000001</v>
      </c>
      <c r="E3380" s="1">
        <f>5342</f>
        <v>5342</v>
      </c>
      <c r="F3380">
        <v>1616</v>
      </c>
      <c r="G3380">
        <v>1</v>
      </c>
      <c r="H3380">
        <v>0.2</v>
      </c>
      <c r="I3380">
        <v>0</v>
      </c>
      <c r="J3380">
        <v>53.936300000000003</v>
      </c>
      <c r="K3380">
        <v>527.96100000000001</v>
      </c>
      <c r="L3380">
        <v>0</v>
      </c>
    </row>
    <row r="3381" spans="1:12" x14ac:dyDescent="0.25">
      <c r="A3381">
        <f>80733106*0.00001</f>
        <v>807.33106000000009</v>
      </c>
      <c r="B3381">
        <v>3510</v>
      </c>
      <c r="C3381">
        <v>24</v>
      </c>
      <c r="D3381">
        <v>244.86600000000001</v>
      </c>
      <c r="E3381">
        <v>5342</v>
      </c>
      <c r="F3381">
        <v>1616</v>
      </c>
      <c r="G3381" s="1">
        <f>1</f>
        <v>1</v>
      </c>
      <c r="H3381">
        <v>0.2</v>
      </c>
      <c r="I3381">
        <v>0</v>
      </c>
      <c r="J3381">
        <v>53.936300000000003</v>
      </c>
      <c r="K3381">
        <v>527.96100000000001</v>
      </c>
      <c r="L3381">
        <v>0</v>
      </c>
    </row>
    <row r="3382" spans="1:12" x14ac:dyDescent="0.25">
      <c r="A3382">
        <f>80733242*0.00001</f>
        <v>807.33242000000007</v>
      </c>
      <c r="B3382">
        <v>3510</v>
      </c>
      <c r="C3382">
        <v>25</v>
      </c>
      <c r="D3382">
        <v>244.86600000000001</v>
      </c>
      <c r="E3382">
        <v>5342</v>
      </c>
      <c r="F3382">
        <v>1616</v>
      </c>
      <c r="G3382">
        <v>1</v>
      </c>
      <c r="H3382">
        <v>0.2</v>
      </c>
      <c r="I3382" s="1">
        <f>0</f>
        <v>0</v>
      </c>
      <c r="J3382">
        <v>53.936300000000003</v>
      </c>
      <c r="K3382">
        <v>527.96100000000001</v>
      </c>
      <c r="L3382">
        <v>0</v>
      </c>
    </row>
    <row r="3383" spans="1:12" x14ac:dyDescent="0.25">
      <c r="A3383">
        <f>80733378*0.00001</f>
        <v>807.33378000000005</v>
      </c>
      <c r="B3383">
        <v>3510</v>
      </c>
      <c r="C3383">
        <v>26</v>
      </c>
      <c r="D3383">
        <v>244.86600000000001</v>
      </c>
      <c r="E3383">
        <v>5342</v>
      </c>
      <c r="F3383">
        <v>1616</v>
      </c>
      <c r="G3383">
        <v>1</v>
      </c>
      <c r="H3383">
        <v>0.2</v>
      </c>
      <c r="I3383">
        <v>0</v>
      </c>
      <c r="J3383">
        <v>53.936300000000003</v>
      </c>
      <c r="K3383" s="1">
        <f>528.093</f>
        <v>528.09299999999996</v>
      </c>
      <c r="L3383">
        <v>0</v>
      </c>
    </row>
    <row r="3384" spans="1:12" x14ac:dyDescent="0.25">
      <c r="A3384">
        <f>80733513*0.00001</f>
        <v>807.33513000000005</v>
      </c>
      <c r="B3384">
        <v>3510</v>
      </c>
      <c r="C3384">
        <v>27</v>
      </c>
      <c r="D3384" s="1">
        <f>244.903</f>
        <v>244.90299999999999</v>
      </c>
      <c r="E3384">
        <v>5342</v>
      </c>
      <c r="F3384">
        <v>1616</v>
      </c>
      <c r="G3384">
        <v>1</v>
      </c>
      <c r="H3384">
        <v>0.2</v>
      </c>
      <c r="I3384">
        <v>0</v>
      </c>
      <c r="J3384">
        <v>53.936300000000003</v>
      </c>
      <c r="K3384">
        <v>528.09299999999996</v>
      </c>
      <c r="L3384">
        <v>0</v>
      </c>
    </row>
    <row r="3385" spans="1:12" x14ac:dyDescent="0.25">
      <c r="A3385">
        <f>80733648*0.00001</f>
        <v>807.33648000000005</v>
      </c>
      <c r="B3385">
        <v>3510</v>
      </c>
      <c r="C3385">
        <v>28</v>
      </c>
      <c r="D3385">
        <v>244.90299999999999</v>
      </c>
      <c r="E3385">
        <v>5342</v>
      </c>
      <c r="F3385" s="1">
        <f>1616</f>
        <v>1616</v>
      </c>
      <c r="G3385">
        <v>1</v>
      </c>
      <c r="H3385">
        <v>0.2</v>
      </c>
      <c r="I3385">
        <v>0</v>
      </c>
      <c r="J3385">
        <v>53.936300000000003</v>
      </c>
      <c r="K3385">
        <v>528.09299999999996</v>
      </c>
      <c r="L3385">
        <v>0</v>
      </c>
    </row>
    <row r="3386" spans="1:12" x14ac:dyDescent="0.25">
      <c r="A3386">
        <f>80733783*0.00001</f>
        <v>807.33783000000005</v>
      </c>
      <c r="B3386">
        <v>3510</v>
      </c>
      <c r="C3386">
        <v>29</v>
      </c>
      <c r="D3386" s="1">
        <f>244.926</f>
        <v>244.92599999999999</v>
      </c>
      <c r="E3386" s="1">
        <f>5349</f>
        <v>5349</v>
      </c>
      <c r="F3386" s="1">
        <f>1616</f>
        <v>1616</v>
      </c>
      <c r="G3386" s="1">
        <f>1</f>
        <v>1</v>
      </c>
      <c r="H3386" s="1">
        <f>0.2</f>
        <v>0.2</v>
      </c>
      <c r="I3386" s="1">
        <f>0</f>
        <v>0</v>
      </c>
      <c r="J3386" s="1">
        <f>55.069</f>
        <v>55.069000000000003</v>
      </c>
      <c r="K3386" s="1">
        <f>528.288</f>
        <v>528.28800000000001</v>
      </c>
      <c r="L3386" s="1">
        <f>0</f>
        <v>0</v>
      </c>
    </row>
    <row r="3387" spans="1:12" x14ac:dyDescent="0.25">
      <c r="A3387">
        <f>80735276*0.00001</f>
        <v>807.3527600000001</v>
      </c>
      <c r="B3387">
        <v>3510</v>
      </c>
      <c r="C3387">
        <v>40</v>
      </c>
      <c r="D3387" s="1">
        <f>244.933</f>
        <v>244.93299999999999</v>
      </c>
      <c r="E3387">
        <v>5349</v>
      </c>
      <c r="F3387">
        <v>1616</v>
      </c>
      <c r="G3387">
        <v>1</v>
      </c>
      <c r="H3387">
        <v>0.2</v>
      </c>
      <c r="I3387">
        <v>0</v>
      </c>
      <c r="J3387">
        <v>55.069000000000003</v>
      </c>
      <c r="K3387">
        <v>528.28800000000001</v>
      </c>
      <c r="L3387" s="1">
        <f>0</f>
        <v>0</v>
      </c>
    </row>
    <row r="3388" spans="1:12" x14ac:dyDescent="0.25">
      <c r="A3388">
        <f>80735412*0.00001</f>
        <v>807.35412000000008</v>
      </c>
      <c r="B3388">
        <v>3510</v>
      </c>
      <c r="C3388">
        <v>41</v>
      </c>
      <c r="D3388">
        <v>244.93299999999999</v>
      </c>
      <c r="E3388" s="1">
        <f>5349</f>
        <v>5349</v>
      </c>
      <c r="F3388" s="1">
        <f>1616</f>
        <v>1616</v>
      </c>
      <c r="G3388">
        <v>1</v>
      </c>
      <c r="H3388">
        <v>0.2</v>
      </c>
      <c r="I3388">
        <v>0</v>
      </c>
      <c r="J3388">
        <v>55.069000000000003</v>
      </c>
      <c r="K3388">
        <v>528.28800000000001</v>
      </c>
      <c r="L3388">
        <v>0</v>
      </c>
    </row>
    <row r="3389" spans="1:12" x14ac:dyDescent="0.25">
      <c r="A3389">
        <f>80735547*0.00001</f>
        <v>807.35547000000008</v>
      </c>
      <c r="B3389">
        <v>3510</v>
      </c>
      <c r="C3389">
        <v>42</v>
      </c>
      <c r="D3389">
        <v>244.93299999999999</v>
      </c>
      <c r="E3389">
        <v>5349</v>
      </c>
      <c r="F3389">
        <v>1616</v>
      </c>
      <c r="G3389" s="1">
        <f>1</f>
        <v>1</v>
      </c>
      <c r="H3389" s="1">
        <f>0.2</f>
        <v>0.2</v>
      </c>
      <c r="I3389">
        <v>0</v>
      </c>
      <c r="J3389">
        <v>55.069000000000003</v>
      </c>
      <c r="K3389">
        <v>528.28800000000001</v>
      </c>
      <c r="L3389">
        <v>0</v>
      </c>
    </row>
    <row r="3390" spans="1:12" x14ac:dyDescent="0.25">
      <c r="A3390">
        <f>80735682*0.00001</f>
        <v>807.35682000000008</v>
      </c>
      <c r="B3390">
        <v>3510</v>
      </c>
      <c r="C3390">
        <v>43</v>
      </c>
      <c r="D3390">
        <v>244.93299999999999</v>
      </c>
      <c r="E3390">
        <v>5349</v>
      </c>
      <c r="F3390">
        <v>1616</v>
      </c>
      <c r="G3390">
        <v>1</v>
      </c>
      <c r="H3390">
        <v>0.2</v>
      </c>
      <c r="I3390" s="1">
        <f>0</f>
        <v>0</v>
      </c>
      <c r="J3390" s="1">
        <f>55.0626</f>
        <v>55.062600000000003</v>
      </c>
      <c r="K3390">
        <v>528.28800000000001</v>
      </c>
      <c r="L3390">
        <v>0</v>
      </c>
    </row>
    <row r="3391" spans="1:12" x14ac:dyDescent="0.25">
      <c r="A3391">
        <f>80735817*0.00001</f>
        <v>807.35817000000009</v>
      </c>
      <c r="B3391">
        <v>3510</v>
      </c>
      <c r="C3391">
        <v>44</v>
      </c>
      <c r="D3391">
        <v>244.93299999999999</v>
      </c>
      <c r="E3391">
        <v>5349</v>
      </c>
      <c r="F3391">
        <v>1616</v>
      </c>
      <c r="G3391">
        <v>1</v>
      </c>
      <c r="H3391">
        <v>0.2</v>
      </c>
      <c r="I3391">
        <v>0</v>
      </c>
      <c r="J3391">
        <v>55.062600000000003</v>
      </c>
      <c r="K3391" s="1">
        <f>528.363</f>
        <v>528.36300000000006</v>
      </c>
      <c r="L3391" s="1">
        <f>0</f>
        <v>0</v>
      </c>
    </row>
    <row r="3392" spans="1:12" x14ac:dyDescent="0.25">
      <c r="A3392">
        <f>80735953*0.00001</f>
        <v>807.35953000000006</v>
      </c>
      <c r="B3392">
        <v>3510</v>
      </c>
      <c r="C3392">
        <v>45</v>
      </c>
      <c r="D3392" s="1">
        <f>244.938</f>
        <v>244.93799999999999</v>
      </c>
      <c r="E3392" s="1">
        <f>5349</f>
        <v>5349</v>
      </c>
      <c r="F3392">
        <v>1616</v>
      </c>
      <c r="G3392">
        <v>1</v>
      </c>
      <c r="H3392">
        <v>0.2</v>
      </c>
      <c r="I3392">
        <v>0</v>
      </c>
      <c r="J3392">
        <v>55.062600000000003</v>
      </c>
      <c r="K3392">
        <v>528.36300000000006</v>
      </c>
      <c r="L3392">
        <v>0</v>
      </c>
    </row>
    <row r="3393" spans="1:12" x14ac:dyDescent="0.25">
      <c r="A3393">
        <f>80736089*0.00001</f>
        <v>807.36089000000004</v>
      </c>
      <c r="B3393">
        <v>3510</v>
      </c>
      <c r="C3393">
        <v>46</v>
      </c>
      <c r="D3393">
        <v>244.93799999999999</v>
      </c>
      <c r="E3393">
        <v>5349</v>
      </c>
      <c r="F3393" s="1">
        <f>1616</f>
        <v>1616</v>
      </c>
      <c r="G3393" s="1">
        <f>1</f>
        <v>1</v>
      </c>
      <c r="H3393">
        <v>0.2</v>
      </c>
      <c r="I3393">
        <v>0</v>
      </c>
      <c r="J3393">
        <v>55.062600000000003</v>
      </c>
      <c r="K3393">
        <v>528.36300000000006</v>
      </c>
      <c r="L3393">
        <v>0</v>
      </c>
    </row>
    <row r="3394" spans="1:12" x14ac:dyDescent="0.25">
      <c r="A3394">
        <f>80736225*0.00001</f>
        <v>807.36225000000002</v>
      </c>
      <c r="B3394">
        <v>3510</v>
      </c>
      <c r="C3394">
        <v>47</v>
      </c>
      <c r="D3394">
        <v>244.93799999999999</v>
      </c>
      <c r="E3394">
        <v>5349</v>
      </c>
      <c r="F3394">
        <v>1616</v>
      </c>
      <c r="G3394">
        <v>1</v>
      </c>
      <c r="H3394" s="1">
        <f>0.2</f>
        <v>0.2</v>
      </c>
      <c r="I3394" s="1">
        <f>0</f>
        <v>0</v>
      </c>
      <c r="J3394">
        <v>55.062600000000003</v>
      </c>
      <c r="K3394">
        <v>528.36300000000006</v>
      </c>
      <c r="L3394">
        <v>0</v>
      </c>
    </row>
    <row r="3395" spans="1:12" x14ac:dyDescent="0.25">
      <c r="A3395">
        <f>80736361*0.00001</f>
        <v>807.36361000000011</v>
      </c>
      <c r="B3395">
        <v>3510</v>
      </c>
      <c r="C3395">
        <v>48</v>
      </c>
      <c r="D3395">
        <v>244.93799999999999</v>
      </c>
      <c r="E3395">
        <v>5349</v>
      </c>
      <c r="F3395">
        <v>1616</v>
      </c>
      <c r="G3395">
        <v>1</v>
      </c>
      <c r="H3395">
        <v>0.2</v>
      </c>
      <c r="I3395">
        <v>0</v>
      </c>
      <c r="J3395">
        <v>55.062600000000003</v>
      </c>
      <c r="K3395" s="1">
        <f>528.423</f>
        <v>528.423</v>
      </c>
      <c r="L3395">
        <v>0</v>
      </c>
    </row>
    <row r="3396" spans="1:12" x14ac:dyDescent="0.25">
      <c r="A3396">
        <f>80736497*0.00001</f>
        <v>807.36497000000008</v>
      </c>
      <c r="B3396">
        <v>3510</v>
      </c>
      <c r="C3396">
        <v>49</v>
      </c>
      <c r="D3396" s="1">
        <f>244.945</f>
        <v>244.94499999999999</v>
      </c>
      <c r="E3396">
        <v>5349</v>
      </c>
      <c r="F3396">
        <v>1616</v>
      </c>
      <c r="G3396">
        <v>1</v>
      </c>
      <c r="H3396">
        <v>0.2</v>
      </c>
      <c r="I3396">
        <v>0</v>
      </c>
      <c r="J3396">
        <v>55.062600000000003</v>
      </c>
      <c r="K3396">
        <v>528.423</v>
      </c>
      <c r="L3396">
        <v>0</v>
      </c>
    </row>
    <row r="3397" spans="1:12" x14ac:dyDescent="0.25">
      <c r="A3397">
        <f>80736632*0.00001</f>
        <v>807.36632000000009</v>
      </c>
      <c r="B3397">
        <v>3510</v>
      </c>
      <c r="C3397">
        <v>50</v>
      </c>
      <c r="D3397">
        <v>244.94499999999999</v>
      </c>
      <c r="E3397">
        <v>5349</v>
      </c>
      <c r="F3397" s="1">
        <f>1616</f>
        <v>1616</v>
      </c>
      <c r="G3397">
        <v>1</v>
      </c>
      <c r="H3397">
        <v>0.2</v>
      </c>
      <c r="I3397">
        <v>0</v>
      </c>
      <c r="J3397">
        <v>55.062600000000003</v>
      </c>
      <c r="K3397">
        <v>528.423</v>
      </c>
      <c r="L3397">
        <v>0</v>
      </c>
    </row>
    <row r="3398" spans="1:12" x14ac:dyDescent="0.25">
      <c r="A3398">
        <f>80736767*0.00001</f>
        <v>807.36767000000009</v>
      </c>
      <c r="B3398">
        <v>3510</v>
      </c>
      <c r="C3398">
        <v>51</v>
      </c>
      <c r="D3398">
        <v>244.94499999999999</v>
      </c>
      <c r="E3398">
        <v>5349</v>
      </c>
      <c r="F3398">
        <v>1616</v>
      </c>
      <c r="G3398">
        <v>1</v>
      </c>
      <c r="H3398" s="1">
        <f>0.2</f>
        <v>0.2</v>
      </c>
      <c r="I3398">
        <v>0</v>
      </c>
      <c r="J3398">
        <v>55.062600000000003</v>
      </c>
      <c r="K3398">
        <v>528.423</v>
      </c>
      <c r="L3398">
        <v>0</v>
      </c>
    </row>
    <row r="3399" spans="1:12" x14ac:dyDescent="0.25">
      <c r="A3399">
        <f>80736902*0.00001</f>
        <v>807.36902000000009</v>
      </c>
      <c r="B3399">
        <v>3510</v>
      </c>
      <c r="C3399">
        <v>52</v>
      </c>
      <c r="D3399">
        <v>244.94499999999999</v>
      </c>
      <c r="E3399">
        <v>5349</v>
      </c>
      <c r="F3399">
        <v>1616</v>
      </c>
      <c r="G3399">
        <v>1</v>
      </c>
      <c r="H3399">
        <v>0.2</v>
      </c>
      <c r="I3399">
        <v>0</v>
      </c>
      <c r="J3399" s="1">
        <f>55.0522</f>
        <v>55.052199999999999</v>
      </c>
      <c r="K3399">
        <v>528.423</v>
      </c>
      <c r="L3399">
        <v>0</v>
      </c>
    </row>
    <row r="3400" spans="1:12" x14ac:dyDescent="0.25">
      <c r="A3400">
        <f>80737038*0.00001</f>
        <v>807.37038000000007</v>
      </c>
      <c r="B3400">
        <v>3510</v>
      </c>
      <c r="C3400">
        <v>53</v>
      </c>
      <c r="D3400">
        <v>244.94499999999999</v>
      </c>
      <c r="E3400">
        <v>5349</v>
      </c>
      <c r="F3400">
        <v>1616</v>
      </c>
      <c r="G3400">
        <v>1</v>
      </c>
      <c r="H3400">
        <v>0.2</v>
      </c>
      <c r="I3400">
        <v>0</v>
      </c>
      <c r="J3400">
        <v>55.052199999999999</v>
      </c>
      <c r="K3400">
        <v>528.423</v>
      </c>
      <c r="L3400" s="1">
        <f>0</f>
        <v>0</v>
      </c>
    </row>
    <row r="3401" spans="1:12" x14ac:dyDescent="0.25">
      <c r="A3401">
        <f>80737174*0.00001</f>
        <v>807.37174000000005</v>
      </c>
      <c r="B3401">
        <v>3510</v>
      </c>
      <c r="C3401">
        <v>54</v>
      </c>
      <c r="D3401">
        <v>244.94499999999999</v>
      </c>
      <c r="E3401" s="1">
        <f>5350</f>
        <v>5350</v>
      </c>
      <c r="F3401">
        <v>1616</v>
      </c>
      <c r="G3401">
        <v>1</v>
      </c>
      <c r="H3401">
        <v>0.2</v>
      </c>
      <c r="I3401">
        <v>0</v>
      </c>
      <c r="J3401">
        <v>55.052199999999999</v>
      </c>
      <c r="K3401">
        <v>528.423</v>
      </c>
      <c r="L3401">
        <v>0</v>
      </c>
    </row>
    <row r="3402" spans="1:12" x14ac:dyDescent="0.25">
      <c r="A3402">
        <f>80737310*0.00001</f>
        <v>807.37310000000002</v>
      </c>
      <c r="B3402">
        <v>3510</v>
      </c>
      <c r="C3402">
        <v>55</v>
      </c>
      <c r="D3402">
        <v>244.94499999999999</v>
      </c>
      <c r="E3402">
        <v>5350</v>
      </c>
      <c r="F3402">
        <v>1616</v>
      </c>
      <c r="G3402" s="1">
        <f>1</f>
        <v>1</v>
      </c>
      <c r="H3402">
        <v>0.2</v>
      </c>
      <c r="I3402">
        <v>0</v>
      </c>
      <c r="J3402">
        <v>55.052199999999999</v>
      </c>
      <c r="K3402">
        <v>528.423</v>
      </c>
      <c r="L3402">
        <v>0</v>
      </c>
    </row>
    <row r="3403" spans="1:12" x14ac:dyDescent="0.25">
      <c r="A3403">
        <f>80737446*0.00001</f>
        <v>807.37446000000011</v>
      </c>
      <c r="B3403">
        <v>3510</v>
      </c>
      <c r="C3403">
        <v>56</v>
      </c>
      <c r="D3403">
        <v>244.94499999999999</v>
      </c>
      <c r="E3403">
        <v>5350</v>
      </c>
      <c r="F3403">
        <v>1616</v>
      </c>
      <c r="G3403">
        <v>1</v>
      </c>
      <c r="H3403">
        <v>0.2</v>
      </c>
      <c r="I3403" s="1">
        <f>0</f>
        <v>0</v>
      </c>
      <c r="J3403">
        <v>55.052199999999999</v>
      </c>
      <c r="K3403">
        <v>528.423</v>
      </c>
      <c r="L3403">
        <v>0</v>
      </c>
    </row>
    <row r="3404" spans="1:12" x14ac:dyDescent="0.25">
      <c r="A3404">
        <f>80737581*0.00001</f>
        <v>807.37581000000011</v>
      </c>
      <c r="B3404">
        <v>3510</v>
      </c>
      <c r="C3404">
        <v>57</v>
      </c>
      <c r="D3404">
        <v>244.94499999999999</v>
      </c>
      <c r="E3404">
        <v>5350</v>
      </c>
      <c r="F3404">
        <v>1616</v>
      </c>
      <c r="G3404">
        <v>1</v>
      </c>
      <c r="H3404">
        <v>0.2</v>
      </c>
      <c r="I3404">
        <v>0</v>
      </c>
      <c r="J3404">
        <v>55.052199999999999</v>
      </c>
      <c r="K3404" s="1">
        <f>528.558</f>
        <v>528.55799999999999</v>
      </c>
      <c r="L3404">
        <v>0</v>
      </c>
    </row>
    <row r="3405" spans="1:12" x14ac:dyDescent="0.25">
      <c r="A3405">
        <f>80737716*0.00001</f>
        <v>807.37716000000012</v>
      </c>
      <c r="B3405">
        <v>3510</v>
      </c>
      <c r="C3405">
        <v>58</v>
      </c>
      <c r="D3405" s="1">
        <f>245.007</f>
        <v>245.00700000000001</v>
      </c>
      <c r="E3405" s="1">
        <f>5349</f>
        <v>5349</v>
      </c>
      <c r="F3405" s="1">
        <f>1616</f>
        <v>1616</v>
      </c>
      <c r="G3405" s="1">
        <f>1</f>
        <v>1</v>
      </c>
      <c r="H3405" s="1">
        <f>0.2</f>
        <v>0.2</v>
      </c>
      <c r="I3405" s="1">
        <f>0</f>
        <v>0</v>
      </c>
      <c r="J3405" s="1">
        <f>55.0084</f>
        <v>55.008400000000002</v>
      </c>
      <c r="K3405" s="1">
        <f>528.693</f>
        <v>528.69299999999998</v>
      </c>
      <c r="L3405" s="1">
        <f>0</f>
        <v>0</v>
      </c>
    </row>
    <row r="3406" spans="1:12" x14ac:dyDescent="0.25">
      <c r="A3406">
        <f>80739211*0.00001</f>
        <v>807.39211000000012</v>
      </c>
      <c r="B3406">
        <v>3510</v>
      </c>
      <c r="C3406">
        <v>69</v>
      </c>
      <c r="D3406">
        <v>245.00700000000001</v>
      </c>
      <c r="E3406">
        <v>5349</v>
      </c>
      <c r="F3406">
        <v>1616</v>
      </c>
      <c r="G3406" s="1">
        <f>1</f>
        <v>1</v>
      </c>
      <c r="H3406" s="1">
        <f>0.2</f>
        <v>0.2</v>
      </c>
      <c r="I3406">
        <v>0</v>
      </c>
      <c r="J3406">
        <v>55.008400000000002</v>
      </c>
      <c r="K3406">
        <v>528.69299999999998</v>
      </c>
      <c r="L3406">
        <v>0</v>
      </c>
    </row>
    <row r="3407" spans="1:12" x14ac:dyDescent="0.25">
      <c r="A3407">
        <f>80739347*0.00001</f>
        <v>807.39347000000009</v>
      </c>
      <c r="B3407">
        <v>3510</v>
      </c>
      <c r="C3407">
        <v>70</v>
      </c>
      <c r="D3407">
        <v>245.00700000000001</v>
      </c>
      <c r="E3407">
        <v>5349</v>
      </c>
      <c r="F3407">
        <v>1616</v>
      </c>
      <c r="G3407">
        <v>1</v>
      </c>
      <c r="H3407">
        <v>0.2</v>
      </c>
      <c r="I3407" s="1">
        <f>0</f>
        <v>0</v>
      </c>
      <c r="J3407" s="1">
        <f>54.9465</f>
        <v>54.9465</v>
      </c>
      <c r="K3407">
        <v>528.69299999999998</v>
      </c>
      <c r="L3407">
        <v>0</v>
      </c>
    </row>
    <row r="3408" spans="1:12" x14ac:dyDescent="0.25">
      <c r="A3408">
        <f>80739483*0.00001</f>
        <v>807.39483000000007</v>
      </c>
      <c r="B3408">
        <v>3510</v>
      </c>
      <c r="C3408">
        <v>71</v>
      </c>
      <c r="D3408">
        <v>245.00700000000001</v>
      </c>
      <c r="E3408">
        <v>5349</v>
      </c>
      <c r="F3408">
        <v>1616</v>
      </c>
      <c r="G3408">
        <v>1</v>
      </c>
      <c r="H3408">
        <v>0.2</v>
      </c>
      <c r="I3408">
        <v>0</v>
      </c>
      <c r="J3408">
        <v>54.9465</v>
      </c>
      <c r="K3408" s="1">
        <f>528.767</f>
        <v>528.76700000000005</v>
      </c>
      <c r="L3408" s="1">
        <f>0</f>
        <v>0</v>
      </c>
    </row>
    <row r="3409" spans="1:12" x14ac:dyDescent="0.25">
      <c r="A3409">
        <f>80739618*0.00001</f>
        <v>807.39618000000007</v>
      </c>
      <c r="B3409">
        <v>3510</v>
      </c>
      <c r="C3409">
        <v>72</v>
      </c>
      <c r="D3409" s="1">
        <f>245.076</f>
        <v>245.07599999999999</v>
      </c>
      <c r="E3409" s="1">
        <f>5348</f>
        <v>5348</v>
      </c>
      <c r="F3409">
        <v>1616</v>
      </c>
      <c r="G3409">
        <v>1</v>
      </c>
      <c r="H3409">
        <v>0.2</v>
      </c>
      <c r="I3409">
        <v>0</v>
      </c>
      <c r="J3409">
        <v>54.9465</v>
      </c>
      <c r="K3409">
        <v>528.76700000000005</v>
      </c>
      <c r="L3409">
        <v>0</v>
      </c>
    </row>
    <row r="3410" spans="1:12" x14ac:dyDescent="0.25">
      <c r="A3410">
        <f>80739753*0.00001</f>
        <v>807.39753000000007</v>
      </c>
      <c r="B3410">
        <v>3510</v>
      </c>
      <c r="C3410">
        <v>73</v>
      </c>
      <c r="D3410">
        <v>245.07599999999999</v>
      </c>
      <c r="E3410">
        <v>5348</v>
      </c>
      <c r="F3410" s="1">
        <f>1616</f>
        <v>1616</v>
      </c>
      <c r="G3410" s="1">
        <f>1</f>
        <v>1</v>
      </c>
      <c r="H3410">
        <v>0.2</v>
      </c>
      <c r="I3410">
        <v>0</v>
      </c>
      <c r="J3410">
        <v>54.9465</v>
      </c>
      <c r="K3410">
        <v>528.76700000000005</v>
      </c>
      <c r="L3410">
        <v>0</v>
      </c>
    </row>
    <row r="3411" spans="1:12" x14ac:dyDescent="0.25">
      <c r="A3411">
        <f>80739888*0.00001</f>
        <v>807.39888000000008</v>
      </c>
      <c r="B3411">
        <v>3510</v>
      </c>
      <c r="C3411">
        <v>74</v>
      </c>
      <c r="D3411">
        <v>245.07599999999999</v>
      </c>
      <c r="E3411">
        <v>5348</v>
      </c>
      <c r="F3411">
        <v>1616</v>
      </c>
      <c r="G3411">
        <v>1</v>
      </c>
      <c r="H3411" s="1">
        <f>0.2</f>
        <v>0.2</v>
      </c>
      <c r="I3411" s="1">
        <f>0</f>
        <v>0</v>
      </c>
      <c r="J3411">
        <v>54.9465</v>
      </c>
      <c r="K3411">
        <v>528.76700000000005</v>
      </c>
      <c r="L3411">
        <v>0</v>
      </c>
    </row>
    <row r="3412" spans="1:12" x14ac:dyDescent="0.25">
      <c r="A3412">
        <f>80740023*0.00001</f>
        <v>807.40023000000008</v>
      </c>
      <c r="B3412">
        <v>3510</v>
      </c>
      <c r="C3412">
        <v>75</v>
      </c>
      <c r="D3412">
        <v>245.07599999999999</v>
      </c>
      <c r="E3412">
        <v>5348</v>
      </c>
      <c r="F3412">
        <v>1616</v>
      </c>
      <c r="G3412">
        <v>1</v>
      </c>
      <c r="H3412">
        <v>0.2</v>
      </c>
      <c r="I3412">
        <v>0</v>
      </c>
      <c r="J3412" s="1">
        <f>54.8848</f>
        <v>54.884799999999998</v>
      </c>
      <c r="K3412" s="1">
        <f>528.827</f>
        <v>528.827</v>
      </c>
      <c r="L3412">
        <v>0</v>
      </c>
    </row>
    <row r="3413" spans="1:12" x14ac:dyDescent="0.25">
      <c r="A3413">
        <f>80740158*0.00001</f>
        <v>807.40158000000008</v>
      </c>
      <c r="B3413">
        <v>3510</v>
      </c>
      <c r="C3413">
        <v>76</v>
      </c>
      <c r="D3413" s="1">
        <f>245.126</f>
        <v>245.126</v>
      </c>
      <c r="E3413">
        <v>5348</v>
      </c>
      <c r="F3413">
        <v>1616</v>
      </c>
      <c r="G3413">
        <v>1</v>
      </c>
      <c r="H3413">
        <v>0.2</v>
      </c>
      <c r="I3413">
        <v>0</v>
      </c>
      <c r="J3413">
        <v>54.884799999999998</v>
      </c>
      <c r="K3413">
        <v>528.827</v>
      </c>
      <c r="L3413" s="1">
        <f>0</f>
        <v>0</v>
      </c>
    </row>
    <row r="3414" spans="1:12" x14ac:dyDescent="0.25">
      <c r="A3414">
        <f>80740293*0.00001</f>
        <v>807.40293000000008</v>
      </c>
      <c r="B3414">
        <v>3510</v>
      </c>
      <c r="C3414">
        <v>77</v>
      </c>
      <c r="D3414">
        <v>245.126</v>
      </c>
      <c r="E3414" s="1">
        <f>5347</f>
        <v>5347</v>
      </c>
      <c r="F3414" s="1">
        <f>1616</f>
        <v>1616</v>
      </c>
      <c r="G3414">
        <v>1</v>
      </c>
      <c r="H3414">
        <v>0.2</v>
      </c>
      <c r="I3414">
        <v>0</v>
      </c>
      <c r="J3414">
        <v>54.884799999999998</v>
      </c>
      <c r="K3414">
        <v>528.827</v>
      </c>
      <c r="L3414">
        <v>0</v>
      </c>
    </row>
    <row r="3415" spans="1:12" x14ac:dyDescent="0.25">
      <c r="A3415">
        <f>80740428*0.00001</f>
        <v>807.40428000000009</v>
      </c>
      <c r="B3415">
        <v>3510</v>
      </c>
      <c r="C3415">
        <v>78</v>
      </c>
      <c r="D3415">
        <v>245.126</v>
      </c>
      <c r="E3415">
        <v>5347</v>
      </c>
      <c r="F3415">
        <v>1616</v>
      </c>
      <c r="G3415">
        <v>1</v>
      </c>
      <c r="H3415" s="1">
        <f>0.2</f>
        <v>0.2</v>
      </c>
      <c r="I3415">
        <v>0</v>
      </c>
      <c r="J3415">
        <v>54.884799999999998</v>
      </c>
      <c r="K3415">
        <v>528.827</v>
      </c>
      <c r="L3415">
        <v>0</v>
      </c>
    </row>
    <row r="3416" spans="1:12" x14ac:dyDescent="0.25">
      <c r="A3416">
        <f>80740563*0.00001</f>
        <v>807.40563000000009</v>
      </c>
      <c r="B3416">
        <v>3510</v>
      </c>
      <c r="C3416">
        <v>79</v>
      </c>
      <c r="D3416">
        <v>245.126</v>
      </c>
      <c r="E3416">
        <v>5347</v>
      </c>
      <c r="F3416">
        <v>1616</v>
      </c>
      <c r="G3416">
        <v>1</v>
      </c>
      <c r="H3416">
        <v>0.2</v>
      </c>
      <c r="I3416">
        <v>0</v>
      </c>
      <c r="J3416" s="1">
        <f>54.8454</f>
        <v>54.845399999999998</v>
      </c>
      <c r="K3416">
        <v>528.827</v>
      </c>
      <c r="L3416">
        <v>0</v>
      </c>
    </row>
    <row r="3417" spans="1:12" x14ac:dyDescent="0.25">
      <c r="A3417">
        <f>80740698*0.00001</f>
        <v>807.40698000000009</v>
      </c>
      <c r="B3417">
        <v>3510</v>
      </c>
      <c r="C3417">
        <v>80</v>
      </c>
      <c r="D3417">
        <v>245.126</v>
      </c>
      <c r="E3417">
        <v>5347</v>
      </c>
      <c r="F3417">
        <v>1616</v>
      </c>
      <c r="G3417">
        <v>1</v>
      </c>
      <c r="H3417">
        <v>0.2</v>
      </c>
      <c r="I3417">
        <v>0</v>
      </c>
      <c r="J3417">
        <v>54.845399999999998</v>
      </c>
      <c r="K3417">
        <v>528.827</v>
      </c>
      <c r="L3417" s="1">
        <f>0</f>
        <v>0</v>
      </c>
    </row>
    <row r="3418" spans="1:12" x14ac:dyDescent="0.25">
      <c r="A3418">
        <f>80740833*0.00001</f>
        <v>807.40833000000009</v>
      </c>
      <c r="B3418">
        <v>3510</v>
      </c>
      <c r="C3418">
        <v>81</v>
      </c>
      <c r="D3418">
        <v>245.126</v>
      </c>
      <c r="E3418" s="1">
        <f>5346</f>
        <v>5346</v>
      </c>
      <c r="F3418">
        <v>1616</v>
      </c>
      <c r="G3418">
        <v>1</v>
      </c>
      <c r="H3418">
        <v>0.2</v>
      </c>
      <c r="I3418">
        <v>0</v>
      </c>
      <c r="J3418">
        <v>54.845399999999998</v>
      </c>
      <c r="K3418">
        <v>528.827</v>
      </c>
      <c r="L3418">
        <v>0</v>
      </c>
    </row>
    <row r="3419" spans="1:12" x14ac:dyDescent="0.25">
      <c r="A3419">
        <f>80740969*0.00001</f>
        <v>807.40969000000007</v>
      </c>
      <c r="B3419">
        <v>3510</v>
      </c>
      <c r="C3419">
        <v>82</v>
      </c>
      <c r="D3419">
        <v>245.126</v>
      </c>
      <c r="E3419">
        <v>5346</v>
      </c>
      <c r="F3419">
        <v>1616</v>
      </c>
      <c r="G3419" s="1">
        <f>1</f>
        <v>1</v>
      </c>
      <c r="H3419">
        <v>0.2</v>
      </c>
      <c r="I3419">
        <v>0</v>
      </c>
      <c r="J3419">
        <v>54.845399999999998</v>
      </c>
      <c r="K3419">
        <v>528.827</v>
      </c>
      <c r="L3419">
        <v>0</v>
      </c>
    </row>
    <row r="3420" spans="1:12" x14ac:dyDescent="0.25">
      <c r="A3420">
        <f>80741105*0.00001</f>
        <v>807.41105000000005</v>
      </c>
      <c r="B3420">
        <v>3510</v>
      </c>
      <c r="C3420">
        <v>83</v>
      </c>
      <c r="D3420">
        <v>245.126</v>
      </c>
      <c r="E3420">
        <v>5346</v>
      </c>
      <c r="F3420">
        <v>1616</v>
      </c>
      <c r="G3420">
        <v>1</v>
      </c>
      <c r="H3420">
        <v>0.2</v>
      </c>
      <c r="I3420" s="1">
        <f>0</f>
        <v>0</v>
      </c>
      <c r="J3420">
        <v>54.845399999999998</v>
      </c>
      <c r="K3420">
        <v>528.827</v>
      </c>
      <c r="L3420">
        <v>0</v>
      </c>
    </row>
    <row r="3421" spans="1:12" x14ac:dyDescent="0.25">
      <c r="A3421">
        <f>80741241*0.00001</f>
        <v>807.41241000000002</v>
      </c>
      <c r="B3421">
        <v>3510</v>
      </c>
      <c r="C3421">
        <v>84</v>
      </c>
      <c r="D3421">
        <v>245.126</v>
      </c>
      <c r="E3421">
        <v>5346</v>
      </c>
      <c r="F3421">
        <v>1616</v>
      </c>
      <c r="G3421">
        <v>1</v>
      </c>
      <c r="H3421">
        <v>0.2</v>
      </c>
      <c r="I3421">
        <v>0</v>
      </c>
      <c r="J3421">
        <v>54.845399999999998</v>
      </c>
      <c r="K3421" s="1">
        <f>528.961</f>
        <v>528.96100000000001</v>
      </c>
      <c r="L3421">
        <v>0</v>
      </c>
    </row>
    <row r="3422" spans="1:12" x14ac:dyDescent="0.25">
      <c r="A3422">
        <f>80741377*0.00001</f>
        <v>807.41377000000011</v>
      </c>
      <c r="B3422">
        <v>3510</v>
      </c>
      <c r="C3422">
        <v>85</v>
      </c>
      <c r="D3422" s="1">
        <f>245.2</f>
        <v>245.2</v>
      </c>
      <c r="E3422">
        <v>5346</v>
      </c>
      <c r="F3422">
        <v>1616</v>
      </c>
      <c r="G3422">
        <v>1</v>
      </c>
      <c r="H3422">
        <v>0.2</v>
      </c>
      <c r="I3422">
        <v>0</v>
      </c>
      <c r="J3422">
        <v>54.845399999999998</v>
      </c>
      <c r="K3422">
        <v>528.96100000000001</v>
      </c>
      <c r="L3422">
        <v>0</v>
      </c>
    </row>
    <row r="3423" spans="1:12" x14ac:dyDescent="0.25">
      <c r="A3423">
        <f>80741513*0.00001</f>
        <v>807.41513000000009</v>
      </c>
      <c r="B3423">
        <v>3510</v>
      </c>
      <c r="C3423">
        <v>86</v>
      </c>
      <c r="D3423">
        <v>245.2</v>
      </c>
      <c r="E3423">
        <v>5346</v>
      </c>
      <c r="F3423" s="1">
        <f>1616</f>
        <v>1616</v>
      </c>
      <c r="G3423">
        <v>1</v>
      </c>
      <c r="H3423">
        <v>0.2</v>
      </c>
      <c r="I3423">
        <v>0</v>
      </c>
      <c r="J3423">
        <v>54.845399999999998</v>
      </c>
      <c r="K3423">
        <v>528.96100000000001</v>
      </c>
      <c r="L3423">
        <v>0</v>
      </c>
    </row>
    <row r="3424" spans="1:12" x14ac:dyDescent="0.25">
      <c r="A3424">
        <f>80741648*0.00001</f>
        <v>807.41648000000009</v>
      </c>
      <c r="B3424">
        <v>3510</v>
      </c>
      <c r="C3424">
        <v>87</v>
      </c>
      <c r="D3424">
        <v>245.2</v>
      </c>
      <c r="E3424">
        <v>5346</v>
      </c>
      <c r="F3424">
        <v>1616</v>
      </c>
      <c r="G3424">
        <v>1</v>
      </c>
      <c r="H3424" s="1">
        <f>0.2</f>
        <v>0.2</v>
      </c>
      <c r="I3424">
        <v>0</v>
      </c>
      <c r="J3424">
        <v>54.845399999999998</v>
      </c>
      <c r="K3424">
        <v>528.96100000000001</v>
      </c>
      <c r="L3424">
        <v>0</v>
      </c>
    </row>
    <row r="3425" spans="1:12" x14ac:dyDescent="0.25">
      <c r="A3425">
        <f>80741783*0.00001</f>
        <v>807.41783000000009</v>
      </c>
      <c r="B3425">
        <v>3510</v>
      </c>
      <c r="C3425">
        <v>88</v>
      </c>
      <c r="D3425" s="1">
        <f>245.262</f>
        <v>245.262</v>
      </c>
      <c r="E3425" s="1">
        <f>5345</f>
        <v>5345</v>
      </c>
      <c r="F3425" s="1">
        <f>1616</f>
        <v>1616</v>
      </c>
      <c r="G3425" s="1">
        <f>1</f>
        <v>1</v>
      </c>
      <c r="H3425" s="1">
        <f>0.2</f>
        <v>0.2</v>
      </c>
      <c r="I3425" s="1">
        <f>0</f>
        <v>0</v>
      </c>
      <c r="J3425" s="1">
        <f>54.7415</f>
        <v>54.741500000000002</v>
      </c>
      <c r="K3425" s="1">
        <f>529.155</f>
        <v>529.15499999999997</v>
      </c>
      <c r="L3425" s="1">
        <f>0</f>
        <v>0</v>
      </c>
    </row>
    <row r="3426" spans="1:12" x14ac:dyDescent="0.25">
      <c r="A3426">
        <f>80743545*0.00001</f>
        <v>807.43545000000006</v>
      </c>
      <c r="B3426">
        <v>3510</v>
      </c>
      <c r="C3426">
        <v>101</v>
      </c>
      <c r="D3426">
        <v>245.262</v>
      </c>
      <c r="E3426">
        <v>5345</v>
      </c>
      <c r="F3426">
        <v>1616</v>
      </c>
      <c r="G3426">
        <v>1</v>
      </c>
      <c r="H3426">
        <v>0.2</v>
      </c>
      <c r="I3426" s="1">
        <f>0</f>
        <v>0</v>
      </c>
      <c r="J3426" s="1">
        <f>54.7293</f>
        <v>54.729300000000002</v>
      </c>
      <c r="K3426">
        <v>529.15499999999997</v>
      </c>
      <c r="L3426">
        <v>0</v>
      </c>
    </row>
    <row r="3427" spans="1:12" x14ac:dyDescent="0.25">
      <c r="A3427">
        <f>80743680*0.00001</f>
        <v>807.43680000000006</v>
      </c>
      <c r="B3427">
        <v>3510</v>
      </c>
      <c r="C3427">
        <v>102</v>
      </c>
      <c r="D3427">
        <v>245.262</v>
      </c>
      <c r="E3427">
        <v>5345</v>
      </c>
      <c r="F3427">
        <v>1616</v>
      </c>
      <c r="G3427">
        <v>1</v>
      </c>
      <c r="H3427">
        <v>0.2</v>
      </c>
      <c r="I3427">
        <v>0</v>
      </c>
      <c r="J3427">
        <v>54.729300000000002</v>
      </c>
      <c r="K3427" s="1">
        <f>529.229</f>
        <v>529.22900000000004</v>
      </c>
      <c r="L3427" s="1">
        <f>0</f>
        <v>0</v>
      </c>
    </row>
    <row r="3428" spans="1:12" x14ac:dyDescent="0.25">
      <c r="A3428">
        <f>80743815*0.00001</f>
        <v>807.43815000000006</v>
      </c>
      <c r="B3428">
        <v>3510</v>
      </c>
      <c r="C3428">
        <v>103</v>
      </c>
      <c r="D3428" s="1">
        <f>245.276</f>
        <v>245.27600000000001</v>
      </c>
      <c r="E3428" s="1">
        <f>5345</f>
        <v>5345</v>
      </c>
      <c r="F3428">
        <v>1616</v>
      </c>
      <c r="G3428">
        <v>1</v>
      </c>
      <c r="H3428">
        <v>0.2</v>
      </c>
      <c r="I3428">
        <v>0</v>
      </c>
      <c r="J3428">
        <v>54.729300000000002</v>
      </c>
      <c r="K3428">
        <v>529.22900000000004</v>
      </c>
      <c r="L3428">
        <v>0</v>
      </c>
    </row>
    <row r="3429" spans="1:12" x14ac:dyDescent="0.25">
      <c r="A3429">
        <f>80743950*0.00001</f>
        <v>807.43950000000007</v>
      </c>
      <c r="B3429">
        <v>3510</v>
      </c>
      <c r="C3429">
        <v>104</v>
      </c>
      <c r="D3429">
        <v>245.27600000000001</v>
      </c>
      <c r="E3429">
        <v>5345</v>
      </c>
      <c r="F3429" s="1">
        <f>1616</f>
        <v>1616</v>
      </c>
      <c r="G3429" s="1">
        <f>1</f>
        <v>1</v>
      </c>
      <c r="H3429">
        <v>0.2</v>
      </c>
      <c r="I3429">
        <v>0</v>
      </c>
      <c r="J3429">
        <v>54.729300000000002</v>
      </c>
      <c r="K3429">
        <v>529.22900000000004</v>
      </c>
      <c r="L3429">
        <v>0</v>
      </c>
    </row>
    <row r="3430" spans="1:12" x14ac:dyDescent="0.25">
      <c r="A3430">
        <f>80744085*0.00001</f>
        <v>807.44085000000007</v>
      </c>
      <c r="B3430">
        <v>3510</v>
      </c>
      <c r="C3430">
        <v>105</v>
      </c>
      <c r="D3430">
        <v>245.27600000000001</v>
      </c>
      <c r="E3430">
        <v>5345</v>
      </c>
      <c r="F3430">
        <v>1616</v>
      </c>
      <c r="G3430">
        <v>1</v>
      </c>
      <c r="H3430" s="1">
        <f>0.2</f>
        <v>0.2</v>
      </c>
      <c r="I3430" s="1">
        <f>0</f>
        <v>0</v>
      </c>
      <c r="J3430">
        <v>54.729300000000002</v>
      </c>
      <c r="K3430">
        <v>529.22900000000004</v>
      </c>
      <c r="L3430">
        <v>0</v>
      </c>
    </row>
    <row r="3431" spans="1:12" x14ac:dyDescent="0.25">
      <c r="A3431">
        <f>80744220*0.00001</f>
        <v>807.44220000000007</v>
      </c>
      <c r="B3431">
        <v>3510</v>
      </c>
      <c r="C3431">
        <v>106</v>
      </c>
      <c r="D3431">
        <v>245.27600000000001</v>
      </c>
      <c r="E3431">
        <v>5345</v>
      </c>
      <c r="F3431">
        <v>1616</v>
      </c>
      <c r="G3431">
        <v>1</v>
      </c>
      <c r="H3431">
        <v>0.2</v>
      </c>
      <c r="I3431">
        <v>0</v>
      </c>
      <c r="J3431" s="1">
        <f>54.7168</f>
        <v>54.716799999999999</v>
      </c>
      <c r="K3431" s="1">
        <f>529.289</f>
        <v>529.28899999999999</v>
      </c>
      <c r="L3431">
        <v>0</v>
      </c>
    </row>
    <row r="3432" spans="1:12" x14ac:dyDescent="0.25">
      <c r="A3432">
        <f>80744355*0.00001</f>
        <v>807.44355000000007</v>
      </c>
      <c r="B3432">
        <v>3510</v>
      </c>
      <c r="C3432">
        <v>107</v>
      </c>
      <c r="D3432" s="1">
        <f>245.285</f>
        <v>245.285</v>
      </c>
      <c r="E3432">
        <v>5345</v>
      </c>
      <c r="F3432">
        <v>1616</v>
      </c>
      <c r="G3432">
        <v>1</v>
      </c>
      <c r="H3432">
        <v>0.2</v>
      </c>
      <c r="I3432">
        <v>0</v>
      </c>
      <c r="J3432">
        <v>54.716799999999999</v>
      </c>
      <c r="K3432">
        <v>529.28899999999999</v>
      </c>
      <c r="L3432" s="1">
        <f>0</f>
        <v>0</v>
      </c>
    </row>
    <row r="3433" spans="1:12" x14ac:dyDescent="0.25">
      <c r="A3433">
        <f>80744490*0.00001</f>
        <v>807.44490000000008</v>
      </c>
      <c r="B3433">
        <v>3510</v>
      </c>
      <c r="C3433">
        <v>108</v>
      </c>
      <c r="D3433">
        <v>245.285</v>
      </c>
      <c r="E3433" s="1">
        <f>5345</f>
        <v>5345</v>
      </c>
      <c r="F3433" s="1">
        <f>1616</f>
        <v>1616</v>
      </c>
      <c r="G3433">
        <v>1</v>
      </c>
      <c r="H3433">
        <v>0.2</v>
      </c>
      <c r="I3433">
        <v>0</v>
      </c>
      <c r="J3433">
        <v>54.716799999999999</v>
      </c>
      <c r="K3433">
        <v>529.28899999999999</v>
      </c>
      <c r="L3433">
        <v>0</v>
      </c>
    </row>
    <row r="3434" spans="1:12" x14ac:dyDescent="0.25">
      <c r="A3434">
        <f>80744625*0.00001</f>
        <v>807.44625000000008</v>
      </c>
      <c r="B3434">
        <v>3510</v>
      </c>
      <c r="C3434">
        <v>109</v>
      </c>
      <c r="D3434">
        <v>245.285</v>
      </c>
      <c r="E3434">
        <v>5345</v>
      </c>
      <c r="F3434">
        <v>1616</v>
      </c>
      <c r="G3434" s="1">
        <f>1</f>
        <v>1</v>
      </c>
      <c r="H3434" s="1">
        <f>0.2</f>
        <v>0.2</v>
      </c>
      <c r="I3434">
        <v>0</v>
      </c>
      <c r="J3434">
        <v>54.716799999999999</v>
      </c>
      <c r="K3434">
        <v>529.28899999999999</v>
      </c>
      <c r="L3434">
        <v>0</v>
      </c>
    </row>
    <row r="3435" spans="1:12" x14ac:dyDescent="0.25">
      <c r="A3435">
        <f>80744761*0.00001</f>
        <v>807.44761000000005</v>
      </c>
      <c r="B3435">
        <v>3510</v>
      </c>
      <c r="C3435">
        <v>110</v>
      </c>
      <c r="D3435">
        <v>245.285</v>
      </c>
      <c r="E3435">
        <v>5345</v>
      </c>
      <c r="F3435">
        <v>1616</v>
      </c>
      <c r="G3435">
        <v>1</v>
      </c>
      <c r="H3435">
        <v>0.2</v>
      </c>
      <c r="I3435">
        <v>0</v>
      </c>
      <c r="J3435" s="1">
        <f>54.7091</f>
        <v>54.709099999999999</v>
      </c>
      <c r="K3435">
        <v>529.28899999999999</v>
      </c>
      <c r="L3435">
        <v>0</v>
      </c>
    </row>
    <row r="3436" spans="1:12" x14ac:dyDescent="0.25">
      <c r="A3436">
        <f>80744897*0.00001</f>
        <v>807.44897000000003</v>
      </c>
      <c r="B3436">
        <v>3510</v>
      </c>
      <c r="C3436">
        <v>111</v>
      </c>
      <c r="D3436">
        <v>245.285</v>
      </c>
      <c r="E3436">
        <v>5345</v>
      </c>
      <c r="F3436">
        <v>1616</v>
      </c>
      <c r="G3436">
        <v>1</v>
      </c>
      <c r="H3436">
        <v>0.2</v>
      </c>
      <c r="I3436">
        <v>0</v>
      </c>
      <c r="J3436">
        <v>54.709099999999999</v>
      </c>
      <c r="K3436">
        <v>529.28899999999999</v>
      </c>
      <c r="L3436" s="1">
        <f>0</f>
        <v>0</v>
      </c>
    </row>
    <row r="3437" spans="1:12" x14ac:dyDescent="0.25">
      <c r="A3437">
        <f>80745033*0.00001</f>
        <v>807.45033000000012</v>
      </c>
      <c r="B3437">
        <v>3510</v>
      </c>
      <c r="C3437">
        <v>112</v>
      </c>
      <c r="D3437">
        <v>245.285</v>
      </c>
      <c r="E3437" s="1">
        <f>5345</f>
        <v>5345</v>
      </c>
      <c r="F3437">
        <v>1616</v>
      </c>
      <c r="G3437">
        <v>1</v>
      </c>
      <c r="H3437">
        <v>0.2</v>
      </c>
      <c r="I3437">
        <v>0</v>
      </c>
      <c r="J3437">
        <v>54.709099999999999</v>
      </c>
      <c r="K3437">
        <v>529.28899999999999</v>
      </c>
      <c r="L3437">
        <v>0</v>
      </c>
    </row>
    <row r="3438" spans="1:12" x14ac:dyDescent="0.25">
      <c r="A3438">
        <f>80745169*0.00001</f>
        <v>807.4516900000001</v>
      </c>
      <c r="B3438">
        <v>3510</v>
      </c>
      <c r="C3438">
        <v>113</v>
      </c>
      <c r="D3438">
        <v>245.285</v>
      </c>
      <c r="E3438">
        <v>5345</v>
      </c>
      <c r="F3438">
        <v>1616</v>
      </c>
      <c r="G3438" s="1">
        <f>1</f>
        <v>1</v>
      </c>
      <c r="H3438">
        <v>0.2</v>
      </c>
      <c r="I3438">
        <v>0</v>
      </c>
      <c r="J3438">
        <v>54.709099999999999</v>
      </c>
      <c r="K3438">
        <v>529.28899999999999</v>
      </c>
      <c r="L3438">
        <v>0</v>
      </c>
    </row>
    <row r="3439" spans="1:12" x14ac:dyDescent="0.25">
      <c r="A3439">
        <f>80745305*0.00001</f>
        <v>807.45305000000008</v>
      </c>
      <c r="B3439">
        <v>3510</v>
      </c>
      <c r="C3439">
        <v>114</v>
      </c>
      <c r="D3439">
        <v>245.285</v>
      </c>
      <c r="E3439">
        <v>5345</v>
      </c>
      <c r="F3439">
        <v>1616</v>
      </c>
      <c r="G3439">
        <v>1</v>
      </c>
      <c r="H3439">
        <v>0.2</v>
      </c>
      <c r="I3439" s="1">
        <f>0</f>
        <v>0</v>
      </c>
      <c r="J3439">
        <v>54.709099999999999</v>
      </c>
      <c r="K3439">
        <v>529.28899999999999</v>
      </c>
      <c r="L3439">
        <v>0</v>
      </c>
    </row>
    <row r="3440" spans="1:12" x14ac:dyDescent="0.25">
      <c r="A3440">
        <f>80745441*0.00001</f>
        <v>807.45441000000005</v>
      </c>
      <c r="B3440">
        <v>3510</v>
      </c>
      <c r="C3440">
        <v>115</v>
      </c>
      <c r="D3440">
        <v>245.285</v>
      </c>
      <c r="E3440">
        <v>5345</v>
      </c>
      <c r="F3440">
        <v>1616</v>
      </c>
      <c r="G3440">
        <v>1</v>
      </c>
      <c r="H3440">
        <v>0.2</v>
      </c>
      <c r="I3440">
        <v>0</v>
      </c>
      <c r="J3440">
        <v>54.709099999999999</v>
      </c>
      <c r="K3440" s="1">
        <f>529.422</f>
        <v>529.42200000000003</v>
      </c>
      <c r="L3440">
        <v>0</v>
      </c>
    </row>
    <row r="3441" spans="1:12" x14ac:dyDescent="0.25">
      <c r="A3441">
        <f>80745576*0.00001</f>
        <v>807.45576000000005</v>
      </c>
      <c r="B3441">
        <v>3510</v>
      </c>
      <c r="C3441">
        <v>116</v>
      </c>
      <c r="D3441" s="1">
        <f>245.3</f>
        <v>245.3</v>
      </c>
      <c r="E3441">
        <v>5345</v>
      </c>
      <c r="F3441">
        <v>1616</v>
      </c>
      <c r="G3441">
        <v>1</v>
      </c>
      <c r="H3441">
        <v>0.2</v>
      </c>
      <c r="I3441">
        <v>0</v>
      </c>
      <c r="J3441">
        <v>54.709099999999999</v>
      </c>
      <c r="K3441">
        <v>529.42200000000003</v>
      </c>
      <c r="L3441">
        <v>0</v>
      </c>
    </row>
    <row r="3442" spans="1:12" x14ac:dyDescent="0.25">
      <c r="A3442">
        <f>80745711*0.00001</f>
        <v>807.45711000000006</v>
      </c>
      <c r="B3442">
        <v>3510</v>
      </c>
      <c r="C3442">
        <v>117</v>
      </c>
      <c r="D3442">
        <v>245.3</v>
      </c>
      <c r="E3442">
        <v>5345</v>
      </c>
      <c r="F3442" s="1">
        <f>1616</f>
        <v>1616</v>
      </c>
      <c r="G3442">
        <v>1</v>
      </c>
      <c r="H3442">
        <v>0.2</v>
      </c>
      <c r="I3442">
        <v>0</v>
      </c>
      <c r="J3442">
        <v>54.709099999999999</v>
      </c>
      <c r="K3442">
        <v>529.42200000000003</v>
      </c>
      <c r="L3442">
        <v>0</v>
      </c>
    </row>
    <row r="3443" spans="1:12" x14ac:dyDescent="0.25">
      <c r="A3443">
        <f>80745846*0.00001</f>
        <v>807.45846000000006</v>
      </c>
      <c r="B3443">
        <v>3510</v>
      </c>
      <c r="C3443">
        <v>118</v>
      </c>
      <c r="D3443">
        <v>245.3</v>
      </c>
      <c r="E3443">
        <v>5345</v>
      </c>
      <c r="F3443">
        <v>1616</v>
      </c>
      <c r="G3443">
        <v>1</v>
      </c>
      <c r="H3443" s="1">
        <f>0.2</f>
        <v>0.2</v>
      </c>
      <c r="I3443">
        <v>0</v>
      </c>
      <c r="J3443">
        <v>54.709099999999999</v>
      </c>
      <c r="K3443">
        <v>529.42200000000003</v>
      </c>
      <c r="L3443">
        <v>0</v>
      </c>
    </row>
    <row r="3444" spans="1:12" x14ac:dyDescent="0.25">
      <c r="A3444">
        <f>80745981*0.00001</f>
        <v>807.45981000000006</v>
      </c>
      <c r="B3444">
        <v>3510</v>
      </c>
      <c r="C3444">
        <v>119</v>
      </c>
      <c r="D3444" s="1">
        <f>245.313</f>
        <v>245.31299999999999</v>
      </c>
      <c r="E3444" s="1">
        <f>5346</f>
        <v>5346</v>
      </c>
      <c r="F3444" s="1">
        <f>1616</f>
        <v>1616</v>
      </c>
      <c r="G3444" s="1">
        <f>1</f>
        <v>1</v>
      </c>
      <c r="H3444" s="1">
        <f>0.2</f>
        <v>0.2</v>
      </c>
      <c r="I3444" s="1">
        <f>0</f>
        <v>0</v>
      </c>
      <c r="J3444" s="1">
        <f>54.6883</f>
        <v>54.688299999999998</v>
      </c>
      <c r="K3444" s="1">
        <f>529.63</f>
        <v>529.63</v>
      </c>
      <c r="L3444" s="1">
        <f>0</f>
        <v>0</v>
      </c>
    </row>
    <row r="3445" spans="1:12" x14ac:dyDescent="0.25">
      <c r="A3445">
        <f>80747608*0.00001</f>
        <v>807.47608000000002</v>
      </c>
      <c r="B3445">
        <v>3510</v>
      </c>
      <c r="C3445">
        <v>131</v>
      </c>
      <c r="D3445">
        <v>245.31299999999999</v>
      </c>
      <c r="E3445">
        <v>5346</v>
      </c>
      <c r="F3445" s="1">
        <f>1616</f>
        <v>1616</v>
      </c>
      <c r="G3445" s="1">
        <f>1</f>
        <v>1</v>
      </c>
      <c r="H3445">
        <v>0.2</v>
      </c>
      <c r="I3445">
        <v>0</v>
      </c>
      <c r="J3445">
        <v>54.688299999999998</v>
      </c>
      <c r="K3445">
        <v>529.63</v>
      </c>
      <c r="L3445">
        <v>0</v>
      </c>
    </row>
    <row r="3446" spans="1:12" x14ac:dyDescent="0.25">
      <c r="A3446">
        <f>80747743*0.00001</f>
        <v>807.47743000000003</v>
      </c>
      <c r="B3446">
        <v>3510</v>
      </c>
      <c r="C3446">
        <v>132</v>
      </c>
      <c r="D3446">
        <v>245.31299999999999</v>
      </c>
      <c r="E3446">
        <v>5346</v>
      </c>
      <c r="F3446">
        <v>1616</v>
      </c>
      <c r="G3446">
        <v>1</v>
      </c>
      <c r="H3446" s="1">
        <f>0.2</f>
        <v>0.2</v>
      </c>
      <c r="I3446" s="1">
        <f>0</f>
        <v>0</v>
      </c>
      <c r="J3446">
        <v>54.688299999999998</v>
      </c>
      <c r="K3446">
        <v>529.63</v>
      </c>
      <c r="L3446">
        <v>0</v>
      </c>
    </row>
    <row r="3447" spans="1:12" x14ac:dyDescent="0.25">
      <c r="A3447">
        <f>80747878*0.00001</f>
        <v>807.47878000000003</v>
      </c>
      <c r="B3447">
        <v>3510</v>
      </c>
      <c r="C3447">
        <v>133</v>
      </c>
      <c r="D3447">
        <v>245.31299999999999</v>
      </c>
      <c r="E3447">
        <v>5346</v>
      </c>
      <c r="F3447">
        <v>1616</v>
      </c>
      <c r="G3447">
        <v>1</v>
      </c>
      <c r="H3447">
        <v>0.2</v>
      </c>
      <c r="I3447">
        <v>0</v>
      </c>
      <c r="J3447" s="1">
        <f>54.6854</f>
        <v>54.685400000000001</v>
      </c>
      <c r="K3447" s="1">
        <f>529.689</f>
        <v>529.68899999999996</v>
      </c>
      <c r="L3447">
        <v>0</v>
      </c>
    </row>
    <row r="3448" spans="1:12" x14ac:dyDescent="0.25">
      <c r="A3448">
        <f>80748013*0.00001</f>
        <v>807.48013000000003</v>
      </c>
      <c r="B3448">
        <v>3510</v>
      </c>
      <c r="C3448">
        <v>134</v>
      </c>
      <c r="D3448" s="1">
        <f>245.315</f>
        <v>245.315</v>
      </c>
      <c r="E3448">
        <v>5346</v>
      </c>
      <c r="F3448">
        <v>1616</v>
      </c>
      <c r="G3448">
        <v>1</v>
      </c>
      <c r="H3448">
        <v>0.2</v>
      </c>
      <c r="I3448">
        <v>0</v>
      </c>
      <c r="J3448">
        <v>54.685400000000001</v>
      </c>
      <c r="K3448">
        <v>529.68899999999996</v>
      </c>
      <c r="L3448" s="1">
        <f>0</f>
        <v>0</v>
      </c>
    </row>
    <row r="3449" spans="1:12" x14ac:dyDescent="0.25">
      <c r="A3449">
        <f>80748148*0.00001</f>
        <v>807.48148000000003</v>
      </c>
      <c r="B3449">
        <v>3510</v>
      </c>
      <c r="C3449">
        <v>135</v>
      </c>
      <c r="D3449">
        <v>245.315</v>
      </c>
      <c r="E3449" s="1">
        <f>5346</f>
        <v>5346</v>
      </c>
      <c r="F3449" s="1">
        <f>1616</f>
        <v>1616</v>
      </c>
      <c r="G3449">
        <v>1</v>
      </c>
      <c r="H3449">
        <v>0.2</v>
      </c>
      <c r="I3449">
        <v>0</v>
      </c>
      <c r="J3449">
        <v>54.685400000000001</v>
      </c>
      <c r="K3449">
        <v>529.68899999999996</v>
      </c>
      <c r="L3449">
        <v>0</v>
      </c>
    </row>
    <row r="3450" spans="1:12" x14ac:dyDescent="0.25">
      <c r="A3450">
        <f>80748283*0.00001</f>
        <v>807.48283000000004</v>
      </c>
      <c r="B3450">
        <v>3510</v>
      </c>
      <c r="C3450">
        <v>136</v>
      </c>
      <c r="D3450">
        <v>245.315</v>
      </c>
      <c r="E3450">
        <v>5346</v>
      </c>
      <c r="F3450">
        <v>1616</v>
      </c>
      <c r="G3450" s="1">
        <f>1</f>
        <v>1</v>
      </c>
      <c r="H3450" s="1">
        <f>0.2</f>
        <v>0.2</v>
      </c>
      <c r="I3450">
        <v>0</v>
      </c>
      <c r="J3450">
        <v>54.685400000000001</v>
      </c>
      <c r="K3450">
        <v>529.68899999999996</v>
      </c>
      <c r="L3450">
        <v>0</v>
      </c>
    </row>
    <row r="3451" spans="1:12" x14ac:dyDescent="0.25">
      <c r="A3451">
        <f>80748418*0.00001</f>
        <v>807.48418000000004</v>
      </c>
      <c r="B3451">
        <v>3510</v>
      </c>
      <c r="C3451">
        <v>137</v>
      </c>
      <c r="D3451">
        <v>245.315</v>
      </c>
      <c r="E3451">
        <v>5346</v>
      </c>
      <c r="F3451">
        <v>1616</v>
      </c>
      <c r="G3451">
        <v>1</v>
      </c>
      <c r="H3451">
        <v>0.2</v>
      </c>
      <c r="I3451" s="1">
        <f>0</f>
        <v>0</v>
      </c>
      <c r="J3451" s="1">
        <f>54.6833</f>
        <v>54.683300000000003</v>
      </c>
      <c r="K3451">
        <v>529.68899999999996</v>
      </c>
      <c r="L3451">
        <v>0</v>
      </c>
    </row>
    <row r="3452" spans="1:12" x14ac:dyDescent="0.25">
      <c r="A3452">
        <f>80748553*0.00001</f>
        <v>807.48553000000004</v>
      </c>
      <c r="B3452">
        <v>3510</v>
      </c>
      <c r="C3452">
        <v>138</v>
      </c>
      <c r="D3452">
        <v>245.315</v>
      </c>
      <c r="E3452">
        <v>5346</v>
      </c>
      <c r="F3452">
        <v>1616</v>
      </c>
      <c r="G3452">
        <v>1</v>
      </c>
      <c r="H3452">
        <v>0.2</v>
      </c>
      <c r="I3452">
        <v>0</v>
      </c>
      <c r="J3452">
        <v>54.683300000000003</v>
      </c>
      <c r="K3452" s="1">
        <f>529.764</f>
        <v>529.76400000000001</v>
      </c>
      <c r="L3452" s="1">
        <f>0</f>
        <v>0</v>
      </c>
    </row>
    <row r="3453" spans="1:12" x14ac:dyDescent="0.25">
      <c r="A3453">
        <f>80748689*0.00001</f>
        <v>807.48689000000002</v>
      </c>
      <c r="B3453">
        <v>3510</v>
      </c>
      <c r="C3453">
        <v>139</v>
      </c>
      <c r="D3453" s="1">
        <f>245.318</f>
        <v>245.31800000000001</v>
      </c>
      <c r="E3453" s="1">
        <f>5347</f>
        <v>5347</v>
      </c>
      <c r="F3453">
        <v>1616</v>
      </c>
      <c r="G3453">
        <v>1</v>
      </c>
      <c r="H3453">
        <v>0.2</v>
      </c>
      <c r="I3453">
        <v>0</v>
      </c>
      <c r="J3453">
        <v>54.683300000000003</v>
      </c>
      <c r="K3453">
        <v>529.76400000000001</v>
      </c>
      <c r="L3453">
        <v>0</v>
      </c>
    </row>
    <row r="3454" spans="1:12" x14ac:dyDescent="0.25">
      <c r="A3454">
        <f>80748825*0.00001</f>
        <v>807.48825000000011</v>
      </c>
      <c r="B3454">
        <v>3510</v>
      </c>
      <c r="C3454">
        <v>140</v>
      </c>
      <c r="D3454">
        <v>245.31800000000001</v>
      </c>
      <c r="E3454">
        <v>5347</v>
      </c>
      <c r="F3454" s="1">
        <f>1616</f>
        <v>1616</v>
      </c>
      <c r="G3454" s="1">
        <f>1</f>
        <v>1</v>
      </c>
      <c r="H3454">
        <v>0.2</v>
      </c>
      <c r="I3454">
        <v>0</v>
      </c>
      <c r="J3454">
        <v>54.683300000000003</v>
      </c>
      <c r="K3454">
        <v>529.76400000000001</v>
      </c>
      <c r="L3454">
        <v>0</v>
      </c>
    </row>
    <row r="3455" spans="1:12" x14ac:dyDescent="0.25">
      <c r="A3455">
        <f>80748961*0.00001</f>
        <v>807.48961000000008</v>
      </c>
      <c r="B3455">
        <v>3510</v>
      </c>
      <c r="C3455">
        <v>141</v>
      </c>
      <c r="D3455">
        <v>245.31800000000001</v>
      </c>
      <c r="E3455">
        <v>5347</v>
      </c>
      <c r="F3455">
        <v>1616</v>
      </c>
      <c r="G3455">
        <v>1</v>
      </c>
      <c r="H3455">
        <v>0.2</v>
      </c>
      <c r="I3455" s="1">
        <f>0</f>
        <v>0</v>
      </c>
      <c r="J3455">
        <v>54.683300000000003</v>
      </c>
      <c r="K3455">
        <v>529.76400000000001</v>
      </c>
      <c r="L3455">
        <v>0</v>
      </c>
    </row>
    <row r="3456" spans="1:12" x14ac:dyDescent="0.25">
      <c r="A3456">
        <f>80749096*0.00001</f>
        <v>807.49096000000009</v>
      </c>
      <c r="B3456">
        <v>3510</v>
      </c>
      <c r="C3456">
        <v>142</v>
      </c>
      <c r="D3456">
        <v>245.31800000000001</v>
      </c>
      <c r="E3456">
        <v>5347</v>
      </c>
      <c r="F3456">
        <v>1616</v>
      </c>
      <c r="G3456">
        <v>1</v>
      </c>
      <c r="H3456">
        <v>0.2</v>
      </c>
      <c r="I3456">
        <v>0</v>
      </c>
      <c r="J3456">
        <v>54.683300000000003</v>
      </c>
      <c r="K3456" s="1">
        <f>529.823</f>
        <v>529.82299999999998</v>
      </c>
      <c r="L3456">
        <v>0</v>
      </c>
    </row>
    <row r="3457" spans="1:12" x14ac:dyDescent="0.25">
      <c r="A3457">
        <f>80749231*0.00001</f>
        <v>807.49231000000009</v>
      </c>
      <c r="B3457">
        <v>3510</v>
      </c>
      <c r="C3457">
        <v>143</v>
      </c>
      <c r="D3457" s="1">
        <f>245.362</f>
        <v>245.36199999999999</v>
      </c>
      <c r="E3457">
        <v>5347</v>
      </c>
      <c r="F3457">
        <v>1616</v>
      </c>
      <c r="G3457">
        <v>1</v>
      </c>
      <c r="H3457">
        <v>0.2</v>
      </c>
      <c r="I3457">
        <v>0</v>
      </c>
      <c r="J3457">
        <v>54.683300000000003</v>
      </c>
      <c r="K3457">
        <v>529.82299999999998</v>
      </c>
      <c r="L3457">
        <v>0</v>
      </c>
    </row>
    <row r="3458" spans="1:12" x14ac:dyDescent="0.25">
      <c r="A3458">
        <f>80749366*0.00001</f>
        <v>807.49366000000009</v>
      </c>
      <c r="B3458">
        <v>3510</v>
      </c>
      <c r="C3458">
        <v>144</v>
      </c>
      <c r="D3458">
        <v>245.36199999999999</v>
      </c>
      <c r="E3458">
        <v>5347</v>
      </c>
      <c r="F3458" s="1">
        <f>1616</f>
        <v>1616</v>
      </c>
      <c r="G3458">
        <v>1</v>
      </c>
      <c r="H3458">
        <v>0.2</v>
      </c>
      <c r="I3458">
        <v>0</v>
      </c>
      <c r="J3458">
        <v>54.683300000000003</v>
      </c>
      <c r="K3458">
        <v>529.82299999999998</v>
      </c>
      <c r="L3458">
        <v>0</v>
      </c>
    </row>
    <row r="3459" spans="1:12" x14ac:dyDescent="0.25">
      <c r="A3459">
        <f>80749502*0.00001</f>
        <v>807.49502000000007</v>
      </c>
      <c r="B3459">
        <v>3510</v>
      </c>
      <c r="C3459">
        <v>145</v>
      </c>
      <c r="D3459">
        <v>245.36199999999999</v>
      </c>
      <c r="E3459">
        <v>5347</v>
      </c>
      <c r="F3459">
        <v>1616</v>
      </c>
      <c r="G3459">
        <v>1</v>
      </c>
      <c r="H3459" s="1">
        <f>0.2</f>
        <v>0.2</v>
      </c>
      <c r="I3459">
        <v>0</v>
      </c>
      <c r="J3459">
        <v>54.683300000000003</v>
      </c>
      <c r="K3459">
        <v>529.82299999999998</v>
      </c>
      <c r="L3459">
        <v>0</v>
      </c>
    </row>
    <row r="3460" spans="1:12" x14ac:dyDescent="0.25">
      <c r="A3460">
        <f>80749637*0.00001</f>
        <v>807.49637000000007</v>
      </c>
      <c r="B3460">
        <v>3510</v>
      </c>
      <c r="C3460">
        <v>146</v>
      </c>
      <c r="D3460">
        <v>245.36199999999999</v>
      </c>
      <c r="E3460">
        <v>5347</v>
      </c>
      <c r="F3460">
        <v>1616</v>
      </c>
      <c r="G3460">
        <v>1</v>
      </c>
      <c r="H3460">
        <v>0.2</v>
      </c>
      <c r="I3460">
        <v>0</v>
      </c>
      <c r="J3460" s="1">
        <f>54.5913</f>
        <v>54.591299999999997</v>
      </c>
      <c r="K3460">
        <v>529.82299999999998</v>
      </c>
      <c r="L3460">
        <v>0</v>
      </c>
    </row>
    <row r="3461" spans="1:12" x14ac:dyDescent="0.25">
      <c r="A3461">
        <f>80749772*0.00001</f>
        <v>807.49772000000007</v>
      </c>
      <c r="B3461">
        <v>3510</v>
      </c>
      <c r="C3461">
        <v>147</v>
      </c>
      <c r="D3461">
        <v>245.36199999999999</v>
      </c>
      <c r="E3461">
        <v>5347</v>
      </c>
      <c r="F3461">
        <v>1616</v>
      </c>
      <c r="G3461">
        <v>1</v>
      </c>
      <c r="H3461">
        <v>0.2</v>
      </c>
      <c r="I3461">
        <v>0</v>
      </c>
      <c r="J3461">
        <v>54.591299999999997</v>
      </c>
      <c r="K3461">
        <v>529.82299999999998</v>
      </c>
      <c r="L3461" s="1">
        <f>0</f>
        <v>0</v>
      </c>
    </row>
    <row r="3462" spans="1:12" x14ac:dyDescent="0.25">
      <c r="A3462">
        <f>80749907*0.00001</f>
        <v>807.49907000000007</v>
      </c>
      <c r="B3462">
        <v>3510</v>
      </c>
      <c r="C3462">
        <v>148</v>
      </c>
      <c r="D3462">
        <v>245.36199999999999</v>
      </c>
      <c r="E3462" s="1">
        <f>5344</f>
        <v>5344</v>
      </c>
      <c r="F3462">
        <v>1616</v>
      </c>
      <c r="G3462">
        <v>1</v>
      </c>
      <c r="H3462">
        <v>0.2</v>
      </c>
      <c r="I3462">
        <v>0</v>
      </c>
      <c r="J3462">
        <v>54.591299999999997</v>
      </c>
      <c r="K3462">
        <v>529.82299999999998</v>
      </c>
      <c r="L3462">
        <v>0</v>
      </c>
    </row>
    <row r="3463" spans="1:12" x14ac:dyDescent="0.25">
      <c r="A3463">
        <f>80750042*0.00001</f>
        <v>807.50042000000008</v>
      </c>
      <c r="B3463">
        <v>3510</v>
      </c>
      <c r="C3463">
        <v>149</v>
      </c>
      <c r="D3463">
        <v>245.36199999999999</v>
      </c>
      <c r="E3463">
        <v>5344</v>
      </c>
      <c r="F3463">
        <v>1616</v>
      </c>
      <c r="G3463" s="1">
        <f>1</f>
        <v>1</v>
      </c>
      <c r="H3463">
        <v>0.2</v>
      </c>
      <c r="I3463">
        <v>0</v>
      </c>
      <c r="J3463">
        <v>54.591299999999997</v>
      </c>
      <c r="K3463">
        <v>529.82299999999998</v>
      </c>
      <c r="L3463">
        <v>0</v>
      </c>
    </row>
    <row r="3464" spans="1:12" x14ac:dyDescent="0.25">
      <c r="A3464">
        <f>80750177*0.00001</f>
        <v>807.50177000000008</v>
      </c>
      <c r="B3464">
        <v>3510</v>
      </c>
      <c r="C3464">
        <v>150</v>
      </c>
      <c r="D3464">
        <v>245.36199999999999</v>
      </c>
      <c r="E3464">
        <v>5344</v>
      </c>
      <c r="F3464">
        <v>1616</v>
      </c>
      <c r="G3464">
        <v>1</v>
      </c>
      <c r="H3464">
        <v>0.2</v>
      </c>
      <c r="I3464" s="1">
        <f>0</f>
        <v>0</v>
      </c>
      <c r="J3464">
        <v>54.591299999999997</v>
      </c>
      <c r="K3464">
        <v>529.82299999999998</v>
      </c>
      <c r="L3464">
        <v>0</v>
      </c>
    </row>
    <row r="3465" spans="1:12" x14ac:dyDescent="0.25">
      <c r="A3465">
        <f>80750312*0.00001</f>
        <v>807.50312000000008</v>
      </c>
      <c r="B3465">
        <v>3510</v>
      </c>
      <c r="C3465">
        <v>151</v>
      </c>
      <c r="D3465" s="1">
        <f>245.558</f>
        <v>245.55799999999999</v>
      </c>
      <c r="E3465" s="1">
        <f>5342</f>
        <v>5342</v>
      </c>
      <c r="F3465" s="1">
        <f>1616</f>
        <v>1616</v>
      </c>
      <c r="G3465" s="1">
        <f>1</f>
        <v>1</v>
      </c>
      <c r="H3465" s="1">
        <f>0.2</f>
        <v>0.2</v>
      </c>
      <c r="I3465" s="1">
        <f>0</f>
        <v>0</v>
      </c>
      <c r="J3465" s="1">
        <f>54.4233</f>
        <v>54.423299999999998</v>
      </c>
      <c r="K3465" s="1">
        <f>530.148</f>
        <v>530.14800000000002</v>
      </c>
      <c r="L3465" s="1">
        <f>0</f>
        <v>0</v>
      </c>
    </row>
    <row r="3466" spans="1:12" x14ac:dyDescent="0.25">
      <c r="A3466">
        <f>80752205*0.00001</f>
        <v>807.52205000000004</v>
      </c>
      <c r="B3466">
        <v>3510</v>
      </c>
      <c r="C3466">
        <v>165</v>
      </c>
      <c r="D3466" s="1">
        <f>245.582</f>
        <v>245.58199999999999</v>
      </c>
      <c r="E3466">
        <v>5342</v>
      </c>
      <c r="F3466">
        <v>1616</v>
      </c>
      <c r="G3466">
        <v>1</v>
      </c>
      <c r="H3466">
        <v>0.2</v>
      </c>
      <c r="I3466">
        <v>0</v>
      </c>
      <c r="J3466">
        <v>54.423299999999998</v>
      </c>
      <c r="K3466">
        <v>530.14800000000002</v>
      </c>
      <c r="L3466" s="1">
        <f>0</f>
        <v>0</v>
      </c>
    </row>
    <row r="3467" spans="1:12" x14ac:dyDescent="0.25">
      <c r="A3467">
        <f>80752340*0.00001</f>
        <v>807.52340000000004</v>
      </c>
      <c r="B3467">
        <v>3510</v>
      </c>
      <c r="C3467">
        <v>166</v>
      </c>
      <c r="D3467">
        <v>245.58199999999999</v>
      </c>
      <c r="E3467" s="1">
        <f>5342</f>
        <v>5342</v>
      </c>
      <c r="F3467" s="1">
        <f>1616</f>
        <v>1616</v>
      </c>
      <c r="G3467">
        <v>1</v>
      </c>
      <c r="H3467">
        <v>0.2</v>
      </c>
      <c r="I3467">
        <v>0</v>
      </c>
      <c r="J3467">
        <v>54.423299999999998</v>
      </c>
      <c r="K3467">
        <v>530.14800000000002</v>
      </c>
      <c r="L3467">
        <v>0</v>
      </c>
    </row>
    <row r="3468" spans="1:12" x14ac:dyDescent="0.25">
      <c r="A3468">
        <f>80752476*0.00001</f>
        <v>807.52476000000001</v>
      </c>
      <c r="B3468">
        <v>3510</v>
      </c>
      <c r="C3468">
        <v>167</v>
      </c>
      <c r="D3468">
        <v>245.58199999999999</v>
      </c>
      <c r="E3468">
        <v>5342</v>
      </c>
      <c r="F3468">
        <v>1616</v>
      </c>
      <c r="G3468" s="1">
        <f>1</f>
        <v>1</v>
      </c>
      <c r="H3468" s="1">
        <f>0.2</f>
        <v>0.2</v>
      </c>
      <c r="I3468">
        <v>0</v>
      </c>
      <c r="J3468">
        <v>54.423299999999998</v>
      </c>
      <c r="K3468">
        <v>530.14800000000002</v>
      </c>
      <c r="L3468">
        <v>0</v>
      </c>
    </row>
    <row r="3469" spans="1:12" x14ac:dyDescent="0.25">
      <c r="A3469">
        <f>80752611*0.00001</f>
        <v>807.52611000000002</v>
      </c>
      <c r="B3469">
        <v>3510</v>
      </c>
      <c r="C3469">
        <v>168</v>
      </c>
      <c r="D3469">
        <v>245.58199999999999</v>
      </c>
      <c r="E3469">
        <v>5342</v>
      </c>
      <c r="F3469">
        <v>1616</v>
      </c>
      <c r="G3469">
        <v>1</v>
      </c>
      <c r="H3469">
        <v>0.2</v>
      </c>
      <c r="I3469" s="1">
        <f>0</f>
        <v>0</v>
      </c>
      <c r="J3469" s="1">
        <f>54.4027</f>
        <v>54.402700000000003</v>
      </c>
      <c r="K3469">
        <v>530.14800000000002</v>
      </c>
      <c r="L3469">
        <v>0</v>
      </c>
    </row>
    <row r="3470" spans="1:12" x14ac:dyDescent="0.25">
      <c r="A3470">
        <f>80752746*0.00001</f>
        <v>807.52746000000002</v>
      </c>
      <c r="B3470">
        <v>3510</v>
      </c>
      <c r="C3470">
        <v>169</v>
      </c>
      <c r="D3470">
        <v>245.58199999999999</v>
      </c>
      <c r="E3470">
        <v>5342</v>
      </c>
      <c r="F3470">
        <v>1616</v>
      </c>
      <c r="G3470">
        <v>1</v>
      </c>
      <c r="H3470">
        <v>0.2</v>
      </c>
      <c r="I3470">
        <v>0</v>
      </c>
      <c r="J3470">
        <v>54.402700000000003</v>
      </c>
      <c r="K3470" s="1">
        <f>530.222</f>
        <v>530.22199999999998</v>
      </c>
      <c r="L3470" s="1">
        <f>0</f>
        <v>0</v>
      </c>
    </row>
    <row r="3471" spans="1:12" x14ac:dyDescent="0.25">
      <c r="A3471">
        <f>80752881*0.00001</f>
        <v>807.52881000000002</v>
      </c>
      <c r="B3471">
        <v>3510</v>
      </c>
      <c r="C3471">
        <v>170</v>
      </c>
      <c r="D3471" s="1">
        <f>245.606</f>
        <v>245.60599999999999</v>
      </c>
      <c r="E3471" s="1">
        <f>5341</f>
        <v>5341</v>
      </c>
      <c r="F3471">
        <v>1616</v>
      </c>
      <c r="G3471">
        <v>1</v>
      </c>
      <c r="H3471">
        <v>0.2</v>
      </c>
      <c r="I3471">
        <v>0</v>
      </c>
      <c r="J3471">
        <v>54.402700000000003</v>
      </c>
      <c r="K3471">
        <v>530.22199999999998</v>
      </c>
      <c r="L3471">
        <v>0</v>
      </c>
    </row>
    <row r="3472" spans="1:12" x14ac:dyDescent="0.25">
      <c r="A3472">
        <f>80753017*0.00001</f>
        <v>807.53017000000011</v>
      </c>
      <c r="B3472">
        <v>3510</v>
      </c>
      <c r="C3472">
        <v>171</v>
      </c>
      <c r="D3472">
        <v>245.60599999999999</v>
      </c>
      <c r="E3472">
        <v>5341</v>
      </c>
      <c r="F3472" s="1">
        <f>1616</f>
        <v>1616</v>
      </c>
      <c r="G3472" s="1">
        <f>1</f>
        <v>1</v>
      </c>
      <c r="H3472">
        <v>0.2</v>
      </c>
      <c r="I3472">
        <v>0</v>
      </c>
      <c r="J3472">
        <v>54.402700000000003</v>
      </c>
      <c r="K3472">
        <v>530.22199999999998</v>
      </c>
      <c r="L3472">
        <v>0</v>
      </c>
    </row>
    <row r="3473" spans="1:12" x14ac:dyDescent="0.25">
      <c r="A3473">
        <f>80753152*0.00001</f>
        <v>807.53152000000011</v>
      </c>
      <c r="B3473">
        <v>3510</v>
      </c>
      <c r="C3473">
        <v>172</v>
      </c>
      <c r="D3473">
        <v>245.60599999999999</v>
      </c>
      <c r="E3473">
        <v>5341</v>
      </c>
      <c r="F3473">
        <v>1616</v>
      </c>
      <c r="G3473">
        <v>1</v>
      </c>
      <c r="H3473" s="1">
        <f>0.2</f>
        <v>0.2</v>
      </c>
      <c r="I3473" s="1">
        <f>0</f>
        <v>0</v>
      </c>
      <c r="J3473">
        <v>54.402700000000003</v>
      </c>
      <c r="K3473">
        <v>530.22199999999998</v>
      </c>
      <c r="L3473">
        <v>0</v>
      </c>
    </row>
    <row r="3474" spans="1:12" x14ac:dyDescent="0.25">
      <c r="A3474">
        <f>80753287*0.00001</f>
        <v>807.53287000000012</v>
      </c>
      <c r="B3474">
        <v>3510</v>
      </c>
      <c r="C3474">
        <v>173</v>
      </c>
      <c r="D3474">
        <v>245.60599999999999</v>
      </c>
      <c r="E3474">
        <v>5341</v>
      </c>
      <c r="F3474">
        <v>1616</v>
      </c>
      <c r="G3474">
        <v>1</v>
      </c>
      <c r="H3474">
        <v>0.2</v>
      </c>
      <c r="I3474">
        <v>0</v>
      </c>
      <c r="J3474" s="1">
        <f>54.3826</f>
        <v>54.382599999999996</v>
      </c>
      <c r="K3474" s="1">
        <f>530.281</f>
        <v>530.28099999999995</v>
      </c>
      <c r="L3474">
        <v>0</v>
      </c>
    </row>
    <row r="3475" spans="1:12" x14ac:dyDescent="0.25">
      <c r="A3475">
        <f>80753422*0.00001</f>
        <v>807.53422000000012</v>
      </c>
      <c r="B3475">
        <v>3510</v>
      </c>
      <c r="C3475">
        <v>174</v>
      </c>
      <c r="D3475" s="1">
        <f>245.621</f>
        <v>245.62100000000001</v>
      </c>
      <c r="E3475">
        <v>5341</v>
      </c>
      <c r="F3475">
        <v>1616</v>
      </c>
      <c r="G3475">
        <v>1</v>
      </c>
      <c r="H3475">
        <v>0.2</v>
      </c>
      <c r="I3475">
        <v>0</v>
      </c>
      <c r="J3475">
        <v>54.382599999999996</v>
      </c>
      <c r="K3475">
        <v>530.28099999999995</v>
      </c>
      <c r="L3475" s="1">
        <f>0</f>
        <v>0</v>
      </c>
    </row>
    <row r="3476" spans="1:12" x14ac:dyDescent="0.25">
      <c r="A3476">
        <f>80753557*0.00001</f>
        <v>807.53557000000012</v>
      </c>
      <c r="B3476">
        <v>3510</v>
      </c>
      <c r="C3476">
        <v>175</v>
      </c>
      <c r="D3476">
        <v>245.62100000000001</v>
      </c>
      <c r="E3476">
        <v>5341</v>
      </c>
      <c r="F3476" s="1">
        <f>1616</f>
        <v>1616</v>
      </c>
      <c r="G3476">
        <v>1</v>
      </c>
      <c r="H3476">
        <v>0.2</v>
      </c>
      <c r="I3476">
        <v>0</v>
      </c>
      <c r="J3476">
        <v>54.382599999999996</v>
      </c>
      <c r="K3476">
        <v>530.28099999999995</v>
      </c>
      <c r="L3476">
        <v>0</v>
      </c>
    </row>
    <row r="3477" spans="1:12" x14ac:dyDescent="0.25">
      <c r="A3477">
        <f>80753692*0.00001</f>
        <v>807.53692000000012</v>
      </c>
      <c r="B3477">
        <v>3510</v>
      </c>
      <c r="C3477">
        <v>176</v>
      </c>
      <c r="D3477">
        <v>245.62100000000001</v>
      </c>
      <c r="E3477">
        <v>5341</v>
      </c>
      <c r="F3477">
        <v>1616</v>
      </c>
      <c r="G3477">
        <v>1</v>
      </c>
      <c r="H3477" s="1">
        <f>0.2</f>
        <v>0.2</v>
      </c>
      <c r="I3477">
        <v>0</v>
      </c>
      <c r="J3477">
        <v>54.382599999999996</v>
      </c>
      <c r="K3477">
        <v>530.28099999999995</v>
      </c>
      <c r="L3477">
        <v>0</v>
      </c>
    </row>
    <row r="3478" spans="1:12" x14ac:dyDescent="0.25">
      <c r="A3478">
        <f>80753827*0.00001</f>
        <v>807.53827000000001</v>
      </c>
      <c r="B3478">
        <v>3510</v>
      </c>
      <c r="C3478">
        <v>177</v>
      </c>
      <c r="D3478">
        <v>245.62100000000001</v>
      </c>
      <c r="E3478">
        <v>5341</v>
      </c>
      <c r="F3478">
        <v>1616</v>
      </c>
      <c r="G3478">
        <v>1</v>
      </c>
      <c r="H3478">
        <v>0.2</v>
      </c>
      <c r="I3478">
        <v>0</v>
      </c>
      <c r="J3478" s="1">
        <f>54.3696</f>
        <v>54.369599999999998</v>
      </c>
      <c r="K3478">
        <v>530.28099999999995</v>
      </c>
      <c r="L3478">
        <v>0</v>
      </c>
    </row>
    <row r="3479" spans="1:12" x14ac:dyDescent="0.25">
      <c r="A3479">
        <f>80753963*0.00001</f>
        <v>807.5396300000001</v>
      </c>
      <c r="B3479">
        <v>3510</v>
      </c>
      <c r="C3479">
        <v>178</v>
      </c>
      <c r="D3479" s="1">
        <f>245.633</f>
        <v>245.63300000000001</v>
      </c>
      <c r="E3479" s="1">
        <f>5341</f>
        <v>5341</v>
      </c>
      <c r="F3479">
        <v>1616</v>
      </c>
      <c r="G3479">
        <v>1</v>
      </c>
      <c r="H3479">
        <v>0.2</v>
      </c>
      <c r="I3479">
        <v>0</v>
      </c>
      <c r="J3479">
        <v>54.369599999999998</v>
      </c>
      <c r="K3479">
        <v>530.28099999999995</v>
      </c>
      <c r="L3479" s="1">
        <f>0</f>
        <v>0</v>
      </c>
    </row>
    <row r="3480" spans="1:12" s="2" customFormat="1" x14ac:dyDescent="0.25">
      <c r="A3480" s="2">
        <f>80754234*0.00001</f>
        <v>807.54234000000008</v>
      </c>
      <c r="B3480" s="2">
        <v>3511</v>
      </c>
      <c r="C3480" s="2">
        <v>0</v>
      </c>
      <c r="D3480" s="2">
        <v>245.63300000000001</v>
      </c>
      <c r="E3480" s="2">
        <v>5341</v>
      </c>
      <c r="F3480" s="2">
        <v>1616</v>
      </c>
      <c r="G3480" s="1">
        <f>1</f>
        <v>1</v>
      </c>
      <c r="H3480" s="2">
        <v>0.2</v>
      </c>
      <c r="I3480" s="2">
        <v>0</v>
      </c>
      <c r="J3480" s="2">
        <v>54.369599999999998</v>
      </c>
      <c r="K3480" s="2">
        <v>530.28099999999995</v>
      </c>
      <c r="L3480" s="2">
        <v>0</v>
      </c>
    </row>
    <row r="3481" spans="1:12" x14ac:dyDescent="0.25">
      <c r="A3481">
        <f>80754370*0.00001</f>
        <v>807.54370000000006</v>
      </c>
      <c r="B3481">
        <v>3511</v>
      </c>
      <c r="C3481">
        <v>1</v>
      </c>
      <c r="D3481">
        <v>245.63300000000001</v>
      </c>
      <c r="E3481">
        <v>5341</v>
      </c>
      <c r="F3481">
        <v>1616</v>
      </c>
      <c r="G3481">
        <v>1</v>
      </c>
      <c r="H3481">
        <v>0.2</v>
      </c>
      <c r="I3481" s="1">
        <f>0</f>
        <v>0</v>
      </c>
      <c r="J3481">
        <v>54.369599999999998</v>
      </c>
      <c r="K3481">
        <v>530.28099999999995</v>
      </c>
      <c r="L3481">
        <v>0</v>
      </c>
    </row>
    <row r="3482" spans="1:12" x14ac:dyDescent="0.25">
      <c r="A3482">
        <f>80754506*0.00001</f>
        <v>807.54506000000003</v>
      </c>
      <c r="B3482">
        <v>3511</v>
      </c>
      <c r="C3482">
        <v>2</v>
      </c>
      <c r="D3482">
        <v>245.63300000000001</v>
      </c>
      <c r="E3482">
        <v>5341</v>
      </c>
      <c r="F3482">
        <v>1616</v>
      </c>
      <c r="G3482">
        <v>1</v>
      </c>
      <c r="H3482">
        <v>0.2</v>
      </c>
      <c r="I3482">
        <v>0</v>
      </c>
      <c r="J3482">
        <v>54.369599999999998</v>
      </c>
      <c r="K3482" s="1">
        <f>530.384</f>
        <v>530.38400000000001</v>
      </c>
      <c r="L3482">
        <v>0</v>
      </c>
    </row>
    <row r="3483" spans="1:12" x14ac:dyDescent="0.25">
      <c r="A3483">
        <f>80754641*0.00001</f>
        <v>807.54641000000004</v>
      </c>
      <c r="B3483">
        <v>3511</v>
      </c>
      <c r="C3483">
        <v>3</v>
      </c>
      <c r="D3483" s="1">
        <f>245.641</f>
        <v>245.64099999999999</v>
      </c>
      <c r="E3483">
        <v>5341</v>
      </c>
      <c r="F3483">
        <v>1616</v>
      </c>
      <c r="G3483">
        <v>1</v>
      </c>
      <c r="H3483">
        <v>0.2</v>
      </c>
      <c r="I3483">
        <v>0</v>
      </c>
      <c r="J3483">
        <v>54.369599999999998</v>
      </c>
      <c r="K3483">
        <v>530.38400000000001</v>
      </c>
      <c r="L3483">
        <v>0</v>
      </c>
    </row>
    <row r="3484" spans="1:12" x14ac:dyDescent="0.25">
      <c r="A3484">
        <f>80754776*0.00001</f>
        <v>807.54776000000004</v>
      </c>
      <c r="B3484">
        <v>3511</v>
      </c>
      <c r="C3484">
        <v>4</v>
      </c>
      <c r="D3484" s="1">
        <f>245.658</f>
        <v>245.65799999999999</v>
      </c>
      <c r="E3484" s="1">
        <f>5342</f>
        <v>5342</v>
      </c>
      <c r="F3484" s="1">
        <f>1616</f>
        <v>1616</v>
      </c>
      <c r="G3484" s="1">
        <f>1</f>
        <v>1</v>
      </c>
      <c r="H3484" s="1">
        <f>0.2</f>
        <v>0.2</v>
      </c>
      <c r="I3484" s="1">
        <f>0</f>
        <v>0</v>
      </c>
      <c r="J3484" s="1">
        <f>54.3378</f>
        <v>54.337800000000001</v>
      </c>
      <c r="K3484" s="1">
        <f>530.591</f>
        <v>530.59100000000001</v>
      </c>
      <c r="L3484" s="1">
        <f>0</f>
        <v>0</v>
      </c>
    </row>
    <row r="3485" spans="1:12" x14ac:dyDescent="0.25">
      <c r="A3485">
        <f>80756533*0.00001</f>
        <v>807.56533000000002</v>
      </c>
      <c r="B3485">
        <v>3511</v>
      </c>
      <c r="C3485">
        <v>17</v>
      </c>
      <c r="D3485" s="1">
        <f>245.665</f>
        <v>245.66499999999999</v>
      </c>
      <c r="E3485" s="1">
        <f>5342</f>
        <v>5342</v>
      </c>
      <c r="F3485">
        <v>1616</v>
      </c>
      <c r="G3485">
        <v>1</v>
      </c>
      <c r="H3485">
        <v>0.2</v>
      </c>
      <c r="I3485">
        <v>0</v>
      </c>
      <c r="J3485">
        <v>54.337800000000001</v>
      </c>
      <c r="K3485">
        <v>530.59100000000001</v>
      </c>
      <c r="L3485">
        <v>0</v>
      </c>
    </row>
    <row r="3486" spans="1:12" x14ac:dyDescent="0.25">
      <c r="A3486">
        <f>80756668*0.00001</f>
        <v>807.56668000000002</v>
      </c>
      <c r="B3486">
        <v>3511</v>
      </c>
      <c r="C3486">
        <v>18</v>
      </c>
      <c r="D3486">
        <v>245.66499999999999</v>
      </c>
      <c r="E3486">
        <v>5342</v>
      </c>
      <c r="F3486" s="1">
        <f>1616</f>
        <v>1616</v>
      </c>
      <c r="G3486" s="1">
        <f>1</f>
        <v>1</v>
      </c>
      <c r="H3486">
        <v>0.2</v>
      </c>
      <c r="I3486">
        <v>0</v>
      </c>
      <c r="J3486">
        <v>54.337800000000001</v>
      </c>
      <c r="K3486">
        <v>530.59100000000001</v>
      </c>
      <c r="L3486">
        <v>0</v>
      </c>
    </row>
    <row r="3487" spans="1:12" x14ac:dyDescent="0.25">
      <c r="A3487">
        <f>80756803*0.00001</f>
        <v>807.56803000000002</v>
      </c>
      <c r="B3487">
        <v>3511</v>
      </c>
      <c r="C3487">
        <v>19</v>
      </c>
      <c r="D3487">
        <v>245.66499999999999</v>
      </c>
      <c r="E3487">
        <v>5342</v>
      </c>
      <c r="F3487">
        <v>1616</v>
      </c>
      <c r="G3487">
        <v>1</v>
      </c>
      <c r="H3487" s="1">
        <f>0.2</f>
        <v>0.2</v>
      </c>
      <c r="I3487" s="1">
        <f>0</f>
        <v>0</v>
      </c>
      <c r="J3487">
        <v>54.337800000000001</v>
      </c>
      <c r="K3487">
        <v>530.59100000000001</v>
      </c>
      <c r="L3487">
        <v>0</v>
      </c>
    </row>
    <row r="3488" spans="1:12" x14ac:dyDescent="0.25">
      <c r="A3488">
        <f>80756938*0.00001</f>
        <v>807.56938000000002</v>
      </c>
      <c r="B3488">
        <v>3511</v>
      </c>
      <c r="C3488">
        <v>20</v>
      </c>
      <c r="D3488">
        <v>245.66499999999999</v>
      </c>
      <c r="E3488">
        <v>5342</v>
      </c>
      <c r="F3488">
        <v>1616</v>
      </c>
      <c r="G3488">
        <v>1</v>
      </c>
      <c r="H3488">
        <v>0.2</v>
      </c>
      <c r="I3488">
        <v>0</v>
      </c>
      <c r="J3488" s="1">
        <f>54.3323</f>
        <v>54.332299999999996</v>
      </c>
      <c r="K3488" s="1">
        <f>530.65</f>
        <v>530.65</v>
      </c>
      <c r="L3488">
        <v>0</v>
      </c>
    </row>
    <row r="3489" spans="1:12" x14ac:dyDescent="0.25">
      <c r="A3489">
        <f>80757073*0.00001</f>
        <v>807.57073000000003</v>
      </c>
      <c r="B3489">
        <v>3511</v>
      </c>
      <c r="C3489">
        <v>21</v>
      </c>
      <c r="D3489" s="1">
        <f>245.669</f>
        <v>245.66900000000001</v>
      </c>
      <c r="E3489">
        <v>5342</v>
      </c>
      <c r="F3489">
        <v>1616</v>
      </c>
      <c r="G3489">
        <v>1</v>
      </c>
      <c r="H3489">
        <v>0.2</v>
      </c>
      <c r="I3489">
        <v>0</v>
      </c>
      <c r="J3489">
        <v>54.332299999999996</v>
      </c>
      <c r="K3489">
        <v>530.65</v>
      </c>
      <c r="L3489" s="1">
        <f>0</f>
        <v>0</v>
      </c>
    </row>
    <row r="3490" spans="1:12" x14ac:dyDescent="0.25">
      <c r="A3490">
        <f>80757208*0.00001</f>
        <v>807.57208000000003</v>
      </c>
      <c r="B3490">
        <v>3511</v>
      </c>
      <c r="C3490">
        <v>22</v>
      </c>
      <c r="D3490">
        <v>245.66900000000001</v>
      </c>
      <c r="E3490" s="1">
        <f>5342</f>
        <v>5342</v>
      </c>
      <c r="F3490" s="1">
        <f>1616</f>
        <v>1616</v>
      </c>
      <c r="G3490">
        <v>1</v>
      </c>
      <c r="H3490">
        <v>0.2</v>
      </c>
      <c r="I3490">
        <v>0</v>
      </c>
      <c r="J3490">
        <v>54.332299999999996</v>
      </c>
      <c r="K3490">
        <v>530.65</v>
      </c>
      <c r="L3490">
        <v>0</v>
      </c>
    </row>
    <row r="3491" spans="1:12" x14ac:dyDescent="0.25">
      <c r="A3491">
        <f>80757343*0.00001</f>
        <v>807.57343000000003</v>
      </c>
      <c r="B3491">
        <v>3511</v>
      </c>
      <c r="C3491">
        <v>23</v>
      </c>
      <c r="D3491">
        <v>245.66900000000001</v>
      </c>
      <c r="E3491">
        <v>5342</v>
      </c>
      <c r="F3491">
        <v>1616</v>
      </c>
      <c r="G3491" s="1">
        <f>1</f>
        <v>1</v>
      </c>
      <c r="H3491" s="1">
        <f>0.2</f>
        <v>0.2</v>
      </c>
      <c r="I3491">
        <v>0</v>
      </c>
      <c r="J3491">
        <v>54.332299999999996</v>
      </c>
      <c r="K3491">
        <v>530.65</v>
      </c>
      <c r="L3491">
        <v>0</v>
      </c>
    </row>
    <row r="3492" spans="1:12" x14ac:dyDescent="0.25">
      <c r="A3492">
        <f>80757479*0.00001</f>
        <v>807.57479000000012</v>
      </c>
      <c r="B3492">
        <v>3511</v>
      </c>
      <c r="C3492">
        <v>24</v>
      </c>
      <c r="D3492">
        <v>245.66900000000001</v>
      </c>
      <c r="E3492">
        <v>5342</v>
      </c>
      <c r="F3492">
        <v>1616</v>
      </c>
      <c r="G3492">
        <v>1</v>
      </c>
      <c r="H3492">
        <v>0.2</v>
      </c>
      <c r="I3492" s="1">
        <f>0</f>
        <v>0</v>
      </c>
      <c r="J3492" s="1">
        <f>54.3287</f>
        <v>54.328699999999998</v>
      </c>
      <c r="K3492">
        <v>530.65</v>
      </c>
      <c r="L3492">
        <v>0</v>
      </c>
    </row>
    <row r="3493" spans="1:12" x14ac:dyDescent="0.25">
      <c r="A3493">
        <f>80757614*0.00001</f>
        <v>807.57614000000001</v>
      </c>
      <c r="B3493">
        <v>3511</v>
      </c>
      <c r="C3493">
        <v>25</v>
      </c>
      <c r="D3493">
        <v>245.66900000000001</v>
      </c>
      <c r="E3493">
        <v>5342</v>
      </c>
      <c r="F3493">
        <v>1616</v>
      </c>
      <c r="G3493">
        <v>1</v>
      </c>
      <c r="H3493">
        <v>0.2</v>
      </c>
      <c r="I3493">
        <v>0</v>
      </c>
      <c r="J3493">
        <v>54.328699999999998</v>
      </c>
      <c r="K3493" s="1">
        <f>530.724</f>
        <v>530.72400000000005</v>
      </c>
      <c r="L3493" s="1">
        <f>0</f>
        <v>0</v>
      </c>
    </row>
    <row r="3494" spans="1:12" x14ac:dyDescent="0.25">
      <c r="A3494">
        <f>80757749*0.00001</f>
        <v>807.57749000000001</v>
      </c>
      <c r="B3494">
        <v>3511</v>
      </c>
      <c r="C3494">
        <v>26</v>
      </c>
      <c r="D3494" s="1">
        <f>245.673</f>
        <v>245.673</v>
      </c>
      <c r="E3494" s="1">
        <f>5342</f>
        <v>5342</v>
      </c>
      <c r="F3494">
        <v>1616</v>
      </c>
      <c r="G3494">
        <v>1</v>
      </c>
      <c r="H3494">
        <v>0.2</v>
      </c>
      <c r="I3494">
        <v>0</v>
      </c>
      <c r="J3494">
        <v>54.328699999999998</v>
      </c>
      <c r="K3494">
        <v>530.72400000000005</v>
      </c>
      <c r="L3494">
        <v>0</v>
      </c>
    </row>
    <row r="3495" spans="1:12" x14ac:dyDescent="0.25">
      <c r="A3495">
        <f>80757884*0.00001</f>
        <v>807.57884000000001</v>
      </c>
      <c r="B3495">
        <v>3511</v>
      </c>
      <c r="C3495">
        <v>27</v>
      </c>
      <c r="D3495">
        <v>245.673</v>
      </c>
      <c r="E3495">
        <v>5342</v>
      </c>
      <c r="F3495">
        <v>1616</v>
      </c>
      <c r="G3495" s="1">
        <f>1</f>
        <v>1</v>
      </c>
      <c r="H3495">
        <v>0.2</v>
      </c>
      <c r="I3495">
        <v>0</v>
      </c>
      <c r="J3495">
        <v>54.328699999999998</v>
      </c>
      <c r="K3495">
        <v>530.72400000000005</v>
      </c>
      <c r="L3495">
        <v>0</v>
      </c>
    </row>
    <row r="3496" spans="1:12" x14ac:dyDescent="0.25">
      <c r="A3496">
        <f>80758020*0.00001</f>
        <v>807.5802000000001</v>
      </c>
      <c r="B3496">
        <v>3511</v>
      </c>
      <c r="C3496">
        <v>28</v>
      </c>
      <c r="D3496">
        <v>245.673</v>
      </c>
      <c r="E3496">
        <v>5342</v>
      </c>
      <c r="F3496">
        <v>1616</v>
      </c>
      <c r="G3496">
        <v>1</v>
      </c>
      <c r="H3496">
        <v>0.2</v>
      </c>
      <c r="I3496" s="1">
        <f>0</f>
        <v>0</v>
      </c>
      <c r="J3496">
        <v>54.328699999999998</v>
      </c>
      <c r="K3496">
        <v>530.72400000000005</v>
      </c>
      <c r="L3496">
        <v>0</v>
      </c>
    </row>
    <row r="3497" spans="1:12" x14ac:dyDescent="0.25">
      <c r="A3497">
        <f>80758155*0.00001</f>
        <v>807.58155000000011</v>
      </c>
      <c r="B3497">
        <v>3511</v>
      </c>
      <c r="C3497">
        <v>29</v>
      </c>
      <c r="D3497">
        <v>245.673</v>
      </c>
      <c r="E3497">
        <v>5342</v>
      </c>
      <c r="F3497">
        <v>1616</v>
      </c>
      <c r="G3497">
        <v>1</v>
      </c>
      <c r="H3497">
        <v>0.2</v>
      </c>
      <c r="I3497">
        <v>0</v>
      </c>
      <c r="J3497">
        <v>54.328699999999998</v>
      </c>
      <c r="K3497" s="1">
        <f>530.783</f>
        <v>530.78300000000002</v>
      </c>
      <c r="L3497">
        <v>0</v>
      </c>
    </row>
    <row r="3498" spans="1:12" x14ac:dyDescent="0.25">
      <c r="A3498">
        <f>80758290*0.00001</f>
        <v>807.58290000000011</v>
      </c>
      <c r="B3498">
        <v>3511</v>
      </c>
      <c r="C3498">
        <v>30</v>
      </c>
      <c r="D3498" s="1">
        <f>245.675</f>
        <v>245.67500000000001</v>
      </c>
      <c r="E3498">
        <v>5342</v>
      </c>
      <c r="F3498">
        <v>1616</v>
      </c>
      <c r="G3498">
        <v>1</v>
      </c>
      <c r="H3498">
        <v>0.2</v>
      </c>
      <c r="I3498">
        <v>0</v>
      </c>
      <c r="J3498">
        <v>54.328699999999998</v>
      </c>
      <c r="K3498">
        <v>530.78300000000002</v>
      </c>
      <c r="L3498">
        <v>0</v>
      </c>
    </row>
    <row r="3499" spans="1:12" x14ac:dyDescent="0.25">
      <c r="A3499">
        <f>80758425*0.00001</f>
        <v>807.58425000000011</v>
      </c>
      <c r="B3499">
        <v>3511</v>
      </c>
      <c r="C3499">
        <v>31</v>
      </c>
      <c r="D3499">
        <v>245.67500000000001</v>
      </c>
      <c r="E3499">
        <v>5342</v>
      </c>
      <c r="F3499" s="1">
        <f>1616</f>
        <v>1616</v>
      </c>
      <c r="G3499">
        <v>1</v>
      </c>
      <c r="H3499">
        <v>0.2</v>
      </c>
      <c r="I3499">
        <v>0</v>
      </c>
      <c r="J3499">
        <v>54.328699999999998</v>
      </c>
      <c r="K3499">
        <v>530.78300000000002</v>
      </c>
      <c r="L3499">
        <v>0</v>
      </c>
    </row>
    <row r="3500" spans="1:12" x14ac:dyDescent="0.25">
      <c r="A3500">
        <f>80758560*0.00001</f>
        <v>807.58560000000011</v>
      </c>
      <c r="B3500">
        <v>3511</v>
      </c>
      <c r="C3500">
        <v>32</v>
      </c>
      <c r="D3500">
        <v>245.67500000000001</v>
      </c>
      <c r="E3500">
        <v>5342</v>
      </c>
      <c r="F3500">
        <v>1616</v>
      </c>
      <c r="G3500">
        <v>1</v>
      </c>
      <c r="H3500" s="1">
        <f>0.2</f>
        <v>0.2</v>
      </c>
      <c r="I3500">
        <v>0</v>
      </c>
      <c r="J3500">
        <v>54.328699999999998</v>
      </c>
      <c r="K3500">
        <v>530.78300000000002</v>
      </c>
      <c r="L3500">
        <v>0</v>
      </c>
    </row>
    <row r="3501" spans="1:12" x14ac:dyDescent="0.25">
      <c r="A3501">
        <f>80758695*0.00001</f>
        <v>807.58695000000012</v>
      </c>
      <c r="B3501">
        <v>3511</v>
      </c>
      <c r="C3501">
        <v>33</v>
      </c>
      <c r="D3501">
        <v>245.67500000000001</v>
      </c>
      <c r="E3501">
        <v>5342</v>
      </c>
      <c r="F3501">
        <v>1616</v>
      </c>
      <c r="G3501">
        <v>1</v>
      </c>
      <c r="H3501">
        <v>0.2</v>
      </c>
      <c r="I3501">
        <v>0</v>
      </c>
      <c r="J3501" s="1">
        <f>54.3228</f>
        <v>54.322800000000001</v>
      </c>
      <c r="K3501">
        <v>530.78300000000002</v>
      </c>
      <c r="L3501">
        <v>0</v>
      </c>
    </row>
    <row r="3502" spans="1:12" x14ac:dyDescent="0.25">
      <c r="A3502">
        <f>80758830*0.00001</f>
        <v>807.58830000000012</v>
      </c>
      <c r="B3502">
        <v>3511</v>
      </c>
      <c r="C3502">
        <v>34</v>
      </c>
      <c r="D3502">
        <v>245.67500000000001</v>
      </c>
      <c r="E3502">
        <v>5342</v>
      </c>
      <c r="F3502">
        <v>1616</v>
      </c>
      <c r="G3502">
        <v>1</v>
      </c>
      <c r="H3502">
        <v>0.2</v>
      </c>
      <c r="I3502">
        <v>0</v>
      </c>
      <c r="J3502">
        <v>54.322800000000001</v>
      </c>
      <c r="K3502">
        <v>530.78300000000002</v>
      </c>
      <c r="L3502" s="1">
        <f>0</f>
        <v>0</v>
      </c>
    </row>
    <row r="3503" spans="1:12" x14ac:dyDescent="0.25">
      <c r="A3503">
        <f>80758965*0.00001</f>
        <v>807.58965000000012</v>
      </c>
      <c r="B3503">
        <v>3511</v>
      </c>
      <c r="C3503">
        <v>35</v>
      </c>
      <c r="D3503">
        <v>245.67500000000001</v>
      </c>
      <c r="E3503" s="1">
        <f>5343</f>
        <v>5343</v>
      </c>
      <c r="F3503">
        <v>1616</v>
      </c>
      <c r="G3503">
        <v>1</v>
      </c>
      <c r="H3503">
        <v>0.2</v>
      </c>
      <c r="I3503">
        <v>0</v>
      </c>
      <c r="J3503">
        <v>54.322800000000001</v>
      </c>
      <c r="K3503">
        <v>530.78300000000002</v>
      </c>
      <c r="L3503">
        <v>0</v>
      </c>
    </row>
    <row r="3504" spans="1:12" x14ac:dyDescent="0.25">
      <c r="A3504">
        <f>80759100*0.00001</f>
        <v>807.59100000000012</v>
      </c>
      <c r="B3504">
        <v>3511</v>
      </c>
      <c r="C3504">
        <v>36</v>
      </c>
      <c r="D3504">
        <v>245.67500000000001</v>
      </c>
      <c r="E3504">
        <v>5343</v>
      </c>
      <c r="F3504">
        <v>1616</v>
      </c>
      <c r="G3504" s="1">
        <f>1</f>
        <v>1</v>
      </c>
      <c r="H3504">
        <v>0.2</v>
      </c>
      <c r="I3504">
        <v>0</v>
      </c>
      <c r="J3504">
        <v>54.322800000000001</v>
      </c>
      <c r="K3504">
        <v>530.78300000000002</v>
      </c>
      <c r="L3504">
        <v>0</v>
      </c>
    </row>
    <row r="3505" spans="1:12" x14ac:dyDescent="0.25">
      <c r="A3505">
        <f>80759235*0.00001</f>
        <v>807.59235000000001</v>
      </c>
      <c r="B3505">
        <v>3511</v>
      </c>
      <c r="C3505">
        <v>37</v>
      </c>
      <c r="D3505" s="1">
        <f>245.849</f>
        <v>245.84899999999999</v>
      </c>
      <c r="E3505" s="1">
        <f>5339</f>
        <v>5339</v>
      </c>
      <c r="F3505" s="1">
        <f>1616</f>
        <v>1616</v>
      </c>
      <c r="G3505" s="1">
        <f>1</f>
        <v>1</v>
      </c>
      <c r="H3505" s="1">
        <f>0.2</f>
        <v>0.2</v>
      </c>
      <c r="I3505" s="1">
        <f>0</f>
        <v>0</v>
      </c>
      <c r="J3505" s="1">
        <f>54.1222</f>
        <v>54.122199999999999</v>
      </c>
      <c r="K3505" s="1">
        <f>531.047</f>
        <v>531.04700000000003</v>
      </c>
      <c r="L3505" s="1">
        <f>0</f>
        <v>0</v>
      </c>
    </row>
    <row r="3506" spans="1:12" x14ac:dyDescent="0.25">
      <c r="A3506">
        <f>80761260*0.00001</f>
        <v>807.61260000000004</v>
      </c>
      <c r="B3506">
        <v>3511</v>
      </c>
      <c r="C3506">
        <v>52</v>
      </c>
      <c r="D3506">
        <v>245.84899999999999</v>
      </c>
      <c r="E3506">
        <v>5339</v>
      </c>
      <c r="F3506">
        <v>1616</v>
      </c>
      <c r="G3506">
        <v>1</v>
      </c>
      <c r="H3506">
        <v>0.2</v>
      </c>
      <c r="I3506">
        <v>0</v>
      </c>
      <c r="J3506">
        <v>54.122199999999999</v>
      </c>
      <c r="K3506" s="1">
        <f>531.121</f>
        <v>531.12099999999998</v>
      </c>
      <c r="L3506" s="1">
        <f>0</f>
        <v>0</v>
      </c>
    </row>
    <row r="3507" spans="1:12" x14ac:dyDescent="0.25">
      <c r="A3507">
        <f>80761394*0.00001</f>
        <v>807.61394000000007</v>
      </c>
      <c r="B3507">
        <v>3511</v>
      </c>
      <c r="C3507">
        <v>53</v>
      </c>
      <c r="D3507" s="1">
        <f>245.895</f>
        <v>245.89500000000001</v>
      </c>
      <c r="E3507" s="1">
        <f>5339</f>
        <v>5339</v>
      </c>
      <c r="F3507">
        <v>1616</v>
      </c>
      <c r="G3507">
        <v>1</v>
      </c>
      <c r="H3507">
        <v>0.2</v>
      </c>
      <c r="I3507">
        <v>0</v>
      </c>
      <c r="J3507">
        <v>54.122199999999999</v>
      </c>
      <c r="K3507">
        <v>531.12099999999998</v>
      </c>
      <c r="L3507">
        <v>0</v>
      </c>
    </row>
    <row r="3508" spans="1:12" x14ac:dyDescent="0.25">
      <c r="A3508">
        <f>80761529*0.00001</f>
        <v>807.61529000000007</v>
      </c>
      <c r="B3508">
        <v>3511</v>
      </c>
      <c r="C3508">
        <v>54</v>
      </c>
      <c r="D3508">
        <v>245.89500000000001</v>
      </c>
      <c r="E3508">
        <v>5339</v>
      </c>
      <c r="F3508" s="1">
        <f>1616</f>
        <v>1616</v>
      </c>
      <c r="G3508" s="1">
        <f>1</f>
        <v>1</v>
      </c>
      <c r="H3508">
        <v>0.2</v>
      </c>
      <c r="I3508">
        <v>0</v>
      </c>
      <c r="J3508">
        <v>54.122199999999999</v>
      </c>
      <c r="K3508">
        <v>531.12099999999998</v>
      </c>
      <c r="L3508">
        <v>0</v>
      </c>
    </row>
    <row r="3509" spans="1:12" x14ac:dyDescent="0.25">
      <c r="A3509">
        <f>80761664*0.00001</f>
        <v>807.61664000000007</v>
      </c>
      <c r="B3509">
        <v>3511</v>
      </c>
      <c r="C3509">
        <v>55</v>
      </c>
      <c r="D3509">
        <v>245.89500000000001</v>
      </c>
      <c r="E3509">
        <v>5339</v>
      </c>
      <c r="F3509">
        <v>1616</v>
      </c>
      <c r="G3509">
        <v>1</v>
      </c>
      <c r="H3509" s="1">
        <f>0.2</f>
        <v>0.2</v>
      </c>
      <c r="I3509" s="1">
        <f>0</f>
        <v>0</v>
      </c>
      <c r="J3509">
        <v>54.122199999999999</v>
      </c>
      <c r="K3509">
        <v>531.12099999999998</v>
      </c>
      <c r="L3509">
        <v>0</v>
      </c>
    </row>
    <row r="3510" spans="1:12" x14ac:dyDescent="0.25">
      <c r="A3510">
        <f>80761799*0.00001</f>
        <v>807.61799000000008</v>
      </c>
      <c r="B3510">
        <v>3511</v>
      </c>
      <c r="C3510">
        <v>56</v>
      </c>
      <c r="D3510">
        <v>245.89500000000001</v>
      </c>
      <c r="E3510">
        <v>5339</v>
      </c>
      <c r="F3510">
        <v>1616</v>
      </c>
      <c r="G3510">
        <v>1</v>
      </c>
      <c r="H3510">
        <v>0.2</v>
      </c>
      <c r="I3510">
        <v>0</v>
      </c>
      <c r="J3510" s="1">
        <f>54.0834</f>
        <v>54.083399999999997</v>
      </c>
      <c r="K3510" s="1">
        <f>531.179</f>
        <v>531.17899999999997</v>
      </c>
      <c r="L3510">
        <v>0</v>
      </c>
    </row>
    <row r="3511" spans="1:12" x14ac:dyDescent="0.25">
      <c r="A3511">
        <f>80761934*0.00001</f>
        <v>807.61934000000008</v>
      </c>
      <c r="B3511">
        <v>3511</v>
      </c>
      <c r="C3511">
        <v>57</v>
      </c>
      <c r="D3511" s="1">
        <f>245.923</f>
        <v>245.923</v>
      </c>
      <c r="E3511">
        <v>5339</v>
      </c>
      <c r="F3511">
        <v>1616</v>
      </c>
      <c r="G3511">
        <v>1</v>
      </c>
      <c r="H3511">
        <v>0.2</v>
      </c>
      <c r="I3511">
        <v>0</v>
      </c>
      <c r="J3511">
        <v>54.083399999999997</v>
      </c>
      <c r="K3511">
        <v>531.17899999999997</v>
      </c>
      <c r="L3511" s="1">
        <f>0</f>
        <v>0</v>
      </c>
    </row>
    <row r="3512" spans="1:12" x14ac:dyDescent="0.25">
      <c r="A3512">
        <f>80762069*0.00001</f>
        <v>807.62069000000008</v>
      </c>
      <c r="B3512">
        <v>3511</v>
      </c>
      <c r="C3512">
        <v>58</v>
      </c>
      <c r="D3512">
        <v>245.923</v>
      </c>
      <c r="E3512" s="1">
        <f>5338</f>
        <v>5338</v>
      </c>
      <c r="F3512" s="1">
        <f>1616</f>
        <v>1616</v>
      </c>
      <c r="G3512">
        <v>1</v>
      </c>
      <c r="H3512">
        <v>0.2</v>
      </c>
      <c r="I3512">
        <v>0</v>
      </c>
      <c r="J3512">
        <v>54.083399999999997</v>
      </c>
      <c r="K3512">
        <v>531.17899999999997</v>
      </c>
      <c r="L3512">
        <v>0</v>
      </c>
    </row>
    <row r="3513" spans="1:12" x14ac:dyDescent="0.25">
      <c r="A3513">
        <f>80762204*0.00001</f>
        <v>807.62204000000008</v>
      </c>
      <c r="B3513">
        <v>3511</v>
      </c>
      <c r="C3513">
        <v>59</v>
      </c>
      <c r="D3513">
        <v>245.923</v>
      </c>
      <c r="E3513">
        <v>5338</v>
      </c>
      <c r="F3513">
        <v>1616</v>
      </c>
      <c r="G3513" s="1">
        <f>1</f>
        <v>1</v>
      </c>
      <c r="H3513" s="1">
        <f>0.2</f>
        <v>0.2</v>
      </c>
      <c r="I3513">
        <v>0</v>
      </c>
      <c r="J3513">
        <v>54.083399999999997</v>
      </c>
      <c r="K3513">
        <v>531.17899999999997</v>
      </c>
      <c r="L3513">
        <v>0</v>
      </c>
    </row>
    <row r="3514" spans="1:12" x14ac:dyDescent="0.25">
      <c r="A3514">
        <f>80762339*0.00001</f>
        <v>807.62339000000009</v>
      </c>
      <c r="B3514">
        <v>3511</v>
      </c>
      <c r="C3514">
        <v>60</v>
      </c>
      <c r="D3514">
        <v>245.923</v>
      </c>
      <c r="E3514">
        <v>5338</v>
      </c>
      <c r="F3514">
        <v>1616</v>
      </c>
      <c r="G3514">
        <v>1</v>
      </c>
      <c r="H3514">
        <v>0.2</v>
      </c>
      <c r="I3514" s="1">
        <f>0</f>
        <v>0</v>
      </c>
      <c r="J3514" s="1">
        <f>54.0588</f>
        <v>54.058799999999998</v>
      </c>
      <c r="K3514">
        <v>531.17899999999997</v>
      </c>
      <c r="L3514">
        <v>0</v>
      </c>
    </row>
    <row r="3515" spans="1:12" x14ac:dyDescent="0.25">
      <c r="A3515">
        <f>80762474*0.00001</f>
        <v>807.62474000000009</v>
      </c>
      <c r="B3515">
        <v>3511</v>
      </c>
      <c r="C3515">
        <v>61</v>
      </c>
      <c r="D3515">
        <v>245.923</v>
      </c>
      <c r="E3515">
        <v>5338</v>
      </c>
      <c r="F3515">
        <v>1616</v>
      </c>
      <c r="G3515">
        <v>1</v>
      </c>
      <c r="H3515">
        <v>0.2</v>
      </c>
      <c r="I3515">
        <v>0</v>
      </c>
      <c r="J3515">
        <v>54.058799999999998</v>
      </c>
      <c r="K3515" s="1">
        <f>531.253</f>
        <v>531.25300000000004</v>
      </c>
      <c r="L3515" s="1">
        <f>0</f>
        <v>0</v>
      </c>
    </row>
    <row r="3516" spans="1:12" x14ac:dyDescent="0.25">
      <c r="A3516">
        <f>80762609*0.00001</f>
        <v>807.62609000000009</v>
      </c>
      <c r="B3516">
        <v>3511</v>
      </c>
      <c r="C3516">
        <v>62</v>
      </c>
      <c r="D3516">
        <v>245.923</v>
      </c>
      <c r="E3516" s="1">
        <f>5338</f>
        <v>5338</v>
      </c>
      <c r="F3516">
        <v>1616</v>
      </c>
      <c r="G3516">
        <v>1</v>
      </c>
      <c r="H3516">
        <v>0.2</v>
      </c>
      <c r="I3516">
        <v>0</v>
      </c>
      <c r="J3516">
        <v>54.058799999999998</v>
      </c>
      <c r="K3516">
        <v>531.25300000000004</v>
      </c>
      <c r="L3516">
        <v>0</v>
      </c>
    </row>
    <row r="3517" spans="1:12" x14ac:dyDescent="0.25">
      <c r="A3517">
        <f>80762744*0.00001</f>
        <v>807.62744000000009</v>
      </c>
      <c r="B3517">
        <v>3511</v>
      </c>
      <c r="C3517">
        <v>63</v>
      </c>
      <c r="D3517">
        <v>245.923</v>
      </c>
      <c r="E3517">
        <v>5338</v>
      </c>
      <c r="F3517">
        <v>1616</v>
      </c>
      <c r="G3517" s="1">
        <f>1</f>
        <v>1</v>
      </c>
      <c r="H3517">
        <v>0.2</v>
      </c>
      <c r="I3517">
        <v>0</v>
      </c>
      <c r="J3517">
        <v>54.058799999999998</v>
      </c>
      <c r="K3517">
        <v>531.25300000000004</v>
      </c>
      <c r="L3517">
        <v>0</v>
      </c>
    </row>
    <row r="3518" spans="1:12" x14ac:dyDescent="0.25">
      <c r="A3518">
        <f>80762878*0.00001</f>
        <v>807.62878000000012</v>
      </c>
      <c r="B3518">
        <v>3511</v>
      </c>
      <c r="C3518">
        <v>64</v>
      </c>
      <c r="D3518">
        <v>245.923</v>
      </c>
      <c r="E3518">
        <v>5338</v>
      </c>
      <c r="F3518">
        <v>1616</v>
      </c>
      <c r="G3518">
        <v>1</v>
      </c>
      <c r="H3518">
        <v>0.2</v>
      </c>
      <c r="I3518" s="1">
        <f>0</f>
        <v>0</v>
      </c>
      <c r="J3518">
        <v>54.058799999999998</v>
      </c>
      <c r="K3518">
        <v>531.25300000000004</v>
      </c>
      <c r="L3518">
        <v>0</v>
      </c>
    </row>
    <row r="3519" spans="1:12" x14ac:dyDescent="0.25">
      <c r="A3519">
        <f>80763013*0.00001</f>
        <v>807.63013000000012</v>
      </c>
      <c r="B3519">
        <v>3511</v>
      </c>
      <c r="C3519">
        <v>65</v>
      </c>
      <c r="D3519">
        <v>245.923</v>
      </c>
      <c r="E3519">
        <v>5338</v>
      </c>
      <c r="F3519">
        <v>1616</v>
      </c>
      <c r="G3519">
        <v>1</v>
      </c>
      <c r="H3519">
        <v>0.2</v>
      </c>
      <c r="I3519">
        <v>0</v>
      </c>
      <c r="J3519">
        <v>54.058799999999998</v>
      </c>
      <c r="K3519" s="1">
        <f>531.311</f>
        <v>531.31100000000004</v>
      </c>
      <c r="L3519">
        <v>0</v>
      </c>
    </row>
    <row r="3520" spans="1:12" x14ac:dyDescent="0.25">
      <c r="A3520">
        <f>80763148*0.00001</f>
        <v>807.63148000000001</v>
      </c>
      <c r="B3520">
        <v>3511</v>
      </c>
      <c r="C3520">
        <v>66</v>
      </c>
      <c r="D3520" s="1">
        <f>245.97</f>
        <v>245.97</v>
      </c>
      <c r="E3520">
        <v>5338</v>
      </c>
      <c r="F3520">
        <v>1616</v>
      </c>
      <c r="G3520">
        <v>1</v>
      </c>
      <c r="H3520">
        <v>0.2</v>
      </c>
      <c r="I3520">
        <v>0</v>
      </c>
      <c r="J3520">
        <v>54.058799999999998</v>
      </c>
      <c r="K3520">
        <v>531.31100000000004</v>
      </c>
      <c r="L3520">
        <v>0</v>
      </c>
    </row>
    <row r="3521" spans="1:12" x14ac:dyDescent="0.25">
      <c r="A3521">
        <f>80763283*0.00001</f>
        <v>807.63283000000001</v>
      </c>
      <c r="B3521">
        <v>3511</v>
      </c>
      <c r="C3521">
        <v>67</v>
      </c>
      <c r="D3521">
        <v>245.97</v>
      </c>
      <c r="E3521">
        <v>5338</v>
      </c>
      <c r="F3521" s="1">
        <f>1616</f>
        <v>1616</v>
      </c>
      <c r="G3521">
        <v>1</v>
      </c>
      <c r="H3521">
        <v>0.2</v>
      </c>
      <c r="I3521">
        <v>0</v>
      </c>
      <c r="J3521">
        <v>54.058799999999998</v>
      </c>
      <c r="K3521">
        <v>531.31100000000004</v>
      </c>
      <c r="L3521">
        <v>0</v>
      </c>
    </row>
    <row r="3522" spans="1:12" x14ac:dyDescent="0.25">
      <c r="A3522">
        <f>80763418*0.00001</f>
        <v>807.63418000000001</v>
      </c>
      <c r="B3522">
        <v>3511</v>
      </c>
      <c r="C3522">
        <v>68</v>
      </c>
      <c r="D3522">
        <v>245.97</v>
      </c>
      <c r="E3522">
        <v>5338</v>
      </c>
      <c r="F3522">
        <v>1616</v>
      </c>
      <c r="G3522">
        <v>1</v>
      </c>
      <c r="H3522" s="1">
        <f>0.2</f>
        <v>0.2</v>
      </c>
      <c r="I3522">
        <v>0</v>
      </c>
      <c r="J3522">
        <v>54.058799999999998</v>
      </c>
      <c r="K3522">
        <v>531.31100000000004</v>
      </c>
      <c r="L3522">
        <v>0</v>
      </c>
    </row>
    <row r="3523" spans="1:12" x14ac:dyDescent="0.25">
      <c r="A3523">
        <f>80763553*0.00001</f>
        <v>807.63553000000002</v>
      </c>
      <c r="B3523">
        <v>3511</v>
      </c>
      <c r="C3523">
        <v>69</v>
      </c>
      <c r="D3523">
        <v>245.97</v>
      </c>
      <c r="E3523">
        <v>5338</v>
      </c>
      <c r="F3523">
        <v>1616</v>
      </c>
      <c r="G3523">
        <v>1</v>
      </c>
      <c r="H3523">
        <v>0.2</v>
      </c>
      <c r="I3523">
        <v>0</v>
      </c>
      <c r="J3523" s="1">
        <f>54.0183</f>
        <v>54.018300000000004</v>
      </c>
      <c r="K3523">
        <v>531.31100000000004</v>
      </c>
      <c r="L3523">
        <v>0</v>
      </c>
    </row>
    <row r="3524" spans="1:12" x14ac:dyDescent="0.25">
      <c r="A3524">
        <f>80763688*0.00001</f>
        <v>807.63688000000002</v>
      </c>
      <c r="B3524">
        <v>3511</v>
      </c>
      <c r="C3524">
        <v>70</v>
      </c>
      <c r="D3524">
        <v>245.97</v>
      </c>
      <c r="E3524">
        <v>5338</v>
      </c>
      <c r="F3524">
        <v>1616</v>
      </c>
      <c r="G3524">
        <v>1</v>
      </c>
      <c r="H3524">
        <v>0.2</v>
      </c>
      <c r="I3524">
        <v>0</v>
      </c>
      <c r="J3524">
        <v>54.018300000000004</v>
      </c>
      <c r="K3524">
        <v>531.31100000000004</v>
      </c>
      <c r="L3524" s="1">
        <f>0</f>
        <v>0</v>
      </c>
    </row>
    <row r="3525" spans="1:12" x14ac:dyDescent="0.25">
      <c r="A3525">
        <f>80763823*0.00001</f>
        <v>807.63823000000002</v>
      </c>
      <c r="B3525">
        <v>3511</v>
      </c>
      <c r="C3525">
        <v>71</v>
      </c>
      <c r="D3525">
        <v>245.97</v>
      </c>
      <c r="E3525" s="1">
        <f>5337</f>
        <v>5337</v>
      </c>
      <c r="F3525">
        <v>1616</v>
      </c>
      <c r="G3525">
        <v>1</v>
      </c>
      <c r="H3525">
        <v>0.2</v>
      </c>
      <c r="I3525">
        <v>0</v>
      </c>
      <c r="J3525">
        <v>54.018300000000004</v>
      </c>
      <c r="K3525">
        <v>531.31100000000004</v>
      </c>
      <c r="L3525">
        <v>0</v>
      </c>
    </row>
    <row r="3526" spans="1:12" x14ac:dyDescent="0.25">
      <c r="A3526">
        <f>80763958*0.00001</f>
        <v>807.63958000000002</v>
      </c>
      <c r="B3526">
        <v>3511</v>
      </c>
      <c r="C3526">
        <v>72</v>
      </c>
      <c r="D3526">
        <v>245.97</v>
      </c>
      <c r="E3526">
        <v>5337</v>
      </c>
      <c r="F3526">
        <v>1616</v>
      </c>
      <c r="G3526" s="1">
        <f>1</f>
        <v>1</v>
      </c>
      <c r="H3526">
        <v>0.2</v>
      </c>
      <c r="I3526">
        <v>0</v>
      </c>
      <c r="J3526">
        <v>54.018300000000004</v>
      </c>
      <c r="K3526">
        <v>531.31100000000004</v>
      </c>
      <c r="L3526">
        <v>0</v>
      </c>
    </row>
    <row r="3527" spans="1:12" x14ac:dyDescent="0.25">
      <c r="A3527">
        <f>80764093*0.00001</f>
        <v>807.64093000000003</v>
      </c>
      <c r="B3527">
        <v>3511</v>
      </c>
      <c r="C3527">
        <v>73</v>
      </c>
      <c r="D3527" s="1">
        <f>246.018</f>
        <v>246.018</v>
      </c>
      <c r="E3527" s="1">
        <f>5338</f>
        <v>5338</v>
      </c>
      <c r="F3527" s="1">
        <f>1616</f>
        <v>1616</v>
      </c>
      <c r="G3527" s="1">
        <f>1</f>
        <v>1</v>
      </c>
      <c r="H3527" s="1">
        <f>0.2</f>
        <v>0.2</v>
      </c>
      <c r="I3527" s="1">
        <f>0</f>
        <v>0</v>
      </c>
      <c r="J3527" s="1">
        <f>53.9773</f>
        <v>53.9773</v>
      </c>
      <c r="K3527" s="1">
        <f>531.575</f>
        <v>531.57500000000005</v>
      </c>
      <c r="L3527" s="1">
        <f>0</f>
        <v>0</v>
      </c>
    </row>
    <row r="3528" spans="1:12" x14ac:dyDescent="0.25">
      <c r="A3528">
        <f>80766118*0.00001</f>
        <v>807.66118000000006</v>
      </c>
      <c r="B3528">
        <v>3511</v>
      </c>
      <c r="C3528">
        <v>88</v>
      </c>
      <c r="D3528">
        <v>246.018</v>
      </c>
      <c r="E3528">
        <v>5338</v>
      </c>
      <c r="F3528">
        <v>1616</v>
      </c>
      <c r="G3528">
        <v>1</v>
      </c>
      <c r="H3528">
        <v>0.2</v>
      </c>
      <c r="I3528">
        <v>0</v>
      </c>
      <c r="J3528">
        <v>53.9773</v>
      </c>
      <c r="K3528" s="1">
        <f>531.648</f>
        <v>531.64800000000002</v>
      </c>
      <c r="L3528" s="1">
        <f>0</f>
        <v>0</v>
      </c>
    </row>
    <row r="3529" spans="1:12" x14ac:dyDescent="0.25">
      <c r="A3529">
        <f>80766253*0.00001</f>
        <v>807.66253000000006</v>
      </c>
      <c r="B3529">
        <v>3511</v>
      </c>
      <c r="C3529">
        <v>89</v>
      </c>
      <c r="D3529" s="1">
        <f>246.025</f>
        <v>246.02500000000001</v>
      </c>
      <c r="E3529" s="1">
        <f>5338</f>
        <v>5338</v>
      </c>
      <c r="F3529">
        <v>1616</v>
      </c>
      <c r="G3529">
        <v>1</v>
      </c>
      <c r="H3529">
        <v>0.2</v>
      </c>
      <c r="I3529">
        <v>0</v>
      </c>
      <c r="J3529">
        <v>53.9773</v>
      </c>
      <c r="K3529">
        <v>531.64800000000002</v>
      </c>
      <c r="L3529">
        <v>0</v>
      </c>
    </row>
    <row r="3530" spans="1:12" x14ac:dyDescent="0.25">
      <c r="A3530">
        <f>80766388*0.00001</f>
        <v>807.66388000000006</v>
      </c>
      <c r="B3530">
        <v>3511</v>
      </c>
      <c r="C3530">
        <v>90</v>
      </c>
      <c r="D3530">
        <v>246.02500000000001</v>
      </c>
      <c r="E3530">
        <v>5338</v>
      </c>
      <c r="F3530" s="1">
        <f>1616</f>
        <v>1616</v>
      </c>
      <c r="G3530" s="1">
        <f>1</f>
        <v>1</v>
      </c>
      <c r="H3530">
        <v>0.2</v>
      </c>
      <c r="I3530">
        <v>0</v>
      </c>
      <c r="J3530">
        <v>53.9773</v>
      </c>
      <c r="K3530">
        <v>531.64800000000002</v>
      </c>
      <c r="L3530">
        <v>0</v>
      </c>
    </row>
    <row r="3531" spans="1:12" x14ac:dyDescent="0.25">
      <c r="A3531">
        <f>80766523*0.00001</f>
        <v>807.66523000000007</v>
      </c>
      <c r="B3531">
        <v>3511</v>
      </c>
      <c r="C3531">
        <v>91</v>
      </c>
      <c r="D3531">
        <v>246.02500000000001</v>
      </c>
      <c r="E3531">
        <v>5338</v>
      </c>
      <c r="F3531">
        <v>1616</v>
      </c>
      <c r="G3531">
        <v>1</v>
      </c>
      <c r="H3531" s="1">
        <f>0.2</f>
        <v>0.2</v>
      </c>
      <c r="I3531" s="1">
        <f>0</f>
        <v>0</v>
      </c>
      <c r="J3531">
        <v>53.9773</v>
      </c>
      <c r="K3531">
        <v>531.64800000000002</v>
      </c>
      <c r="L3531">
        <v>0</v>
      </c>
    </row>
    <row r="3532" spans="1:12" x14ac:dyDescent="0.25">
      <c r="A3532">
        <f>80766658*0.00001</f>
        <v>807.66658000000007</v>
      </c>
      <c r="B3532">
        <v>3511</v>
      </c>
      <c r="C3532">
        <v>92</v>
      </c>
      <c r="D3532">
        <v>246.02500000000001</v>
      </c>
      <c r="E3532">
        <v>5338</v>
      </c>
      <c r="F3532">
        <v>1616</v>
      </c>
      <c r="G3532">
        <v>1</v>
      </c>
      <c r="H3532">
        <v>0.2</v>
      </c>
      <c r="I3532">
        <v>0</v>
      </c>
      <c r="J3532" s="1">
        <f>53.9712</f>
        <v>53.971200000000003</v>
      </c>
      <c r="K3532" s="1">
        <f>531.706</f>
        <v>531.70600000000002</v>
      </c>
      <c r="L3532">
        <v>0</v>
      </c>
    </row>
    <row r="3533" spans="1:12" x14ac:dyDescent="0.25">
      <c r="A3533">
        <f>80766793*0.00001</f>
        <v>807.66793000000007</v>
      </c>
      <c r="B3533">
        <v>3511</v>
      </c>
      <c r="C3533">
        <v>93</v>
      </c>
      <c r="D3533" s="1">
        <f>246.03</f>
        <v>246.03</v>
      </c>
      <c r="E3533">
        <v>5338</v>
      </c>
      <c r="F3533">
        <v>1616</v>
      </c>
      <c r="G3533">
        <v>1</v>
      </c>
      <c r="H3533">
        <v>0.2</v>
      </c>
      <c r="I3533">
        <v>0</v>
      </c>
      <c r="J3533">
        <v>53.971200000000003</v>
      </c>
      <c r="K3533">
        <v>531.70600000000002</v>
      </c>
      <c r="L3533" s="1">
        <f>0</f>
        <v>0</v>
      </c>
    </row>
    <row r="3534" spans="1:12" x14ac:dyDescent="0.25">
      <c r="A3534">
        <f>80766928*0.00001</f>
        <v>807.66928000000007</v>
      </c>
      <c r="B3534">
        <v>3511</v>
      </c>
      <c r="C3534">
        <v>94</v>
      </c>
      <c r="D3534">
        <v>246.03</v>
      </c>
      <c r="E3534" s="1">
        <f>5338</f>
        <v>5338</v>
      </c>
      <c r="F3534" s="1">
        <f>1616</f>
        <v>1616</v>
      </c>
      <c r="G3534">
        <v>1</v>
      </c>
      <c r="H3534">
        <v>0.2</v>
      </c>
      <c r="I3534">
        <v>0</v>
      </c>
      <c r="J3534">
        <v>53.971200000000003</v>
      </c>
      <c r="K3534">
        <v>531.70600000000002</v>
      </c>
      <c r="L3534">
        <v>0</v>
      </c>
    </row>
    <row r="3535" spans="1:12" x14ac:dyDescent="0.25">
      <c r="A3535">
        <f>80767063*0.00001</f>
        <v>807.67063000000007</v>
      </c>
      <c r="B3535">
        <v>3511</v>
      </c>
      <c r="C3535">
        <v>95</v>
      </c>
      <c r="D3535">
        <v>246.03</v>
      </c>
      <c r="E3535">
        <v>5338</v>
      </c>
      <c r="F3535">
        <v>1616</v>
      </c>
      <c r="G3535" s="1">
        <f>1</f>
        <v>1</v>
      </c>
      <c r="H3535" s="1">
        <f>0.2</f>
        <v>0.2</v>
      </c>
      <c r="I3535">
        <v>0</v>
      </c>
      <c r="J3535">
        <v>53.971200000000003</v>
      </c>
      <c r="K3535">
        <v>531.70600000000002</v>
      </c>
      <c r="L3535">
        <v>0</v>
      </c>
    </row>
    <row r="3536" spans="1:12" x14ac:dyDescent="0.25">
      <c r="A3536">
        <f>80767198*0.00001</f>
        <v>807.67198000000008</v>
      </c>
      <c r="B3536">
        <v>3511</v>
      </c>
      <c r="C3536">
        <v>96</v>
      </c>
      <c r="D3536">
        <v>246.03</v>
      </c>
      <c r="E3536">
        <v>5338</v>
      </c>
      <c r="F3536">
        <v>1616</v>
      </c>
      <c r="G3536">
        <v>1</v>
      </c>
      <c r="H3536">
        <v>0.2</v>
      </c>
      <c r="I3536" s="1">
        <f>0</f>
        <v>0</v>
      </c>
      <c r="J3536" s="1">
        <f>53.9673</f>
        <v>53.967300000000002</v>
      </c>
      <c r="K3536">
        <v>531.70600000000002</v>
      </c>
      <c r="L3536">
        <v>0</v>
      </c>
    </row>
    <row r="3537" spans="1:12" x14ac:dyDescent="0.25">
      <c r="A3537">
        <f>80767333*0.00001</f>
        <v>807.67333000000008</v>
      </c>
      <c r="B3537">
        <v>3511</v>
      </c>
      <c r="C3537">
        <v>97</v>
      </c>
      <c r="D3537">
        <v>246.03</v>
      </c>
      <c r="E3537">
        <v>5338</v>
      </c>
      <c r="F3537">
        <v>1616</v>
      </c>
      <c r="G3537">
        <v>1</v>
      </c>
      <c r="H3537">
        <v>0.2</v>
      </c>
      <c r="I3537">
        <v>0</v>
      </c>
      <c r="J3537">
        <v>53.967300000000002</v>
      </c>
      <c r="K3537" s="1">
        <f>531.779</f>
        <v>531.779</v>
      </c>
      <c r="L3537" s="1">
        <f>0</f>
        <v>0</v>
      </c>
    </row>
    <row r="3538" spans="1:12" x14ac:dyDescent="0.25">
      <c r="A3538">
        <f>80767467*0.00001</f>
        <v>807.67467000000011</v>
      </c>
      <c r="B3538">
        <v>3511</v>
      </c>
      <c r="C3538">
        <v>98</v>
      </c>
      <c r="D3538" s="1">
        <f>246.034</f>
        <v>246.03399999999999</v>
      </c>
      <c r="E3538" s="1">
        <f>5338</f>
        <v>5338</v>
      </c>
      <c r="F3538">
        <v>1616</v>
      </c>
      <c r="G3538">
        <v>1</v>
      </c>
      <c r="H3538">
        <v>0.2</v>
      </c>
      <c r="I3538">
        <v>0</v>
      </c>
      <c r="J3538">
        <v>53.967300000000002</v>
      </c>
      <c r="K3538">
        <v>531.779</v>
      </c>
      <c r="L3538">
        <v>0</v>
      </c>
    </row>
    <row r="3539" spans="1:12" x14ac:dyDescent="0.25">
      <c r="A3539">
        <f>80767602*0.00001</f>
        <v>807.67602000000011</v>
      </c>
      <c r="B3539">
        <v>3511</v>
      </c>
      <c r="C3539">
        <v>99</v>
      </c>
      <c r="D3539">
        <v>246.03399999999999</v>
      </c>
      <c r="E3539">
        <v>5338</v>
      </c>
      <c r="F3539">
        <v>1616</v>
      </c>
      <c r="G3539" s="1">
        <f>1</f>
        <v>1</v>
      </c>
      <c r="H3539">
        <v>0.2</v>
      </c>
      <c r="I3539">
        <v>0</v>
      </c>
      <c r="J3539">
        <v>53.967300000000002</v>
      </c>
      <c r="K3539">
        <v>531.779</v>
      </c>
      <c r="L3539">
        <v>0</v>
      </c>
    </row>
    <row r="3540" spans="1:12" x14ac:dyDescent="0.25">
      <c r="A3540">
        <f>80767737*0.00001</f>
        <v>807.67737000000011</v>
      </c>
      <c r="B3540">
        <v>3511</v>
      </c>
      <c r="C3540">
        <v>100</v>
      </c>
      <c r="D3540">
        <v>246.03399999999999</v>
      </c>
      <c r="E3540">
        <v>5338</v>
      </c>
      <c r="F3540">
        <v>1616</v>
      </c>
      <c r="G3540">
        <v>1</v>
      </c>
      <c r="H3540">
        <v>0.2</v>
      </c>
      <c r="I3540" s="1">
        <f>0</f>
        <v>0</v>
      </c>
      <c r="J3540">
        <v>53.967300000000002</v>
      </c>
      <c r="K3540">
        <v>531.779</v>
      </c>
      <c r="L3540">
        <v>0</v>
      </c>
    </row>
    <row r="3541" spans="1:12" x14ac:dyDescent="0.25">
      <c r="A3541">
        <f>80767872*0.00001</f>
        <v>807.67872000000011</v>
      </c>
      <c r="B3541">
        <v>3511</v>
      </c>
      <c r="C3541">
        <v>101</v>
      </c>
      <c r="D3541">
        <v>246.03399999999999</v>
      </c>
      <c r="E3541">
        <v>5338</v>
      </c>
      <c r="F3541">
        <v>1616</v>
      </c>
      <c r="G3541">
        <v>1</v>
      </c>
      <c r="H3541">
        <v>0.2</v>
      </c>
      <c r="I3541">
        <v>0</v>
      </c>
      <c r="J3541">
        <v>53.967300000000002</v>
      </c>
      <c r="K3541" s="1">
        <f>531.838</f>
        <v>531.83799999999997</v>
      </c>
      <c r="L3541">
        <v>0</v>
      </c>
    </row>
    <row r="3542" spans="1:12" x14ac:dyDescent="0.25">
      <c r="A3542">
        <f>80768006*0.00001</f>
        <v>807.68006000000003</v>
      </c>
      <c r="B3542">
        <v>3511</v>
      </c>
      <c r="C3542">
        <v>102</v>
      </c>
      <c r="D3542" s="1">
        <f>246.046</f>
        <v>246.04599999999999</v>
      </c>
      <c r="E3542">
        <v>5338</v>
      </c>
      <c r="F3542">
        <v>1616</v>
      </c>
      <c r="G3542">
        <v>1</v>
      </c>
      <c r="H3542">
        <v>0.2</v>
      </c>
      <c r="I3542">
        <v>0</v>
      </c>
      <c r="J3542">
        <v>53.967300000000002</v>
      </c>
      <c r="K3542">
        <v>531.83799999999997</v>
      </c>
      <c r="L3542">
        <v>0</v>
      </c>
    </row>
    <row r="3543" spans="1:12" x14ac:dyDescent="0.25">
      <c r="A3543">
        <f>80768141*0.00001</f>
        <v>807.68141000000003</v>
      </c>
      <c r="B3543">
        <v>3511</v>
      </c>
      <c r="C3543">
        <v>103</v>
      </c>
      <c r="D3543">
        <v>246.04599999999999</v>
      </c>
      <c r="E3543">
        <v>5338</v>
      </c>
      <c r="F3543" s="1">
        <f>1616</f>
        <v>1616</v>
      </c>
      <c r="G3543">
        <v>1</v>
      </c>
      <c r="H3543">
        <v>0.2</v>
      </c>
      <c r="I3543">
        <v>0</v>
      </c>
      <c r="J3543">
        <v>53.967300000000002</v>
      </c>
      <c r="K3543">
        <v>531.83799999999997</v>
      </c>
      <c r="L3543">
        <v>0</v>
      </c>
    </row>
    <row r="3544" spans="1:12" x14ac:dyDescent="0.25">
      <c r="A3544">
        <f>80768276*0.00001</f>
        <v>807.68276000000003</v>
      </c>
      <c r="B3544">
        <v>3511</v>
      </c>
      <c r="C3544">
        <v>104</v>
      </c>
      <c r="D3544">
        <v>246.04599999999999</v>
      </c>
      <c r="E3544">
        <v>5338</v>
      </c>
      <c r="F3544">
        <v>1616</v>
      </c>
      <c r="G3544">
        <v>1</v>
      </c>
      <c r="H3544" s="1">
        <f>0.2</f>
        <v>0.2</v>
      </c>
      <c r="I3544">
        <v>0</v>
      </c>
      <c r="J3544">
        <v>53.967300000000002</v>
      </c>
      <c r="K3544">
        <v>531.83799999999997</v>
      </c>
      <c r="L3544">
        <v>0</v>
      </c>
    </row>
    <row r="3545" spans="1:12" x14ac:dyDescent="0.25">
      <c r="A3545">
        <f>80768410*0.00001</f>
        <v>807.68410000000006</v>
      </c>
      <c r="B3545">
        <v>3511</v>
      </c>
      <c r="C3545">
        <v>105</v>
      </c>
      <c r="D3545">
        <v>246.04599999999999</v>
      </c>
      <c r="E3545">
        <v>5338</v>
      </c>
      <c r="F3545">
        <v>1616</v>
      </c>
      <c r="G3545">
        <v>1</v>
      </c>
      <c r="H3545">
        <v>0.2</v>
      </c>
      <c r="I3545">
        <v>0</v>
      </c>
      <c r="J3545" s="1">
        <f>53.9016</f>
        <v>53.901600000000002</v>
      </c>
      <c r="K3545">
        <v>531.83799999999997</v>
      </c>
      <c r="L3545">
        <v>0</v>
      </c>
    </row>
    <row r="3546" spans="1:12" x14ac:dyDescent="0.25">
      <c r="A3546">
        <f>80768545*0.00001</f>
        <v>807.68545000000006</v>
      </c>
      <c r="B3546">
        <v>3511</v>
      </c>
      <c r="C3546">
        <v>106</v>
      </c>
      <c r="D3546">
        <v>246.04599999999999</v>
      </c>
      <c r="E3546">
        <v>5338</v>
      </c>
      <c r="F3546">
        <v>1616</v>
      </c>
      <c r="G3546">
        <v>1</v>
      </c>
      <c r="H3546">
        <v>0.2</v>
      </c>
      <c r="I3546">
        <v>0</v>
      </c>
      <c r="J3546">
        <v>53.901600000000002</v>
      </c>
      <c r="K3546">
        <v>531.83799999999997</v>
      </c>
      <c r="L3546" s="1">
        <f>0</f>
        <v>0</v>
      </c>
    </row>
    <row r="3547" spans="1:12" x14ac:dyDescent="0.25">
      <c r="A3547">
        <f>80768680*0.00001</f>
        <v>807.68680000000006</v>
      </c>
      <c r="B3547">
        <v>3511</v>
      </c>
      <c r="C3547">
        <v>107</v>
      </c>
      <c r="D3547">
        <v>246.04599999999999</v>
      </c>
      <c r="E3547" s="1">
        <f>5337</f>
        <v>5337</v>
      </c>
      <c r="F3547">
        <v>1616</v>
      </c>
      <c r="G3547">
        <v>1</v>
      </c>
      <c r="H3547">
        <v>0.2</v>
      </c>
      <c r="I3547">
        <v>0</v>
      </c>
      <c r="J3547">
        <v>53.901600000000002</v>
      </c>
      <c r="K3547">
        <v>531.83799999999997</v>
      </c>
      <c r="L3547">
        <v>0</v>
      </c>
    </row>
    <row r="3548" spans="1:12" x14ac:dyDescent="0.25">
      <c r="A3548">
        <f>80768814*0.00001</f>
        <v>807.68814000000009</v>
      </c>
      <c r="B3548">
        <v>3511</v>
      </c>
      <c r="C3548">
        <v>108</v>
      </c>
      <c r="D3548">
        <v>246.04599999999999</v>
      </c>
      <c r="E3548">
        <v>5337</v>
      </c>
      <c r="F3548">
        <v>1616</v>
      </c>
      <c r="G3548" s="1">
        <f>1</f>
        <v>1</v>
      </c>
      <c r="H3548">
        <v>0.2</v>
      </c>
      <c r="I3548">
        <v>0</v>
      </c>
      <c r="J3548">
        <v>53.901600000000002</v>
      </c>
      <c r="K3548">
        <v>531.83799999999997</v>
      </c>
      <c r="L3548">
        <v>0</v>
      </c>
    </row>
    <row r="3549" spans="1:12" x14ac:dyDescent="0.25">
      <c r="A3549">
        <f>80768949*0.00001</f>
        <v>807.68949000000009</v>
      </c>
      <c r="B3549">
        <v>3511</v>
      </c>
      <c r="C3549">
        <v>109</v>
      </c>
      <c r="D3549">
        <v>246.04599999999999</v>
      </c>
      <c r="E3549">
        <v>5337</v>
      </c>
      <c r="F3549">
        <v>1616</v>
      </c>
      <c r="G3549">
        <v>1</v>
      </c>
      <c r="H3549">
        <v>0.2</v>
      </c>
      <c r="I3549" s="1">
        <f>0</f>
        <v>0</v>
      </c>
      <c r="J3549">
        <v>53.901600000000002</v>
      </c>
      <c r="K3549">
        <v>531.83799999999997</v>
      </c>
      <c r="L3549">
        <v>0</v>
      </c>
    </row>
    <row r="3550" spans="1:12" x14ac:dyDescent="0.25">
      <c r="A3550">
        <f>80769084*0.00001</f>
        <v>807.69084000000009</v>
      </c>
      <c r="B3550">
        <v>3511</v>
      </c>
      <c r="C3550">
        <v>110</v>
      </c>
      <c r="D3550">
        <v>246.04599999999999</v>
      </c>
      <c r="E3550">
        <v>5337</v>
      </c>
      <c r="F3550">
        <v>1616</v>
      </c>
      <c r="G3550">
        <v>1</v>
      </c>
      <c r="H3550">
        <v>0.2</v>
      </c>
      <c r="I3550">
        <v>0</v>
      </c>
      <c r="J3550">
        <v>53.901600000000002</v>
      </c>
      <c r="K3550" s="1">
        <f>531.969</f>
        <v>531.96900000000005</v>
      </c>
      <c r="L3550">
        <v>0</v>
      </c>
    </row>
    <row r="3551" spans="1:12" x14ac:dyDescent="0.25">
      <c r="A3551">
        <f>80769218*0.00001</f>
        <v>807.69218000000012</v>
      </c>
      <c r="B3551">
        <v>3511</v>
      </c>
      <c r="C3551">
        <v>111</v>
      </c>
      <c r="D3551" s="1">
        <f>246.295</f>
        <v>246.29499999999999</v>
      </c>
      <c r="E3551" s="1">
        <f>5333</f>
        <v>5333</v>
      </c>
      <c r="F3551" s="1">
        <f>1616</f>
        <v>1616</v>
      </c>
      <c r="G3551" s="1">
        <f>1</f>
        <v>1</v>
      </c>
      <c r="H3551" s="1">
        <f>0.2</f>
        <v>0.2</v>
      </c>
      <c r="I3551" s="1">
        <f>0</f>
        <v>0</v>
      </c>
      <c r="J3551" s="1">
        <f>53.7141</f>
        <v>53.714100000000002</v>
      </c>
      <c r="K3551" s="1">
        <f>532.158</f>
        <v>532.15800000000002</v>
      </c>
      <c r="L3551" s="1">
        <f>0</f>
        <v>0</v>
      </c>
    </row>
    <row r="3552" spans="1:12" x14ac:dyDescent="0.25">
      <c r="A3552">
        <f>80771373*0.00001</f>
        <v>807.71373000000006</v>
      </c>
      <c r="B3552">
        <v>3511</v>
      </c>
      <c r="C3552">
        <v>127</v>
      </c>
      <c r="D3552">
        <v>246.29499999999999</v>
      </c>
      <c r="E3552">
        <v>5333</v>
      </c>
      <c r="F3552">
        <v>1616</v>
      </c>
      <c r="G3552">
        <v>1</v>
      </c>
      <c r="H3552">
        <v>0.2</v>
      </c>
      <c r="I3552" s="1">
        <f>0</f>
        <v>0</v>
      </c>
      <c r="J3552" s="1">
        <f>53.6882</f>
        <v>53.688200000000002</v>
      </c>
      <c r="K3552">
        <v>532.15800000000002</v>
      </c>
      <c r="L3552">
        <v>0</v>
      </c>
    </row>
    <row r="3553" spans="1:12" x14ac:dyDescent="0.25">
      <c r="A3553">
        <f>80771508*0.00001</f>
        <v>807.71508000000006</v>
      </c>
      <c r="B3553">
        <v>3511</v>
      </c>
      <c r="C3553">
        <v>128</v>
      </c>
      <c r="D3553">
        <v>246.29499999999999</v>
      </c>
      <c r="E3553">
        <v>5333</v>
      </c>
      <c r="F3553">
        <v>1616</v>
      </c>
      <c r="G3553">
        <v>1</v>
      </c>
      <c r="H3553">
        <v>0.2</v>
      </c>
      <c r="I3553">
        <v>0</v>
      </c>
      <c r="J3553">
        <v>53.688200000000002</v>
      </c>
      <c r="K3553" s="1">
        <f>532.231</f>
        <v>532.23099999999999</v>
      </c>
      <c r="L3553" s="1">
        <f>0</f>
        <v>0</v>
      </c>
    </row>
    <row r="3554" spans="1:12" x14ac:dyDescent="0.25">
      <c r="A3554">
        <f>80771642*0.00001</f>
        <v>807.71642000000008</v>
      </c>
      <c r="B3554">
        <v>3511</v>
      </c>
      <c r="C3554">
        <v>129</v>
      </c>
      <c r="D3554" s="1">
        <f>246.322</f>
        <v>246.322</v>
      </c>
      <c r="E3554" s="1">
        <f>5333</f>
        <v>5333</v>
      </c>
      <c r="F3554">
        <v>1616</v>
      </c>
      <c r="G3554">
        <v>1</v>
      </c>
      <c r="H3554">
        <v>0.2</v>
      </c>
      <c r="I3554">
        <v>0</v>
      </c>
      <c r="J3554">
        <v>53.688200000000002</v>
      </c>
      <c r="K3554">
        <v>532.23099999999999</v>
      </c>
      <c r="L3554">
        <v>0</v>
      </c>
    </row>
    <row r="3555" spans="1:12" x14ac:dyDescent="0.25">
      <c r="A3555">
        <f>80771777*0.00001</f>
        <v>807.71777000000009</v>
      </c>
      <c r="B3555">
        <v>3511</v>
      </c>
      <c r="C3555">
        <v>130</v>
      </c>
      <c r="D3555">
        <v>246.322</v>
      </c>
      <c r="E3555">
        <v>5333</v>
      </c>
      <c r="F3555" s="1">
        <f>1616</f>
        <v>1616</v>
      </c>
      <c r="G3555" s="1">
        <f>1</f>
        <v>1</v>
      </c>
      <c r="H3555">
        <v>0.2</v>
      </c>
      <c r="I3555">
        <v>0</v>
      </c>
      <c r="J3555">
        <v>53.688200000000002</v>
      </c>
      <c r="K3555">
        <v>532.23099999999999</v>
      </c>
      <c r="L3555">
        <v>0</v>
      </c>
    </row>
    <row r="3556" spans="1:12" x14ac:dyDescent="0.25">
      <c r="A3556">
        <f>80771912*0.00001</f>
        <v>807.71912000000009</v>
      </c>
      <c r="B3556">
        <v>3511</v>
      </c>
      <c r="C3556">
        <v>131</v>
      </c>
      <c r="D3556">
        <v>246.322</v>
      </c>
      <c r="E3556">
        <v>5333</v>
      </c>
      <c r="F3556">
        <v>1616</v>
      </c>
      <c r="G3556">
        <v>1</v>
      </c>
      <c r="H3556" s="1">
        <f>0.2</f>
        <v>0.2</v>
      </c>
      <c r="I3556" s="1">
        <f>0</f>
        <v>0</v>
      </c>
      <c r="J3556">
        <v>53.688200000000002</v>
      </c>
      <c r="K3556">
        <v>532.23099999999999</v>
      </c>
      <c r="L3556">
        <v>0</v>
      </c>
    </row>
    <row r="3557" spans="1:12" x14ac:dyDescent="0.25">
      <c r="A3557">
        <f>80772046*0.00001</f>
        <v>807.72046000000012</v>
      </c>
      <c r="B3557">
        <v>3511</v>
      </c>
      <c r="C3557">
        <v>132</v>
      </c>
      <c r="D3557">
        <v>246.322</v>
      </c>
      <c r="E3557">
        <v>5333</v>
      </c>
      <c r="F3557">
        <v>1616</v>
      </c>
      <c r="G3557">
        <v>1</v>
      </c>
      <c r="H3557">
        <v>0.2</v>
      </c>
      <c r="I3557">
        <v>0</v>
      </c>
      <c r="J3557" s="1">
        <f>53.6651</f>
        <v>53.665100000000002</v>
      </c>
      <c r="K3557" s="1">
        <f>532.289</f>
        <v>532.28899999999999</v>
      </c>
      <c r="L3557">
        <v>0</v>
      </c>
    </row>
    <row r="3558" spans="1:12" x14ac:dyDescent="0.25">
      <c r="A3558">
        <f>80772181*0.00001</f>
        <v>807.72181000000012</v>
      </c>
      <c r="B3558">
        <v>3511</v>
      </c>
      <c r="C3558">
        <v>133</v>
      </c>
      <c r="D3558" s="1">
        <f>246.339</f>
        <v>246.339</v>
      </c>
      <c r="E3558">
        <v>5333</v>
      </c>
      <c r="F3558">
        <v>1616</v>
      </c>
      <c r="G3558">
        <v>1</v>
      </c>
      <c r="H3558">
        <v>0.2</v>
      </c>
      <c r="I3558">
        <v>0</v>
      </c>
      <c r="J3558">
        <v>53.665100000000002</v>
      </c>
      <c r="K3558">
        <v>532.28899999999999</v>
      </c>
      <c r="L3558" s="1">
        <f>0</f>
        <v>0</v>
      </c>
    </row>
    <row r="3559" spans="1:12" x14ac:dyDescent="0.25">
      <c r="A3559">
        <f>80772316*0.00001</f>
        <v>807.72316000000012</v>
      </c>
      <c r="B3559">
        <v>3511</v>
      </c>
      <c r="C3559">
        <v>134</v>
      </c>
      <c r="D3559">
        <v>246.339</v>
      </c>
      <c r="E3559" s="1">
        <f>5333</f>
        <v>5333</v>
      </c>
      <c r="F3559" s="1">
        <f>1616</f>
        <v>1616</v>
      </c>
      <c r="G3559">
        <v>1</v>
      </c>
      <c r="H3559">
        <v>0.2</v>
      </c>
      <c r="I3559">
        <v>0</v>
      </c>
      <c r="J3559">
        <v>53.665100000000002</v>
      </c>
      <c r="K3559">
        <v>532.28899999999999</v>
      </c>
      <c r="L3559">
        <v>0</v>
      </c>
    </row>
    <row r="3560" spans="1:12" x14ac:dyDescent="0.25">
      <c r="A3560">
        <f>80772450*0.00001</f>
        <v>807.72450000000003</v>
      </c>
      <c r="B3560">
        <v>3511</v>
      </c>
      <c r="C3560">
        <v>135</v>
      </c>
      <c r="D3560">
        <v>246.339</v>
      </c>
      <c r="E3560">
        <v>5333</v>
      </c>
      <c r="F3560">
        <v>1616</v>
      </c>
      <c r="G3560" s="1">
        <f>1</f>
        <v>1</v>
      </c>
      <c r="H3560" s="1">
        <f>0.2</f>
        <v>0.2</v>
      </c>
      <c r="I3560">
        <v>0</v>
      </c>
      <c r="J3560">
        <v>53.665100000000002</v>
      </c>
      <c r="K3560">
        <v>532.28899999999999</v>
      </c>
      <c r="L3560">
        <v>0</v>
      </c>
    </row>
    <row r="3561" spans="1:12" x14ac:dyDescent="0.25">
      <c r="A3561">
        <f>80772585*0.00001</f>
        <v>807.72585000000004</v>
      </c>
      <c r="B3561">
        <v>3511</v>
      </c>
      <c r="C3561">
        <v>136</v>
      </c>
      <c r="D3561">
        <v>246.339</v>
      </c>
      <c r="E3561">
        <v>5333</v>
      </c>
      <c r="F3561">
        <v>1616</v>
      </c>
      <c r="G3561">
        <v>1</v>
      </c>
      <c r="H3561">
        <v>0.2</v>
      </c>
      <c r="I3561" s="1">
        <f>0</f>
        <v>0</v>
      </c>
      <c r="J3561" s="1">
        <f>53.6506</f>
        <v>53.650599999999997</v>
      </c>
      <c r="K3561">
        <v>532.28899999999999</v>
      </c>
      <c r="L3561">
        <v>0</v>
      </c>
    </row>
    <row r="3562" spans="1:12" x14ac:dyDescent="0.25">
      <c r="A3562">
        <f>80772720*0.00001</f>
        <v>807.72720000000004</v>
      </c>
      <c r="B3562">
        <v>3511</v>
      </c>
      <c r="C3562">
        <v>137</v>
      </c>
      <c r="D3562">
        <v>246.339</v>
      </c>
      <c r="E3562">
        <v>5333</v>
      </c>
      <c r="F3562">
        <v>1616</v>
      </c>
      <c r="G3562">
        <v>1</v>
      </c>
      <c r="H3562">
        <v>0.2</v>
      </c>
      <c r="I3562">
        <v>0</v>
      </c>
      <c r="J3562">
        <v>53.650599999999997</v>
      </c>
      <c r="K3562" s="1">
        <f>532.362</f>
        <v>532.36199999999997</v>
      </c>
      <c r="L3562" s="1">
        <f>0</f>
        <v>0</v>
      </c>
    </row>
    <row r="3563" spans="1:12" x14ac:dyDescent="0.25">
      <c r="A3563">
        <f>80772854*0.00001</f>
        <v>807.72854000000007</v>
      </c>
      <c r="B3563">
        <v>3511</v>
      </c>
      <c r="C3563">
        <v>138</v>
      </c>
      <c r="D3563" s="1">
        <f>246.355</f>
        <v>246.35499999999999</v>
      </c>
      <c r="E3563" s="1">
        <f>5333</f>
        <v>5333</v>
      </c>
      <c r="F3563">
        <v>1616</v>
      </c>
      <c r="G3563">
        <v>1</v>
      </c>
      <c r="H3563">
        <v>0.2</v>
      </c>
      <c r="I3563">
        <v>0</v>
      </c>
      <c r="J3563">
        <v>53.650599999999997</v>
      </c>
      <c r="K3563">
        <v>532.36199999999997</v>
      </c>
      <c r="L3563">
        <v>0</v>
      </c>
    </row>
    <row r="3564" spans="1:12" x14ac:dyDescent="0.25">
      <c r="A3564">
        <f>80772989*0.00001</f>
        <v>807.72989000000007</v>
      </c>
      <c r="B3564">
        <v>3511</v>
      </c>
      <c r="C3564">
        <v>139</v>
      </c>
      <c r="D3564">
        <v>246.35499999999999</v>
      </c>
      <c r="E3564">
        <v>5333</v>
      </c>
      <c r="F3564">
        <v>1616</v>
      </c>
      <c r="G3564" s="1">
        <f>1</f>
        <v>1</v>
      </c>
      <c r="H3564">
        <v>0.2</v>
      </c>
      <c r="I3564">
        <v>0</v>
      </c>
      <c r="J3564">
        <v>53.650599999999997</v>
      </c>
      <c r="K3564">
        <v>532.36199999999997</v>
      </c>
      <c r="L3564">
        <v>0</v>
      </c>
    </row>
    <row r="3565" spans="1:12" x14ac:dyDescent="0.25">
      <c r="A3565">
        <f>80773124*0.00001</f>
        <v>807.73124000000007</v>
      </c>
      <c r="B3565">
        <v>3511</v>
      </c>
      <c r="C3565">
        <v>140</v>
      </c>
      <c r="D3565">
        <v>246.35499999999999</v>
      </c>
      <c r="E3565">
        <v>5333</v>
      </c>
      <c r="F3565">
        <v>1616</v>
      </c>
      <c r="G3565">
        <v>1</v>
      </c>
      <c r="H3565">
        <v>0.2</v>
      </c>
      <c r="I3565" s="1">
        <f>0</f>
        <v>0</v>
      </c>
      <c r="J3565">
        <v>53.650599999999997</v>
      </c>
      <c r="K3565">
        <v>532.36199999999997</v>
      </c>
      <c r="L3565">
        <v>0</v>
      </c>
    </row>
    <row r="3566" spans="1:12" x14ac:dyDescent="0.25">
      <c r="A3566">
        <f>80773258*0.00001</f>
        <v>807.7325800000001</v>
      </c>
      <c r="B3566">
        <v>3511</v>
      </c>
      <c r="C3566">
        <v>141</v>
      </c>
      <c r="D3566">
        <v>246.35499999999999</v>
      </c>
      <c r="E3566">
        <v>5333</v>
      </c>
      <c r="F3566">
        <v>1616</v>
      </c>
      <c r="G3566">
        <v>1</v>
      </c>
      <c r="H3566">
        <v>0.2</v>
      </c>
      <c r="I3566">
        <v>0</v>
      </c>
      <c r="J3566">
        <v>53.650599999999997</v>
      </c>
      <c r="K3566" s="1">
        <f>532.419</f>
        <v>532.41899999999998</v>
      </c>
      <c r="L3566">
        <v>0</v>
      </c>
    </row>
    <row r="3567" spans="1:12" x14ac:dyDescent="0.25">
      <c r="A3567">
        <f>80773393*0.00001</f>
        <v>807.7339300000001</v>
      </c>
      <c r="B3567">
        <v>3511</v>
      </c>
      <c r="C3567">
        <v>142</v>
      </c>
      <c r="D3567" s="1">
        <f>246.366</f>
        <v>246.36600000000001</v>
      </c>
      <c r="E3567">
        <v>5333</v>
      </c>
      <c r="F3567">
        <v>1616</v>
      </c>
      <c r="G3567">
        <v>1</v>
      </c>
      <c r="H3567">
        <v>0.2</v>
      </c>
      <c r="I3567">
        <v>0</v>
      </c>
      <c r="J3567">
        <v>53.650599999999997</v>
      </c>
      <c r="K3567">
        <v>532.41899999999998</v>
      </c>
      <c r="L3567">
        <v>0</v>
      </c>
    </row>
    <row r="3568" spans="1:12" x14ac:dyDescent="0.25">
      <c r="A3568">
        <f>80773528*0.00001</f>
        <v>807.7352800000001</v>
      </c>
      <c r="B3568">
        <v>3511</v>
      </c>
      <c r="C3568">
        <v>143</v>
      </c>
      <c r="D3568">
        <v>246.36600000000001</v>
      </c>
      <c r="E3568">
        <v>5333</v>
      </c>
      <c r="F3568" s="1">
        <f>1616</f>
        <v>1616</v>
      </c>
      <c r="G3568">
        <v>1</v>
      </c>
      <c r="H3568">
        <v>0.2</v>
      </c>
      <c r="I3568">
        <v>0</v>
      </c>
      <c r="J3568">
        <v>53.650599999999997</v>
      </c>
      <c r="K3568">
        <v>532.41899999999998</v>
      </c>
      <c r="L3568">
        <v>0</v>
      </c>
    </row>
    <row r="3569" spans="1:12" x14ac:dyDescent="0.25">
      <c r="A3569">
        <f>80773662*0.00001</f>
        <v>807.73662000000002</v>
      </c>
      <c r="B3569">
        <v>3511</v>
      </c>
      <c r="C3569">
        <v>144</v>
      </c>
      <c r="D3569">
        <v>246.36600000000001</v>
      </c>
      <c r="E3569">
        <v>5333</v>
      </c>
      <c r="F3569">
        <v>1616</v>
      </c>
      <c r="G3569">
        <v>1</v>
      </c>
      <c r="H3569" s="1">
        <f>0.2</f>
        <v>0.2</v>
      </c>
      <c r="I3569">
        <v>0</v>
      </c>
      <c r="J3569">
        <v>53.650599999999997</v>
      </c>
      <c r="K3569">
        <v>532.41899999999998</v>
      </c>
      <c r="L3569">
        <v>0</v>
      </c>
    </row>
    <row r="3570" spans="1:12" x14ac:dyDescent="0.25">
      <c r="A3570">
        <f>80773797*0.00001</f>
        <v>807.73797000000002</v>
      </c>
      <c r="B3570">
        <v>3511</v>
      </c>
      <c r="C3570">
        <v>145</v>
      </c>
      <c r="D3570">
        <v>246.36600000000001</v>
      </c>
      <c r="E3570">
        <v>5333</v>
      </c>
      <c r="F3570">
        <v>1616</v>
      </c>
      <c r="G3570">
        <v>1</v>
      </c>
      <c r="H3570">
        <v>0.2</v>
      </c>
      <c r="I3570">
        <v>0</v>
      </c>
      <c r="J3570" s="1">
        <f>53.627</f>
        <v>53.627000000000002</v>
      </c>
      <c r="K3570">
        <v>532.41899999999998</v>
      </c>
      <c r="L3570">
        <v>0</v>
      </c>
    </row>
    <row r="3571" spans="1:12" x14ac:dyDescent="0.25">
      <c r="A3571">
        <f>80773932*0.00001</f>
        <v>807.73932000000002</v>
      </c>
      <c r="B3571">
        <v>3511</v>
      </c>
      <c r="C3571">
        <v>146</v>
      </c>
      <c r="D3571">
        <v>246.36600000000001</v>
      </c>
      <c r="E3571">
        <v>5333</v>
      </c>
      <c r="F3571">
        <v>1616</v>
      </c>
      <c r="G3571">
        <v>1</v>
      </c>
      <c r="H3571">
        <v>0.2</v>
      </c>
      <c r="I3571">
        <v>0</v>
      </c>
      <c r="J3571">
        <v>53.627000000000002</v>
      </c>
      <c r="K3571">
        <v>532.41899999999998</v>
      </c>
      <c r="L3571" s="1">
        <f>0</f>
        <v>0</v>
      </c>
    </row>
    <row r="3572" spans="1:12" x14ac:dyDescent="0.25">
      <c r="A3572">
        <f>80774066*0.00001</f>
        <v>807.74066000000005</v>
      </c>
      <c r="B3572">
        <v>3511</v>
      </c>
      <c r="C3572">
        <v>147</v>
      </c>
      <c r="D3572">
        <v>246.36600000000001</v>
      </c>
      <c r="E3572" s="1">
        <f>5333</f>
        <v>5333</v>
      </c>
      <c r="F3572">
        <v>1616</v>
      </c>
      <c r="G3572">
        <v>1</v>
      </c>
      <c r="H3572">
        <v>0.2</v>
      </c>
      <c r="I3572">
        <v>0</v>
      </c>
      <c r="J3572">
        <v>53.627000000000002</v>
      </c>
      <c r="K3572">
        <v>532.41899999999998</v>
      </c>
      <c r="L3572">
        <v>0</v>
      </c>
    </row>
    <row r="3573" spans="1:12" x14ac:dyDescent="0.25">
      <c r="A3573">
        <f>80774201*0.00001</f>
        <v>807.74201000000005</v>
      </c>
      <c r="B3573">
        <v>3511</v>
      </c>
      <c r="C3573">
        <v>148</v>
      </c>
      <c r="D3573">
        <v>246.36600000000001</v>
      </c>
      <c r="E3573">
        <v>5333</v>
      </c>
      <c r="F3573">
        <v>1616</v>
      </c>
      <c r="G3573" s="1">
        <f>1</f>
        <v>1</v>
      </c>
      <c r="H3573">
        <v>0.2</v>
      </c>
      <c r="I3573">
        <v>0</v>
      </c>
      <c r="J3573">
        <v>53.627000000000002</v>
      </c>
      <c r="K3573">
        <v>532.41899999999998</v>
      </c>
      <c r="L3573">
        <v>0</v>
      </c>
    </row>
    <row r="3574" spans="1:12" x14ac:dyDescent="0.25">
      <c r="A3574">
        <f>80774336*0.00001</f>
        <v>807.74336000000005</v>
      </c>
      <c r="B3574">
        <v>3511</v>
      </c>
      <c r="C3574">
        <v>149</v>
      </c>
      <c r="D3574">
        <v>246.36600000000001</v>
      </c>
      <c r="E3574">
        <v>5333</v>
      </c>
      <c r="F3574">
        <v>1616</v>
      </c>
      <c r="G3574">
        <v>1</v>
      </c>
      <c r="H3574">
        <v>0.2</v>
      </c>
      <c r="I3574" s="1">
        <f>0</f>
        <v>0</v>
      </c>
      <c r="J3574">
        <v>53.627000000000002</v>
      </c>
      <c r="K3574">
        <v>532.41899999999998</v>
      </c>
      <c r="L3574">
        <v>0</v>
      </c>
    </row>
    <row r="3575" spans="1:12" x14ac:dyDescent="0.25">
      <c r="A3575">
        <f>80774470*0.00001</f>
        <v>807.74470000000008</v>
      </c>
      <c r="B3575">
        <v>3511</v>
      </c>
      <c r="C3575">
        <v>150</v>
      </c>
      <c r="D3575" s="1">
        <f>246.399</f>
        <v>246.399</v>
      </c>
      <c r="E3575" s="1">
        <f>5334</f>
        <v>5334</v>
      </c>
      <c r="F3575" s="1">
        <f>1617</f>
        <v>1617</v>
      </c>
      <c r="G3575" s="1">
        <f>1</f>
        <v>1</v>
      </c>
      <c r="H3575" s="1">
        <f>0.2</f>
        <v>0.2</v>
      </c>
      <c r="I3575" s="1">
        <f>0</f>
        <v>0</v>
      </c>
      <c r="J3575" s="1">
        <f>53.6029</f>
        <v>53.602899999999998</v>
      </c>
      <c r="K3575" s="1">
        <f>532.753</f>
        <v>532.75300000000004</v>
      </c>
      <c r="L3575" s="1">
        <f>0</f>
        <v>0</v>
      </c>
    </row>
    <row r="3576" spans="1:12" x14ac:dyDescent="0.25">
      <c r="A3576">
        <f>80776894*0.00001</f>
        <v>807.76894000000004</v>
      </c>
      <c r="B3576">
        <v>3511</v>
      </c>
      <c r="C3576">
        <v>168</v>
      </c>
      <c r="D3576">
        <v>246.399</v>
      </c>
      <c r="E3576">
        <v>5334</v>
      </c>
      <c r="F3576">
        <v>1617</v>
      </c>
      <c r="G3576">
        <v>1</v>
      </c>
      <c r="H3576">
        <v>0.2</v>
      </c>
      <c r="I3576">
        <v>0</v>
      </c>
      <c r="J3576" s="1">
        <f>53.5991</f>
        <v>53.5991</v>
      </c>
      <c r="K3576" s="1">
        <f>532.811</f>
        <v>532.81100000000004</v>
      </c>
      <c r="L3576">
        <v>0</v>
      </c>
    </row>
    <row r="3577" spans="1:12" x14ac:dyDescent="0.25">
      <c r="A3577">
        <f>80777029*0.00001</f>
        <v>807.77029000000005</v>
      </c>
      <c r="B3577">
        <v>3511</v>
      </c>
      <c r="C3577">
        <v>169</v>
      </c>
      <c r="D3577" s="1">
        <f>246.401</f>
        <v>246.40100000000001</v>
      </c>
      <c r="E3577">
        <v>5334</v>
      </c>
      <c r="F3577">
        <v>1617</v>
      </c>
      <c r="G3577">
        <v>1</v>
      </c>
      <c r="H3577">
        <v>0.2</v>
      </c>
      <c r="I3577">
        <v>0</v>
      </c>
      <c r="J3577">
        <v>53.5991</v>
      </c>
      <c r="K3577">
        <v>532.81100000000004</v>
      </c>
      <c r="L3577" s="1">
        <f>0</f>
        <v>0</v>
      </c>
    </row>
    <row r="3578" spans="1:12" x14ac:dyDescent="0.25">
      <c r="A3578">
        <f>80777164*0.00001</f>
        <v>807.77164000000005</v>
      </c>
      <c r="B3578">
        <v>3511</v>
      </c>
      <c r="C3578">
        <v>170</v>
      </c>
      <c r="D3578">
        <v>246.40100000000001</v>
      </c>
      <c r="E3578" s="1">
        <f>5334</f>
        <v>5334</v>
      </c>
      <c r="F3578" s="1">
        <f>1617</f>
        <v>1617</v>
      </c>
      <c r="G3578">
        <v>1</v>
      </c>
      <c r="H3578">
        <v>0.2</v>
      </c>
      <c r="I3578">
        <v>0</v>
      </c>
      <c r="J3578">
        <v>53.5991</v>
      </c>
      <c r="K3578">
        <v>532.81100000000004</v>
      </c>
      <c r="L3578">
        <v>0</v>
      </c>
    </row>
    <row r="3579" spans="1:12" x14ac:dyDescent="0.25">
      <c r="A3579">
        <f>80777299*0.00001</f>
        <v>807.77299000000005</v>
      </c>
      <c r="B3579">
        <v>3511</v>
      </c>
      <c r="C3579">
        <v>171</v>
      </c>
      <c r="D3579">
        <v>246.40100000000001</v>
      </c>
      <c r="E3579">
        <v>5334</v>
      </c>
      <c r="F3579">
        <v>1617</v>
      </c>
      <c r="G3579" s="1">
        <f>1</f>
        <v>1</v>
      </c>
      <c r="H3579" s="1">
        <f>0.2</f>
        <v>0.2</v>
      </c>
      <c r="I3579">
        <v>0</v>
      </c>
      <c r="J3579">
        <v>53.5991</v>
      </c>
      <c r="K3579">
        <v>532.81100000000004</v>
      </c>
      <c r="L3579">
        <v>0</v>
      </c>
    </row>
    <row r="3580" spans="1:12" x14ac:dyDescent="0.25">
      <c r="A3580">
        <f>80777433*0.00001</f>
        <v>807.77433000000008</v>
      </c>
      <c r="B3580">
        <v>3511</v>
      </c>
      <c r="C3580">
        <v>172</v>
      </c>
      <c r="D3580">
        <v>246.40100000000001</v>
      </c>
      <c r="E3580">
        <v>5334</v>
      </c>
      <c r="F3580">
        <v>1617</v>
      </c>
      <c r="G3580">
        <v>1</v>
      </c>
      <c r="H3580">
        <v>0.2</v>
      </c>
      <c r="I3580" s="1">
        <f>0</f>
        <v>0</v>
      </c>
      <c r="J3580" s="1">
        <f>53.5612</f>
        <v>53.561199999999999</v>
      </c>
      <c r="K3580">
        <v>532.81100000000004</v>
      </c>
      <c r="L3580">
        <v>0</v>
      </c>
    </row>
    <row r="3581" spans="1:12" x14ac:dyDescent="0.25">
      <c r="A3581">
        <f>80777567*0.00001</f>
        <v>807.7756700000001</v>
      </c>
      <c r="B3581">
        <v>3511</v>
      </c>
      <c r="C3581">
        <v>173</v>
      </c>
      <c r="D3581">
        <v>246.40100000000001</v>
      </c>
      <c r="E3581">
        <v>5334</v>
      </c>
      <c r="F3581">
        <v>1617</v>
      </c>
      <c r="G3581">
        <v>1</v>
      </c>
      <c r="H3581">
        <v>0.2</v>
      </c>
      <c r="I3581">
        <v>0</v>
      </c>
      <c r="J3581">
        <v>53.561199999999999</v>
      </c>
      <c r="K3581" s="1">
        <f>532.883</f>
        <v>532.88300000000004</v>
      </c>
      <c r="L3581" s="1">
        <f>0</f>
        <v>0</v>
      </c>
    </row>
    <row r="3582" spans="1:12" x14ac:dyDescent="0.25">
      <c r="A3582">
        <f>80777701*0.00001</f>
        <v>807.77701000000002</v>
      </c>
      <c r="B3582">
        <v>3511</v>
      </c>
      <c r="C3582">
        <v>174</v>
      </c>
      <c r="D3582" s="1">
        <f>246.472</f>
        <v>246.47200000000001</v>
      </c>
      <c r="E3582" s="1">
        <f>5333</f>
        <v>5333</v>
      </c>
      <c r="F3582">
        <v>1617</v>
      </c>
      <c r="G3582">
        <v>1</v>
      </c>
      <c r="H3582">
        <v>0.2</v>
      </c>
      <c r="I3582">
        <v>0</v>
      </c>
      <c r="J3582">
        <v>53.561199999999999</v>
      </c>
      <c r="K3582">
        <v>532.88300000000004</v>
      </c>
      <c r="L3582">
        <v>0</v>
      </c>
    </row>
    <row r="3583" spans="1:12" x14ac:dyDescent="0.25">
      <c r="A3583">
        <f>80777836*0.00001</f>
        <v>807.77836000000002</v>
      </c>
      <c r="B3583">
        <v>3511</v>
      </c>
      <c r="C3583">
        <v>175</v>
      </c>
      <c r="D3583">
        <v>246.47200000000001</v>
      </c>
      <c r="E3583">
        <v>5333</v>
      </c>
      <c r="F3583" s="1">
        <f>1617</f>
        <v>1617</v>
      </c>
      <c r="G3583" s="1">
        <f>1</f>
        <v>1</v>
      </c>
      <c r="H3583">
        <v>0.2</v>
      </c>
      <c r="I3583">
        <v>0</v>
      </c>
      <c r="J3583">
        <v>53.561199999999999</v>
      </c>
      <c r="K3583">
        <v>532.88300000000004</v>
      </c>
      <c r="L3583">
        <v>0</v>
      </c>
    </row>
    <row r="3584" spans="1:12" x14ac:dyDescent="0.25">
      <c r="A3584">
        <f>80777971*0.00001</f>
        <v>807.77971000000002</v>
      </c>
      <c r="B3584">
        <v>3511</v>
      </c>
      <c r="C3584">
        <v>176</v>
      </c>
      <c r="D3584">
        <v>246.47200000000001</v>
      </c>
      <c r="E3584">
        <v>5333</v>
      </c>
      <c r="F3584">
        <v>1617</v>
      </c>
      <c r="G3584">
        <v>1</v>
      </c>
      <c r="H3584" s="1">
        <f>0.2</f>
        <v>0.2</v>
      </c>
      <c r="I3584" s="1">
        <f>0</f>
        <v>0</v>
      </c>
      <c r="J3584">
        <v>53.561199999999999</v>
      </c>
      <c r="K3584">
        <v>532.88300000000004</v>
      </c>
      <c r="L3584">
        <v>0</v>
      </c>
    </row>
    <row r="3585" spans="1:12" x14ac:dyDescent="0.25">
      <c r="A3585">
        <f>80778106*0.00001</f>
        <v>807.78106000000002</v>
      </c>
      <c r="B3585">
        <v>3511</v>
      </c>
      <c r="C3585">
        <v>177</v>
      </c>
      <c r="D3585">
        <v>246.47200000000001</v>
      </c>
      <c r="E3585">
        <v>5333</v>
      </c>
      <c r="F3585">
        <v>1617</v>
      </c>
      <c r="G3585">
        <v>1</v>
      </c>
      <c r="H3585">
        <v>0.2</v>
      </c>
      <c r="I3585">
        <v>0</v>
      </c>
      <c r="J3585" s="1">
        <f>53.4845</f>
        <v>53.484499999999997</v>
      </c>
      <c r="K3585" s="1">
        <f>532.941</f>
        <v>532.94100000000003</v>
      </c>
      <c r="L3585">
        <v>0</v>
      </c>
    </row>
    <row r="3586" spans="1:12" x14ac:dyDescent="0.25">
      <c r="A3586">
        <f>80778240*0.00001</f>
        <v>807.78240000000005</v>
      </c>
      <c r="B3586">
        <v>3511</v>
      </c>
      <c r="C3586">
        <v>178</v>
      </c>
      <c r="D3586" s="1">
        <f>246.529</f>
        <v>246.529</v>
      </c>
      <c r="E3586" s="1">
        <f>5331</f>
        <v>5331</v>
      </c>
      <c r="F3586" s="1">
        <f>1617</f>
        <v>1617</v>
      </c>
      <c r="G3586">
        <v>1</v>
      </c>
      <c r="H3586">
        <v>0.2</v>
      </c>
      <c r="I3586">
        <v>0</v>
      </c>
      <c r="J3586">
        <v>53.484499999999997</v>
      </c>
      <c r="K3586">
        <v>532.94100000000003</v>
      </c>
      <c r="L3586" s="1">
        <f>0</f>
        <v>0</v>
      </c>
    </row>
    <row r="3587" spans="1:12" s="2" customFormat="1" x14ac:dyDescent="0.25">
      <c r="A3587" s="2">
        <f>80778509*0.00001</f>
        <v>807.78509000000008</v>
      </c>
      <c r="B3587" s="2">
        <v>3512</v>
      </c>
      <c r="C3587" s="2">
        <v>0</v>
      </c>
      <c r="D3587" s="2">
        <v>246.529</v>
      </c>
      <c r="E3587" s="2">
        <v>5331</v>
      </c>
      <c r="F3587" s="2">
        <v>1617</v>
      </c>
      <c r="G3587" s="2">
        <v>1</v>
      </c>
      <c r="H3587" s="1">
        <f>0.2</f>
        <v>0.2</v>
      </c>
      <c r="I3587" s="2">
        <v>0</v>
      </c>
      <c r="J3587" s="2">
        <v>53.484499999999997</v>
      </c>
      <c r="K3587" s="2">
        <v>532.94100000000003</v>
      </c>
      <c r="L3587" s="2">
        <v>0</v>
      </c>
    </row>
    <row r="3588" spans="1:12" x14ac:dyDescent="0.25">
      <c r="A3588">
        <f>80778644*0.00001</f>
        <v>807.78644000000008</v>
      </c>
      <c r="B3588">
        <v>3512</v>
      </c>
      <c r="C3588">
        <v>1</v>
      </c>
      <c r="D3588">
        <v>246.529</v>
      </c>
      <c r="E3588">
        <v>5331</v>
      </c>
      <c r="F3588">
        <v>1617</v>
      </c>
      <c r="G3588">
        <v>1</v>
      </c>
      <c r="H3588">
        <v>0.2</v>
      </c>
      <c r="I3588">
        <v>0</v>
      </c>
      <c r="J3588" s="1">
        <f>53.459</f>
        <v>53.459000000000003</v>
      </c>
      <c r="K3588">
        <v>532.94100000000003</v>
      </c>
      <c r="L3588">
        <v>0</v>
      </c>
    </row>
    <row r="3589" spans="1:12" x14ac:dyDescent="0.25">
      <c r="A3589">
        <f>80778779*0.00001</f>
        <v>807.78779000000009</v>
      </c>
      <c r="B3589">
        <v>3512</v>
      </c>
      <c r="C3589">
        <v>2</v>
      </c>
      <c r="D3589">
        <v>246.529</v>
      </c>
      <c r="E3589">
        <v>5331</v>
      </c>
      <c r="F3589">
        <v>1617</v>
      </c>
      <c r="G3589">
        <v>1</v>
      </c>
      <c r="H3589">
        <v>0.2</v>
      </c>
      <c r="I3589">
        <v>0</v>
      </c>
      <c r="J3589">
        <v>53.459000000000003</v>
      </c>
      <c r="K3589">
        <v>532.94100000000003</v>
      </c>
      <c r="L3589" s="1">
        <f>0</f>
        <v>0</v>
      </c>
    </row>
    <row r="3590" spans="1:12" x14ac:dyDescent="0.25">
      <c r="A3590">
        <f>80778914*0.00001</f>
        <v>807.78914000000009</v>
      </c>
      <c r="B3590">
        <v>3512</v>
      </c>
      <c r="C3590">
        <v>3</v>
      </c>
      <c r="D3590">
        <v>246.529</v>
      </c>
      <c r="E3590" s="1">
        <f>5331</f>
        <v>5331</v>
      </c>
      <c r="F3590">
        <v>1617</v>
      </c>
      <c r="G3590">
        <v>1</v>
      </c>
      <c r="H3590">
        <v>0.2</v>
      </c>
      <c r="I3590">
        <v>0</v>
      </c>
      <c r="J3590">
        <v>53.459000000000003</v>
      </c>
      <c r="K3590">
        <v>532.94100000000003</v>
      </c>
      <c r="L3590">
        <v>0</v>
      </c>
    </row>
    <row r="3591" spans="1:12" x14ac:dyDescent="0.25">
      <c r="A3591">
        <f>80779049*0.00001</f>
        <v>807.79049000000009</v>
      </c>
      <c r="B3591">
        <v>3512</v>
      </c>
      <c r="C3591">
        <v>4</v>
      </c>
      <c r="D3591">
        <v>246.529</v>
      </c>
      <c r="E3591">
        <v>5331</v>
      </c>
      <c r="F3591">
        <v>1617</v>
      </c>
      <c r="G3591" s="1">
        <f>1</f>
        <v>1</v>
      </c>
      <c r="H3591">
        <v>0.2</v>
      </c>
      <c r="I3591">
        <v>0</v>
      </c>
      <c r="J3591">
        <v>53.459000000000003</v>
      </c>
      <c r="K3591">
        <v>532.94100000000003</v>
      </c>
      <c r="L3591">
        <v>0</v>
      </c>
    </row>
    <row r="3592" spans="1:12" x14ac:dyDescent="0.25">
      <c r="A3592">
        <f>80779184*0.00001</f>
        <v>807.79184000000009</v>
      </c>
      <c r="B3592">
        <v>3512</v>
      </c>
      <c r="C3592">
        <v>5</v>
      </c>
      <c r="D3592">
        <v>246.529</v>
      </c>
      <c r="E3592">
        <v>5331</v>
      </c>
      <c r="F3592">
        <v>1617</v>
      </c>
      <c r="G3592">
        <v>1</v>
      </c>
      <c r="H3592">
        <v>0.2</v>
      </c>
      <c r="I3592" s="1">
        <f>0</f>
        <v>0</v>
      </c>
      <c r="J3592">
        <v>53.459000000000003</v>
      </c>
      <c r="K3592">
        <v>532.94100000000003</v>
      </c>
      <c r="L3592">
        <v>0</v>
      </c>
    </row>
    <row r="3593" spans="1:12" x14ac:dyDescent="0.25">
      <c r="A3593">
        <f>80779319*0.00001</f>
        <v>807.7931900000001</v>
      </c>
      <c r="B3593">
        <v>3512</v>
      </c>
      <c r="C3593">
        <v>6</v>
      </c>
      <c r="D3593">
        <v>246.529</v>
      </c>
      <c r="E3593">
        <v>5331</v>
      </c>
      <c r="F3593">
        <v>1617</v>
      </c>
      <c r="G3593">
        <v>1</v>
      </c>
      <c r="H3593">
        <v>0.2</v>
      </c>
      <c r="I3593">
        <v>0</v>
      </c>
      <c r="J3593">
        <v>53.459000000000003</v>
      </c>
      <c r="K3593" s="1">
        <f>533.042</f>
        <v>533.04200000000003</v>
      </c>
      <c r="L3593">
        <v>0</v>
      </c>
    </row>
    <row r="3594" spans="1:12" x14ac:dyDescent="0.25">
      <c r="A3594">
        <f>80779453*0.00001</f>
        <v>807.79453000000012</v>
      </c>
      <c r="B3594">
        <v>3512</v>
      </c>
      <c r="C3594">
        <v>7</v>
      </c>
      <c r="D3594" s="1">
        <f>246.604</f>
        <v>246.60400000000001</v>
      </c>
      <c r="E3594">
        <v>5331</v>
      </c>
      <c r="F3594">
        <v>1617</v>
      </c>
      <c r="G3594">
        <v>1</v>
      </c>
      <c r="H3594">
        <v>0.2</v>
      </c>
      <c r="I3594">
        <v>0</v>
      </c>
      <c r="J3594">
        <v>53.459000000000003</v>
      </c>
      <c r="K3594">
        <v>533.04200000000003</v>
      </c>
      <c r="L3594">
        <v>0</v>
      </c>
    </row>
    <row r="3595" spans="1:12" x14ac:dyDescent="0.25">
      <c r="A3595">
        <f>80779587*0.00001</f>
        <v>807.79587000000004</v>
      </c>
      <c r="B3595">
        <v>3512</v>
      </c>
      <c r="C3595">
        <v>8</v>
      </c>
      <c r="D3595">
        <v>246.60400000000001</v>
      </c>
      <c r="E3595">
        <v>5331</v>
      </c>
      <c r="F3595" s="1">
        <f>1617</f>
        <v>1617</v>
      </c>
      <c r="G3595">
        <v>1</v>
      </c>
      <c r="H3595">
        <v>0.2</v>
      </c>
      <c r="I3595">
        <v>0</v>
      </c>
      <c r="J3595">
        <v>53.459000000000003</v>
      </c>
      <c r="K3595">
        <v>533.04200000000003</v>
      </c>
      <c r="L3595">
        <v>0</v>
      </c>
    </row>
    <row r="3596" spans="1:12" x14ac:dyDescent="0.25">
      <c r="A3596">
        <f>80779721*0.00001</f>
        <v>807.79721000000006</v>
      </c>
      <c r="B3596">
        <v>3512</v>
      </c>
      <c r="C3596">
        <v>9</v>
      </c>
      <c r="D3596">
        <v>246.60400000000001</v>
      </c>
      <c r="E3596">
        <v>5331</v>
      </c>
      <c r="F3596">
        <v>1617</v>
      </c>
      <c r="G3596">
        <v>1</v>
      </c>
      <c r="H3596" s="1">
        <f>0.2</f>
        <v>0.2</v>
      </c>
      <c r="I3596">
        <v>0</v>
      </c>
      <c r="J3596">
        <v>53.459000000000003</v>
      </c>
      <c r="K3596">
        <v>533.04200000000003</v>
      </c>
      <c r="L3596">
        <v>0</v>
      </c>
    </row>
    <row r="3597" spans="1:12" x14ac:dyDescent="0.25">
      <c r="A3597">
        <f>80779856*0.00001</f>
        <v>807.79856000000007</v>
      </c>
      <c r="B3597">
        <v>3512</v>
      </c>
      <c r="C3597">
        <v>10</v>
      </c>
      <c r="D3597">
        <v>246.60400000000001</v>
      </c>
      <c r="E3597">
        <v>5331</v>
      </c>
      <c r="F3597">
        <v>1617</v>
      </c>
      <c r="G3597">
        <v>1</v>
      </c>
      <c r="H3597">
        <v>0.2</v>
      </c>
      <c r="I3597">
        <v>0</v>
      </c>
      <c r="J3597" s="1">
        <f>53.3712</f>
        <v>53.371200000000002</v>
      </c>
      <c r="K3597">
        <v>533.04200000000003</v>
      </c>
      <c r="L3597">
        <v>0</v>
      </c>
    </row>
    <row r="3598" spans="1:12" x14ac:dyDescent="0.25">
      <c r="A3598">
        <f>80779991*0.00001</f>
        <v>807.79991000000007</v>
      </c>
      <c r="B3598">
        <v>3512</v>
      </c>
      <c r="C3598">
        <v>11</v>
      </c>
      <c r="D3598">
        <v>246.60400000000001</v>
      </c>
      <c r="E3598">
        <v>5331</v>
      </c>
      <c r="F3598">
        <v>1617</v>
      </c>
      <c r="G3598">
        <v>1</v>
      </c>
      <c r="H3598">
        <v>0.2</v>
      </c>
      <c r="I3598">
        <v>0</v>
      </c>
      <c r="J3598">
        <v>53.371200000000002</v>
      </c>
      <c r="K3598">
        <v>533.04200000000003</v>
      </c>
      <c r="L3598" s="1">
        <f>0</f>
        <v>0</v>
      </c>
    </row>
    <row r="3599" spans="1:12" x14ac:dyDescent="0.25">
      <c r="A3599">
        <f>80780126*0.00001</f>
        <v>807.80126000000007</v>
      </c>
      <c r="B3599">
        <v>3512</v>
      </c>
      <c r="C3599">
        <v>12</v>
      </c>
      <c r="D3599">
        <v>246.60400000000001</v>
      </c>
      <c r="E3599" s="1">
        <f>5329</f>
        <v>5329</v>
      </c>
      <c r="F3599">
        <v>1617</v>
      </c>
      <c r="G3599">
        <v>1</v>
      </c>
      <c r="H3599">
        <v>0.2</v>
      </c>
      <c r="I3599">
        <v>0</v>
      </c>
      <c r="J3599">
        <v>53.371200000000002</v>
      </c>
      <c r="K3599">
        <v>533.04200000000003</v>
      </c>
      <c r="L3599">
        <v>0</v>
      </c>
    </row>
    <row r="3600" spans="1:12" x14ac:dyDescent="0.25">
      <c r="A3600">
        <f>80780261*0.00001</f>
        <v>807.80261000000007</v>
      </c>
      <c r="B3600">
        <v>3512</v>
      </c>
      <c r="C3600">
        <v>13</v>
      </c>
      <c r="D3600">
        <v>246.60400000000001</v>
      </c>
      <c r="E3600">
        <v>5329</v>
      </c>
      <c r="F3600">
        <v>1617</v>
      </c>
      <c r="G3600" s="1">
        <f>1</f>
        <v>1</v>
      </c>
      <c r="H3600">
        <v>0.2</v>
      </c>
      <c r="I3600">
        <v>0</v>
      </c>
      <c r="J3600">
        <v>53.371200000000002</v>
      </c>
      <c r="K3600">
        <v>533.04200000000003</v>
      </c>
      <c r="L3600">
        <v>0</v>
      </c>
    </row>
    <row r="3601" spans="1:12" x14ac:dyDescent="0.25">
      <c r="A3601">
        <f>80780395*0.00001</f>
        <v>807.8039500000001</v>
      </c>
      <c r="B3601">
        <v>3512</v>
      </c>
      <c r="C3601">
        <v>14</v>
      </c>
      <c r="D3601" s="1">
        <f>246.722</f>
        <v>246.72200000000001</v>
      </c>
      <c r="E3601" s="1">
        <f>5329</f>
        <v>5329</v>
      </c>
      <c r="F3601" s="1">
        <f>1617</f>
        <v>1617</v>
      </c>
      <c r="G3601" s="1">
        <f>1</f>
        <v>1</v>
      </c>
      <c r="H3601" s="1">
        <f>0.2</f>
        <v>0.2</v>
      </c>
      <c r="I3601" s="1">
        <f>0</f>
        <v>0</v>
      </c>
      <c r="J3601" s="1">
        <f>53.2698</f>
        <v>53.269799999999996</v>
      </c>
      <c r="K3601" s="1">
        <f>533.431</f>
        <v>533.43100000000004</v>
      </c>
      <c r="L3601" s="1">
        <f>0</f>
        <v>0</v>
      </c>
    </row>
    <row r="3602" spans="1:12" x14ac:dyDescent="0.25">
      <c r="A3602">
        <f>80783088*0.00001</f>
        <v>807.83088000000009</v>
      </c>
      <c r="B3602">
        <v>3512</v>
      </c>
      <c r="C3602">
        <v>34</v>
      </c>
      <c r="D3602" s="1">
        <f>246.735</f>
        <v>246.73500000000001</v>
      </c>
      <c r="E3602" s="1">
        <f>5329</f>
        <v>5329</v>
      </c>
      <c r="F3602">
        <v>1617</v>
      </c>
      <c r="G3602">
        <v>1</v>
      </c>
      <c r="H3602">
        <v>0.2</v>
      </c>
      <c r="I3602">
        <v>0</v>
      </c>
      <c r="J3602">
        <v>53.269799999999996</v>
      </c>
      <c r="K3602">
        <v>533.43100000000004</v>
      </c>
      <c r="L3602">
        <v>0</v>
      </c>
    </row>
    <row r="3603" spans="1:12" x14ac:dyDescent="0.25">
      <c r="A3603">
        <f>80783223*0.00001</f>
        <v>807.8322300000001</v>
      </c>
      <c r="B3603">
        <v>3512</v>
      </c>
      <c r="C3603">
        <v>35</v>
      </c>
      <c r="D3603">
        <v>246.73500000000001</v>
      </c>
      <c r="E3603">
        <v>5329</v>
      </c>
      <c r="F3603" s="1">
        <f>1617</f>
        <v>1617</v>
      </c>
      <c r="G3603" s="1">
        <f>1</f>
        <v>1</v>
      </c>
      <c r="H3603">
        <v>0.2</v>
      </c>
      <c r="I3603">
        <v>0</v>
      </c>
      <c r="J3603">
        <v>53.269799999999996</v>
      </c>
      <c r="K3603">
        <v>533.43100000000004</v>
      </c>
      <c r="L3603">
        <v>0</v>
      </c>
    </row>
    <row r="3604" spans="1:12" x14ac:dyDescent="0.25">
      <c r="A3604">
        <f>80783358*0.00001</f>
        <v>807.8335800000001</v>
      </c>
      <c r="B3604">
        <v>3512</v>
      </c>
      <c r="C3604">
        <v>36</v>
      </c>
      <c r="D3604">
        <v>246.73500000000001</v>
      </c>
      <c r="E3604">
        <v>5329</v>
      </c>
      <c r="F3604">
        <v>1617</v>
      </c>
      <c r="G3604">
        <v>1</v>
      </c>
      <c r="H3604" s="1">
        <f>0.2</f>
        <v>0.2</v>
      </c>
      <c r="I3604" s="1">
        <f>0</f>
        <v>0</v>
      </c>
      <c r="J3604">
        <v>53.269799999999996</v>
      </c>
      <c r="K3604">
        <v>533.43100000000004</v>
      </c>
      <c r="L3604">
        <v>0</v>
      </c>
    </row>
    <row r="3605" spans="1:12" x14ac:dyDescent="0.25">
      <c r="A3605">
        <f>80783493*0.00001</f>
        <v>807.8349300000001</v>
      </c>
      <c r="B3605">
        <v>3512</v>
      </c>
      <c r="C3605">
        <v>37</v>
      </c>
      <c r="D3605">
        <v>246.73500000000001</v>
      </c>
      <c r="E3605">
        <v>5329</v>
      </c>
      <c r="F3605">
        <v>1617</v>
      </c>
      <c r="G3605">
        <v>1</v>
      </c>
      <c r="H3605">
        <v>0.2</v>
      </c>
      <c r="I3605">
        <v>0</v>
      </c>
      <c r="J3605" s="1">
        <f>53.2076</f>
        <v>53.207599999999999</v>
      </c>
      <c r="K3605" s="1">
        <f>533.489</f>
        <v>533.48900000000003</v>
      </c>
      <c r="L3605">
        <v>0</v>
      </c>
    </row>
    <row r="3606" spans="1:12" x14ac:dyDescent="0.25">
      <c r="A3606">
        <f>80783627*0.00001</f>
        <v>807.83627000000001</v>
      </c>
      <c r="B3606">
        <v>3512</v>
      </c>
      <c r="C3606">
        <v>38</v>
      </c>
      <c r="D3606" s="1">
        <f>246.811</f>
        <v>246.81100000000001</v>
      </c>
      <c r="E3606">
        <v>5329</v>
      </c>
      <c r="F3606">
        <v>1617</v>
      </c>
      <c r="G3606">
        <v>1</v>
      </c>
      <c r="H3606">
        <v>0.2</v>
      </c>
      <c r="I3606">
        <v>0</v>
      </c>
      <c r="J3606">
        <v>53.207599999999999</v>
      </c>
      <c r="K3606">
        <v>533.48900000000003</v>
      </c>
      <c r="L3606" s="1">
        <f>0</f>
        <v>0</v>
      </c>
    </row>
    <row r="3607" spans="1:12" x14ac:dyDescent="0.25">
      <c r="A3607">
        <f>80783761*0.00001</f>
        <v>807.83761000000004</v>
      </c>
      <c r="B3607">
        <v>3512</v>
      </c>
      <c r="C3607">
        <v>39</v>
      </c>
      <c r="D3607">
        <v>246.81100000000001</v>
      </c>
      <c r="E3607" s="1">
        <f>5327</f>
        <v>5327</v>
      </c>
      <c r="F3607" s="1">
        <f>1617</f>
        <v>1617</v>
      </c>
      <c r="G3607">
        <v>1</v>
      </c>
      <c r="H3607">
        <v>0.2</v>
      </c>
      <c r="I3607">
        <v>0</v>
      </c>
      <c r="J3607">
        <v>53.207599999999999</v>
      </c>
      <c r="K3607">
        <v>533.48900000000003</v>
      </c>
      <c r="L3607">
        <v>0</v>
      </c>
    </row>
    <row r="3608" spans="1:12" x14ac:dyDescent="0.25">
      <c r="A3608">
        <f>80783895*0.00001</f>
        <v>807.83895000000007</v>
      </c>
      <c r="B3608">
        <v>3512</v>
      </c>
      <c r="C3608">
        <v>40</v>
      </c>
      <c r="D3608">
        <v>246.81100000000001</v>
      </c>
      <c r="E3608">
        <v>5327</v>
      </c>
      <c r="F3608">
        <v>1617</v>
      </c>
      <c r="G3608" s="1">
        <f>1</f>
        <v>1</v>
      </c>
      <c r="H3608" s="1">
        <f>0.2</f>
        <v>0.2</v>
      </c>
      <c r="I3608">
        <v>0</v>
      </c>
      <c r="J3608">
        <v>53.207599999999999</v>
      </c>
      <c r="K3608">
        <v>533.48900000000003</v>
      </c>
      <c r="L3608">
        <v>0</v>
      </c>
    </row>
    <row r="3609" spans="1:12" x14ac:dyDescent="0.25">
      <c r="A3609">
        <f>80784029*0.00001</f>
        <v>807.8402900000001</v>
      </c>
      <c r="B3609">
        <v>3512</v>
      </c>
      <c r="C3609">
        <v>41</v>
      </c>
      <c r="D3609">
        <v>246.81100000000001</v>
      </c>
      <c r="E3609">
        <v>5327</v>
      </c>
      <c r="F3609">
        <v>1617</v>
      </c>
      <c r="G3609">
        <v>1</v>
      </c>
      <c r="H3609">
        <v>0.2</v>
      </c>
      <c r="I3609" s="1">
        <f>0</f>
        <v>0</v>
      </c>
      <c r="J3609" s="1">
        <f>53.1416</f>
        <v>53.141599999999997</v>
      </c>
      <c r="K3609">
        <v>533.48900000000003</v>
      </c>
      <c r="L3609">
        <v>0</v>
      </c>
    </row>
    <row r="3610" spans="1:12" x14ac:dyDescent="0.25">
      <c r="A3610">
        <f>80784163*0.00001</f>
        <v>807.84163000000012</v>
      </c>
      <c r="B3610">
        <v>3512</v>
      </c>
      <c r="C3610">
        <v>42</v>
      </c>
      <c r="D3610">
        <v>246.81100000000001</v>
      </c>
      <c r="E3610">
        <v>5327</v>
      </c>
      <c r="F3610">
        <v>1617</v>
      </c>
      <c r="G3610">
        <v>1</v>
      </c>
      <c r="H3610">
        <v>0.2</v>
      </c>
      <c r="I3610">
        <v>0</v>
      </c>
      <c r="J3610">
        <v>53.141599999999997</v>
      </c>
      <c r="K3610" s="1">
        <f>533.56</f>
        <v>533.55999999999995</v>
      </c>
      <c r="L3610" s="1">
        <f>0</f>
        <v>0</v>
      </c>
    </row>
    <row r="3611" spans="1:12" x14ac:dyDescent="0.25">
      <c r="A3611">
        <f>80784297*0.00001</f>
        <v>807.84297000000004</v>
      </c>
      <c r="B3611">
        <v>3512</v>
      </c>
      <c r="C3611">
        <v>43</v>
      </c>
      <c r="D3611" s="1">
        <f>246.886</f>
        <v>246.886</v>
      </c>
      <c r="E3611" s="1">
        <f>5325</f>
        <v>5325</v>
      </c>
      <c r="F3611">
        <v>1617</v>
      </c>
      <c r="G3611">
        <v>1</v>
      </c>
      <c r="H3611">
        <v>0.2</v>
      </c>
      <c r="I3611">
        <v>0</v>
      </c>
      <c r="J3611">
        <v>53.141599999999997</v>
      </c>
      <c r="K3611">
        <v>533.55999999999995</v>
      </c>
      <c r="L3611">
        <v>0</v>
      </c>
    </row>
    <row r="3612" spans="1:12" x14ac:dyDescent="0.25">
      <c r="A3612">
        <f>80784431*0.00001</f>
        <v>807.84431000000006</v>
      </c>
      <c r="B3612">
        <v>3512</v>
      </c>
      <c r="C3612">
        <v>44</v>
      </c>
      <c r="D3612">
        <v>246.886</v>
      </c>
      <c r="E3612">
        <v>5325</v>
      </c>
      <c r="F3612" s="1">
        <f>1617</f>
        <v>1617</v>
      </c>
      <c r="G3612" s="1">
        <f>1</f>
        <v>1</v>
      </c>
      <c r="H3612">
        <v>0.2</v>
      </c>
      <c r="I3612">
        <v>0</v>
      </c>
      <c r="J3612">
        <v>53.141599999999997</v>
      </c>
      <c r="K3612">
        <v>533.55999999999995</v>
      </c>
      <c r="L3612">
        <v>0</v>
      </c>
    </row>
    <row r="3613" spans="1:12" x14ac:dyDescent="0.25">
      <c r="A3613">
        <f>80784565*0.00001</f>
        <v>807.84565000000009</v>
      </c>
      <c r="B3613">
        <v>3512</v>
      </c>
      <c r="C3613">
        <v>45</v>
      </c>
      <c r="D3613">
        <v>246.886</v>
      </c>
      <c r="E3613">
        <v>5325</v>
      </c>
      <c r="F3613">
        <v>1617</v>
      </c>
      <c r="G3613">
        <v>1</v>
      </c>
      <c r="H3613" s="1">
        <f>0.2</f>
        <v>0.2</v>
      </c>
      <c r="I3613" s="1">
        <f>0</f>
        <v>0</v>
      </c>
      <c r="J3613">
        <v>53.141599999999997</v>
      </c>
      <c r="K3613">
        <v>533.55999999999995</v>
      </c>
      <c r="L3613">
        <v>0</v>
      </c>
    </row>
    <row r="3614" spans="1:12" x14ac:dyDescent="0.25">
      <c r="A3614">
        <f>80784699*0.00001</f>
        <v>807.84699000000012</v>
      </c>
      <c r="B3614">
        <v>3512</v>
      </c>
      <c r="C3614">
        <v>46</v>
      </c>
      <c r="D3614">
        <v>246.886</v>
      </c>
      <c r="E3614">
        <v>5325</v>
      </c>
      <c r="F3614">
        <v>1617</v>
      </c>
      <c r="G3614">
        <v>1</v>
      </c>
      <c r="H3614">
        <v>0.2</v>
      </c>
      <c r="I3614">
        <v>0</v>
      </c>
      <c r="J3614" s="1">
        <f>53.077</f>
        <v>53.076999999999998</v>
      </c>
      <c r="K3614" s="1">
        <f>533.618</f>
        <v>533.61800000000005</v>
      </c>
      <c r="L3614">
        <v>0</v>
      </c>
    </row>
    <row r="3615" spans="1:12" x14ac:dyDescent="0.25">
      <c r="A3615">
        <f>80784834*0.00001</f>
        <v>807.84834000000012</v>
      </c>
      <c r="B3615">
        <v>3512</v>
      </c>
      <c r="C3615">
        <v>47</v>
      </c>
      <c r="D3615" s="1">
        <f>246.934</f>
        <v>246.934</v>
      </c>
      <c r="E3615">
        <v>5325</v>
      </c>
      <c r="F3615">
        <v>1617</v>
      </c>
      <c r="G3615">
        <v>1</v>
      </c>
      <c r="H3615">
        <v>0.2</v>
      </c>
      <c r="I3615">
        <v>0</v>
      </c>
      <c r="J3615">
        <v>53.076999999999998</v>
      </c>
      <c r="K3615">
        <v>533.61800000000005</v>
      </c>
      <c r="L3615" s="1">
        <f>0</f>
        <v>0</v>
      </c>
    </row>
    <row r="3616" spans="1:12" x14ac:dyDescent="0.25">
      <c r="A3616">
        <f>80784969*0.00001</f>
        <v>807.84969000000001</v>
      </c>
      <c r="B3616">
        <v>3512</v>
      </c>
      <c r="C3616">
        <v>48</v>
      </c>
      <c r="D3616">
        <v>246.934</v>
      </c>
      <c r="E3616" s="1">
        <f>5324</f>
        <v>5324</v>
      </c>
      <c r="F3616" s="1">
        <f>1617</f>
        <v>1617</v>
      </c>
      <c r="G3616">
        <v>1</v>
      </c>
      <c r="H3616">
        <v>0.2</v>
      </c>
      <c r="I3616">
        <v>0</v>
      </c>
      <c r="J3616">
        <v>53.076999999999998</v>
      </c>
      <c r="K3616">
        <v>533.61800000000005</v>
      </c>
      <c r="L3616">
        <v>0</v>
      </c>
    </row>
    <row r="3617" spans="1:12" x14ac:dyDescent="0.25">
      <c r="A3617">
        <f>80785104*0.00001</f>
        <v>807.85104000000001</v>
      </c>
      <c r="B3617">
        <v>3512</v>
      </c>
      <c r="C3617">
        <v>49</v>
      </c>
      <c r="D3617">
        <v>246.934</v>
      </c>
      <c r="E3617">
        <v>5324</v>
      </c>
      <c r="F3617">
        <v>1617</v>
      </c>
      <c r="G3617" s="1">
        <f>1</f>
        <v>1</v>
      </c>
      <c r="H3617" s="1">
        <f>0.2</f>
        <v>0.2</v>
      </c>
      <c r="I3617">
        <v>0</v>
      </c>
      <c r="J3617">
        <v>53.076999999999998</v>
      </c>
      <c r="K3617">
        <v>533.61800000000005</v>
      </c>
      <c r="L3617">
        <v>0</v>
      </c>
    </row>
    <row r="3618" spans="1:12" x14ac:dyDescent="0.25">
      <c r="A3618">
        <f>80785239*0.00001</f>
        <v>807.85239000000001</v>
      </c>
      <c r="B3618">
        <v>3512</v>
      </c>
      <c r="C3618">
        <v>50</v>
      </c>
      <c r="D3618">
        <v>246.934</v>
      </c>
      <c r="E3618">
        <v>5324</v>
      </c>
      <c r="F3618">
        <v>1617</v>
      </c>
      <c r="G3618">
        <v>1</v>
      </c>
      <c r="H3618">
        <v>0.2</v>
      </c>
      <c r="I3618">
        <v>0</v>
      </c>
      <c r="J3618" s="1">
        <f>53.0359</f>
        <v>53.035899999999998</v>
      </c>
      <c r="K3618">
        <v>533.61800000000005</v>
      </c>
      <c r="L3618">
        <v>0</v>
      </c>
    </row>
    <row r="3619" spans="1:12" x14ac:dyDescent="0.25">
      <c r="A3619">
        <f>80785374*0.00001</f>
        <v>807.85374000000002</v>
      </c>
      <c r="B3619">
        <v>3512</v>
      </c>
      <c r="C3619">
        <v>51</v>
      </c>
      <c r="D3619">
        <v>246.934</v>
      </c>
      <c r="E3619">
        <v>5324</v>
      </c>
      <c r="F3619">
        <v>1617</v>
      </c>
      <c r="G3619">
        <v>1</v>
      </c>
      <c r="H3619">
        <v>0.2</v>
      </c>
      <c r="I3619">
        <v>0</v>
      </c>
      <c r="J3619">
        <v>53.035899999999998</v>
      </c>
      <c r="K3619">
        <v>533.61800000000005</v>
      </c>
      <c r="L3619" s="1">
        <f>0</f>
        <v>0</v>
      </c>
    </row>
    <row r="3620" spans="1:12" x14ac:dyDescent="0.25">
      <c r="A3620">
        <f>80785509*0.00001</f>
        <v>807.85509000000002</v>
      </c>
      <c r="B3620">
        <v>3512</v>
      </c>
      <c r="C3620">
        <v>52</v>
      </c>
      <c r="D3620">
        <v>246.934</v>
      </c>
      <c r="E3620" s="1">
        <f>5323</f>
        <v>5323</v>
      </c>
      <c r="F3620">
        <v>1617</v>
      </c>
      <c r="G3620">
        <v>1</v>
      </c>
      <c r="H3620">
        <v>0.2</v>
      </c>
      <c r="I3620">
        <v>0</v>
      </c>
      <c r="J3620">
        <v>53.035899999999998</v>
      </c>
      <c r="K3620">
        <v>533.61800000000005</v>
      </c>
      <c r="L3620">
        <v>0</v>
      </c>
    </row>
    <row r="3621" spans="1:12" x14ac:dyDescent="0.25">
      <c r="A3621">
        <f>80785643*0.00001</f>
        <v>807.85643000000005</v>
      </c>
      <c r="B3621">
        <v>3512</v>
      </c>
      <c r="C3621">
        <v>53</v>
      </c>
      <c r="D3621">
        <v>246.934</v>
      </c>
      <c r="E3621">
        <v>5323</v>
      </c>
      <c r="F3621">
        <v>1617</v>
      </c>
      <c r="G3621" s="1">
        <f>1</f>
        <v>1</v>
      </c>
      <c r="H3621">
        <v>0.2</v>
      </c>
      <c r="I3621">
        <v>0</v>
      </c>
      <c r="J3621">
        <v>53.035899999999998</v>
      </c>
      <c r="K3621">
        <v>533.61800000000005</v>
      </c>
      <c r="L3621">
        <v>0</v>
      </c>
    </row>
    <row r="3622" spans="1:12" x14ac:dyDescent="0.25">
      <c r="A3622">
        <f>80785777*0.00001</f>
        <v>807.85777000000007</v>
      </c>
      <c r="B3622">
        <v>3512</v>
      </c>
      <c r="C3622">
        <v>54</v>
      </c>
      <c r="D3622">
        <v>246.934</v>
      </c>
      <c r="E3622">
        <v>5323</v>
      </c>
      <c r="F3622">
        <v>1617</v>
      </c>
      <c r="G3622">
        <v>1</v>
      </c>
      <c r="H3622">
        <v>0.2</v>
      </c>
      <c r="I3622" s="1">
        <f>0</f>
        <v>0</v>
      </c>
      <c r="J3622">
        <v>53.035899999999998</v>
      </c>
      <c r="K3622">
        <v>533.61800000000005</v>
      </c>
      <c r="L3622">
        <v>0</v>
      </c>
    </row>
    <row r="3623" spans="1:12" x14ac:dyDescent="0.25">
      <c r="A3623">
        <f>80785911*0.00001</f>
        <v>807.8591100000001</v>
      </c>
      <c r="B3623">
        <v>3512</v>
      </c>
      <c r="C3623">
        <v>55</v>
      </c>
      <c r="D3623">
        <v>246.934</v>
      </c>
      <c r="E3623">
        <v>5323</v>
      </c>
      <c r="F3623">
        <v>1617</v>
      </c>
      <c r="G3623">
        <v>1</v>
      </c>
      <c r="H3623">
        <v>0.2</v>
      </c>
      <c r="I3623">
        <v>0</v>
      </c>
      <c r="J3623">
        <v>53.035899999999998</v>
      </c>
      <c r="K3623" s="1">
        <f>533.747</f>
        <v>533.74699999999996</v>
      </c>
      <c r="L3623">
        <v>0</v>
      </c>
    </row>
    <row r="3624" spans="1:12" x14ac:dyDescent="0.25">
      <c r="A3624">
        <f>80786045*0.00001</f>
        <v>807.86045000000001</v>
      </c>
      <c r="B3624">
        <v>3512</v>
      </c>
      <c r="C3624">
        <v>56</v>
      </c>
      <c r="D3624" s="1">
        <f>247.012</f>
        <v>247.012</v>
      </c>
      <c r="E3624">
        <v>5323</v>
      </c>
      <c r="F3624">
        <v>1617</v>
      </c>
      <c r="G3624">
        <v>1</v>
      </c>
      <c r="H3624">
        <v>0.2</v>
      </c>
      <c r="I3624">
        <v>0</v>
      </c>
      <c r="J3624">
        <v>53.035899999999998</v>
      </c>
      <c r="K3624">
        <v>533.74699999999996</v>
      </c>
      <c r="L3624">
        <v>0</v>
      </c>
    </row>
    <row r="3625" spans="1:12" x14ac:dyDescent="0.25">
      <c r="A3625">
        <f>80786179*0.00001</f>
        <v>807.86179000000004</v>
      </c>
      <c r="B3625">
        <v>3512</v>
      </c>
      <c r="C3625">
        <v>57</v>
      </c>
      <c r="D3625">
        <v>247.012</v>
      </c>
      <c r="E3625">
        <v>5323</v>
      </c>
      <c r="F3625" s="1">
        <f>1617</f>
        <v>1617</v>
      </c>
      <c r="G3625">
        <v>1</v>
      </c>
      <c r="H3625">
        <v>0.2</v>
      </c>
      <c r="I3625">
        <v>0</v>
      </c>
      <c r="J3625">
        <v>53.035899999999998</v>
      </c>
      <c r="K3625">
        <v>533.74699999999996</v>
      </c>
      <c r="L3625">
        <v>0</v>
      </c>
    </row>
    <row r="3626" spans="1:12" x14ac:dyDescent="0.25">
      <c r="A3626">
        <f>80786313*0.00001</f>
        <v>807.86313000000007</v>
      </c>
      <c r="B3626">
        <v>3512</v>
      </c>
      <c r="C3626">
        <v>58</v>
      </c>
      <c r="D3626">
        <v>247.012</v>
      </c>
      <c r="E3626">
        <v>5323</v>
      </c>
      <c r="F3626">
        <v>1617</v>
      </c>
      <c r="G3626">
        <v>1</v>
      </c>
      <c r="H3626" s="1">
        <f>0.2</f>
        <v>0.2</v>
      </c>
      <c r="I3626">
        <v>0</v>
      </c>
      <c r="J3626">
        <v>53.035899999999998</v>
      </c>
      <c r="K3626">
        <v>533.74699999999996</v>
      </c>
      <c r="L3626">
        <v>0</v>
      </c>
    </row>
    <row r="3627" spans="1:12" x14ac:dyDescent="0.25">
      <c r="A3627">
        <f>80786447*0.00001</f>
        <v>807.8644700000001</v>
      </c>
      <c r="B3627">
        <v>3512</v>
      </c>
      <c r="C3627">
        <v>59</v>
      </c>
      <c r="D3627">
        <v>247.012</v>
      </c>
      <c r="E3627">
        <v>5323</v>
      </c>
      <c r="F3627">
        <v>1617</v>
      </c>
      <c r="G3627">
        <v>1</v>
      </c>
      <c r="H3627">
        <v>0.2</v>
      </c>
      <c r="I3627">
        <v>0</v>
      </c>
      <c r="J3627" s="1">
        <f>52.9693</f>
        <v>52.969299999999997</v>
      </c>
      <c r="K3627">
        <v>533.74699999999996</v>
      </c>
      <c r="L3627">
        <v>0</v>
      </c>
    </row>
    <row r="3628" spans="1:12" x14ac:dyDescent="0.25">
      <c r="A3628">
        <f>80786581*0.00001</f>
        <v>807.86581000000001</v>
      </c>
      <c r="B3628">
        <v>3512</v>
      </c>
      <c r="C3628">
        <v>60</v>
      </c>
      <c r="D3628">
        <v>247.012</v>
      </c>
      <c r="E3628">
        <v>5323</v>
      </c>
      <c r="F3628">
        <v>1617</v>
      </c>
      <c r="G3628">
        <v>1</v>
      </c>
      <c r="H3628">
        <v>0.2</v>
      </c>
      <c r="I3628">
        <v>0</v>
      </c>
      <c r="J3628">
        <v>52.969299999999997</v>
      </c>
      <c r="K3628">
        <v>533.74699999999996</v>
      </c>
      <c r="L3628" s="1">
        <f>0</f>
        <v>0</v>
      </c>
    </row>
    <row r="3629" spans="1:12" x14ac:dyDescent="0.25">
      <c r="A3629">
        <f>80786715*0.00001</f>
        <v>807.86715000000004</v>
      </c>
      <c r="B3629">
        <v>3512</v>
      </c>
      <c r="C3629">
        <v>61</v>
      </c>
      <c r="D3629">
        <v>247.012</v>
      </c>
      <c r="E3629" s="1">
        <f>5322</f>
        <v>5322</v>
      </c>
      <c r="F3629">
        <v>1617</v>
      </c>
      <c r="G3629">
        <v>1</v>
      </c>
      <c r="H3629">
        <v>0.2</v>
      </c>
      <c r="I3629">
        <v>0</v>
      </c>
      <c r="J3629">
        <v>52.969299999999997</v>
      </c>
      <c r="K3629">
        <v>533.74699999999996</v>
      </c>
      <c r="L3629">
        <v>0</v>
      </c>
    </row>
    <row r="3630" spans="1:12" x14ac:dyDescent="0.25">
      <c r="A3630">
        <f>80786850*0.00001</f>
        <v>807.86850000000004</v>
      </c>
      <c r="B3630">
        <v>3512</v>
      </c>
      <c r="C3630">
        <v>62</v>
      </c>
      <c r="D3630">
        <v>247.012</v>
      </c>
      <c r="E3630">
        <v>5322</v>
      </c>
      <c r="F3630">
        <v>1617</v>
      </c>
      <c r="G3630" s="1">
        <f>1</f>
        <v>1</v>
      </c>
      <c r="H3630">
        <v>0.2</v>
      </c>
      <c r="I3630">
        <v>0</v>
      </c>
      <c r="J3630">
        <v>52.969299999999997</v>
      </c>
      <c r="K3630">
        <v>533.74699999999996</v>
      </c>
      <c r="L3630">
        <v>0</v>
      </c>
    </row>
    <row r="3631" spans="1:12" x14ac:dyDescent="0.25">
      <c r="A3631">
        <f>80786985*0.00001</f>
        <v>807.86985000000004</v>
      </c>
      <c r="B3631">
        <v>3512</v>
      </c>
      <c r="C3631">
        <v>63</v>
      </c>
      <c r="D3631">
        <v>247.012</v>
      </c>
      <c r="E3631">
        <v>5322</v>
      </c>
      <c r="F3631">
        <v>1617</v>
      </c>
      <c r="G3631">
        <v>1</v>
      </c>
      <c r="H3631">
        <v>0.2</v>
      </c>
      <c r="I3631" s="1">
        <f>0</f>
        <v>0</v>
      </c>
      <c r="J3631">
        <v>52.969299999999997</v>
      </c>
      <c r="K3631">
        <v>533.74699999999996</v>
      </c>
      <c r="L3631">
        <v>0</v>
      </c>
    </row>
    <row r="3632" spans="1:12" x14ac:dyDescent="0.25">
      <c r="A3632">
        <f>80787120*0.00001</f>
        <v>807.87120000000004</v>
      </c>
      <c r="B3632">
        <v>3512</v>
      </c>
      <c r="C3632">
        <v>64</v>
      </c>
      <c r="D3632">
        <v>247.012</v>
      </c>
      <c r="E3632">
        <v>5322</v>
      </c>
      <c r="F3632">
        <v>1617</v>
      </c>
      <c r="G3632">
        <v>1</v>
      </c>
      <c r="H3632">
        <v>0.2</v>
      </c>
      <c r="I3632">
        <v>0</v>
      </c>
      <c r="J3632">
        <v>52.969299999999997</v>
      </c>
      <c r="K3632" s="1">
        <f>533.875</f>
        <v>533.875</v>
      </c>
      <c r="L3632">
        <v>0</v>
      </c>
    </row>
    <row r="3633" spans="1:12" x14ac:dyDescent="0.25">
      <c r="A3633">
        <f>80787255*0.00001</f>
        <v>807.87255000000005</v>
      </c>
      <c r="B3633">
        <v>3512</v>
      </c>
      <c r="C3633">
        <v>65</v>
      </c>
      <c r="D3633" s="1">
        <f>247.061</f>
        <v>247.06100000000001</v>
      </c>
      <c r="E3633">
        <v>5322</v>
      </c>
      <c r="F3633">
        <v>1617</v>
      </c>
      <c r="G3633">
        <v>1</v>
      </c>
      <c r="H3633">
        <v>0.2</v>
      </c>
      <c r="I3633">
        <v>0</v>
      </c>
      <c r="J3633">
        <v>52.969299999999997</v>
      </c>
      <c r="K3633">
        <v>533.875</v>
      </c>
      <c r="L3633">
        <v>0</v>
      </c>
    </row>
    <row r="3634" spans="1:12" x14ac:dyDescent="0.25">
      <c r="A3634">
        <f>80787390*0.00001</f>
        <v>807.87390000000005</v>
      </c>
      <c r="B3634">
        <v>3512</v>
      </c>
      <c r="C3634">
        <v>66</v>
      </c>
      <c r="D3634" s="1">
        <f>247.271</f>
        <v>247.27099999999999</v>
      </c>
      <c r="E3634" s="1">
        <f>5318</f>
        <v>5318</v>
      </c>
      <c r="F3634" s="1">
        <f>1617</f>
        <v>1617</v>
      </c>
      <c r="G3634" s="1">
        <f>1</f>
        <v>1</v>
      </c>
      <c r="H3634" s="1">
        <f>0.2</f>
        <v>0.2</v>
      </c>
      <c r="I3634" s="1">
        <f>0</f>
        <v>0</v>
      </c>
      <c r="J3634" s="1">
        <f>52.6944</f>
        <v>52.694400000000002</v>
      </c>
      <c r="K3634" s="1">
        <f>534.26</f>
        <v>534.26</v>
      </c>
      <c r="L3634" s="1">
        <f>0</f>
        <v>0</v>
      </c>
    </row>
    <row r="3635" spans="1:12" x14ac:dyDescent="0.25">
      <c r="A3635">
        <f>80790878*0.00001</f>
        <v>807.90878000000009</v>
      </c>
      <c r="B3635">
        <v>3512</v>
      </c>
      <c r="C3635">
        <v>92</v>
      </c>
      <c r="D3635" s="1">
        <f>247.316</f>
        <v>247.316</v>
      </c>
      <c r="E3635">
        <v>5318</v>
      </c>
      <c r="F3635">
        <v>1617</v>
      </c>
      <c r="G3635">
        <v>1</v>
      </c>
      <c r="H3635">
        <v>0.2</v>
      </c>
      <c r="I3635">
        <v>0</v>
      </c>
      <c r="J3635">
        <v>52.694400000000002</v>
      </c>
      <c r="K3635">
        <v>534.26</v>
      </c>
      <c r="L3635" s="1">
        <f>0</f>
        <v>0</v>
      </c>
    </row>
    <row r="3636" spans="1:12" x14ac:dyDescent="0.25">
      <c r="A3636">
        <f>80791012*0.00001</f>
        <v>807.91012000000012</v>
      </c>
      <c r="B3636">
        <v>3512</v>
      </c>
      <c r="C3636">
        <v>93</v>
      </c>
      <c r="D3636">
        <v>247.316</v>
      </c>
      <c r="E3636" s="1">
        <f>5317</f>
        <v>5317</v>
      </c>
      <c r="F3636" s="1">
        <f>1617</f>
        <v>1617</v>
      </c>
      <c r="G3636">
        <v>1</v>
      </c>
      <c r="H3636">
        <v>0.2</v>
      </c>
      <c r="I3636">
        <v>0</v>
      </c>
      <c r="J3636">
        <v>52.694400000000002</v>
      </c>
      <c r="K3636">
        <v>534.26</v>
      </c>
      <c r="L3636">
        <v>0</v>
      </c>
    </row>
    <row r="3637" spans="1:12" x14ac:dyDescent="0.25">
      <c r="A3637">
        <f>80791146*0.00001</f>
        <v>807.91146000000003</v>
      </c>
      <c r="B3637">
        <v>3512</v>
      </c>
      <c r="C3637">
        <v>94</v>
      </c>
      <c r="D3637">
        <v>247.316</v>
      </c>
      <c r="E3637">
        <v>5317</v>
      </c>
      <c r="F3637">
        <v>1617</v>
      </c>
      <c r="G3637" s="1">
        <f>1</f>
        <v>1</v>
      </c>
      <c r="H3637" s="1">
        <f>0.2</f>
        <v>0.2</v>
      </c>
      <c r="I3637">
        <v>0</v>
      </c>
      <c r="J3637">
        <v>52.694400000000002</v>
      </c>
      <c r="K3637">
        <v>534.26</v>
      </c>
      <c r="L3637">
        <v>0</v>
      </c>
    </row>
    <row r="3638" spans="1:12" x14ac:dyDescent="0.25">
      <c r="A3638">
        <f>80791280*0.00001</f>
        <v>807.91280000000006</v>
      </c>
      <c r="B3638">
        <v>3512</v>
      </c>
      <c r="C3638">
        <v>95</v>
      </c>
      <c r="D3638">
        <v>247.316</v>
      </c>
      <c r="E3638">
        <v>5317</v>
      </c>
      <c r="F3638">
        <v>1617</v>
      </c>
      <c r="G3638">
        <v>1</v>
      </c>
      <c r="H3638">
        <v>0.2</v>
      </c>
      <c r="I3638" s="1">
        <f>0</f>
        <v>0</v>
      </c>
      <c r="J3638" s="1">
        <f>52.6563</f>
        <v>52.656300000000002</v>
      </c>
      <c r="K3638">
        <v>534.26</v>
      </c>
      <c r="L3638">
        <v>0</v>
      </c>
    </row>
    <row r="3639" spans="1:12" x14ac:dyDescent="0.25">
      <c r="A3639">
        <f>80791414*0.00001</f>
        <v>807.91414000000009</v>
      </c>
      <c r="B3639">
        <v>3512</v>
      </c>
      <c r="C3639">
        <v>96</v>
      </c>
      <c r="D3639">
        <v>247.316</v>
      </c>
      <c r="E3639">
        <v>5317</v>
      </c>
      <c r="F3639">
        <v>1617</v>
      </c>
      <c r="G3639">
        <v>1</v>
      </c>
      <c r="H3639">
        <v>0.2</v>
      </c>
      <c r="I3639">
        <v>0</v>
      </c>
      <c r="J3639">
        <v>52.656300000000002</v>
      </c>
      <c r="K3639" s="1">
        <f>534.331</f>
        <v>534.33100000000002</v>
      </c>
      <c r="L3639" s="1">
        <f>0</f>
        <v>0</v>
      </c>
    </row>
    <row r="3640" spans="1:12" x14ac:dyDescent="0.25">
      <c r="A3640">
        <f>80791549*0.00001</f>
        <v>807.91549000000009</v>
      </c>
      <c r="B3640">
        <v>3512</v>
      </c>
      <c r="C3640">
        <v>97</v>
      </c>
      <c r="D3640" s="1">
        <f>247.359</f>
        <v>247.35900000000001</v>
      </c>
      <c r="E3640" s="1">
        <f>5317</f>
        <v>5317</v>
      </c>
      <c r="F3640">
        <v>1617</v>
      </c>
      <c r="G3640">
        <v>1</v>
      </c>
      <c r="H3640">
        <v>0.2</v>
      </c>
      <c r="I3640">
        <v>0</v>
      </c>
      <c r="J3640">
        <v>52.656300000000002</v>
      </c>
      <c r="K3640">
        <v>534.33100000000002</v>
      </c>
      <c r="L3640">
        <v>0</v>
      </c>
    </row>
    <row r="3641" spans="1:12" x14ac:dyDescent="0.25">
      <c r="A3641">
        <f>80791683*0.00001</f>
        <v>807.91683000000012</v>
      </c>
      <c r="B3641">
        <v>3512</v>
      </c>
      <c r="C3641">
        <v>98</v>
      </c>
      <c r="D3641">
        <v>247.35900000000001</v>
      </c>
      <c r="E3641">
        <v>5317</v>
      </c>
      <c r="F3641" s="1">
        <f>1617</f>
        <v>1617</v>
      </c>
      <c r="G3641" s="1">
        <f>1</f>
        <v>1</v>
      </c>
      <c r="H3641">
        <v>0.2</v>
      </c>
      <c r="I3641">
        <v>0</v>
      </c>
      <c r="J3641">
        <v>52.656300000000002</v>
      </c>
      <c r="K3641">
        <v>534.33100000000002</v>
      </c>
      <c r="L3641">
        <v>0</v>
      </c>
    </row>
    <row r="3642" spans="1:12" x14ac:dyDescent="0.25">
      <c r="A3642">
        <f>80791817*0.00001</f>
        <v>807.91817000000003</v>
      </c>
      <c r="B3642">
        <v>3512</v>
      </c>
      <c r="C3642">
        <v>99</v>
      </c>
      <c r="D3642">
        <v>247.35900000000001</v>
      </c>
      <c r="E3642">
        <v>5317</v>
      </c>
      <c r="F3642">
        <v>1617</v>
      </c>
      <c r="G3642">
        <v>1</v>
      </c>
      <c r="H3642" s="1">
        <f>0.2</f>
        <v>0.2</v>
      </c>
      <c r="I3642" s="1">
        <f>0</f>
        <v>0</v>
      </c>
      <c r="J3642">
        <v>52.656300000000002</v>
      </c>
      <c r="K3642">
        <v>534.33100000000002</v>
      </c>
      <c r="L3642">
        <v>0</v>
      </c>
    </row>
    <row r="3643" spans="1:12" x14ac:dyDescent="0.25">
      <c r="A3643">
        <f>80791951*0.00001</f>
        <v>807.91951000000006</v>
      </c>
      <c r="B3643">
        <v>3512</v>
      </c>
      <c r="C3643">
        <v>100</v>
      </c>
      <c r="D3643">
        <v>247.35900000000001</v>
      </c>
      <c r="E3643">
        <v>5317</v>
      </c>
      <c r="F3643">
        <v>1617</v>
      </c>
      <c r="G3643">
        <v>1</v>
      </c>
      <c r="H3643">
        <v>0.2</v>
      </c>
      <c r="I3643">
        <v>0</v>
      </c>
      <c r="J3643" s="1">
        <f>52.6184</f>
        <v>52.618400000000001</v>
      </c>
      <c r="K3643" s="1">
        <f>534.387</f>
        <v>534.38699999999994</v>
      </c>
      <c r="L3643">
        <v>0</v>
      </c>
    </row>
    <row r="3644" spans="1:12" x14ac:dyDescent="0.25">
      <c r="A3644">
        <f>80792085*0.00001</f>
        <v>807.92085000000009</v>
      </c>
      <c r="B3644">
        <v>3512</v>
      </c>
      <c r="C3644">
        <v>101</v>
      </c>
      <c r="D3644" s="1">
        <f>247.388</f>
        <v>247.38800000000001</v>
      </c>
      <c r="E3644">
        <v>5317</v>
      </c>
      <c r="F3644">
        <v>1617</v>
      </c>
      <c r="G3644">
        <v>1</v>
      </c>
      <c r="H3644">
        <v>0.2</v>
      </c>
      <c r="I3644">
        <v>0</v>
      </c>
      <c r="J3644">
        <v>52.618400000000001</v>
      </c>
      <c r="K3644">
        <v>534.38699999999994</v>
      </c>
      <c r="L3644" s="1">
        <f>0</f>
        <v>0</v>
      </c>
    </row>
    <row r="3645" spans="1:12" x14ac:dyDescent="0.25">
      <c r="A3645">
        <f>80792219*0.00001</f>
        <v>807.92219000000011</v>
      </c>
      <c r="B3645">
        <v>3512</v>
      </c>
      <c r="C3645">
        <v>102</v>
      </c>
      <c r="D3645">
        <v>247.38800000000001</v>
      </c>
      <c r="E3645" s="1">
        <f>5316</f>
        <v>5316</v>
      </c>
      <c r="F3645" s="1">
        <f>1617</f>
        <v>1617</v>
      </c>
      <c r="G3645">
        <v>1</v>
      </c>
      <c r="H3645">
        <v>0.2</v>
      </c>
      <c r="I3645">
        <v>0</v>
      </c>
      <c r="J3645">
        <v>52.618400000000001</v>
      </c>
      <c r="K3645">
        <v>534.38699999999994</v>
      </c>
      <c r="L3645">
        <v>0</v>
      </c>
    </row>
    <row r="3646" spans="1:12" x14ac:dyDescent="0.25">
      <c r="A3646">
        <f>80792353*0.00001</f>
        <v>807.92353000000003</v>
      </c>
      <c r="B3646">
        <v>3512</v>
      </c>
      <c r="C3646">
        <v>103</v>
      </c>
      <c r="D3646">
        <v>247.38800000000001</v>
      </c>
      <c r="E3646">
        <v>5316</v>
      </c>
      <c r="F3646">
        <v>1617</v>
      </c>
      <c r="G3646" s="1">
        <f>1</f>
        <v>1</v>
      </c>
      <c r="H3646" s="1">
        <f>0.2</f>
        <v>0.2</v>
      </c>
      <c r="I3646">
        <v>0</v>
      </c>
      <c r="J3646">
        <v>52.618400000000001</v>
      </c>
      <c r="K3646">
        <v>534.38699999999994</v>
      </c>
      <c r="L3646">
        <v>0</v>
      </c>
    </row>
    <row r="3647" spans="1:12" x14ac:dyDescent="0.25">
      <c r="A3647">
        <f>80792488*0.00001</f>
        <v>807.92488000000003</v>
      </c>
      <c r="B3647">
        <v>3512</v>
      </c>
      <c r="C3647">
        <v>104</v>
      </c>
      <c r="D3647">
        <v>247.38800000000001</v>
      </c>
      <c r="E3647">
        <v>5316</v>
      </c>
      <c r="F3647">
        <v>1617</v>
      </c>
      <c r="G3647">
        <v>1</v>
      </c>
      <c r="H3647">
        <v>0.2</v>
      </c>
      <c r="I3647" s="1">
        <f>0</f>
        <v>0</v>
      </c>
      <c r="J3647" s="1">
        <f>52.5944</f>
        <v>52.5944</v>
      </c>
      <c r="K3647">
        <v>534.38699999999994</v>
      </c>
      <c r="L3647">
        <v>0</v>
      </c>
    </row>
    <row r="3648" spans="1:12" x14ac:dyDescent="0.25">
      <c r="A3648">
        <f>80792622*0.00001</f>
        <v>807.92622000000006</v>
      </c>
      <c r="B3648">
        <v>3512</v>
      </c>
      <c r="C3648">
        <v>105</v>
      </c>
      <c r="D3648">
        <v>247.38800000000001</v>
      </c>
      <c r="E3648">
        <v>5316</v>
      </c>
      <c r="F3648">
        <v>1617</v>
      </c>
      <c r="G3648">
        <v>1</v>
      </c>
      <c r="H3648">
        <v>0.2</v>
      </c>
      <c r="I3648">
        <v>0</v>
      </c>
      <c r="J3648">
        <v>52.5944</v>
      </c>
      <c r="K3648" s="1">
        <f>534.458</f>
        <v>534.45799999999997</v>
      </c>
      <c r="L3648" s="1">
        <f>0</f>
        <v>0</v>
      </c>
    </row>
    <row r="3649" spans="1:12" x14ac:dyDescent="0.25">
      <c r="A3649">
        <f>80792756*0.00001</f>
        <v>807.92756000000008</v>
      </c>
      <c r="B3649">
        <v>3512</v>
      </c>
      <c r="C3649">
        <v>106</v>
      </c>
      <c r="D3649" s="1">
        <f>247.416</f>
        <v>247.416</v>
      </c>
      <c r="E3649" s="1">
        <f>5316</f>
        <v>5316</v>
      </c>
      <c r="F3649">
        <v>1617</v>
      </c>
      <c r="G3649">
        <v>1</v>
      </c>
      <c r="H3649">
        <v>0.2</v>
      </c>
      <c r="I3649">
        <v>0</v>
      </c>
      <c r="J3649">
        <v>52.5944</v>
      </c>
      <c r="K3649">
        <v>534.45799999999997</v>
      </c>
      <c r="L3649">
        <v>0</v>
      </c>
    </row>
    <row r="3650" spans="1:12" x14ac:dyDescent="0.25">
      <c r="A3650">
        <f>80792890*0.00001</f>
        <v>807.92890000000011</v>
      </c>
      <c r="B3650">
        <v>3512</v>
      </c>
      <c r="C3650">
        <v>107</v>
      </c>
      <c r="D3650">
        <v>247.416</v>
      </c>
      <c r="E3650">
        <v>5316</v>
      </c>
      <c r="F3650" s="1">
        <f>1617</f>
        <v>1617</v>
      </c>
      <c r="G3650" s="1">
        <f>1</f>
        <v>1</v>
      </c>
      <c r="H3650">
        <v>0.2</v>
      </c>
      <c r="I3650">
        <v>0</v>
      </c>
      <c r="J3650">
        <v>52.5944</v>
      </c>
      <c r="K3650">
        <v>534.45799999999997</v>
      </c>
      <c r="L3650">
        <v>0</v>
      </c>
    </row>
    <row r="3651" spans="1:12" x14ac:dyDescent="0.25">
      <c r="A3651">
        <f>80793025*0.00001</f>
        <v>807.93025000000011</v>
      </c>
      <c r="B3651">
        <v>3512</v>
      </c>
      <c r="C3651">
        <v>108</v>
      </c>
      <c r="D3651">
        <v>247.416</v>
      </c>
      <c r="E3651">
        <v>5316</v>
      </c>
      <c r="F3651">
        <v>1617</v>
      </c>
      <c r="G3651">
        <v>1</v>
      </c>
      <c r="H3651" s="1">
        <f>0.2</f>
        <v>0.2</v>
      </c>
      <c r="I3651" s="1">
        <f>0</f>
        <v>0</v>
      </c>
      <c r="J3651">
        <v>52.5944</v>
      </c>
      <c r="K3651">
        <v>534.45799999999997</v>
      </c>
      <c r="L3651">
        <v>0</v>
      </c>
    </row>
    <row r="3652" spans="1:12" x14ac:dyDescent="0.25">
      <c r="A3652">
        <f>80793159*0.00001</f>
        <v>807.93159000000003</v>
      </c>
      <c r="B3652">
        <v>3512</v>
      </c>
      <c r="C3652">
        <v>109</v>
      </c>
      <c r="D3652">
        <v>247.416</v>
      </c>
      <c r="E3652">
        <v>5316</v>
      </c>
      <c r="F3652">
        <v>1617</v>
      </c>
      <c r="G3652">
        <v>1</v>
      </c>
      <c r="H3652">
        <v>0.2</v>
      </c>
      <c r="I3652">
        <v>0</v>
      </c>
      <c r="J3652" s="1">
        <f>52.5709</f>
        <v>52.570900000000002</v>
      </c>
      <c r="K3652" s="1">
        <f>534.515</f>
        <v>534.51499999999999</v>
      </c>
      <c r="L3652">
        <v>0</v>
      </c>
    </row>
    <row r="3653" spans="1:12" x14ac:dyDescent="0.25">
      <c r="A3653">
        <f>80793293*0.00001</f>
        <v>807.93293000000006</v>
      </c>
      <c r="B3653">
        <v>3512</v>
      </c>
      <c r="C3653">
        <v>110</v>
      </c>
      <c r="D3653" s="1">
        <f>247.434</f>
        <v>247.434</v>
      </c>
      <c r="E3653">
        <v>5316</v>
      </c>
      <c r="F3653">
        <v>1617</v>
      </c>
      <c r="G3653">
        <v>1</v>
      </c>
      <c r="H3653">
        <v>0.2</v>
      </c>
      <c r="I3653">
        <v>0</v>
      </c>
      <c r="J3653">
        <v>52.570900000000002</v>
      </c>
      <c r="K3653">
        <v>534.51499999999999</v>
      </c>
      <c r="L3653" s="1">
        <f>0</f>
        <v>0</v>
      </c>
    </row>
    <row r="3654" spans="1:12" x14ac:dyDescent="0.25">
      <c r="A3654">
        <f>80793427*0.00001</f>
        <v>807.93427000000008</v>
      </c>
      <c r="B3654">
        <v>3512</v>
      </c>
      <c r="C3654">
        <v>111</v>
      </c>
      <c r="D3654">
        <v>247.434</v>
      </c>
      <c r="E3654">
        <v>5316</v>
      </c>
      <c r="F3654" s="1">
        <f>1617</f>
        <v>1617</v>
      </c>
      <c r="G3654">
        <v>1</v>
      </c>
      <c r="H3654">
        <v>0.2</v>
      </c>
      <c r="I3654">
        <v>0</v>
      </c>
      <c r="J3654">
        <v>52.570900000000002</v>
      </c>
      <c r="K3654">
        <v>534.51499999999999</v>
      </c>
      <c r="L3654">
        <v>0</v>
      </c>
    </row>
    <row r="3655" spans="1:12" x14ac:dyDescent="0.25">
      <c r="A3655">
        <f>80793562*0.00001</f>
        <v>807.93562000000009</v>
      </c>
      <c r="B3655">
        <v>3512</v>
      </c>
      <c r="C3655">
        <v>112</v>
      </c>
      <c r="D3655">
        <v>247.434</v>
      </c>
      <c r="E3655">
        <v>5316</v>
      </c>
      <c r="F3655">
        <v>1617</v>
      </c>
      <c r="G3655">
        <v>1</v>
      </c>
      <c r="H3655" s="1">
        <f>0.2</f>
        <v>0.2</v>
      </c>
      <c r="I3655">
        <v>0</v>
      </c>
      <c r="J3655">
        <v>52.570900000000002</v>
      </c>
      <c r="K3655">
        <v>534.51499999999999</v>
      </c>
      <c r="L3655">
        <v>0</v>
      </c>
    </row>
    <row r="3656" spans="1:12" x14ac:dyDescent="0.25">
      <c r="A3656">
        <f>80793696*0.00001</f>
        <v>807.93696000000011</v>
      </c>
      <c r="B3656">
        <v>3512</v>
      </c>
      <c r="C3656">
        <v>113</v>
      </c>
      <c r="D3656">
        <v>247.434</v>
      </c>
      <c r="E3656">
        <v>5316</v>
      </c>
      <c r="F3656">
        <v>1617</v>
      </c>
      <c r="G3656">
        <v>1</v>
      </c>
      <c r="H3656">
        <v>0.2</v>
      </c>
      <c r="I3656">
        <v>0</v>
      </c>
      <c r="J3656" s="1">
        <f>52.5552</f>
        <v>52.555199999999999</v>
      </c>
      <c r="K3656">
        <v>534.51499999999999</v>
      </c>
      <c r="L3656">
        <v>0</v>
      </c>
    </row>
    <row r="3657" spans="1:12" x14ac:dyDescent="0.25">
      <c r="A3657">
        <f>80793830*0.00001</f>
        <v>807.93830000000003</v>
      </c>
      <c r="B3657">
        <v>3512</v>
      </c>
      <c r="C3657">
        <v>114</v>
      </c>
      <c r="D3657">
        <v>247.434</v>
      </c>
      <c r="E3657">
        <v>5316</v>
      </c>
      <c r="F3657">
        <v>1617</v>
      </c>
      <c r="G3657">
        <v>1</v>
      </c>
      <c r="H3657">
        <v>0.2</v>
      </c>
      <c r="I3657">
        <v>0</v>
      </c>
      <c r="J3657">
        <v>52.555199999999999</v>
      </c>
      <c r="K3657">
        <v>534.51499999999999</v>
      </c>
      <c r="L3657" s="1">
        <f>0</f>
        <v>0</v>
      </c>
    </row>
    <row r="3658" spans="1:12" x14ac:dyDescent="0.25">
      <c r="A3658">
        <f>80793964*0.00001</f>
        <v>807.93964000000005</v>
      </c>
      <c r="B3658">
        <v>3512</v>
      </c>
      <c r="C3658">
        <v>115</v>
      </c>
      <c r="D3658">
        <v>247.434</v>
      </c>
      <c r="E3658" s="1">
        <f>5316</f>
        <v>5316</v>
      </c>
      <c r="F3658">
        <v>1617</v>
      </c>
      <c r="G3658">
        <v>1</v>
      </c>
      <c r="H3658">
        <v>0.2</v>
      </c>
      <c r="I3658">
        <v>0</v>
      </c>
      <c r="J3658">
        <v>52.555199999999999</v>
      </c>
      <c r="K3658">
        <v>534.51499999999999</v>
      </c>
      <c r="L3658">
        <v>0</v>
      </c>
    </row>
    <row r="3659" spans="1:12" x14ac:dyDescent="0.25">
      <c r="A3659">
        <f>80794098*0.00001</f>
        <v>807.94098000000008</v>
      </c>
      <c r="B3659">
        <v>3512</v>
      </c>
      <c r="C3659">
        <v>116</v>
      </c>
      <c r="D3659">
        <v>247.434</v>
      </c>
      <c r="E3659">
        <v>5316</v>
      </c>
      <c r="F3659">
        <v>1617</v>
      </c>
      <c r="G3659" s="1">
        <f>1</f>
        <v>1</v>
      </c>
      <c r="H3659">
        <v>0.2</v>
      </c>
      <c r="I3659">
        <v>0</v>
      </c>
      <c r="J3659">
        <v>52.555199999999999</v>
      </c>
      <c r="K3659">
        <v>534.51499999999999</v>
      </c>
      <c r="L3659">
        <v>0</v>
      </c>
    </row>
    <row r="3660" spans="1:12" x14ac:dyDescent="0.25">
      <c r="A3660">
        <f>80794232*0.00001</f>
        <v>807.94232000000011</v>
      </c>
      <c r="B3660">
        <v>3512</v>
      </c>
      <c r="C3660">
        <v>117</v>
      </c>
      <c r="D3660">
        <v>247.434</v>
      </c>
      <c r="E3660">
        <v>5316</v>
      </c>
      <c r="F3660">
        <v>1617</v>
      </c>
      <c r="G3660">
        <v>1</v>
      </c>
      <c r="H3660">
        <v>0.2</v>
      </c>
      <c r="I3660" s="1">
        <f>0</f>
        <v>0</v>
      </c>
      <c r="J3660">
        <v>52.555199999999999</v>
      </c>
      <c r="K3660">
        <v>534.51499999999999</v>
      </c>
      <c r="L3660">
        <v>0</v>
      </c>
    </row>
    <row r="3661" spans="1:12" x14ac:dyDescent="0.25">
      <c r="A3661">
        <f>80794366*0.00001</f>
        <v>807.94366000000002</v>
      </c>
      <c r="B3661">
        <v>3512</v>
      </c>
      <c r="C3661">
        <v>118</v>
      </c>
      <c r="D3661">
        <v>247.434</v>
      </c>
      <c r="E3661">
        <v>5316</v>
      </c>
      <c r="F3661">
        <v>1617</v>
      </c>
      <c r="G3661">
        <v>1</v>
      </c>
      <c r="H3661">
        <v>0.2</v>
      </c>
      <c r="I3661">
        <v>0</v>
      </c>
      <c r="J3661">
        <v>52.555199999999999</v>
      </c>
      <c r="K3661" s="1">
        <f>534.642</f>
        <v>534.64200000000005</v>
      </c>
      <c r="L3661">
        <v>0</v>
      </c>
    </row>
    <row r="3662" spans="1:12" x14ac:dyDescent="0.25">
      <c r="A3662">
        <f>80794501*0.00001</f>
        <v>807.94501000000002</v>
      </c>
      <c r="B3662">
        <v>3512</v>
      </c>
      <c r="C3662">
        <v>119</v>
      </c>
      <c r="D3662" s="1">
        <f>247.462</f>
        <v>247.46199999999999</v>
      </c>
      <c r="E3662">
        <v>5316</v>
      </c>
      <c r="F3662">
        <v>1617</v>
      </c>
      <c r="G3662">
        <v>1</v>
      </c>
      <c r="H3662">
        <v>0.2</v>
      </c>
      <c r="I3662">
        <v>0</v>
      </c>
      <c r="J3662">
        <v>52.555199999999999</v>
      </c>
      <c r="K3662">
        <v>534.64200000000005</v>
      </c>
      <c r="L3662">
        <v>0</v>
      </c>
    </row>
    <row r="3663" spans="1:12" x14ac:dyDescent="0.25">
      <c r="A3663">
        <f>80794635*0.00001</f>
        <v>807.94635000000005</v>
      </c>
      <c r="B3663">
        <v>3512</v>
      </c>
      <c r="C3663">
        <v>120</v>
      </c>
      <c r="D3663">
        <v>247.46199999999999</v>
      </c>
      <c r="E3663">
        <v>5316</v>
      </c>
      <c r="F3663" s="1">
        <f>1617</f>
        <v>1617</v>
      </c>
      <c r="G3663">
        <v>1</v>
      </c>
      <c r="H3663">
        <v>0.2</v>
      </c>
      <c r="I3663">
        <v>0</v>
      </c>
      <c r="J3663">
        <v>52.555199999999999</v>
      </c>
      <c r="K3663">
        <v>534.64200000000005</v>
      </c>
      <c r="L3663">
        <v>0</v>
      </c>
    </row>
    <row r="3664" spans="1:12" x14ac:dyDescent="0.25">
      <c r="A3664">
        <f>80794769*0.00001</f>
        <v>807.94769000000008</v>
      </c>
      <c r="B3664">
        <v>3512</v>
      </c>
      <c r="C3664">
        <v>121</v>
      </c>
      <c r="D3664">
        <v>247.46199999999999</v>
      </c>
      <c r="E3664">
        <v>5316</v>
      </c>
      <c r="F3664">
        <v>1617</v>
      </c>
      <c r="G3664">
        <v>1</v>
      </c>
      <c r="H3664" s="1">
        <f>0.2</f>
        <v>0.2</v>
      </c>
      <c r="I3664">
        <v>0</v>
      </c>
      <c r="J3664">
        <v>52.555199999999999</v>
      </c>
      <c r="K3664">
        <v>534.64200000000005</v>
      </c>
      <c r="L3664">
        <v>0</v>
      </c>
    </row>
    <row r="3665" spans="1:12" x14ac:dyDescent="0.25">
      <c r="A3665">
        <f>80794903*0.00001</f>
        <v>807.94903000000011</v>
      </c>
      <c r="B3665">
        <v>3512</v>
      </c>
      <c r="C3665">
        <v>122</v>
      </c>
      <c r="D3665">
        <v>247.46199999999999</v>
      </c>
      <c r="E3665">
        <v>5316</v>
      </c>
      <c r="F3665">
        <v>1617</v>
      </c>
      <c r="G3665">
        <v>1</v>
      </c>
      <c r="H3665">
        <v>0.2</v>
      </c>
      <c r="I3665">
        <v>0</v>
      </c>
      <c r="J3665" s="1">
        <f>52.5307</f>
        <v>52.530700000000003</v>
      </c>
      <c r="K3665">
        <v>534.64200000000005</v>
      </c>
      <c r="L3665">
        <v>0</v>
      </c>
    </row>
    <row r="3666" spans="1:12" x14ac:dyDescent="0.25">
      <c r="A3666">
        <f>80795037*0.00001</f>
        <v>807.95037000000002</v>
      </c>
      <c r="B3666">
        <v>3512</v>
      </c>
      <c r="C3666">
        <v>123</v>
      </c>
      <c r="D3666">
        <v>247.46199999999999</v>
      </c>
      <c r="E3666">
        <v>5316</v>
      </c>
      <c r="F3666">
        <v>1617</v>
      </c>
      <c r="G3666">
        <v>1</v>
      </c>
      <c r="H3666">
        <v>0.2</v>
      </c>
      <c r="I3666">
        <v>0</v>
      </c>
      <c r="J3666">
        <v>52.530700000000003</v>
      </c>
      <c r="K3666">
        <v>534.64200000000005</v>
      </c>
      <c r="L3666" s="1">
        <f>0</f>
        <v>0</v>
      </c>
    </row>
    <row r="3667" spans="1:12" x14ac:dyDescent="0.25">
      <c r="A3667">
        <f>80795171*0.00001</f>
        <v>807.95171000000005</v>
      </c>
      <c r="B3667">
        <v>3512</v>
      </c>
      <c r="C3667">
        <v>124</v>
      </c>
      <c r="D3667">
        <v>247.46199999999999</v>
      </c>
      <c r="E3667" s="1">
        <f>5315</f>
        <v>5315</v>
      </c>
      <c r="F3667">
        <v>1617</v>
      </c>
      <c r="G3667">
        <v>1</v>
      </c>
      <c r="H3667">
        <v>0.2</v>
      </c>
      <c r="I3667">
        <v>0</v>
      </c>
      <c r="J3667">
        <v>52.530700000000003</v>
      </c>
      <c r="K3667">
        <v>534.64200000000005</v>
      </c>
      <c r="L3667">
        <v>0</v>
      </c>
    </row>
    <row r="3668" spans="1:12" x14ac:dyDescent="0.25">
      <c r="A3668">
        <f>80795305*0.00001</f>
        <v>807.95305000000008</v>
      </c>
      <c r="B3668">
        <v>3512</v>
      </c>
      <c r="C3668">
        <v>125</v>
      </c>
      <c r="D3668">
        <v>247.46199999999999</v>
      </c>
      <c r="E3668">
        <v>5315</v>
      </c>
      <c r="F3668">
        <v>1617</v>
      </c>
      <c r="G3668" s="1">
        <f>1</f>
        <v>1</v>
      </c>
      <c r="H3668">
        <v>0.2</v>
      </c>
      <c r="I3668">
        <v>0</v>
      </c>
      <c r="J3668">
        <v>52.530700000000003</v>
      </c>
      <c r="K3668">
        <v>534.64200000000005</v>
      </c>
      <c r="L3668">
        <v>0</v>
      </c>
    </row>
    <row r="3669" spans="1:12" x14ac:dyDescent="0.25">
      <c r="A3669">
        <f>80795439*0.00001</f>
        <v>807.9543900000001</v>
      </c>
      <c r="B3669">
        <v>3512</v>
      </c>
      <c r="C3669">
        <v>126</v>
      </c>
      <c r="D3669">
        <v>247.46199999999999</v>
      </c>
      <c r="E3669">
        <v>5315</v>
      </c>
      <c r="F3669">
        <v>1617</v>
      </c>
      <c r="G3669">
        <v>1</v>
      </c>
      <c r="H3669">
        <v>0.2</v>
      </c>
      <c r="I3669" s="1">
        <f>0</f>
        <v>0</v>
      </c>
      <c r="J3669">
        <v>52.530700000000003</v>
      </c>
      <c r="K3669">
        <v>534.64200000000005</v>
      </c>
      <c r="L3669">
        <v>0</v>
      </c>
    </row>
    <row r="3670" spans="1:12" x14ac:dyDescent="0.25">
      <c r="A3670">
        <f>80795573*0.00001</f>
        <v>807.95573000000002</v>
      </c>
      <c r="B3670">
        <v>3512</v>
      </c>
      <c r="C3670">
        <v>127</v>
      </c>
      <c r="D3670">
        <v>247.46199999999999</v>
      </c>
      <c r="E3670">
        <v>5315</v>
      </c>
      <c r="F3670">
        <v>1617</v>
      </c>
      <c r="G3670">
        <v>1</v>
      </c>
      <c r="H3670">
        <v>0.2</v>
      </c>
      <c r="I3670">
        <v>0</v>
      </c>
      <c r="J3670">
        <v>52.530700000000003</v>
      </c>
      <c r="K3670" s="1">
        <f>534.769</f>
        <v>534.76900000000001</v>
      </c>
      <c r="L3670">
        <v>0</v>
      </c>
    </row>
    <row r="3671" spans="1:12" x14ac:dyDescent="0.25">
      <c r="A3671">
        <f>80795707*0.00001</f>
        <v>807.95707000000004</v>
      </c>
      <c r="B3671">
        <v>3512</v>
      </c>
      <c r="C3671">
        <v>128</v>
      </c>
      <c r="D3671" s="1">
        <f>247.566</f>
        <v>247.566</v>
      </c>
      <c r="E3671">
        <v>5315</v>
      </c>
      <c r="F3671">
        <v>1617</v>
      </c>
      <c r="G3671">
        <v>1</v>
      </c>
      <c r="H3671">
        <v>0.2</v>
      </c>
      <c r="I3671">
        <v>0</v>
      </c>
      <c r="J3671">
        <v>52.530700000000003</v>
      </c>
      <c r="K3671">
        <v>534.76900000000001</v>
      </c>
      <c r="L3671">
        <v>0</v>
      </c>
    </row>
    <row r="3672" spans="1:12" x14ac:dyDescent="0.25">
      <c r="A3672">
        <f>80795841*0.00001</f>
        <v>807.95841000000007</v>
      </c>
      <c r="B3672">
        <v>3512</v>
      </c>
      <c r="C3672">
        <v>129</v>
      </c>
      <c r="D3672">
        <v>247.566</v>
      </c>
      <c r="E3672">
        <v>5315</v>
      </c>
      <c r="F3672" s="1">
        <f>1617</f>
        <v>1617</v>
      </c>
      <c r="G3672">
        <v>1</v>
      </c>
      <c r="H3672">
        <v>0.2</v>
      </c>
      <c r="I3672">
        <v>0</v>
      </c>
      <c r="J3672">
        <v>52.530700000000003</v>
      </c>
      <c r="K3672">
        <v>534.76900000000001</v>
      </c>
      <c r="L3672">
        <v>0</v>
      </c>
    </row>
    <row r="3673" spans="1:12" x14ac:dyDescent="0.25">
      <c r="A3673">
        <f>80795975*0.00001</f>
        <v>807.9597500000001</v>
      </c>
      <c r="B3673">
        <v>3512</v>
      </c>
      <c r="C3673">
        <v>130</v>
      </c>
      <c r="D3673">
        <v>247.566</v>
      </c>
      <c r="E3673">
        <v>5315</v>
      </c>
      <c r="F3673">
        <v>1617</v>
      </c>
      <c r="G3673">
        <v>1</v>
      </c>
      <c r="H3673" s="1">
        <f>0.2</f>
        <v>0.2</v>
      </c>
      <c r="I3673">
        <v>0</v>
      </c>
      <c r="J3673">
        <v>52.530700000000003</v>
      </c>
      <c r="K3673">
        <v>534.76900000000001</v>
      </c>
      <c r="L3673">
        <v>0</v>
      </c>
    </row>
    <row r="3674" spans="1:12" x14ac:dyDescent="0.25">
      <c r="A3674">
        <f>80796109*0.00001</f>
        <v>807.96109000000001</v>
      </c>
      <c r="B3674">
        <v>3512</v>
      </c>
      <c r="C3674">
        <v>131</v>
      </c>
      <c r="D3674">
        <v>247.566</v>
      </c>
      <c r="E3674">
        <v>5315</v>
      </c>
      <c r="F3674">
        <v>1617</v>
      </c>
      <c r="G3674">
        <v>1</v>
      </c>
      <c r="H3674">
        <v>0.2</v>
      </c>
      <c r="I3674">
        <v>0</v>
      </c>
      <c r="J3674" s="1">
        <f>52.3851</f>
        <v>52.385100000000001</v>
      </c>
      <c r="K3674">
        <v>534.76900000000001</v>
      </c>
      <c r="L3674">
        <v>0</v>
      </c>
    </row>
    <row r="3675" spans="1:12" x14ac:dyDescent="0.25">
      <c r="A3675">
        <f>80796243*0.00001</f>
        <v>807.96243000000004</v>
      </c>
      <c r="B3675">
        <v>3512</v>
      </c>
      <c r="C3675">
        <v>132</v>
      </c>
      <c r="D3675">
        <v>247.566</v>
      </c>
      <c r="E3675">
        <v>5315</v>
      </c>
      <c r="F3675">
        <v>1617</v>
      </c>
      <c r="G3675">
        <v>1</v>
      </c>
      <c r="H3675">
        <v>0.2</v>
      </c>
      <c r="I3675">
        <v>0</v>
      </c>
      <c r="J3675">
        <v>52.385100000000001</v>
      </c>
      <c r="K3675">
        <v>534.76900000000001</v>
      </c>
      <c r="L3675" s="1">
        <f>0</f>
        <v>0</v>
      </c>
    </row>
    <row r="3676" spans="1:12" x14ac:dyDescent="0.25">
      <c r="A3676">
        <f>80796377*0.00001</f>
        <v>807.96377000000007</v>
      </c>
      <c r="B3676">
        <v>3512</v>
      </c>
      <c r="C3676">
        <v>133</v>
      </c>
      <c r="D3676">
        <v>247.566</v>
      </c>
      <c r="E3676" s="1">
        <f>5312</f>
        <v>5312</v>
      </c>
      <c r="F3676">
        <v>1617</v>
      </c>
      <c r="G3676">
        <v>1</v>
      </c>
      <c r="H3676">
        <v>0.2</v>
      </c>
      <c r="I3676">
        <v>0</v>
      </c>
      <c r="J3676">
        <v>52.385100000000001</v>
      </c>
      <c r="K3676">
        <v>534.76900000000001</v>
      </c>
      <c r="L3676">
        <v>0</v>
      </c>
    </row>
    <row r="3677" spans="1:12" x14ac:dyDescent="0.25">
      <c r="A3677">
        <f>80796511*0.00001</f>
        <v>807.9651100000001</v>
      </c>
      <c r="B3677">
        <v>3512</v>
      </c>
      <c r="C3677">
        <v>134</v>
      </c>
      <c r="D3677">
        <v>247.566</v>
      </c>
      <c r="E3677">
        <v>5312</v>
      </c>
      <c r="F3677">
        <v>1617</v>
      </c>
      <c r="G3677" s="1">
        <f>1</f>
        <v>1</v>
      </c>
      <c r="H3677">
        <v>0.2</v>
      </c>
      <c r="I3677">
        <v>0</v>
      </c>
      <c r="J3677">
        <v>52.385100000000001</v>
      </c>
      <c r="K3677">
        <v>534.76900000000001</v>
      </c>
      <c r="L3677">
        <v>0</v>
      </c>
    </row>
    <row r="3678" spans="1:12" x14ac:dyDescent="0.25">
      <c r="A3678">
        <f>80796645*0.00001</f>
        <v>807.96645000000012</v>
      </c>
      <c r="B3678">
        <v>3512</v>
      </c>
      <c r="C3678">
        <v>135</v>
      </c>
      <c r="D3678">
        <v>247.566</v>
      </c>
      <c r="E3678">
        <v>5312</v>
      </c>
      <c r="F3678">
        <v>1617</v>
      </c>
      <c r="G3678">
        <v>1</v>
      </c>
      <c r="H3678">
        <v>0.2</v>
      </c>
      <c r="I3678" s="1">
        <f>0</f>
        <v>0</v>
      </c>
      <c r="J3678">
        <v>52.385100000000001</v>
      </c>
      <c r="K3678">
        <v>534.76900000000001</v>
      </c>
      <c r="L3678">
        <v>0</v>
      </c>
    </row>
    <row r="3679" spans="1:12" x14ac:dyDescent="0.25">
      <c r="A3679">
        <f>80796779*0.00001</f>
        <v>807.96779000000004</v>
      </c>
      <c r="B3679">
        <v>3512</v>
      </c>
      <c r="C3679">
        <v>136</v>
      </c>
      <c r="D3679">
        <v>247.566</v>
      </c>
      <c r="E3679">
        <v>5312</v>
      </c>
      <c r="F3679">
        <v>1617</v>
      </c>
      <c r="G3679">
        <v>1</v>
      </c>
      <c r="H3679">
        <v>0.2</v>
      </c>
      <c r="I3679">
        <v>0</v>
      </c>
      <c r="J3679">
        <v>52.385100000000001</v>
      </c>
      <c r="K3679" s="1">
        <f>534.896</f>
        <v>534.89599999999996</v>
      </c>
      <c r="L3679">
        <v>0</v>
      </c>
    </row>
    <row r="3680" spans="1:12" x14ac:dyDescent="0.25">
      <c r="A3680">
        <f>80796913*0.00001</f>
        <v>807.96913000000006</v>
      </c>
      <c r="B3680">
        <v>3512</v>
      </c>
      <c r="C3680">
        <v>137</v>
      </c>
      <c r="D3680" s="1">
        <f>247.685</f>
        <v>247.685</v>
      </c>
      <c r="E3680">
        <v>5312</v>
      </c>
      <c r="F3680">
        <v>1617</v>
      </c>
      <c r="G3680">
        <v>1</v>
      </c>
      <c r="H3680">
        <v>0.2</v>
      </c>
      <c r="I3680">
        <v>0</v>
      </c>
      <c r="J3680">
        <v>52.385100000000001</v>
      </c>
      <c r="K3680">
        <v>534.89599999999996</v>
      </c>
      <c r="L3680">
        <v>0</v>
      </c>
    </row>
    <row r="3681" spans="1:12" x14ac:dyDescent="0.25">
      <c r="A3681">
        <f>80797047*0.00001</f>
        <v>807.97047000000009</v>
      </c>
      <c r="B3681">
        <v>3512</v>
      </c>
      <c r="C3681">
        <v>138</v>
      </c>
      <c r="D3681" s="1">
        <f>248.004</f>
        <v>248.00399999999999</v>
      </c>
      <c r="E3681" s="1">
        <f>5306</f>
        <v>5306</v>
      </c>
      <c r="F3681" s="1">
        <f>1617</f>
        <v>1617</v>
      </c>
      <c r="G3681" s="1">
        <f>1</f>
        <v>1</v>
      </c>
      <c r="H3681" s="1">
        <f>0.2</f>
        <v>0.2</v>
      </c>
      <c r="I3681" s="1">
        <f>0</f>
        <v>0</v>
      </c>
      <c r="J3681" s="1">
        <f>52.0222</f>
        <v>52.022199999999998</v>
      </c>
      <c r="K3681" s="1">
        <f>535.471</f>
        <v>535.471</v>
      </c>
      <c r="L3681" s="1">
        <f>0</f>
        <v>0</v>
      </c>
    </row>
    <row r="3682" spans="1:12" s="2" customFormat="1" x14ac:dyDescent="0.25">
      <c r="A3682" s="2">
        <f>80802671*0.00001</f>
        <v>808.02671000000009</v>
      </c>
      <c r="B3682" s="2">
        <v>3513</v>
      </c>
      <c r="C3682" s="2">
        <v>0</v>
      </c>
      <c r="D3682" s="2">
        <v>248.00399999999999</v>
      </c>
      <c r="E3682" s="2">
        <v>5306</v>
      </c>
      <c r="F3682" s="2">
        <v>1617</v>
      </c>
      <c r="G3682" s="2">
        <v>1</v>
      </c>
      <c r="H3682" s="1">
        <f>0.2</f>
        <v>0.2</v>
      </c>
      <c r="I3682" s="1">
        <f>0</f>
        <v>0</v>
      </c>
      <c r="J3682" s="2">
        <v>52.022199999999998</v>
      </c>
      <c r="K3682" s="2">
        <v>535.471</v>
      </c>
      <c r="L3682" s="2">
        <v>0</v>
      </c>
    </row>
    <row r="3683" spans="1:12" x14ac:dyDescent="0.25">
      <c r="A3683">
        <f>80802806*0.00001</f>
        <v>808.0280600000001</v>
      </c>
      <c r="B3683">
        <v>3513</v>
      </c>
      <c r="C3683">
        <v>1</v>
      </c>
      <c r="D3683">
        <v>248.00399999999999</v>
      </c>
      <c r="E3683">
        <v>5306</v>
      </c>
      <c r="F3683">
        <v>1617</v>
      </c>
      <c r="G3683">
        <v>1</v>
      </c>
      <c r="H3683">
        <v>0.2</v>
      </c>
      <c r="I3683">
        <v>0</v>
      </c>
      <c r="J3683" s="1">
        <f>51.9837</f>
        <v>51.983699999999999</v>
      </c>
      <c r="K3683" s="1">
        <f>535.499</f>
        <v>535.49900000000002</v>
      </c>
      <c r="L3683">
        <v>0</v>
      </c>
    </row>
    <row r="3684" spans="1:12" x14ac:dyDescent="0.25">
      <c r="A3684">
        <f>80802940*0.00001</f>
        <v>808.02940000000001</v>
      </c>
      <c r="B3684">
        <v>3513</v>
      </c>
      <c r="C3684">
        <v>2</v>
      </c>
      <c r="D3684" s="1">
        <f>248.028</f>
        <v>248.02799999999999</v>
      </c>
      <c r="E3684">
        <v>5306</v>
      </c>
      <c r="F3684">
        <v>1617</v>
      </c>
      <c r="G3684">
        <v>1</v>
      </c>
      <c r="H3684">
        <v>0.2</v>
      </c>
      <c r="I3684">
        <v>0</v>
      </c>
      <c r="J3684">
        <v>51.983699999999999</v>
      </c>
      <c r="K3684">
        <v>535.49900000000002</v>
      </c>
      <c r="L3684" s="1">
        <f>0</f>
        <v>0</v>
      </c>
    </row>
    <row r="3685" spans="1:12" x14ac:dyDescent="0.25">
      <c r="A3685">
        <f>80803073*0.00001</f>
        <v>808.03073000000006</v>
      </c>
      <c r="B3685">
        <v>3513</v>
      </c>
      <c r="C3685">
        <v>3</v>
      </c>
      <c r="D3685">
        <v>248.02799999999999</v>
      </c>
      <c r="E3685" s="1">
        <f>5305</f>
        <v>5305</v>
      </c>
      <c r="F3685" s="1">
        <f>1617</f>
        <v>1617</v>
      </c>
      <c r="G3685">
        <v>1</v>
      </c>
      <c r="H3685">
        <v>0.2</v>
      </c>
      <c r="I3685">
        <v>0</v>
      </c>
      <c r="J3685">
        <v>51.983699999999999</v>
      </c>
      <c r="K3685">
        <v>535.49900000000002</v>
      </c>
      <c r="L3685">
        <v>0</v>
      </c>
    </row>
    <row r="3686" spans="1:12" x14ac:dyDescent="0.25">
      <c r="A3686">
        <f>80803207*0.00001</f>
        <v>808.03207000000009</v>
      </c>
      <c r="B3686">
        <v>3513</v>
      </c>
      <c r="C3686">
        <v>4</v>
      </c>
      <c r="D3686">
        <v>248.02799999999999</v>
      </c>
      <c r="E3686">
        <v>5305</v>
      </c>
      <c r="F3686">
        <v>1617</v>
      </c>
      <c r="G3686" s="1">
        <f>1</f>
        <v>1</v>
      </c>
      <c r="H3686" s="1">
        <f>0.2</f>
        <v>0.2</v>
      </c>
      <c r="I3686">
        <v>0</v>
      </c>
      <c r="J3686">
        <v>51.983699999999999</v>
      </c>
      <c r="K3686">
        <v>535.49900000000002</v>
      </c>
      <c r="L3686">
        <v>0</v>
      </c>
    </row>
    <row r="3687" spans="1:12" x14ac:dyDescent="0.25">
      <c r="A3687">
        <f>80803341*0.00001</f>
        <v>808.03341000000012</v>
      </c>
      <c r="B3687">
        <v>3513</v>
      </c>
      <c r="C3687">
        <v>5</v>
      </c>
      <c r="D3687">
        <v>248.02799999999999</v>
      </c>
      <c r="E3687">
        <v>5305</v>
      </c>
      <c r="F3687">
        <v>1617</v>
      </c>
      <c r="G3687">
        <v>1</v>
      </c>
      <c r="H3687">
        <v>0.2</v>
      </c>
      <c r="I3687" s="1">
        <f>0</f>
        <v>0</v>
      </c>
      <c r="J3687" s="1">
        <f>51.9407</f>
        <v>51.9407</v>
      </c>
      <c r="K3687">
        <v>535.49900000000002</v>
      </c>
      <c r="L3687">
        <v>0</v>
      </c>
    </row>
    <row r="3688" spans="1:12" x14ac:dyDescent="0.25">
      <c r="A3688">
        <f>80803474*0.00001</f>
        <v>808.03474000000006</v>
      </c>
      <c r="B3688">
        <v>3513</v>
      </c>
      <c r="C3688">
        <v>6</v>
      </c>
      <c r="D3688">
        <v>248.02799999999999</v>
      </c>
      <c r="E3688">
        <v>5305</v>
      </c>
      <c r="F3688">
        <v>1617</v>
      </c>
      <c r="G3688">
        <v>1</v>
      </c>
      <c r="H3688">
        <v>0.2</v>
      </c>
      <c r="I3688">
        <v>0</v>
      </c>
      <c r="J3688">
        <v>51.9407</v>
      </c>
      <c r="K3688" s="1">
        <f>535.569</f>
        <v>535.56899999999996</v>
      </c>
      <c r="L3688" s="1">
        <f>0</f>
        <v>0</v>
      </c>
    </row>
    <row r="3689" spans="1:12" x14ac:dyDescent="0.25">
      <c r="A3689">
        <f>80803608*0.00001</f>
        <v>808.03608000000008</v>
      </c>
      <c r="B3689">
        <v>3513</v>
      </c>
      <c r="C3689">
        <v>7</v>
      </c>
      <c r="D3689" s="1">
        <f>248.078</f>
        <v>248.078</v>
      </c>
      <c r="E3689" s="1">
        <f>5304</f>
        <v>5304</v>
      </c>
      <c r="F3689">
        <v>1617</v>
      </c>
      <c r="G3689">
        <v>1</v>
      </c>
      <c r="H3689">
        <v>0.2</v>
      </c>
      <c r="I3689">
        <v>0</v>
      </c>
      <c r="J3689">
        <v>51.9407</v>
      </c>
      <c r="K3689">
        <v>535.56899999999996</v>
      </c>
      <c r="L3689">
        <v>0</v>
      </c>
    </row>
    <row r="3690" spans="1:12" x14ac:dyDescent="0.25">
      <c r="A3690">
        <f>80803742*0.00001</f>
        <v>808.03742000000011</v>
      </c>
      <c r="B3690">
        <v>3513</v>
      </c>
      <c r="C3690">
        <v>8</v>
      </c>
      <c r="D3690">
        <v>248.078</v>
      </c>
      <c r="E3690">
        <v>5304</v>
      </c>
      <c r="F3690" s="1">
        <f>1617</f>
        <v>1617</v>
      </c>
      <c r="G3690" s="1">
        <f>1</f>
        <v>1</v>
      </c>
      <c r="H3690">
        <v>0.2</v>
      </c>
      <c r="I3690">
        <v>0</v>
      </c>
      <c r="J3690">
        <v>51.9407</v>
      </c>
      <c r="K3690">
        <v>535.56899999999996</v>
      </c>
      <c r="L3690">
        <v>0</v>
      </c>
    </row>
    <row r="3691" spans="1:12" x14ac:dyDescent="0.25">
      <c r="A3691">
        <f>80803875*0.00001</f>
        <v>808.03875000000005</v>
      </c>
      <c r="B3691">
        <v>3513</v>
      </c>
      <c r="C3691">
        <v>9</v>
      </c>
      <c r="D3691">
        <v>248.078</v>
      </c>
      <c r="E3691">
        <v>5304</v>
      </c>
      <c r="F3691">
        <v>1617</v>
      </c>
      <c r="G3691">
        <v>1</v>
      </c>
      <c r="H3691" s="1">
        <f>0.2</f>
        <v>0.2</v>
      </c>
      <c r="I3691" s="1">
        <f>0</f>
        <v>0</v>
      </c>
      <c r="J3691">
        <v>51.9407</v>
      </c>
      <c r="K3691">
        <v>535.56899999999996</v>
      </c>
      <c r="L3691">
        <v>0</v>
      </c>
    </row>
    <row r="3692" spans="1:12" x14ac:dyDescent="0.25">
      <c r="A3692">
        <f>80804009*0.00001</f>
        <v>808.04009000000008</v>
      </c>
      <c r="B3692">
        <v>3513</v>
      </c>
      <c r="C3692">
        <v>10</v>
      </c>
      <c r="D3692">
        <v>248.078</v>
      </c>
      <c r="E3692">
        <v>5304</v>
      </c>
      <c r="F3692">
        <v>1617</v>
      </c>
      <c r="G3692">
        <v>1</v>
      </c>
      <c r="H3692">
        <v>0.2</v>
      </c>
      <c r="I3692">
        <v>0</v>
      </c>
      <c r="J3692" s="1">
        <f>51.8978</f>
        <v>51.897799999999997</v>
      </c>
      <c r="K3692" s="1">
        <f>535.625</f>
        <v>535.625</v>
      </c>
      <c r="L3692">
        <v>0</v>
      </c>
    </row>
    <row r="3693" spans="1:12" x14ac:dyDescent="0.25">
      <c r="A3693">
        <f>80804143*0.00001</f>
        <v>808.0414300000001</v>
      </c>
      <c r="B3693">
        <v>3513</v>
      </c>
      <c r="C3693">
        <v>11</v>
      </c>
      <c r="D3693" s="1">
        <f>248.11</f>
        <v>248.11</v>
      </c>
      <c r="E3693">
        <v>5304</v>
      </c>
      <c r="F3693">
        <v>1617</v>
      </c>
      <c r="G3693">
        <v>1</v>
      </c>
      <c r="H3693">
        <v>0.2</v>
      </c>
      <c r="I3693">
        <v>0</v>
      </c>
      <c r="J3693">
        <v>51.897799999999997</v>
      </c>
      <c r="K3693">
        <v>535.625</v>
      </c>
      <c r="L3693" s="1">
        <f>0</f>
        <v>0</v>
      </c>
    </row>
    <row r="3694" spans="1:12" x14ac:dyDescent="0.25">
      <c r="A3694">
        <f>80804276*0.00001</f>
        <v>808.04276000000004</v>
      </c>
      <c r="B3694">
        <v>3513</v>
      </c>
      <c r="C3694">
        <v>12</v>
      </c>
      <c r="D3694">
        <v>248.11</v>
      </c>
      <c r="E3694" s="1">
        <f>5304</f>
        <v>5304</v>
      </c>
      <c r="F3694" s="1">
        <f>1617</f>
        <v>1617</v>
      </c>
      <c r="G3694">
        <v>1</v>
      </c>
      <c r="H3694">
        <v>0.2</v>
      </c>
      <c r="I3694">
        <v>0</v>
      </c>
      <c r="J3694">
        <v>51.897799999999997</v>
      </c>
      <c r="K3694">
        <v>535.625</v>
      </c>
      <c r="L3694">
        <v>0</v>
      </c>
    </row>
    <row r="3695" spans="1:12" x14ac:dyDescent="0.25">
      <c r="A3695">
        <f>80804410*0.00001</f>
        <v>808.04410000000007</v>
      </c>
      <c r="B3695">
        <v>3513</v>
      </c>
      <c r="C3695">
        <v>13</v>
      </c>
      <c r="D3695">
        <v>248.11</v>
      </c>
      <c r="E3695">
        <v>5304</v>
      </c>
      <c r="F3695">
        <v>1617</v>
      </c>
      <c r="G3695" s="1">
        <f>1</f>
        <v>1</v>
      </c>
      <c r="H3695" s="1">
        <f>0.2</f>
        <v>0.2</v>
      </c>
      <c r="I3695">
        <v>0</v>
      </c>
      <c r="J3695">
        <v>51.897799999999997</v>
      </c>
      <c r="K3695">
        <v>535.625</v>
      </c>
      <c r="L3695">
        <v>0</v>
      </c>
    </row>
    <row r="3696" spans="1:12" x14ac:dyDescent="0.25">
      <c r="A3696">
        <f>80804544*0.00001</f>
        <v>808.0454400000001</v>
      </c>
      <c r="B3696">
        <v>3513</v>
      </c>
      <c r="C3696">
        <v>14</v>
      </c>
      <c r="D3696">
        <v>248.11</v>
      </c>
      <c r="E3696">
        <v>5304</v>
      </c>
      <c r="F3696">
        <v>1617</v>
      </c>
      <c r="G3696">
        <v>1</v>
      </c>
      <c r="H3696">
        <v>0.2</v>
      </c>
      <c r="I3696" s="1">
        <f>0</f>
        <v>0</v>
      </c>
      <c r="J3696" s="1">
        <f>51.8707</f>
        <v>51.870699999999999</v>
      </c>
      <c r="K3696">
        <v>535.625</v>
      </c>
      <c r="L3696">
        <v>0</v>
      </c>
    </row>
    <row r="3697" spans="1:12" x14ac:dyDescent="0.25">
      <c r="A3697">
        <f>80804677*0.00001</f>
        <v>808.04677000000004</v>
      </c>
      <c r="B3697">
        <v>3513</v>
      </c>
      <c r="C3697">
        <v>15</v>
      </c>
      <c r="D3697">
        <v>248.11</v>
      </c>
      <c r="E3697">
        <v>5304</v>
      </c>
      <c r="F3697">
        <v>1617</v>
      </c>
      <c r="G3697">
        <v>1</v>
      </c>
      <c r="H3697">
        <v>0.2</v>
      </c>
      <c r="I3697">
        <v>0</v>
      </c>
      <c r="J3697">
        <v>51.870699999999999</v>
      </c>
      <c r="K3697" s="1">
        <f>535.695</f>
        <v>535.69500000000005</v>
      </c>
      <c r="L3697" s="1">
        <f>0</f>
        <v>0</v>
      </c>
    </row>
    <row r="3698" spans="1:12" x14ac:dyDescent="0.25">
      <c r="A3698">
        <f>80804811*0.00001</f>
        <v>808.04811000000007</v>
      </c>
      <c r="B3698">
        <v>3513</v>
      </c>
      <c r="C3698">
        <v>16</v>
      </c>
      <c r="D3698" s="1">
        <f>248.141</f>
        <v>248.14099999999999</v>
      </c>
      <c r="E3698" s="1">
        <f>5303</f>
        <v>5303</v>
      </c>
      <c r="F3698">
        <v>1617</v>
      </c>
      <c r="G3698">
        <v>1</v>
      </c>
      <c r="H3698">
        <v>0.2</v>
      </c>
      <c r="I3698">
        <v>0</v>
      </c>
      <c r="J3698">
        <v>51.870699999999999</v>
      </c>
      <c r="K3698">
        <v>535.69500000000005</v>
      </c>
      <c r="L3698">
        <v>0</v>
      </c>
    </row>
    <row r="3699" spans="1:12" x14ac:dyDescent="0.25">
      <c r="A3699">
        <f>80804945*0.00001</f>
        <v>808.04945000000009</v>
      </c>
      <c r="B3699">
        <v>3513</v>
      </c>
      <c r="C3699">
        <v>17</v>
      </c>
      <c r="D3699">
        <v>248.14099999999999</v>
      </c>
      <c r="E3699">
        <v>5303</v>
      </c>
      <c r="F3699" s="1">
        <f>1617</f>
        <v>1617</v>
      </c>
      <c r="G3699" s="1">
        <f>1</f>
        <v>1</v>
      </c>
      <c r="H3699">
        <v>0.2</v>
      </c>
      <c r="I3699">
        <v>0</v>
      </c>
      <c r="J3699">
        <v>51.870699999999999</v>
      </c>
      <c r="K3699">
        <v>535.69500000000005</v>
      </c>
      <c r="L3699">
        <v>0</v>
      </c>
    </row>
    <row r="3700" spans="1:12" x14ac:dyDescent="0.25">
      <c r="A3700">
        <f>80805078*0.00001</f>
        <v>808.05078000000003</v>
      </c>
      <c r="B3700">
        <v>3513</v>
      </c>
      <c r="C3700">
        <v>18</v>
      </c>
      <c r="D3700">
        <v>248.14099999999999</v>
      </c>
      <c r="E3700">
        <v>5303</v>
      </c>
      <c r="F3700">
        <v>1617</v>
      </c>
      <c r="G3700">
        <v>1</v>
      </c>
      <c r="H3700" s="1">
        <f>0.2</f>
        <v>0.2</v>
      </c>
      <c r="I3700" s="1">
        <f>0</f>
        <v>0</v>
      </c>
      <c r="J3700">
        <v>51.870699999999999</v>
      </c>
      <c r="K3700">
        <v>535.69500000000005</v>
      </c>
      <c r="L3700">
        <v>0</v>
      </c>
    </row>
    <row r="3701" spans="1:12" x14ac:dyDescent="0.25">
      <c r="A3701">
        <f>80805212*0.00001</f>
        <v>808.05212000000006</v>
      </c>
      <c r="B3701">
        <v>3513</v>
      </c>
      <c r="C3701">
        <v>19</v>
      </c>
      <c r="D3701">
        <v>248.14099999999999</v>
      </c>
      <c r="E3701">
        <v>5303</v>
      </c>
      <c r="F3701">
        <v>1617</v>
      </c>
      <c r="G3701">
        <v>1</v>
      </c>
      <c r="H3701">
        <v>0.2</v>
      </c>
      <c r="I3701">
        <v>0</v>
      </c>
      <c r="J3701" s="1">
        <f>51.8438</f>
        <v>51.843800000000002</v>
      </c>
      <c r="K3701" s="1">
        <f>535.75</f>
        <v>535.75</v>
      </c>
      <c r="L3701">
        <v>0</v>
      </c>
    </row>
    <row r="3702" spans="1:12" x14ac:dyDescent="0.25">
      <c r="A3702">
        <f>80805346*0.00001</f>
        <v>808.05346000000009</v>
      </c>
      <c r="B3702">
        <v>3513</v>
      </c>
      <c r="C3702">
        <v>20</v>
      </c>
      <c r="D3702" s="1">
        <f>248.16</f>
        <v>248.16</v>
      </c>
      <c r="E3702">
        <v>5303</v>
      </c>
      <c r="F3702">
        <v>1617</v>
      </c>
      <c r="G3702">
        <v>1</v>
      </c>
      <c r="H3702">
        <v>0.2</v>
      </c>
      <c r="I3702">
        <v>0</v>
      </c>
      <c r="J3702">
        <v>51.843800000000002</v>
      </c>
      <c r="K3702">
        <v>535.75</v>
      </c>
      <c r="L3702" s="1">
        <f>0</f>
        <v>0</v>
      </c>
    </row>
    <row r="3703" spans="1:12" x14ac:dyDescent="0.25">
      <c r="A3703">
        <f>80805479*0.00001</f>
        <v>808.05479000000003</v>
      </c>
      <c r="B3703">
        <v>3513</v>
      </c>
      <c r="C3703">
        <v>21</v>
      </c>
      <c r="D3703">
        <v>248.16</v>
      </c>
      <c r="E3703" s="1">
        <f>5303</f>
        <v>5303</v>
      </c>
      <c r="F3703" s="1">
        <f>1617</f>
        <v>1617</v>
      </c>
      <c r="G3703">
        <v>1</v>
      </c>
      <c r="H3703">
        <v>0.2</v>
      </c>
      <c r="I3703">
        <v>0</v>
      </c>
      <c r="J3703">
        <v>51.843800000000002</v>
      </c>
      <c r="K3703">
        <v>535.75</v>
      </c>
      <c r="L3703">
        <v>0</v>
      </c>
    </row>
    <row r="3704" spans="1:12" x14ac:dyDescent="0.25">
      <c r="A3704">
        <f>80805613*0.00001</f>
        <v>808.05613000000005</v>
      </c>
      <c r="B3704">
        <v>3513</v>
      </c>
      <c r="C3704">
        <v>22</v>
      </c>
      <c r="D3704">
        <v>248.16</v>
      </c>
      <c r="E3704">
        <v>5303</v>
      </c>
      <c r="F3704">
        <v>1617</v>
      </c>
      <c r="G3704" s="1">
        <f>1</f>
        <v>1</v>
      </c>
      <c r="H3704" s="1">
        <f>0.2</f>
        <v>0.2</v>
      </c>
      <c r="I3704">
        <v>0</v>
      </c>
      <c r="J3704">
        <v>51.843800000000002</v>
      </c>
      <c r="K3704">
        <v>535.75</v>
      </c>
      <c r="L3704">
        <v>0</v>
      </c>
    </row>
    <row r="3705" spans="1:12" x14ac:dyDescent="0.25">
      <c r="A3705">
        <f>80805747*0.00001</f>
        <v>808.05747000000008</v>
      </c>
      <c r="B3705">
        <v>3513</v>
      </c>
      <c r="C3705">
        <v>23</v>
      </c>
      <c r="D3705">
        <v>248.16</v>
      </c>
      <c r="E3705">
        <v>5303</v>
      </c>
      <c r="F3705">
        <v>1617</v>
      </c>
      <c r="G3705">
        <v>1</v>
      </c>
      <c r="H3705">
        <v>0.2</v>
      </c>
      <c r="I3705" s="1">
        <f>0</f>
        <v>0</v>
      </c>
      <c r="J3705" s="1">
        <f>51.8265</f>
        <v>51.826500000000003</v>
      </c>
      <c r="K3705">
        <v>535.75</v>
      </c>
      <c r="L3705">
        <v>0</v>
      </c>
    </row>
    <row r="3706" spans="1:12" x14ac:dyDescent="0.25">
      <c r="A3706">
        <f>80805880*0.00001</f>
        <v>808.05880000000002</v>
      </c>
      <c r="B3706">
        <v>3513</v>
      </c>
      <c r="C3706">
        <v>24</v>
      </c>
      <c r="D3706">
        <v>248.16</v>
      </c>
      <c r="E3706">
        <v>5303</v>
      </c>
      <c r="F3706">
        <v>1617</v>
      </c>
      <c r="G3706">
        <v>1</v>
      </c>
      <c r="H3706">
        <v>0.2</v>
      </c>
      <c r="I3706">
        <v>0</v>
      </c>
      <c r="J3706">
        <v>51.826500000000003</v>
      </c>
      <c r="K3706" s="1">
        <f>535.82</f>
        <v>535.82000000000005</v>
      </c>
      <c r="L3706" s="1">
        <f>0</f>
        <v>0</v>
      </c>
    </row>
    <row r="3707" spans="1:12" x14ac:dyDescent="0.25">
      <c r="A3707">
        <f>80806014*0.00001</f>
        <v>808.06014000000005</v>
      </c>
      <c r="B3707">
        <v>3513</v>
      </c>
      <c r="C3707">
        <v>25</v>
      </c>
      <c r="D3707" s="1">
        <f>248.181</f>
        <v>248.18100000000001</v>
      </c>
      <c r="E3707" s="1">
        <f>5303</f>
        <v>5303</v>
      </c>
      <c r="F3707">
        <v>1617</v>
      </c>
      <c r="G3707">
        <v>1</v>
      </c>
      <c r="H3707">
        <v>0.2</v>
      </c>
      <c r="I3707">
        <v>0</v>
      </c>
      <c r="J3707">
        <v>51.826500000000003</v>
      </c>
      <c r="K3707">
        <v>535.82000000000005</v>
      </c>
      <c r="L3707">
        <v>0</v>
      </c>
    </row>
    <row r="3708" spans="1:12" x14ac:dyDescent="0.25">
      <c r="A3708">
        <f>80806148*0.00001</f>
        <v>808.06148000000007</v>
      </c>
      <c r="B3708">
        <v>3513</v>
      </c>
      <c r="C3708">
        <v>26</v>
      </c>
      <c r="D3708">
        <v>248.18100000000001</v>
      </c>
      <c r="E3708">
        <v>5303</v>
      </c>
      <c r="F3708" s="1">
        <f>1617</f>
        <v>1617</v>
      </c>
      <c r="G3708" s="1">
        <f>1</f>
        <v>1</v>
      </c>
      <c r="H3708">
        <v>0.2</v>
      </c>
      <c r="I3708">
        <v>0</v>
      </c>
      <c r="J3708">
        <v>51.826500000000003</v>
      </c>
      <c r="K3708">
        <v>535.82000000000005</v>
      </c>
      <c r="L3708">
        <v>0</v>
      </c>
    </row>
    <row r="3709" spans="1:12" x14ac:dyDescent="0.25">
      <c r="A3709">
        <f>80806281*0.00001</f>
        <v>808.06281000000001</v>
      </c>
      <c r="B3709">
        <v>3513</v>
      </c>
      <c r="C3709">
        <v>27</v>
      </c>
      <c r="D3709">
        <v>248.18100000000001</v>
      </c>
      <c r="E3709">
        <v>5303</v>
      </c>
      <c r="F3709">
        <v>1617</v>
      </c>
      <c r="G3709">
        <v>1</v>
      </c>
      <c r="H3709" s="1">
        <f>0.2</f>
        <v>0.2</v>
      </c>
      <c r="I3709" s="1">
        <f>0</f>
        <v>0</v>
      </c>
      <c r="J3709">
        <v>51.826500000000003</v>
      </c>
      <c r="K3709">
        <v>535.82000000000005</v>
      </c>
      <c r="L3709">
        <v>0</v>
      </c>
    </row>
    <row r="3710" spans="1:12" x14ac:dyDescent="0.25">
      <c r="A3710">
        <f>80806415*0.00001</f>
        <v>808.06415000000004</v>
      </c>
      <c r="B3710">
        <v>3513</v>
      </c>
      <c r="C3710">
        <v>28</v>
      </c>
      <c r="D3710">
        <v>248.18100000000001</v>
      </c>
      <c r="E3710">
        <v>5303</v>
      </c>
      <c r="F3710">
        <v>1617</v>
      </c>
      <c r="G3710">
        <v>1</v>
      </c>
      <c r="H3710">
        <v>0.2</v>
      </c>
      <c r="I3710">
        <v>0</v>
      </c>
      <c r="J3710" s="1">
        <f>51.8097</f>
        <v>51.809699999999999</v>
      </c>
      <c r="K3710" s="1">
        <f>535.875</f>
        <v>535.875</v>
      </c>
      <c r="L3710">
        <v>0</v>
      </c>
    </row>
    <row r="3711" spans="1:12" x14ac:dyDescent="0.25">
      <c r="A3711">
        <f>80806549*0.00001</f>
        <v>808.06549000000007</v>
      </c>
      <c r="B3711">
        <v>3513</v>
      </c>
      <c r="C3711">
        <v>29</v>
      </c>
      <c r="D3711" s="1">
        <f>248.193</f>
        <v>248.19300000000001</v>
      </c>
      <c r="E3711">
        <v>5303</v>
      </c>
      <c r="F3711">
        <v>1617</v>
      </c>
      <c r="G3711">
        <v>1</v>
      </c>
      <c r="H3711">
        <v>0.2</v>
      </c>
      <c r="I3711">
        <v>0</v>
      </c>
      <c r="J3711">
        <v>51.809699999999999</v>
      </c>
      <c r="K3711">
        <v>535.875</v>
      </c>
      <c r="L3711" s="1">
        <f>0</f>
        <v>0</v>
      </c>
    </row>
    <row r="3712" spans="1:12" x14ac:dyDescent="0.25">
      <c r="A3712">
        <f>80806682*0.00001</f>
        <v>808.06682000000012</v>
      </c>
      <c r="B3712">
        <v>3513</v>
      </c>
      <c r="C3712">
        <v>30</v>
      </c>
      <c r="D3712">
        <v>248.19300000000001</v>
      </c>
      <c r="E3712" s="1">
        <f>5303</f>
        <v>5303</v>
      </c>
      <c r="F3712" s="1">
        <f>1617</f>
        <v>1617</v>
      </c>
      <c r="G3712">
        <v>1</v>
      </c>
      <c r="H3712">
        <v>0.2</v>
      </c>
      <c r="I3712">
        <v>0</v>
      </c>
      <c r="J3712">
        <v>51.809699999999999</v>
      </c>
      <c r="K3712">
        <v>535.875</v>
      </c>
      <c r="L3712">
        <v>0</v>
      </c>
    </row>
    <row r="3713" spans="1:12" x14ac:dyDescent="0.25">
      <c r="A3713">
        <f>80806816*0.00001</f>
        <v>808.06816000000003</v>
      </c>
      <c r="B3713">
        <v>3513</v>
      </c>
      <c r="C3713">
        <v>31</v>
      </c>
      <c r="D3713">
        <v>248.19300000000001</v>
      </c>
      <c r="E3713">
        <v>5303</v>
      </c>
      <c r="F3713">
        <v>1617</v>
      </c>
      <c r="G3713" s="1">
        <f>1</f>
        <v>1</v>
      </c>
      <c r="H3713" s="1">
        <f>0.2</f>
        <v>0.2</v>
      </c>
      <c r="I3713">
        <v>0</v>
      </c>
      <c r="J3713">
        <v>51.809699999999999</v>
      </c>
      <c r="K3713">
        <v>535.875</v>
      </c>
      <c r="L3713">
        <v>0</v>
      </c>
    </row>
    <row r="3714" spans="1:12" x14ac:dyDescent="0.25">
      <c r="A3714">
        <f>80806950*0.00001</f>
        <v>808.06950000000006</v>
      </c>
      <c r="B3714">
        <v>3513</v>
      </c>
      <c r="C3714">
        <v>32</v>
      </c>
      <c r="D3714">
        <v>248.19300000000001</v>
      </c>
      <c r="E3714">
        <v>5303</v>
      </c>
      <c r="F3714">
        <v>1617</v>
      </c>
      <c r="G3714">
        <v>1</v>
      </c>
      <c r="H3714">
        <v>0.2</v>
      </c>
      <c r="I3714" s="1">
        <f>0</f>
        <v>0</v>
      </c>
      <c r="J3714" s="1">
        <f>51.7988</f>
        <v>51.7988</v>
      </c>
      <c r="K3714">
        <v>535.875</v>
      </c>
      <c r="L3714">
        <v>0</v>
      </c>
    </row>
    <row r="3715" spans="1:12" x14ac:dyDescent="0.25">
      <c r="A3715">
        <f>80807083*0.00001</f>
        <v>808.07083000000011</v>
      </c>
      <c r="B3715">
        <v>3513</v>
      </c>
      <c r="C3715">
        <v>33</v>
      </c>
      <c r="D3715">
        <v>248.19300000000001</v>
      </c>
      <c r="E3715">
        <v>5303</v>
      </c>
      <c r="F3715">
        <v>1617</v>
      </c>
      <c r="G3715">
        <v>1</v>
      </c>
      <c r="H3715">
        <v>0.2</v>
      </c>
      <c r="I3715">
        <v>0</v>
      </c>
      <c r="J3715">
        <v>51.7988</v>
      </c>
      <c r="K3715" s="1">
        <f>535.945</f>
        <v>535.94500000000005</v>
      </c>
      <c r="L3715" s="1">
        <f>0</f>
        <v>0</v>
      </c>
    </row>
    <row r="3716" spans="1:12" x14ac:dyDescent="0.25">
      <c r="A3716">
        <f>80807217*0.00001</f>
        <v>808.07217000000003</v>
      </c>
      <c r="B3716">
        <v>3513</v>
      </c>
      <c r="C3716">
        <v>34</v>
      </c>
      <c r="D3716" s="1">
        <f>248.206</f>
        <v>248.20599999999999</v>
      </c>
      <c r="E3716" s="1">
        <f>5303</f>
        <v>5303</v>
      </c>
      <c r="F3716">
        <v>1617</v>
      </c>
      <c r="G3716">
        <v>1</v>
      </c>
      <c r="H3716">
        <v>0.2</v>
      </c>
      <c r="I3716">
        <v>0</v>
      </c>
      <c r="J3716">
        <v>51.7988</v>
      </c>
      <c r="K3716">
        <v>535.94500000000005</v>
      </c>
      <c r="L3716">
        <v>0</v>
      </c>
    </row>
    <row r="3717" spans="1:12" x14ac:dyDescent="0.25">
      <c r="A3717">
        <f>80807351*0.00001</f>
        <v>808.07351000000006</v>
      </c>
      <c r="B3717">
        <v>3513</v>
      </c>
      <c r="C3717">
        <v>35</v>
      </c>
      <c r="D3717">
        <v>248.20599999999999</v>
      </c>
      <c r="E3717">
        <v>5303</v>
      </c>
      <c r="F3717" s="1">
        <f>1617</f>
        <v>1617</v>
      </c>
      <c r="G3717" s="1">
        <f>1</f>
        <v>1</v>
      </c>
      <c r="H3717">
        <v>0.2</v>
      </c>
      <c r="I3717">
        <v>0</v>
      </c>
      <c r="J3717">
        <v>51.7988</v>
      </c>
      <c r="K3717">
        <v>535.94500000000005</v>
      </c>
      <c r="L3717">
        <v>0</v>
      </c>
    </row>
    <row r="3718" spans="1:12" x14ac:dyDescent="0.25">
      <c r="A3718">
        <f>80807484*0.00001</f>
        <v>808.07484000000011</v>
      </c>
      <c r="B3718">
        <v>3513</v>
      </c>
      <c r="C3718">
        <v>36</v>
      </c>
      <c r="D3718">
        <v>248.20599999999999</v>
      </c>
      <c r="E3718">
        <v>5303</v>
      </c>
      <c r="F3718">
        <v>1617</v>
      </c>
      <c r="G3718">
        <v>1</v>
      </c>
      <c r="H3718" s="1">
        <f>0.2</f>
        <v>0.2</v>
      </c>
      <c r="I3718" s="1">
        <f>0</f>
        <v>0</v>
      </c>
      <c r="J3718">
        <v>51.7988</v>
      </c>
      <c r="K3718">
        <v>535.94500000000005</v>
      </c>
      <c r="L3718">
        <v>0</v>
      </c>
    </row>
    <row r="3719" spans="1:12" x14ac:dyDescent="0.25">
      <c r="A3719">
        <f>80807617*0.00001</f>
        <v>808.07617000000005</v>
      </c>
      <c r="B3719">
        <v>3513</v>
      </c>
      <c r="C3719">
        <v>37</v>
      </c>
      <c r="D3719">
        <v>248.20599999999999</v>
      </c>
      <c r="E3719">
        <v>5303</v>
      </c>
      <c r="F3719">
        <v>1617</v>
      </c>
      <c r="G3719">
        <v>1</v>
      </c>
      <c r="H3719">
        <v>0.2</v>
      </c>
      <c r="I3719">
        <v>0</v>
      </c>
      <c r="J3719" s="1">
        <f>51.761</f>
        <v>51.761000000000003</v>
      </c>
      <c r="K3719" s="1">
        <f>536.001</f>
        <v>536.00099999999998</v>
      </c>
      <c r="L3719">
        <v>0</v>
      </c>
    </row>
    <row r="3720" spans="1:12" x14ac:dyDescent="0.25">
      <c r="A3720">
        <f>80807751*0.00001</f>
        <v>808.07751000000007</v>
      </c>
      <c r="B3720">
        <v>3513</v>
      </c>
      <c r="C3720">
        <v>38</v>
      </c>
      <c r="D3720" s="1">
        <f>248.253</f>
        <v>248.25299999999999</v>
      </c>
      <c r="E3720">
        <v>5303</v>
      </c>
      <c r="F3720">
        <v>1617</v>
      </c>
      <c r="G3720">
        <v>1</v>
      </c>
      <c r="H3720">
        <v>0.2</v>
      </c>
      <c r="I3720">
        <v>0</v>
      </c>
      <c r="J3720">
        <v>51.761000000000003</v>
      </c>
      <c r="K3720">
        <v>536.00099999999998</v>
      </c>
      <c r="L3720" s="1">
        <f>0</f>
        <v>0</v>
      </c>
    </row>
    <row r="3721" spans="1:12" x14ac:dyDescent="0.25">
      <c r="A3721">
        <f>80807885*0.00001</f>
        <v>808.0788500000001</v>
      </c>
      <c r="B3721">
        <v>3513</v>
      </c>
      <c r="C3721">
        <v>39</v>
      </c>
      <c r="D3721">
        <v>248.25299999999999</v>
      </c>
      <c r="E3721" s="1">
        <f>5302</f>
        <v>5302</v>
      </c>
      <c r="F3721" s="1">
        <f>1617</f>
        <v>1617</v>
      </c>
      <c r="G3721">
        <v>1</v>
      </c>
      <c r="H3721">
        <v>0.2</v>
      </c>
      <c r="I3721">
        <v>0</v>
      </c>
      <c r="J3721">
        <v>51.761000000000003</v>
      </c>
      <c r="K3721">
        <v>536.00099999999998</v>
      </c>
      <c r="L3721">
        <v>0</v>
      </c>
    </row>
    <row r="3722" spans="1:12" x14ac:dyDescent="0.25">
      <c r="A3722">
        <f>80808019*0.00001</f>
        <v>808.08019000000002</v>
      </c>
      <c r="B3722">
        <v>3513</v>
      </c>
      <c r="C3722">
        <v>40</v>
      </c>
      <c r="D3722">
        <v>248.25299999999999</v>
      </c>
      <c r="E3722">
        <v>5302</v>
      </c>
      <c r="F3722">
        <v>1617</v>
      </c>
      <c r="G3722" s="1">
        <f>1</f>
        <v>1</v>
      </c>
      <c r="H3722" s="1">
        <f>0.2</f>
        <v>0.2</v>
      </c>
      <c r="I3722">
        <v>0</v>
      </c>
      <c r="J3722">
        <v>51.761000000000003</v>
      </c>
      <c r="K3722">
        <v>536.00099999999998</v>
      </c>
      <c r="L3722">
        <v>0</v>
      </c>
    </row>
    <row r="3723" spans="1:12" x14ac:dyDescent="0.25">
      <c r="A3723">
        <f>80808153*0.00001</f>
        <v>808.08153000000004</v>
      </c>
      <c r="B3723">
        <v>3513</v>
      </c>
      <c r="C3723">
        <v>41</v>
      </c>
      <c r="D3723">
        <v>248.25299999999999</v>
      </c>
      <c r="E3723">
        <v>5302</v>
      </c>
      <c r="F3723">
        <v>1617</v>
      </c>
      <c r="G3723">
        <v>1</v>
      </c>
      <c r="H3723">
        <v>0.2</v>
      </c>
      <c r="I3723" s="1">
        <f>0</f>
        <v>0</v>
      </c>
      <c r="J3723" s="1">
        <f>51.6902</f>
        <v>51.690199999999997</v>
      </c>
      <c r="K3723">
        <v>536.00099999999998</v>
      </c>
      <c r="L3723">
        <v>0</v>
      </c>
    </row>
    <row r="3724" spans="1:12" x14ac:dyDescent="0.25">
      <c r="A3724">
        <f>80808287*0.00001</f>
        <v>808.08287000000007</v>
      </c>
      <c r="B3724">
        <v>3513</v>
      </c>
      <c r="C3724">
        <v>42</v>
      </c>
      <c r="D3724">
        <v>248.25299999999999</v>
      </c>
      <c r="E3724">
        <v>5302</v>
      </c>
      <c r="F3724">
        <v>1617</v>
      </c>
      <c r="G3724">
        <v>1</v>
      </c>
      <c r="H3724">
        <v>0.2</v>
      </c>
      <c r="I3724">
        <v>0</v>
      </c>
      <c r="J3724">
        <v>51.690199999999997</v>
      </c>
      <c r="K3724" s="1">
        <f>536.07</f>
        <v>536.07000000000005</v>
      </c>
      <c r="L3724" s="1">
        <f>0</f>
        <v>0</v>
      </c>
    </row>
    <row r="3725" spans="1:12" x14ac:dyDescent="0.25">
      <c r="A3725">
        <f>80808420*0.00001</f>
        <v>808.08420000000001</v>
      </c>
      <c r="B3725">
        <v>3513</v>
      </c>
      <c r="C3725">
        <v>43</v>
      </c>
      <c r="D3725" s="1">
        <f>248.34</f>
        <v>248.34</v>
      </c>
      <c r="E3725" s="1">
        <f>5300</f>
        <v>5300</v>
      </c>
      <c r="F3725">
        <v>1617</v>
      </c>
      <c r="G3725">
        <v>1</v>
      </c>
      <c r="H3725">
        <v>0.2</v>
      </c>
      <c r="I3725">
        <v>0</v>
      </c>
      <c r="J3725">
        <v>51.690199999999997</v>
      </c>
      <c r="K3725">
        <v>536.07000000000005</v>
      </c>
      <c r="L3725">
        <v>0</v>
      </c>
    </row>
    <row r="3726" spans="1:12" x14ac:dyDescent="0.25">
      <c r="A3726">
        <f>80808553*0.00001</f>
        <v>808.08553000000006</v>
      </c>
      <c r="B3726">
        <v>3513</v>
      </c>
      <c r="C3726">
        <v>44</v>
      </c>
      <c r="D3726">
        <v>248.34</v>
      </c>
      <c r="E3726">
        <v>5300</v>
      </c>
      <c r="F3726" s="1">
        <f>1617</f>
        <v>1617</v>
      </c>
      <c r="G3726" s="1">
        <f>1</f>
        <v>1</v>
      </c>
      <c r="H3726">
        <v>0.2</v>
      </c>
      <c r="I3726">
        <v>0</v>
      </c>
      <c r="J3726">
        <v>51.690199999999997</v>
      </c>
      <c r="K3726">
        <v>536.07000000000005</v>
      </c>
      <c r="L3726">
        <v>0</v>
      </c>
    </row>
    <row r="3727" spans="1:12" x14ac:dyDescent="0.25">
      <c r="A3727">
        <f>80808686*0.00001</f>
        <v>808.08686000000012</v>
      </c>
      <c r="B3727">
        <v>3513</v>
      </c>
      <c r="C3727">
        <v>45</v>
      </c>
      <c r="D3727">
        <v>248.34</v>
      </c>
      <c r="E3727">
        <v>5300</v>
      </c>
      <c r="F3727">
        <v>1617</v>
      </c>
      <c r="G3727">
        <v>1</v>
      </c>
      <c r="H3727" s="1">
        <f>0.2</f>
        <v>0.2</v>
      </c>
      <c r="I3727" s="1">
        <f>0</f>
        <v>0</v>
      </c>
      <c r="J3727">
        <v>51.690199999999997</v>
      </c>
      <c r="K3727">
        <v>536.07000000000005</v>
      </c>
      <c r="L3727">
        <v>0</v>
      </c>
    </row>
    <row r="3728" spans="1:12" x14ac:dyDescent="0.25">
      <c r="A3728">
        <f>80808820*0.00001</f>
        <v>808.08820000000003</v>
      </c>
      <c r="B3728">
        <v>3513</v>
      </c>
      <c r="C3728">
        <v>46</v>
      </c>
      <c r="D3728">
        <v>248.34</v>
      </c>
      <c r="E3728">
        <v>5300</v>
      </c>
      <c r="F3728">
        <v>1617</v>
      </c>
      <c r="G3728">
        <v>1</v>
      </c>
      <c r="H3728">
        <v>0.2</v>
      </c>
      <c r="I3728">
        <v>0</v>
      </c>
      <c r="J3728" s="1">
        <f>51.6202</f>
        <v>51.620199999999997</v>
      </c>
      <c r="K3728" s="1">
        <f>536.125</f>
        <v>536.125</v>
      </c>
      <c r="L3728">
        <v>0</v>
      </c>
    </row>
    <row r="3729" spans="1:12" x14ac:dyDescent="0.25">
      <c r="A3729">
        <f>80808954*0.00001</f>
        <v>808.08954000000006</v>
      </c>
      <c r="B3729">
        <v>3513</v>
      </c>
      <c r="C3729">
        <v>47</v>
      </c>
      <c r="D3729" s="1">
        <f>248.392</f>
        <v>248.392</v>
      </c>
      <c r="E3729">
        <v>5300</v>
      </c>
      <c r="F3729">
        <v>1617</v>
      </c>
      <c r="G3729">
        <v>1</v>
      </c>
      <c r="H3729">
        <v>0.2</v>
      </c>
      <c r="I3729">
        <v>0</v>
      </c>
      <c r="J3729">
        <v>51.620199999999997</v>
      </c>
      <c r="K3729">
        <v>536.125</v>
      </c>
      <c r="L3729">
        <v>0</v>
      </c>
    </row>
    <row r="3730" spans="1:12" x14ac:dyDescent="0.25">
      <c r="A3730">
        <f>80809088*0.00001</f>
        <v>808.09088000000008</v>
      </c>
      <c r="B3730">
        <v>3513</v>
      </c>
      <c r="C3730">
        <v>48</v>
      </c>
      <c r="D3730">
        <v>248.392</v>
      </c>
      <c r="E3730" s="1">
        <f>5299</f>
        <v>5299</v>
      </c>
      <c r="F3730" s="1">
        <f>1617</f>
        <v>1617</v>
      </c>
      <c r="G3730">
        <v>1</v>
      </c>
      <c r="H3730">
        <v>0.2</v>
      </c>
      <c r="I3730">
        <v>0</v>
      </c>
      <c r="J3730">
        <v>51.620199999999997</v>
      </c>
      <c r="K3730">
        <v>536.125</v>
      </c>
      <c r="L3730">
        <v>0</v>
      </c>
    </row>
    <row r="3731" spans="1:12" x14ac:dyDescent="0.25">
      <c r="A3731">
        <f>80809222*0.00001</f>
        <v>808.09222000000011</v>
      </c>
      <c r="B3731">
        <v>3513</v>
      </c>
      <c r="C3731">
        <v>49</v>
      </c>
      <c r="D3731">
        <v>248.392</v>
      </c>
      <c r="E3731">
        <v>5299</v>
      </c>
      <c r="F3731">
        <v>1617</v>
      </c>
      <c r="G3731" s="1">
        <f>1</f>
        <v>1</v>
      </c>
      <c r="H3731" s="1">
        <f>0.2</f>
        <v>0.2</v>
      </c>
      <c r="I3731">
        <v>0</v>
      </c>
      <c r="J3731">
        <v>51.620199999999997</v>
      </c>
      <c r="K3731">
        <v>536.125</v>
      </c>
      <c r="L3731">
        <v>0</v>
      </c>
    </row>
    <row r="3732" spans="1:12" x14ac:dyDescent="0.25">
      <c r="A3732">
        <f>80809355*0.00001</f>
        <v>808.09355000000005</v>
      </c>
      <c r="B3732">
        <v>3513</v>
      </c>
      <c r="C3732">
        <v>50</v>
      </c>
      <c r="D3732">
        <v>248.392</v>
      </c>
      <c r="E3732">
        <v>5299</v>
      </c>
      <c r="F3732">
        <v>1617</v>
      </c>
      <c r="G3732">
        <v>1</v>
      </c>
      <c r="H3732">
        <v>0.2</v>
      </c>
      <c r="I3732" s="1">
        <f>0</f>
        <v>0</v>
      </c>
      <c r="J3732" s="1">
        <f>51.5759</f>
        <v>51.575899999999997</v>
      </c>
      <c r="K3732">
        <v>536.125</v>
      </c>
      <c r="L3732">
        <v>0</v>
      </c>
    </row>
    <row r="3733" spans="1:12" x14ac:dyDescent="0.25">
      <c r="A3733">
        <f>80809488*0.00001</f>
        <v>808.0948800000001</v>
      </c>
      <c r="B3733">
        <v>3513</v>
      </c>
      <c r="C3733">
        <v>51</v>
      </c>
      <c r="D3733">
        <v>248.392</v>
      </c>
      <c r="E3733">
        <v>5299</v>
      </c>
      <c r="F3733">
        <v>1617</v>
      </c>
      <c r="G3733">
        <v>1</v>
      </c>
      <c r="H3733">
        <v>0.2</v>
      </c>
      <c r="I3733">
        <v>0</v>
      </c>
      <c r="J3733">
        <v>51.575899999999997</v>
      </c>
      <c r="K3733">
        <v>536.125</v>
      </c>
      <c r="L3733" s="1">
        <f>0</f>
        <v>0</v>
      </c>
    </row>
    <row r="3734" spans="1:12" x14ac:dyDescent="0.25">
      <c r="A3734">
        <f>80809621*0.00001</f>
        <v>808.09621000000004</v>
      </c>
      <c r="B3734">
        <v>3513</v>
      </c>
      <c r="C3734">
        <v>52</v>
      </c>
      <c r="D3734">
        <v>248.392</v>
      </c>
      <c r="E3734" s="1">
        <f>5298</f>
        <v>5298</v>
      </c>
      <c r="F3734">
        <v>1617</v>
      </c>
      <c r="G3734">
        <v>1</v>
      </c>
      <c r="H3734">
        <v>0.2</v>
      </c>
      <c r="I3734">
        <v>0</v>
      </c>
      <c r="J3734">
        <v>51.575899999999997</v>
      </c>
      <c r="K3734">
        <v>536.125</v>
      </c>
      <c r="L3734">
        <v>0</v>
      </c>
    </row>
    <row r="3735" spans="1:12" x14ac:dyDescent="0.25">
      <c r="A3735">
        <f>80809754*0.00001</f>
        <v>808.09754000000009</v>
      </c>
      <c r="B3735">
        <v>3513</v>
      </c>
      <c r="C3735">
        <v>53</v>
      </c>
      <c r="D3735">
        <v>248.392</v>
      </c>
      <c r="E3735">
        <v>5298</v>
      </c>
      <c r="F3735">
        <v>1617</v>
      </c>
      <c r="G3735" s="1">
        <f>1</f>
        <v>1</v>
      </c>
      <c r="H3735">
        <v>0.2</v>
      </c>
      <c r="I3735">
        <v>0</v>
      </c>
      <c r="J3735">
        <v>51.575899999999997</v>
      </c>
      <c r="K3735">
        <v>536.125</v>
      </c>
      <c r="L3735">
        <v>0</v>
      </c>
    </row>
    <row r="3736" spans="1:12" x14ac:dyDescent="0.25">
      <c r="A3736">
        <f>80809888*0.00001</f>
        <v>808.09888000000012</v>
      </c>
      <c r="B3736">
        <v>3513</v>
      </c>
      <c r="C3736">
        <v>54</v>
      </c>
      <c r="D3736">
        <v>248.392</v>
      </c>
      <c r="E3736">
        <v>5298</v>
      </c>
      <c r="F3736">
        <v>1617</v>
      </c>
      <c r="G3736">
        <v>1</v>
      </c>
      <c r="H3736">
        <v>0.2</v>
      </c>
      <c r="I3736" s="1">
        <f>0</f>
        <v>0</v>
      </c>
      <c r="J3736">
        <v>51.575899999999997</v>
      </c>
      <c r="K3736">
        <v>536.125</v>
      </c>
      <c r="L3736">
        <v>0</v>
      </c>
    </row>
    <row r="3737" spans="1:12" x14ac:dyDescent="0.25">
      <c r="A3737">
        <f>80810022*0.00001</f>
        <v>808.10022000000004</v>
      </c>
      <c r="B3737">
        <v>3513</v>
      </c>
      <c r="C3737">
        <v>55</v>
      </c>
      <c r="D3737">
        <v>248.392</v>
      </c>
      <c r="E3737">
        <v>5298</v>
      </c>
      <c r="F3737">
        <v>1617</v>
      </c>
      <c r="G3737">
        <v>1</v>
      </c>
      <c r="H3737">
        <v>0.2</v>
      </c>
      <c r="I3737">
        <v>0</v>
      </c>
      <c r="J3737">
        <v>51.575899999999997</v>
      </c>
      <c r="K3737" s="1">
        <f>536.25</f>
        <v>536.25</v>
      </c>
      <c r="L3737">
        <v>0</v>
      </c>
    </row>
    <row r="3738" spans="1:12" x14ac:dyDescent="0.25">
      <c r="A3738">
        <f>80810156*0.00001</f>
        <v>808.10156000000006</v>
      </c>
      <c r="B3738">
        <v>3513</v>
      </c>
      <c r="C3738">
        <v>56</v>
      </c>
      <c r="D3738" s="1">
        <f>248.476</f>
        <v>248.476</v>
      </c>
      <c r="E3738">
        <v>5298</v>
      </c>
      <c r="F3738">
        <v>1617</v>
      </c>
      <c r="G3738">
        <v>1</v>
      </c>
      <c r="H3738">
        <v>0.2</v>
      </c>
      <c r="I3738">
        <v>0</v>
      </c>
      <c r="J3738">
        <v>51.575899999999997</v>
      </c>
      <c r="K3738">
        <v>536.25</v>
      </c>
      <c r="L3738">
        <v>0</v>
      </c>
    </row>
    <row r="3739" spans="1:12" x14ac:dyDescent="0.25">
      <c r="A3739">
        <f>80810290*0.00001</f>
        <v>808.10290000000009</v>
      </c>
      <c r="B3739">
        <v>3513</v>
      </c>
      <c r="C3739">
        <v>57</v>
      </c>
      <c r="D3739">
        <v>248.476</v>
      </c>
      <c r="E3739">
        <v>5298</v>
      </c>
      <c r="F3739" s="1">
        <f>1617</f>
        <v>1617</v>
      </c>
      <c r="G3739">
        <v>1</v>
      </c>
      <c r="H3739">
        <v>0.2</v>
      </c>
      <c r="I3739">
        <v>0</v>
      </c>
      <c r="J3739">
        <v>51.575899999999997</v>
      </c>
      <c r="K3739">
        <v>536.25</v>
      </c>
      <c r="L3739">
        <v>0</v>
      </c>
    </row>
    <row r="3740" spans="1:12" x14ac:dyDescent="0.25">
      <c r="A3740">
        <f>80810423*0.00001</f>
        <v>808.10423000000003</v>
      </c>
      <c r="B3740">
        <v>3513</v>
      </c>
      <c r="C3740">
        <v>58</v>
      </c>
      <c r="D3740">
        <v>248.476</v>
      </c>
      <c r="E3740">
        <v>5298</v>
      </c>
      <c r="F3740">
        <v>1617</v>
      </c>
      <c r="G3740">
        <v>1</v>
      </c>
      <c r="H3740" s="1">
        <f>0.2</f>
        <v>0.2</v>
      </c>
      <c r="I3740">
        <v>0</v>
      </c>
      <c r="J3740">
        <v>51.575899999999997</v>
      </c>
      <c r="K3740">
        <v>536.25</v>
      </c>
      <c r="L3740">
        <v>0</v>
      </c>
    </row>
    <row r="3741" spans="1:12" x14ac:dyDescent="0.25">
      <c r="A3741">
        <f>80810556*0.00001</f>
        <v>808.10556000000008</v>
      </c>
      <c r="B3741">
        <v>3513</v>
      </c>
      <c r="C3741">
        <v>59</v>
      </c>
      <c r="D3741">
        <v>248.476</v>
      </c>
      <c r="E3741">
        <v>5298</v>
      </c>
      <c r="F3741">
        <v>1617</v>
      </c>
      <c r="G3741">
        <v>1</v>
      </c>
      <c r="H3741">
        <v>0.2</v>
      </c>
      <c r="I3741">
        <v>0</v>
      </c>
      <c r="J3741" s="1">
        <f>51.5035</f>
        <v>51.503500000000003</v>
      </c>
      <c r="K3741">
        <v>536.25</v>
      </c>
      <c r="L3741">
        <v>0</v>
      </c>
    </row>
    <row r="3742" spans="1:12" x14ac:dyDescent="0.25">
      <c r="A3742">
        <f>80810689*0.00001</f>
        <v>808.10689000000002</v>
      </c>
      <c r="B3742">
        <v>3513</v>
      </c>
      <c r="C3742">
        <v>60</v>
      </c>
      <c r="D3742">
        <v>248.476</v>
      </c>
      <c r="E3742">
        <v>5298</v>
      </c>
      <c r="F3742">
        <v>1617</v>
      </c>
      <c r="G3742">
        <v>1</v>
      </c>
      <c r="H3742">
        <v>0.2</v>
      </c>
      <c r="I3742">
        <v>0</v>
      </c>
      <c r="J3742">
        <v>51.503500000000003</v>
      </c>
      <c r="K3742">
        <v>536.25</v>
      </c>
      <c r="L3742" s="1">
        <f>0</f>
        <v>0</v>
      </c>
    </row>
    <row r="3743" spans="1:12" x14ac:dyDescent="0.25">
      <c r="A3743">
        <f>80810823*0.00001</f>
        <v>808.10823000000005</v>
      </c>
      <c r="B3743">
        <v>3513</v>
      </c>
      <c r="C3743">
        <v>61</v>
      </c>
      <c r="D3743">
        <v>248.476</v>
      </c>
      <c r="E3743" s="1">
        <f>5297</f>
        <v>5297</v>
      </c>
      <c r="F3743">
        <v>1617</v>
      </c>
      <c r="G3743">
        <v>1</v>
      </c>
      <c r="H3743">
        <v>0.2</v>
      </c>
      <c r="I3743">
        <v>0</v>
      </c>
      <c r="J3743">
        <v>51.503500000000003</v>
      </c>
      <c r="K3743">
        <v>536.25</v>
      </c>
      <c r="L3743">
        <v>0</v>
      </c>
    </row>
    <row r="3744" spans="1:12" x14ac:dyDescent="0.25">
      <c r="A3744">
        <f>80810957*0.00001</f>
        <v>808.10957000000008</v>
      </c>
      <c r="B3744">
        <v>3513</v>
      </c>
      <c r="C3744">
        <v>62</v>
      </c>
      <c r="D3744">
        <v>248.476</v>
      </c>
      <c r="E3744">
        <v>5297</v>
      </c>
      <c r="F3744">
        <v>1617</v>
      </c>
      <c r="G3744" s="1">
        <f>1</f>
        <v>1</v>
      </c>
      <c r="H3744">
        <v>0.2</v>
      </c>
      <c r="I3744">
        <v>0</v>
      </c>
      <c r="J3744">
        <v>51.503500000000003</v>
      </c>
      <c r="K3744">
        <v>536.25</v>
      </c>
      <c r="L3744">
        <v>0</v>
      </c>
    </row>
    <row r="3745" spans="1:12" x14ac:dyDescent="0.25">
      <c r="A3745">
        <f>80811091*0.00001</f>
        <v>808.1109100000001</v>
      </c>
      <c r="B3745">
        <v>3513</v>
      </c>
      <c r="C3745">
        <v>63</v>
      </c>
      <c r="D3745">
        <v>248.476</v>
      </c>
      <c r="E3745">
        <v>5297</v>
      </c>
      <c r="F3745">
        <v>1617</v>
      </c>
      <c r="G3745">
        <v>1</v>
      </c>
      <c r="H3745">
        <v>0.2</v>
      </c>
      <c r="I3745" s="1">
        <f>0</f>
        <v>0</v>
      </c>
      <c r="J3745">
        <v>51.503500000000003</v>
      </c>
      <c r="K3745">
        <v>536.25</v>
      </c>
      <c r="L3745">
        <v>0</v>
      </c>
    </row>
    <row r="3746" spans="1:12" x14ac:dyDescent="0.25">
      <c r="A3746">
        <f>80811225*0.00001</f>
        <v>808.11225000000002</v>
      </c>
      <c r="B3746">
        <v>3513</v>
      </c>
      <c r="C3746">
        <v>64</v>
      </c>
      <c r="D3746">
        <v>248.476</v>
      </c>
      <c r="E3746">
        <v>5297</v>
      </c>
      <c r="F3746">
        <v>1617</v>
      </c>
      <c r="G3746">
        <v>1</v>
      </c>
      <c r="H3746">
        <v>0.2</v>
      </c>
      <c r="I3746">
        <v>0</v>
      </c>
      <c r="J3746">
        <v>51.503500000000003</v>
      </c>
      <c r="K3746" s="1">
        <f>536.374</f>
        <v>536.37400000000002</v>
      </c>
      <c r="L3746">
        <v>0</v>
      </c>
    </row>
    <row r="3747" spans="1:12" x14ac:dyDescent="0.25">
      <c r="A3747">
        <f>80811359*0.00001</f>
        <v>808.11359000000004</v>
      </c>
      <c r="B3747">
        <v>3513</v>
      </c>
      <c r="C3747">
        <v>65</v>
      </c>
      <c r="D3747" s="1">
        <f>248.529</f>
        <v>248.529</v>
      </c>
      <c r="E3747">
        <v>5297</v>
      </c>
      <c r="F3747">
        <v>1617</v>
      </c>
      <c r="G3747">
        <v>1</v>
      </c>
      <c r="H3747">
        <v>0.2</v>
      </c>
      <c r="I3747">
        <v>0</v>
      </c>
      <c r="J3747">
        <v>51.503500000000003</v>
      </c>
      <c r="K3747">
        <v>536.37400000000002</v>
      </c>
      <c r="L3747">
        <v>0</v>
      </c>
    </row>
    <row r="3748" spans="1:12" x14ac:dyDescent="0.25">
      <c r="A3748">
        <f>80811492*0.00001</f>
        <v>808.1149200000001</v>
      </c>
      <c r="B3748">
        <v>3513</v>
      </c>
      <c r="C3748">
        <v>66</v>
      </c>
      <c r="D3748">
        <v>248.529</v>
      </c>
      <c r="E3748">
        <v>5297</v>
      </c>
      <c r="F3748" s="1">
        <f>1617</f>
        <v>1617</v>
      </c>
      <c r="G3748">
        <v>1</v>
      </c>
      <c r="H3748">
        <v>0.2</v>
      </c>
      <c r="I3748">
        <v>0</v>
      </c>
      <c r="J3748">
        <v>51.503500000000003</v>
      </c>
      <c r="K3748">
        <v>536.37400000000002</v>
      </c>
      <c r="L3748">
        <v>0</v>
      </c>
    </row>
    <row r="3749" spans="1:12" x14ac:dyDescent="0.25">
      <c r="A3749">
        <f>80811625*0.00001</f>
        <v>808.11625000000004</v>
      </c>
      <c r="B3749">
        <v>3513</v>
      </c>
      <c r="C3749">
        <v>67</v>
      </c>
      <c r="D3749">
        <v>248.529</v>
      </c>
      <c r="E3749">
        <v>5297</v>
      </c>
      <c r="F3749">
        <v>1617</v>
      </c>
      <c r="G3749">
        <v>1</v>
      </c>
      <c r="H3749" s="1">
        <f>0.2</f>
        <v>0.2</v>
      </c>
      <c r="I3749">
        <v>0</v>
      </c>
      <c r="J3749">
        <v>51.503500000000003</v>
      </c>
      <c r="K3749">
        <v>536.37400000000002</v>
      </c>
      <c r="L3749">
        <v>0</v>
      </c>
    </row>
    <row r="3750" spans="1:12" x14ac:dyDescent="0.25">
      <c r="A3750">
        <f>80811758*0.00001</f>
        <v>808.11758000000009</v>
      </c>
      <c r="B3750">
        <v>3513</v>
      </c>
      <c r="C3750">
        <v>68</v>
      </c>
      <c r="D3750">
        <v>248.529</v>
      </c>
      <c r="E3750">
        <v>5297</v>
      </c>
      <c r="F3750">
        <v>1617</v>
      </c>
      <c r="G3750">
        <v>1</v>
      </c>
      <c r="H3750">
        <v>0.2</v>
      </c>
      <c r="I3750">
        <v>0</v>
      </c>
      <c r="J3750" s="1">
        <f>51.4581</f>
        <v>51.458100000000002</v>
      </c>
      <c r="K3750">
        <v>536.37400000000002</v>
      </c>
      <c r="L3750">
        <v>0</v>
      </c>
    </row>
    <row r="3751" spans="1:12" x14ac:dyDescent="0.25">
      <c r="A3751">
        <f>80811892*0.00001</f>
        <v>808.11892000000012</v>
      </c>
      <c r="B3751">
        <v>3513</v>
      </c>
      <c r="C3751">
        <v>69</v>
      </c>
      <c r="D3751">
        <v>248.529</v>
      </c>
      <c r="E3751">
        <v>5297</v>
      </c>
      <c r="F3751">
        <v>1617</v>
      </c>
      <c r="G3751">
        <v>1</v>
      </c>
      <c r="H3751">
        <v>0.2</v>
      </c>
      <c r="I3751">
        <v>0</v>
      </c>
      <c r="J3751">
        <v>51.458100000000002</v>
      </c>
      <c r="K3751">
        <v>536.37400000000002</v>
      </c>
      <c r="L3751" s="1">
        <f>0</f>
        <v>0</v>
      </c>
    </row>
    <row r="3752" spans="1:12" x14ac:dyDescent="0.25">
      <c r="A3752">
        <f>80812026*0.00001</f>
        <v>808.12026000000003</v>
      </c>
      <c r="B3752">
        <v>3513</v>
      </c>
      <c r="C3752">
        <v>70</v>
      </c>
      <c r="D3752">
        <v>248.529</v>
      </c>
      <c r="E3752" s="1">
        <f>5296</f>
        <v>5296</v>
      </c>
      <c r="F3752">
        <v>1617</v>
      </c>
      <c r="G3752">
        <v>1</v>
      </c>
      <c r="H3752">
        <v>0.2</v>
      </c>
      <c r="I3752">
        <v>0</v>
      </c>
      <c r="J3752">
        <v>51.458100000000002</v>
      </c>
      <c r="K3752">
        <v>536.37400000000002</v>
      </c>
      <c r="L3752">
        <v>0</v>
      </c>
    </row>
    <row r="3753" spans="1:12" x14ac:dyDescent="0.25">
      <c r="A3753">
        <f>80812160*0.00001</f>
        <v>808.12160000000006</v>
      </c>
      <c r="B3753">
        <v>3513</v>
      </c>
      <c r="C3753">
        <v>71</v>
      </c>
      <c r="D3753">
        <v>248.529</v>
      </c>
      <c r="E3753">
        <v>5296</v>
      </c>
      <c r="F3753">
        <v>1617</v>
      </c>
      <c r="G3753" s="1">
        <f>1</f>
        <v>1</v>
      </c>
      <c r="H3753">
        <v>0.2</v>
      </c>
      <c r="I3753">
        <v>0</v>
      </c>
      <c r="J3753">
        <v>51.458100000000002</v>
      </c>
      <c r="K3753">
        <v>536.37400000000002</v>
      </c>
      <c r="L3753">
        <v>0</v>
      </c>
    </row>
    <row r="3754" spans="1:12" x14ac:dyDescent="0.25">
      <c r="A3754">
        <f>80812294*0.00001</f>
        <v>808.12294000000009</v>
      </c>
      <c r="B3754">
        <v>3513</v>
      </c>
      <c r="C3754">
        <v>72</v>
      </c>
      <c r="D3754">
        <v>248.529</v>
      </c>
      <c r="E3754">
        <v>5296</v>
      </c>
      <c r="F3754">
        <v>1617</v>
      </c>
      <c r="G3754">
        <v>1</v>
      </c>
      <c r="H3754">
        <v>0.2</v>
      </c>
      <c r="I3754" s="1">
        <f>0</f>
        <v>0</v>
      </c>
      <c r="J3754">
        <v>51.458100000000002</v>
      </c>
      <c r="K3754">
        <v>536.37400000000002</v>
      </c>
      <c r="L3754">
        <v>0</v>
      </c>
    </row>
    <row r="3755" spans="1:12" x14ac:dyDescent="0.25">
      <c r="A3755">
        <f>80812427*0.00001</f>
        <v>808.12427000000002</v>
      </c>
      <c r="B3755">
        <v>3513</v>
      </c>
      <c r="C3755">
        <v>73</v>
      </c>
      <c r="D3755">
        <v>248.529</v>
      </c>
      <c r="E3755">
        <v>5296</v>
      </c>
      <c r="F3755">
        <v>1617</v>
      </c>
      <c r="G3755">
        <v>1</v>
      </c>
      <c r="H3755">
        <v>0.2</v>
      </c>
      <c r="I3755">
        <v>0</v>
      </c>
      <c r="J3755">
        <v>51.458100000000002</v>
      </c>
      <c r="K3755" s="1">
        <f>536.498</f>
        <v>536.49800000000005</v>
      </c>
      <c r="L3755">
        <v>0</v>
      </c>
    </row>
    <row r="3756" spans="1:12" x14ac:dyDescent="0.25">
      <c r="A3756">
        <f>80812560*0.00001</f>
        <v>808.12560000000008</v>
      </c>
      <c r="B3756">
        <v>3513</v>
      </c>
      <c r="C3756">
        <v>74</v>
      </c>
      <c r="D3756" s="1">
        <f>248.562</f>
        <v>248.56200000000001</v>
      </c>
      <c r="E3756">
        <v>5296</v>
      </c>
      <c r="F3756">
        <v>1617</v>
      </c>
      <c r="G3756">
        <v>1</v>
      </c>
      <c r="H3756">
        <v>0.2</v>
      </c>
      <c r="I3756">
        <v>0</v>
      </c>
      <c r="J3756">
        <v>51.458100000000002</v>
      </c>
      <c r="K3756">
        <v>536.49800000000005</v>
      </c>
      <c r="L3756">
        <v>0</v>
      </c>
    </row>
    <row r="3757" spans="1:12" x14ac:dyDescent="0.25">
      <c r="A3757">
        <f>80812693*0.00001</f>
        <v>808.12693000000002</v>
      </c>
      <c r="B3757">
        <v>3513</v>
      </c>
      <c r="C3757">
        <v>75</v>
      </c>
      <c r="D3757">
        <v>248.56200000000001</v>
      </c>
      <c r="E3757">
        <v>5296</v>
      </c>
      <c r="F3757" s="1">
        <f>1617</f>
        <v>1617</v>
      </c>
      <c r="G3757">
        <v>1</v>
      </c>
      <c r="H3757">
        <v>0.2</v>
      </c>
      <c r="I3757">
        <v>0</v>
      </c>
      <c r="J3757">
        <v>51.458100000000002</v>
      </c>
      <c r="K3757">
        <v>536.49800000000005</v>
      </c>
      <c r="L3757">
        <v>0</v>
      </c>
    </row>
    <row r="3758" spans="1:12" x14ac:dyDescent="0.25">
      <c r="A3758">
        <f>80812827*0.00001</f>
        <v>808.12827000000004</v>
      </c>
      <c r="B3758">
        <v>3513</v>
      </c>
      <c r="C3758">
        <v>76</v>
      </c>
      <c r="D3758">
        <v>248.56200000000001</v>
      </c>
      <c r="E3758">
        <v>5296</v>
      </c>
      <c r="F3758">
        <v>1617</v>
      </c>
      <c r="G3758">
        <v>1</v>
      </c>
      <c r="H3758" s="1">
        <f>0.2</f>
        <v>0.2</v>
      </c>
      <c r="I3758">
        <v>0</v>
      </c>
      <c r="J3758">
        <v>51.458100000000002</v>
      </c>
      <c r="K3758">
        <v>536.49800000000005</v>
      </c>
      <c r="L3758">
        <v>0</v>
      </c>
    </row>
    <row r="3759" spans="1:12" x14ac:dyDescent="0.25">
      <c r="A3759">
        <f>80812961*0.00001</f>
        <v>808.12961000000007</v>
      </c>
      <c r="B3759">
        <v>3513</v>
      </c>
      <c r="C3759">
        <v>77</v>
      </c>
      <c r="D3759">
        <v>248.56200000000001</v>
      </c>
      <c r="E3759">
        <v>5296</v>
      </c>
      <c r="F3759">
        <v>1617</v>
      </c>
      <c r="G3759">
        <v>1</v>
      </c>
      <c r="H3759">
        <v>0.2</v>
      </c>
      <c r="I3759">
        <v>0</v>
      </c>
      <c r="J3759" s="1">
        <f>51.4294</f>
        <v>51.429400000000001</v>
      </c>
      <c r="K3759">
        <v>536.49800000000005</v>
      </c>
      <c r="L3759">
        <v>0</v>
      </c>
    </row>
    <row r="3760" spans="1:12" x14ac:dyDescent="0.25">
      <c r="A3760">
        <f>80813095*0.00001</f>
        <v>808.1309500000001</v>
      </c>
      <c r="B3760">
        <v>3513</v>
      </c>
      <c r="C3760">
        <v>78</v>
      </c>
      <c r="D3760">
        <v>248.56200000000001</v>
      </c>
      <c r="E3760">
        <v>5296</v>
      </c>
      <c r="F3760">
        <v>1617</v>
      </c>
      <c r="G3760">
        <v>1</v>
      </c>
      <c r="H3760">
        <v>0.2</v>
      </c>
      <c r="I3760">
        <v>0</v>
      </c>
      <c r="J3760">
        <v>51.429400000000001</v>
      </c>
      <c r="K3760">
        <v>536.49800000000005</v>
      </c>
      <c r="L3760" s="1">
        <f>0</f>
        <v>0</v>
      </c>
    </row>
    <row r="3761" spans="1:12" x14ac:dyDescent="0.25">
      <c r="A3761">
        <f>80813229*0.00001</f>
        <v>808.13229000000001</v>
      </c>
      <c r="B3761">
        <v>3513</v>
      </c>
      <c r="C3761">
        <v>79</v>
      </c>
      <c r="D3761">
        <v>248.56200000000001</v>
      </c>
      <c r="E3761" s="1">
        <f>5296</f>
        <v>5296</v>
      </c>
      <c r="F3761">
        <v>1617</v>
      </c>
      <c r="G3761">
        <v>1</v>
      </c>
      <c r="H3761">
        <v>0.2</v>
      </c>
      <c r="I3761">
        <v>0</v>
      </c>
      <c r="J3761">
        <v>51.429400000000001</v>
      </c>
      <c r="K3761">
        <v>536.49800000000005</v>
      </c>
      <c r="L3761">
        <v>0</v>
      </c>
    </row>
    <row r="3762" spans="1:12" x14ac:dyDescent="0.25">
      <c r="A3762">
        <f>80813363*0.00001</f>
        <v>808.13363000000004</v>
      </c>
      <c r="B3762">
        <v>3513</v>
      </c>
      <c r="C3762">
        <v>80</v>
      </c>
      <c r="D3762">
        <v>248.56200000000001</v>
      </c>
      <c r="E3762">
        <v>5296</v>
      </c>
      <c r="F3762">
        <v>1617</v>
      </c>
      <c r="G3762" s="1">
        <f>1</f>
        <v>1</v>
      </c>
      <c r="H3762">
        <v>0.2</v>
      </c>
      <c r="I3762">
        <v>0</v>
      </c>
      <c r="J3762">
        <v>51.429400000000001</v>
      </c>
      <c r="K3762">
        <v>536.49800000000005</v>
      </c>
      <c r="L3762">
        <v>0</v>
      </c>
    </row>
    <row r="3763" spans="1:12" x14ac:dyDescent="0.25">
      <c r="A3763">
        <f>80813496*0.00001</f>
        <v>808.13496000000009</v>
      </c>
      <c r="B3763">
        <v>3513</v>
      </c>
      <c r="C3763">
        <v>81</v>
      </c>
      <c r="D3763">
        <v>248.56200000000001</v>
      </c>
      <c r="E3763">
        <v>5296</v>
      </c>
      <c r="F3763">
        <v>1617</v>
      </c>
      <c r="G3763">
        <v>1</v>
      </c>
      <c r="H3763">
        <v>0.2</v>
      </c>
      <c r="I3763" s="1">
        <f>0</f>
        <v>0</v>
      </c>
      <c r="J3763">
        <v>51.429400000000001</v>
      </c>
      <c r="K3763">
        <v>536.49800000000005</v>
      </c>
      <c r="L3763">
        <v>0</v>
      </c>
    </row>
    <row r="3764" spans="1:12" x14ac:dyDescent="0.25">
      <c r="A3764">
        <f>80813629*0.00001</f>
        <v>808.13629000000003</v>
      </c>
      <c r="B3764">
        <v>3513</v>
      </c>
      <c r="C3764">
        <v>82</v>
      </c>
      <c r="D3764">
        <v>248.56200000000001</v>
      </c>
      <c r="E3764">
        <v>5296</v>
      </c>
      <c r="F3764">
        <v>1617</v>
      </c>
      <c r="G3764">
        <v>1</v>
      </c>
      <c r="H3764">
        <v>0.2</v>
      </c>
      <c r="I3764">
        <v>0</v>
      </c>
      <c r="J3764">
        <v>51.429400000000001</v>
      </c>
      <c r="K3764" s="1">
        <f>536.622</f>
        <v>536.62199999999996</v>
      </c>
      <c r="L3764">
        <v>0</v>
      </c>
    </row>
    <row r="3765" spans="1:12" x14ac:dyDescent="0.25">
      <c r="A3765">
        <f>80813762*0.00001</f>
        <v>808.13762000000008</v>
      </c>
      <c r="B3765">
        <v>3513</v>
      </c>
      <c r="C3765">
        <v>83</v>
      </c>
      <c r="D3765" s="1">
        <f>248.583</f>
        <v>248.583</v>
      </c>
      <c r="E3765">
        <v>5296</v>
      </c>
      <c r="F3765">
        <v>1617</v>
      </c>
      <c r="G3765">
        <v>1</v>
      </c>
      <c r="H3765">
        <v>0.2</v>
      </c>
      <c r="I3765">
        <v>0</v>
      </c>
      <c r="J3765">
        <v>51.429400000000001</v>
      </c>
      <c r="K3765">
        <v>536.62199999999996</v>
      </c>
      <c r="L3765">
        <v>0</v>
      </c>
    </row>
    <row r="3766" spans="1:12" x14ac:dyDescent="0.25">
      <c r="A3766">
        <f>80813896*0.00001</f>
        <v>808.13896000000011</v>
      </c>
      <c r="B3766">
        <v>3513</v>
      </c>
      <c r="C3766">
        <v>84</v>
      </c>
      <c r="D3766">
        <v>248.583</v>
      </c>
      <c r="E3766">
        <v>5296</v>
      </c>
      <c r="F3766" s="1">
        <f>1617</f>
        <v>1617</v>
      </c>
      <c r="G3766">
        <v>1</v>
      </c>
      <c r="H3766">
        <v>0.2</v>
      </c>
      <c r="I3766">
        <v>0</v>
      </c>
      <c r="J3766">
        <v>51.429400000000001</v>
      </c>
      <c r="K3766">
        <v>536.62199999999996</v>
      </c>
      <c r="L3766">
        <v>0</v>
      </c>
    </row>
    <row r="3767" spans="1:12" x14ac:dyDescent="0.25">
      <c r="A3767">
        <f>80814030*0.00001</f>
        <v>808.14030000000002</v>
      </c>
      <c r="B3767">
        <v>3513</v>
      </c>
      <c r="C3767">
        <v>85</v>
      </c>
      <c r="D3767">
        <v>248.583</v>
      </c>
      <c r="E3767">
        <v>5296</v>
      </c>
      <c r="F3767">
        <v>1617</v>
      </c>
      <c r="G3767">
        <v>1</v>
      </c>
      <c r="H3767" s="1">
        <f>0.2</f>
        <v>0.2</v>
      </c>
      <c r="I3767">
        <v>0</v>
      </c>
      <c r="J3767">
        <v>51.429400000000001</v>
      </c>
      <c r="K3767">
        <v>536.62199999999996</v>
      </c>
      <c r="L3767">
        <v>0</v>
      </c>
    </row>
    <row r="3768" spans="1:12" x14ac:dyDescent="0.25">
      <c r="A3768">
        <f>80814163*0.00001</f>
        <v>808.14163000000008</v>
      </c>
      <c r="B3768">
        <v>3513</v>
      </c>
      <c r="C3768">
        <v>86</v>
      </c>
      <c r="D3768">
        <v>248.583</v>
      </c>
      <c r="E3768">
        <v>5296</v>
      </c>
      <c r="F3768">
        <v>1617</v>
      </c>
      <c r="G3768">
        <v>1</v>
      </c>
      <c r="H3768">
        <v>0.2</v>
      </c>
      <c r="I3768">
        <v>0</v>
      </c>
      <c r="J3768" s="1">
        <f>51.3752</f>
        <v>51.3752</v>
      </c>
      <c r="K3768">
        <v>536.62199999999996</v>
      </c>
      <c r="L3768">
        <v>0</v>
      </c>
    </row>
    <row r="3769" spans="1:12" x14ac:dyDescent="0.25">
      <c r="A3769">
        <f>80814296*0.00001</f>
        <v>808.14296000000002</v>
      </c>
      <c r="B3769">
        <v>3513</v>
      </c>
      <c r="C3769">
        <v>87</v>
      </c>
      <c r="D3769">
        <v>248.583</v>
      </c>
      <c r="E3769">
        <v>5296</v>
      </c>
      <c r="F3769">
        <v>1617</v>
      </c>
      <c r="G3769">
        <v>1</v>
      </c>
      <c r="H3769">
        <v>0.2</v>
      </c>
      <c r="I3769">
        <v>0</v>
      </c>
      <c r="J3769">
        <v>51.3752</v>
      </c>
      <c r="K3769">
        <v>536.62199999999996</v>
      </c>
      <c r="L3769" s="1">
        <f>0</f>
        <v>0</v>
      </c>
    </row>
    <row r="3770" spans="1:12" x14ac:dyDescent="0.25">
      <c r="A3770">
        <f>80814429*0.00001</f>
        <v>808.14429000000007</v>
      </c>
      <c r="B3770">
        <v>3513</v>
      </c>
      <c r="C3770">
        <v>88</v>
      </c>
      <c r="D3770">
        <v>248.583</v>
      </c>
      <c r="E3770" s="1">
        <f>5295</f>
        <v>5295</v>
      </c>
      <c r="F3770">
        <v>1617</v>
      </c>
      <c r="G3770">
        <v>1</v>
      </c>
      <c r="H3770">
        <v>0.2</v>
      </c>
      <c r="I3770">
        <v>0</v>
      </c>
      <c r="J3770">
        <v>51.3752</v>
      </c>
      <c r="K3770">
        <v>536.62199999999996</v>
      </c>
      <c r="L3770">
        <v>0</v>
      </c>
    </row>
    <row r="3771" spans="1:12" x14ac:dyDescent="0.25">
      <c r="A3771">
        <f>80814562*0.00001</f>
        <v>808.14562000000012</v>
      </c>
      <c r="B3771">
        <v>3513</v>
      </c>
      <c r="C3771">
        <v>89</v>
      </c>
      <c r="D3771">
        <v>248.583</v>
      </c>
      <c r="E3771">
        <v>5295</v>
      </c>
      <c r="F3771">
        <v>1617</v>
      </c>
      <c r="G3771" s="1">
        <f>1</f>
        <v>1</v>
      </c>
      <c r="H3771">
        <v>0.2</v>
      </c>
      <c r="I3771">
        <v>0</v>
      </c>
      <c r="J3771">
        <v>51.3752</v>
      </c>
      <c r="K3771">
        <v>536.62199999999996</v>
      </c>
      <c r="L3771">
        <v>0</v>
      </c>
    </row>
    <row r="3772" spans="1:12" x14ac:dyDescent="0.25">
      <c r="A3772">
        <f>80814695*0.00001</f>
        <v>808.14695000000006</v>
      </c>
      <c r="B3772">
        <v>3513</v>
      </c>
      <c r="C3772">
        <v>90</v>
      </c>
      <c r="D3772">
        <v>248.583</v>
      </c>
      <c r="E3772">
        <v>5295</v>
      </c>
      <c r="F3772">
        <v>1617</v>
      </c>
      <c r="G3772">
        <v>1</v>
      </c>
      <c r="H3772">
        <v>0.2</v>
      </c>
      <c r="I3772" s="1">
        <f>0</f>
        <v>0</v>
      </c>
      <c r="J3772">
        <v>51.3752</v>
      </c>
      <c r="K3772">
        <v>536.62199999999996</v>
      </c>
      <c r="L3772">
        <v>0</v>
      </c>
    </row>
    <row r="3773" spans="1:12" x14ac:dyDescent="0.25">
      <c r="A3773">
        <f>80814828*0.00001</f>
        <v>808.14828000000011</v>
      </c>
      <c r="B3773">
        <v>3513</v>
      </c>
      <c r="C3773">
        <v>91</v>
      </c>
      <c r="D3773">
        <v>248.583</v>
      </c>
      <c r="E3773">
        <v>5295</v>
      </c>
      <c r="F3773">
        <v>1617</v>
      </c>
      <c r="G3773">
        <v>1</v>
      </c>
      <c r="H3773">
        <v>0.2</v>
      </c>
      <c r="I3773">
        <v>0</v>
      </c>
      <c r="J3773">
        <v>51.3752</v>
      </c>
      <c r="K3773" s="1">
        <f>536.746</f>
        <v>536.74599999999998</v>
      </c>
      <c r="L3773">
        <v>0</v>
      </c>
    </row>
    <row r="3774" spans="1:12" x14ac:dyDescent="0.25">
      <c r="A3774">
        <f>80814961*0.00001</f>
        <v>808.14961000000005</v>
      </c>
      <c r="B3774">
        <v>3513</v>
      </c>
      <c r="C3774">
        <v>92</v>
      </c>
      <c r="D3774" s="1">
        <f>248.722</f>
        <v>248.72200000000001</v>
      </c>
      <c r="E3774">
        <v>5295</v>
      </c>
      <c r="F3774">
        <v>1617</v>
      </c>
      <c r="G3774">
        <v>1</v>
      </c>
      <c r="H3774">
        <v>0.2</v>
      </c>
      <c r="I3774">
        <v>0</v>
      </c>
      <c r="J3774">
        <v>51.3752</v>
      </c>
      <c r="K3774">
        <v>536.74599999999998</v>
      </c>
      <c r="L3774">
        <v>0</v>
      </c>
    </row>
    <row r="3775" spans="1:12" x14ac:dyDescent="0.25">
      <c r="A3775">
        <f>80815094*0.00001</f>
        <v>808.15094000000011</v>
      </c>
      <c r="B3775">
        <v>3513</v>
      </c>
      <c r="C3775">
        <v>93</v>
      </c>
      <c r="D3775">
        <v>248.72200000000001</v>
      </c>
      <c r="E3775">
        <v>5295</v>
      </c>
      <c r="F3775" s="1">
        <f>1617</f>
        <v>1617</v>
      </c>
      <c r="G3775">
        <v>1</v>
      </c>
      <c r="H3775">
        <v>0.2</v>
      </c>
      <c r="I3775">
        <v>0</v>
      </c>
      <c r="J3775">
        <v>51.3752</v>
      </c>
      <c r="K3775">
        <v>536.74599999999998</v>
      </c>
      <c r="L3775">
        <v>0</v>
      </c>
    </row>
    <row r="3776" spans="1:12" x14ac:dyDescent="0.25">
      <c r="A3776">
        <f>80815227*0.00001</f>
        <v>808.15227000000004</v>
      </c>
      <c r="B3776">
        <v>3513</v>
      </c>
      <c r="C3776">
        <v>94</v>
      </c>
      <c r="D3776">
        <v>248.72200000000001</v>
      </c>
      <c r="E3776">
        <v>5295</v>
      </c>
      <c r="F3776">
        <v>1617</v>
      </c>
      <c r="G3776">
        <v>1</v>
      </c>
      <c r="H3776" s="1">
        <f>0.2</f>
        <v>0.2</v>
      </c>
      <c r="I3776">
        <v>0</v>
      </c>
      <c r="J3776">
        <v>51.3752</v>
      </c>
      <c r="K3776">
        <v>536.74599999999998</v>
      </c>
      <c r="L3776">
        <v>0</v>
      </c>
    </row>
    <row r="3777" spans="1:12" x14ac:dyDescent="0.25">
      <c r="A3777">
        <f>80815361*0.00001</f>
        <v>808.15361000000007</v>
      </c>
      <c r="B3777">
        <v>3513</v>
      </c>
      <c r="C3777">
        <v>95</v>
      </c>
      <c r="D3777">
        <v>248.72200000000001</v>
      </c>
      <c r="E3777">
        <v>5295</v>
      </c>
      <c r="F3777">
        <v>1617</v>
      </c>
      <c r="G3777">
        <v>1</v>
      </c>
      <c r="H3777">
        <v>0.2</v>
      </c>
      <c r="I3777">
        <v>0</v>
      </c>
      <c r="J3777" s="1">
        <f>51.24</f>
        <v>51.24</v>
      </c>
      <c r="K3777">
        <v>536.74599999999998</v>
      </c>
      <c r="L3777">
        <v>0</v>
      </c>
    </row>
    <row r="3778" spans="1:12" x14ac:dyDescent="0.25">
      <c r="A3778">
        <f>80815494*0.00001</f>
        <v>808.15494000000001</v>
      </c>
      <c r="B3778">
        <v>3513</v>
      </c>
      <c r="C3778">
        <v>96</v>
      </c>
      <c r="D3778">
        <v>248.72200000000001</v>
      </c>
      <c r="E3778">
        <v>5295</v>
      </c>
      <c r="F3778">
        <v>1617</v>
      </c>
      <c r="G3778">
        <v>1</v>
      </c>
      <c r="H3778">
        <v>0.2</v>
      </c>
      <c r="I3778">
        <v>0</v>
      </c>
      <c r="J3778">
        <v>51.24</v>
      </c>
      <c r="K3778">
        <v>536.74599999999998</v>
      </c>
      <c r="L3778" s="1">
        <f>0</f>
        <v>0</v>
      </c>
    </row>
    <row r="3779" spans="1:12" x14ac:dyDescent="0.25">
      <c r="A3779">
        <f>80815628*0.00001</f>
        <v>808.15628000000004</v>
      </c>
      <c r="B3779">
        <v>3513</v>
      </c>
      <c r="C3779">
        <v>97</v>
      </c>
      <c r="D3779">
        <v>248.72200000000001</v>
      </c>
      <c r="E3779" s="1">
        <f>5292</f>
        <v>5292</v>
      </c>
      <c r="F3779">
        <v>1617</v>
      </c>
      <c r="G3779">
        <v>1</v>
      </c>
      <c r="H3779">
        <v>0.2</v>
      </c>
      <c r="I3779">
        <v>0</v>
      </c>
      <c r="J3779">
        <v>51.24</v>
      </c>
      <c r="K3779">
        <v>536.74599999999998</v>
      </c>
      <c r="L3779">
        <v>0</v>
      </c>
    </row>
    <row r="3780" spans="1:12" x14ac:dyDescent="0.25">
      <c r="A3780">
        <f>80815762*0.00001</f>
        <v>808.15762000000007</v>
      </c>
      <c r="B3780">
        <v>3513</v>
      </c>
      <c r="C3780">
        <v>98</v>
      </c>
      <c r="D3780">
        <v>248.72200000000001</v>
      </c>
      <c r="E3780">
        <v>5292</v>
      </c>
      <c r="F3780">
        <v>1617</v>
      </c>
      <c r="G3780" s="1">
        <f>1</f>
        <v>1</v>
      </c>
      <c r="H3780">
        <v>0.2</v>
      </c>
      <c r="I3780">
        <v>0</v>
      </c>
      <c r="J3780">
        <v>51.24</v>
      </c>
      <c r="K3780">
        <v>536.74599999999998</v>
      </c>
      <c r="L3780">
        <v>0</v>
      </c>
    </row>
    <row r="3781" spans="1:12" x14ac:dyDescent="0.25">
      <c r="A3781">
        <f>80815896*0.00001</f>
        <v>808.15896000000009</v>
      </c>
      <c r="B3781">
        <v>3513</v>
      </c>
      <c r="C3781">
        <v>99</v>
      </c>
      <c r="D3781">
        <v>248.72200000000001</v>
      </c>
      <c r="E3781">
        <v>5292</v>
      </c>
      <c r="F3781">
        <v>1617</v>
      </c>
      <c r="G3781">
        <v>1</v>
      </c>
      <c r="H3781">
        <v>0.2</v>
      </c>
      <c r="I3781" s="1">
        <f>0</f>
        <v>0</v>
      </c>
      <c r="J3781">
        <v>51.24</v>
      </c>
      <c r="K3781">
        <v>536.74599999999998</v>
      </c>
      <c r="L3781">
        <v>0</v>
      </c>
    </row>
    <row r="3782" spans="1:12" x14ac:dyDescent="0.25">
      <c r="A3782">
        <f>80816029*0.00001</f>
        <v>808.16029000000003</v>
      </c>
      <c r="B3782">
        <v>3513</v>
      </c>
      <c r="C3782">
        <v>100</v>
      </c>
      <c r="D3782">
        <v>248.72200000000001</v>
      </c>
      <c r="E3782">
        <v>5292</v>
      </c>
      <c r="F3782">
        <v>1617</v>
      </c>
      <c r="G3782">
        <v>1</v>
      </c>
      <c r="H3782">
        <v>0.2</v>
      </c>
      <c r="I3782">
        <v>0</v>
      </c>
      <c r="J3782">
        <v>51.24</v>
      </c>
      <c r="K3782" s="1">
        <f>536.87</f>
        <v>536.87</v>
      </c>
      <c r="L3782">
        <v>0</v>
      </c>
    </row>
    <row r="3783" spans="1:12" x14ac:dyDescent="0.25">
      <c r="A3783">
        <f>80816162*0.00001</f>
        <v>808.16162000000008</v>
      </c>
      <c r="B3783">
        <v>3513</v>
      </c>
      <c r="C3783">
        <v>101</v>
      </c>
      <c r="D3783" s="1">
        <f>248.821</f>
        <v>248.821</v>
      </c>
      <c r="E3783">
        <v>5292</v>
      </c>
      <c r="F3783">
        <v>1617</v>
      </c>
      <c r="G3783">
        <v>1</v>
      </c>
      <c r="H3783">
        <v>0.2</v>
      </c>
      <c r="I3783">
        <v>0</v>
      </c>
      <c r="J3783">
        <v>51.24</v>
      </c>
      <c r="K3783">
        <v>536.87</v>
      </c>
      <c r="L3783">
        <v>0</v>
      </c>
    </row>
    <row r="3784" spans="1:12" x14ac:dyDescent="0.25">
      <c r="A3784">
        <f>80816295*0.00001</f>
        <v>808.16295000000002</v>
      </c>
      <c r="B3784">
        <v>3513</v>
      </c>
      <c r="C3784">
        <v>102</v>
      </c>
      <c r="D3784">
        <v>248.821</v>
      </c>
      <c r="E3784">
        <v>5292</v>
      </c>
      <c r="F3784" s="1">
        <f>1617</f>
        <v>1617</v>
      </c>
      <c r="G3784">
        <v>1</v>
      </c>
      <c r="H3784">
        <v>0.2</v>
      </c>
      <c r="I3784">
        <v>0</v>
      </c>
      <c r="J3784">
        <v>51.24</v>
      </c>
      <c r="K3784">
        <v>536.87</v>
      </c>
      <c r="L3784">
        <v>0</v>
      </c>
    </row>
    <row r="3785" spans="1:12" x14ac:dyDescent="0.25">
      <c r="A3785">
        <f>80816428*0.00001</f>
        <v>808.16428000000008</v>
      </c>
      <c r="B3785">
        <v>3513</v>
      </c>
      <c r="C3785">
        <v>103</v>
      </c>
      <c r="D3785">
        <v>248.821</v>
      </c>
      <c r="E3785">
        <v>5292</v>
      </c>
      <c r="F3785">
        <v>1617</v>
      </c>
      <c r="G3785">
        <v>1</v>
      </c>
      <c r="H3785" s="1">
        <f>0.2</f>
        <v>0.2</v>
      </c>
      <c r="I3785">
        <v>0</v>
      </c>
      <c r="J3785">
        <v>51.24</v>
      </c>
      <c r="K3785">
        <v>536.87</v>
      </c>
      <c r="L3785">
        <v>0</v>
      </c>
    </row>
    <row r="3786" spans="1:12" x14ac:dyDescent="0.25">
      <c r="A3786">
        <f>80816561*0.00001</f>
        <v>808.16561000000002</v>
      </c>
      <c r="B3786">
        <v>3513</v>
      </c>
      <c r="C3786">
        <v>104</v>
      </c>
      <c r="D3786">
        <v>248.821</v>
      </c>
      <c r="E3786">
        <v>5292</v>
      </c>
      <c r="F3786">
        <v>1617</v>
      </c>
      <c r="G3786">
        <v>1</v>
      </c>
      <c r="H3786">
        <v>0.2</v>
      </c>
      <c r="I3786">
        <v>0</v>
      </c>
      <c r="J3786" s="1">
        <f>51.1549</f>
        <v>51.154899999999998</v>
      </c>
      <c r="K3786">
        <v>536.87</v>
      </c>
      <c r="L3786">
        <v>0</v>
      </c>
    </row>
    <row r="3787" spans="1:12" x14ac:dyDescent="0.25">
      <c r="A3787">
        <f>80816694*0.00001</f>
        <v>808.16694000000007</v>
      </c>
      <c r="B3787">
        <v>3513</v>
      </c>
      <c r="C3787">
        <v>105</v>
      </c>
      <c r="D3787">
        <v>248.821</v>
      </c>
      <c r="E3787">
        <v>5292</v>
      </c>
      <c r="F3787">
        <v>1617</v>
      </c>
      <c r="G3787">
        <v>1</v>
      </c>
      <c r="H3787">
        <v>0.2</v>
      </c>
      <c r="I3787">
        <v>0</v>
      </c>
      <c r="J3787">
        <v>51.154899999999998</v>
      </c>
      <c r="K3787">
        <v>536.87</v>
      </c>
      <c r="L3787" s="1">
        <f>0</f>
        <v>0</v>
      </c>
    </row>
    <row r="3788" spans="1:12" x14ac:dyDescent="0.25">
      <c r="A3788">
        <f>80816827*0.00001</f>
        <v>808.16827000000012</v>
      </c>
      <c r="B3788">
        <v>3513</v>
      </c>
      <c r="C3788">
        <v>106</v>
      </c>
      <c r="D3788">
        <v>248.821</v>
      </c>
      <c r="E3788" s="1">
        <f>5291</f>
        <v>5291</v>
      </c>
      <c r="F3788">
        <v>1617</v>
      </c>
      <c r="G3788">
        <v>1</v>
      </c>
      <c r="H3788">
        <v>0.2</v>
      </c>
      <c r="I3788">
        <v>0</v>
      </c>
      <c r="J3788">
        <v>51.154899999999998</v>
      </c>
      <c r="K3788">
        <v>536.87</v>
      </c>
      <c r="L3788">
        <v>0</v>
      </c>
    </row>
    <row r="3789" spans="1:12" x14ac:dyDescent="0.25">
      <c r="A3789">
        <f>80816960*0.00001</f>
        <v>808.16960000000006</v>
      </c>
      <c r="B3789">
        <v>3513</v>
      </c>
      <c r="C3789">
        <v>107</v>
      </c>
      <c r="D3789">
        <v>248.821</v>
      </c>
      <c r="E3789">
        <v>5291</v>
      </c>
      <c r="F3789">
        <v>1617</v>
      </c>
      <c r="G3789" s="1">
        <f>1</f>
        <v>1</v>
      </c>
      <c r="H3789">
        <v>0.2</v>
      </c>
      <c r="I3789">
        <v>0</v>
      </c>
      <c r="J3789">
        <v>51.154899999999998</v>
      </c>
      <c r="K3789">
        <v>536.87</v>
      </c>
      <c r="L3789">
        <v>0</v>
      </c>
    </row>
    <row r="3790" spans="1:12" x14ac:dyDescent="0.25">
      <c r="A3790">
        <f>80817093*0.00001</f>
        <v>808.17093000000011</v>
      </c>
      <c r="B3790">
        <v>3513</v>
      </c>
      <c r="C3790">
        <v>108</v>
      </c>
      <c r="D3790">
        <v>248.821</v>
      </c>
      <c r="E3790">
        <v>5291</v>
      </c>
      <c r="F3790">
        <v>1617</v>
      </c>
      <c r="G3790">
        <v>1</v>
      </c>
      <c r="H3790">
        <v>0.2</v>
      </c>
      <c r="I3790" s="1">
        <f>0</f>
        <v>0</v>
      </c>
      <c r="J3790">
        <v>51.154899999999998</v>
      </c>
      <c r="K3790">
        <v>536.87</v>
      </c>
      <c r="L3790">
        <v>0</v>
      </c>
    </row>
    <row r="3791" spans="1:12" x14ac:dyDescent="0.25">
      <c r="A3791">
        <f>80817227*0.00001</f>
        <v>808.17227000000003</v>
      </c>
      <c r="B3791">
        <v>3513</v>
      </c>
      <c r="C3791">
        <v>109</v>
      </c>
      <c r="D3791">
        <v>248.821</v>
      </c>
      <c r="E3791">
        <v>5291</v>
      </c>
      <c r="F3791">
        <v>1617</v>
      </c>
      <c r="G3791">
        <v>1</v>
      </c>
      <c r="H3791">
        <v>0.2</v>
      </c>
      <c r="I3791">
        <v>0</v>
      </c>
      <c r="J3791">
        <v>51.154899999999998</v>
      </c>
      <c r="K3791" s="1">
        <f>536.993</f>
        <v>536.99300000000005</v>
      </c>
      <c r="L3791">
        <v>0</v>
      </c>
    </row>
    <row r="3792" spans="1:12" x14ac:dyDescent="0.25">
      <c r="A3792">
        <f>80817361*0.00001</f>
        <v>808.17361000000005</v>
      </c>
      <c r="B3792">
        <v>3513</v>
      </c>
      <c r="C3792">
        <v>110</v>
      </c>
      <c r="D3792" s="1">
        <f>248.883</f>
        <v>248.88300000000001</v>
      </c>
      <c r="E3792">
        <v>5291</v>
      </c>
      <c r="F3792">
        <v>1617</v>
      </c>
      <c r="G3792">
        <v>1</v>
      </c>
      <c r="H3792">
        <v>0.2</v>
      </c>
      <c r="I3792">
        <v>0</v>
      </c>
      <c r="J3792">
        <v>51.154899999999998</v>
      </c>
      <c r="K3792">
        <v>536.99300000000005</v>
      </c>
      <c r="L3792">
        <v>0</v>
      </c>
    </row>
    <row r="3793" spans="1:12" x14ac:dyDescent="0.25">
      <c r="A3793">
        <f>80817494*0.00001</f>
        <v>808.17494000000011</v>
      </c>
      <c r="B3793">
        <v>3513</v>
      </c>
      <c r="C3793">
        <v>111</v>
      </c>
      <c r="D3793">
        <v>248.88300000000001</v>
      </c>
      <c r="E3793">
        <v>5291</v>
      </c>
      <c r="F3793" s="1">
        <f>1617</f>
        <v>1617</v>
      </c>
      <c r="G3793">
        <v>1</v>
      </c>
      <c r="H3793">
        <v>0.2</v>
      </c>
      <c r="I3793">
        <v>0</v>
      </c>
      <c r="J3793">
        <v>51.154899999999998</v>
      </c>
      <c r="K3793">
        <v>536.99300000000005</v>
      </c>
      <c r="L3793">
        <v>0</v>
      </c>
    </row>
    <row r="3794" spans="1:12" x14ac:dyDescent="0.25">
      <c r="A3794">
        <f>80817628*0.00001</f>
        <v>808.17628000000002</v>
      </c>
      <c r="B3794">
        <v>3513</v>
      </c>
      <c r="C3794">
        <v>112</v>
      </c>
      <c r="D3794">
        <v>248.88300000000001</v>
      </c>
      <c r="E3794">
        <v>5291</v>
      </c>
      <c r="F3794">
        <v>1617</v>
      </c>
      <c r="G3794">
        <v>1</v>
      </c>
      <c r="H3794" s="1">
        <f>0.2</f>
        <v>0.2</v>
      </c>
      <c r="I3794">
        <v>0</v>
      </c>
      <c r="J3794">
        <v>51.154899999999998</v>
      </c>
      <c r="K3794">
        <v>536.99300000000005</v>
      </c>
      <c r="L3794">
        <v>0</v>
      </c>
    </row>
    <row r="3795" spans="1:12" x14ac:dyDescent="0.25">
      <c r="A3795">
        <f>80817762*0.00001</f>
        <v>808.17762000000005</v>
      </c>
      <c r="B3795">
        <v>3513</v>
      </c>
      <c r="C3795">
        <v>113</v>
      </c>
      <c r="D3795">
        <v>248.88300000000001</v>
      </c>
      <c r="E3795">
        <v>5291</v>
      </c>
      <c r="F3795">
        <v>1617</v>
      </c>
      <c r="G3795">
        <v>1</v>
      </c>
      <c r="H3795">
        <v>0.2</v>
      </c>
      <c r="I3795">
        <v>0</v>
      </c>
      <c r="J3795" s="1">
        <f>51.1015</f>
        <v>51.101500000000001</v>
      </c>
      <c r="K3795">
        <v>536.99300000000005</v>
      </c>
      <c r="L3795">
        <v>0</v>
      </c>
    </row>
    <row r="3796" spans="1:12" x14ac:dyDescent="0.25">
      <c r="A3796">
        <f>80817896*0.00001</f>
        <v>808.17896000000007</v>
      </c>
      <c r="B3796">
        <v>3513</v>
      </c>
      <c r="C3796">
        <v>114</v>
      </c>
      <c r="D3796">
        <v>248.88300000000001</v>
      </c>
      <c r="E3796">
        <v>5291</v>
      </c>
      <c r="F3796">
        <v>1617</v>
      </c>
      <c r="G3796">
        <v>1</v>
      </c>
      <c r="H3796">
        <v>0.2</v>
      </c>
      <c r="I3796">
        <v>0</v>
      </c>
      <c r="J3796">
        <v>51.101500000000001</v>
      </c>
      <c r="K3796">
        <v>536.99300000000005</v>
      </c>
      <c r="L3796" s="1">
        <f>0</f>
        <v>0</v>
      </c>
    </row>
    <row r="3797" spans="1:12" x14ac:dyDescent="0.25">
      <c r="A3797">
        <f>80818029*0.00001</f>
        <v>808.18029000000001</v>
      </c>
      <c r="B3797">
        <v>3513</v>
      </c>
      <c r="C3797">
        <v>115</v>
      </c>
      <c r="D3797">
        <v>248.88300000000001</v>
      </c>
      <c r="E3797" s="1">
        <f>5290</f>
        <v>5290</v>
      </c>
      <c r="F3797">
        <v>1617</v>
      </c>
      <c r="G3797">
        <v>1</v>
      </c>
      <c r="H3797">
        <v>0.2</v>
      </c>
      <c r="I3797">
        <v>0</v>
      </c>
      <c r="J3797">
        <v>51.101500000000001</v>
      </c>
      <c r="K3797">
        <v>536.99300000000005</v>
      </c>
      <c r="L3797">
        <v>0</v>
      </c>
    </row>
    <row r="3798" spans="1:12" x14ac:dyDescent="0.25">
      <c r="A3798">
        <f>80818162*0.00001</f>
        <v>808.18162000000007</v>
      </c>
      <c r="B3798">
        <v>3513</v>
      </c>
      <c r="C3798">
        <v>116</v>
      </c>
      <c r="D3798">
        <v>248.88300000000001</v>
      </c>
      <c r="E3798">
        <v>5290</v>
      </c>
      <c r="F3798">
        <v>1617</v>
      </c>
      <c r="G3798" s="1">
        <f>1</f>
        <v>1</v>
      </c>
      <c r="H3798">
        <v>0.2</v>
      </c>
      <c r="I3798">
        <v>0</v>
      </c>
      <c r="J3798">
        <v>51.101500000000001</v>
      </c>
      <c r="K3798">
        <v>536.99300000000005</v>
      </c>
      <c r="L3798">
        <v>0</v>
      </c>
    </row>
    <row r="3799" spans="1:12" x14ac:dyDescent="0.25">
      <c r="A3799">
        <f>80818295*0.00001</f>
        <v>808.18295000000012</v>
      </c>
      <c r="B3799">
        <v>3513</v>
      </c>
      <c r="C3799">
        <v>117</v>
      </c>
      <c r="D3799">
        <v>248.88300000000001</v>
      </c>
      <c r="E3799">
        <v>5290</v>
      </c>
      <c r="F3799">
        <v>1617</v>
      </c>
      <c r="G3799">
        <v>1</v>
      </c>
      <c r="H3799">
        <v>0.2</v>
      </c>
      <c r="I3799" s="1">
        <f>0</f>
        <v>0</v>
      </c>
      <c r="J3799">
        <v>51.101500000000001</v>
      </c>
      <c r="K3799">
        <v>536.99300000000005</v>
      </c>
      <c r="L3799">
        <v>0</v>
      </c>
    </row>
    <row r="3800" spans="1:12" x14ac:dyDescent="0.25">
      <c r="A3800">
        <f>80818428*0.00001</f>
        <v>808.18428000000006</v>
      </c>
      <c r="B3800">
        <v>3513</v>
      </c>
      <c r="C3800">
        <v>118</v>
      </c>
      <c r="D3800">
        <v>248.88300000000001</v>
      </c>
      <c r="E3800">
        <v>5290</v>
      </c>
      <c r="F3800">
        <v>1617</v>
      </c>
      <c r="G3800">
        <v>1</v>
      </c>
      <c r="H3800">
        <v>0.2</v>
      </c>
      <c r="I3800">
        <v>0</v>
      </c>
      <c r="J3800">
        <v>51.101500000000001</v>
      </c>
      <c r="K3800" s="1">
        <f>537.116</f>
        <v>537.11599999999999</v>
      </c>
      <c r="L3800">
        <v>0</v>
      </c>
    </row>
    <row r="3801" spans="1:12" x14ac:dyDescent="0.25">
      <c r="A3801">
        <f>80818561*0.00001</f>
        <v>808.18561000000011</v>
      </c>
      <c r="B3801">
        <v>3513</v>
      </c>
      <c r="C3801">
        <v>119</v>
      </c>
      <c r="D3801" s="1">
        <f>248.923</f>
        <v>248.923</v>
      </c>
      <c r="E3801">
        <v>5290</v>
      </c>
      <c r="F3801">
        <v>1617</v>
      </c>
      <c r="G3801">
        <v>1</v>
      </c>
      <c r="H3801">
        <v>0.2</v>
      </c>
      <c r="I3801">
        <v>0</v>
      </c>
      <c r="J3801">
        <v>51.101500000000001</v>
      </c>
      <c r="K3801">
        <v>537.11599999999999</v>
      </c>
      <c r="L3801">
        <v>0</v>
      </c>
    </row>
    <row r="3802" spans="1:12" x14ac:dyDescent="0.25">
      <c r="A3802">
        <f>80818694*0.00001</f>
        <v>808.18694000000005</v>
      </c>
      <c r="B3802">
        <v>3513</v>
      </c>
      <c r="C3802">
        <v>120</v>
      </c>
      <c r="D3802">
        <v>248.923</v>
      </c>
      <c r="E3802">
        <v>5290</v>
      </c>
      <c r="F3802" s="1">
        <f>1617</f>
        <v>1617</v>
      </c>
      <c r="G3802">
        <v>1</v>
      </c>
      <c r="H3802">
        <v>0.2</v>
      </c>
      <c r="I3802">
        <v>0</v>
      </c>
      <c r="J3802">
        <v>51.101500000000001</v>
      </c>
      <c r="K3802">
        <v>537.11599999999999</v>
      </c>
      <c r="L3802">
        <v>0</v>
      </c>
    </row>
    <row r="3803" spans="1:12" x14ac:dyDescent="0.25">
      <c r="A3803">
        <f>80818827*0.00001</f>
        <v>808.1882700000001</v>
      </c>
      <c r="B3803">
        <v>3513</v>
      </c>
      <c r="C3803">
        <v>121</v>
      </c>
      <c r="D3803">
        <v>248.923</v>
      </c>
      <c r="E3803">
        <v>5290</v>
      </c>
      <c r="F3803">
        <v>1617</v>
      </c>
      <c r="G3803">
        <v>1</v>
      </c>
      <c r="H3803" s="1">
        <f>0.2</f>
        <v>0.2</v>
      </c>
      <c r="I3803">
        <v>0</v>
      </c>
      <c r="J3803">
        <v>51.101500000000001</v>
      </c>
      <c r="K3803">
        <v>537.11599999999999</v>
      </c>
      <c r="L3803">
        <v>0</v>
      </c>
    </row>
    <row r="3804" spans="1:12" x14ac:dyDescent="0.25">
      <c r="A3804">
        <f>80818960*0.00001</f>
        <v>808.18960000000004</v>
      </c>
      <c r="B3804">
        <v>3513</v>
      </c>
      <c r="C3804">
        <v>122</v>
      </c>
      <c r="D3804">
        <v>248.923</v>
      </c>
      <c r="E3804">
        <v>5290</v>
      </c>
      <c r="F3804">
        <v>1617</v>
      </c>
      <c r="G3804">
        <v>1</v>
      </c>
      <c r="H3804">
        <v>0.2</v>
      </c>
      <c r="I3804">
        <v>0</v>
      </c>
      <c r="J3804" s="1">
        <f>51.0674</f>
        <v>51.067399999999999</v>
      </c>
      <c r="K3804">
        <v>537.11599999999999</v>
      </c>
      <c r="L3804">
        <v>0</v>
      </c>
    </row>
    <row r="3805" spans="1:12" x14ac:dyDescent="0.25">
      <c r="A3805">
        <f>80819093*0.00001</f>
        <v>808.19093000000009</v>
      </c>
      <c r="B3805">
        <v>3513</v>
      </c>
      <c r="C3805">
        <v>123</v>
      </c>
      <c r="D3805">
        <v>248.923</v>
      </c>
      <c r="E3805">
        <v>5290</v>
      </c>
      <c r="F3805">
        <v>1617</v>
      </c>
      <c r="G3805">
        <v>1</v>
      </c>
      <c r="H3805">
        <v>0.2</v>
      </c>
      <c r="I3805">
        <v>0</v>
      </c>
      <c r="J3805">
        <v>51.067399999999999</v>
      </c>
      <c r="K3805">
        <v>537.11599999999999</v>
      </c>
      <c r="L3805" s="1">
        <f>0</f>
        <v>0</v>
      </c>
    </row>
    <row r="3806" spans="1:12" x14ac:dyDescent="0.25">
      <c r="A3806">
        <f>80819227*0.00001</f>
        <v>808.19227000000012</v>
      </c>
      <c r="B3806">
        <v>3513</v>
      </c>
      <c r="C3806">
        <v>124</v>
      </c>
      <c r="D3806">
        <v>248.923</v>
      </c>
      <c r="E3806" s="1">
        <f>5290</f>
        <v>5290</v>
      </c>
      <c r="F3806">
        <v>1617</v>
      </c>
      <c r="G3806">
        <v>1</v>
      </c>
      <c r="H3806">
        <v>0.2</v>
      </c>
      <c r="I3806">
        <v>0</v>
      </c>
      <c r="J3806">
        <v>51.067399999999999</v>
      </c>
      <c r="K3806">
        <v>537.11599999999999</v>
      </c>
      <c r="L3806">
        <v>0</v>
      </c>
    </row>
    <row r="3807" spans="1:12" x14ac:dyDescent="0.25">
      <c r="A3807">
        <f>80819361*0.00001</f>
        <v>808.19361000000004</v>
      </c>
      <c r="B3807">
        <v>3513</v>
      </c>
      <c r="C3807">
        <v>125</v>
      </c>
      <c r="D3807">
        <v>248.923</v>
      </c>
      <c r="E3807">
        <v>5290</v>
      </c>
      <c r="F3807">
        <v>1617</v>
      </c>
      <c r="G3807" s="1">
        <f>1</f>
        <v>1</v>
      </c>
      <c r="H3807">
        <v>0.2</v>
      </c>
      <c r="I3807">
        <v>0</v>
      </c>
      <c r="J3807">
        <v>51.067399999999999</v>
      </c>
      <c r="K3807">
        <v>537.11599999999999</v>
      </c>
      <c r="L3807">
        <v>0</v>
      </c>
    </row>
    <row r="3808" spans="1:12" x14ac:dyDescent="0.25">
      <c r="A3808">
        <f>80819495*0.00001</f>
        <v>808.19495000000006</v>
      </c>
      <c r="B3808">
        <v>3513</v>
      </c>
      <c r="C3808">
        <v>126</v>
      </c>
      <c r="D3808">
        <v>248.923</v>
      </c>
      <c r="E3808">
        <v>5290</v>
      </c>
      <c r="F3808">
        <v>1617</v>
      </c>
      <c r="G3808">
        <v>1</v>
      </c>
      <c r="H3808">
        <v>0.2</v>
      </c>
      <c r="I3808" s="1">
        <f>0</f>
        <v>0</v>
      </c>
      <c r="J3808">
        <v>51.067399999999999</v>
      </c>
      <c r="K3808">
        <v>537.11599999999999</v>
      </c>
      <c r="L3808">
        <v>0</v>
      </c>
    </row>
    <row r="3809" spans="1:12" x14ac:dyDescent="0.25">
      <c r="A3809">
        <f>80819629*0.00001</f>
        <v>808.19629000000009</v>
      </c>
      <c r="B3809">
        <v>3513</v>
      </c>
      <c r="C3809">
        <v>127</v>
      </c>
      <c r="D3809">
        <v>248.923</v>
      </c>
      <c r="E3809">
        <v>5290</v>
      </c>
      <c r="F3809">
        <v>1617</v>
      </c>
      <c r="G3809">
        <v>1</v>
      </c>
      <c r="H3809">
        <v>0.2</v>
      </c>
      <c r="I3809">
        <v>0</v>
      </c>
      <c r="J3809">
        <v>51.067399999999999</v>
      </c>
      <c r="K3809" s="1">
        <f>537.239</f>
        <v>537.23900000000003</v>
      </c>
      <c r="L3809">
        <v>0</v>
      </c>
    </row>
    <row r="3810" spans="1:12" x14ac:dyDescent="0.25">
      <c r="A3810">
        <f>80819763*0.00001</f>
        <v>808.19763000000012</v>
      </c>
      <c r="B3810">
        <v>3513</v>
      </c>
      <c r="C3810">
        <v>128</v>
      </c>
      <c r="D3810" s="1">
        <f>248.948</f>
        <v>248.94800000000001</v>
      </c>
      <c r="E3810">
        <v>5290</v>
      </c>
      <c r="F3810">
        <v>1617</v>
      </c>
      <c r="G3810">
        <v>1</v>
      </c>
      <c r="H3810">
        <v>0.2</v>
      </c>
      <c r="I3810">
        <v>0</v>
      </c>
      <c r="J3810">
        <v>51.067399999999999</v>
      </c>
      <c r="K3810">
        <v>537.23900000000003</v>
      </c>
      <c r="L3810">
        <v>0</v>
      </c>
    </row>
    <row r="3811" spans="1:12" x14ac:dyDescent="0.25">
      <c r="A3811">
        <f>80819897*0.00001</f>
        <v>808.19897000000003</v>
      </c>
      <c r="B3811">
        <v>3513</v>
      </c>
      <c r="C3811">
        <v>129</v>
      </c>
      <c r="D3811">
        <v>248.94800000000001</v>
      </c>
      <c r="E3811">
        <v>5290</v>
      </c>
      <c r="F3811" s="1">
        <f>1617</f>
        <v>1617</v>
      </c>
      <c r="G3811">
        <v>1</v>
      </c>
      <c r="H3811">
        <v>0.2</v>
      </c>
      <c r="I3811">
        <v>0</v>
      </c>
      <c r="J3811">
        <v>51.067399999999999</v>
      </c>
      <c r="K3811">
        <v>537.23900000000003</v>
      </c>
      <c r="L3811">
        <v>0</v>
      </c>
    </row>
    <row r="3812" spans="1:12" x14ac:dyDescent="0.25">
      <c r="A3812">
        <f>80820030*0.00001</f>
        <v>808.20030000000008</v>
      </c>
      <c r="B3812">
        <v>3513</v>
      </c>
      <c r="C3812">
        <v>130</v>
      </c>
      <c r="D3812">
        <v>248.94800000000001</v>
      </c>
      <c r="E3812">
        <v>5290</v>
      </c>
      <c r="F3812">
        <v>1617</v>
      </c>
      <c r="G3812">
        <v>1</v>
      </c>
      <c r="H3812" s="1">
        <f>0.2</f>
        <v>0.2</v>
      </c>
      <c r="I3812">
        <v>0</v>
      </c>
      <c r="J3812">
        <v>51.067399999999999</v>
      </c>
      <c r="K3812">
        <v>537.23900000000003</v>
      </c>
      <c r="L3812">
        <v>0</v>
      </c>
    </row>
    <row r="3813" spans="1:12" x14ac:dyDescent="0.25">
      <c r="A3813">
        <f>80820163*0.00001</f>
        <v>808.20163000000002</v>
      </c>
      <c r="B3813">
        <v>3513</v>
      </c>
      <c r="C3813">
        <v>131</v>
      </c>
      <c r="D3813">
        <v>248.94800000000001</v>
      </c>
      <c r="E3813">
        <v>5290</v>
      </c>
      <c r="F3813">
        <v>1617</v>
      </c>
      <c r="G3813">
        <v>1</v>
      </c>
      <c r="H3813">
        <v>0.2</v>
      </c>
      <c r="I3813">
        <v>0</v>
      </c>
      <c r="J3813" s="1">
        <f>51.046</f>
        <v>51.045999999999999</v>
      </c>
      <c r="K3813">
        <v>537.23900000000003</v>
      </c>
      <c r="L3813">
        <v>0</v>
      </c>
    </row>
    <row r="3814" spans="1:12" x14ac:dyDescent="0.25">
      <c r="A3814">
        <f>80820296*0.00001</f>
        <v>808.20296000000008</v>
      </c>
      <c r="B3814">
        <v>3513</v>
      </c>
      <c r="C3814">
        <v>132</v>
      </c>
      <c r="D3814">
        <v>248.94800000000001</v>
      </c>
      <c r="E3814">
        <v>5290</v>
      </c>
      <c r="F3814">
        <v>1617</v>
      </c>
      <c r="G3814">
        <v>1</v>
      </c>
      <c r="H3814">
        <v>0.2</v>
      </c>
      <c r="I3814">
        <v>0</v>
      </c>
      <c r="J3814">
        <v>51.045999999999999</v>
      </c>
      <c r="K3814">
        <v>537.23900000000003</v>
      </c>
      <c r="L3814" s="1">
        <f>0</f>
        <v>0</v>
      </c>
    </row>
    <row r="3815" spans="1:12" x14ac:dyDescent="0.25">
      <c r="A3815">
        <f>80820429*0.00001</f>
        <v>808.20429000000001</v>
      </c>
      <c r="B3815">
        <v>3513</v>
      </c>
      <c r="C3815">
        <v>133</v>
      </c>
      <c r="D3815">
        <v>248.94800000000001</v>
      </c>
      <c r="E3815" s="1">
        <f>5290</f>
        <v>5290</v>
      </c>
      <c r="F3815">
        <v>1617</v>
      </c>
      <c r="G3815">
        <v>1</v>
      </c>
      <c r="H3815">
        <v>0.2</v>
      </c>
      <c r="I3815">
        <v>0</v>
      </c>
      <c r="J3815">
        <v>51.045999999999999</v>
      </c>
      <c r="K3815">
        <v>537.23900000000003</v>
      </c>
      <c r="L3815">
        <v>0</v>
      </c>
    </row>
    <row r="3816" spans="1:12" x14ac:dyDescent="0.25">
      <c r="A3816">
        <f>80820562*0.00001</f>
        <v>808.20562000000007</v>
      </c>
      <c r="B3816">
        <v>3513</v>
      </c>
      <c r="C3816">
        <v>134</v>
      </c>
      <c r="D3816">
        <v>248.94800000000001</v>
      </c>
      <c r="E3816">
        <v>5290</v>
      </c>
      <c r="F3816">
        <v>1617</v>
      </c>
      <c r="G3816" s="1">
        <f>1</f>
        <v>1</v>
      </c>
      <c r="H3816">
        <v>0.2</v>
      </c>
      <c r="I3816">
        <v>0</v>
      </c>
      <c r="J3816">
        <v>51.045999999999999</v>
      </c>
      <c r="K3816">
        <v>537.23900000000003</v>
      </c>
      <c r="L3816">
        <v>0</v>
      </c>
    </row>
    <row r="3817" spans="1:12" x14ac:dyDescent="0.25">
      <c r="A3817">
        <f>80820695*0.00001</f>
        <v>808.20695000000012</v>
      </c>
      <c r="B3817">
        <v>3513</v>
      </c>
      <c r="C3817">
        <v>135</v>
      </c>
      <c r="D3817">
        <v>248.94800000000001</v>
      </c>
      <c r="E3817">
        <v>5290</v>
      </c>
      <c r="F3817">
        <v>1617</v>
      </c>
      <c r="G3817">
        <v>1</v>
      </c>
      <c r="H3817">
        <v>0.2</v>
      </c>
      <c r="I3817" s="1">
        <f>0</f>
        <v>0</v>
      </c>
      <c r="J3817">
        <v>51.045999999999999</v>
      </c>
      <c r="K3817">
        <v>537.23900000000003</v>
      </c>
      <c r="L3817">
        <v>0</v>
      </c>
    </row>
    <row r="3818" spans="1:12" x14ac:dyDescent="0.25">
      <c r="A3818">
        <f>80820828*0.00001</f>
        <v>808.20828000000006</v>
      </c>
      <c r="B3818">
        <v>3513</v>
      </c>
      <c r="C3818">
        <v>136</v>
      </c>
      <c r="D3818">
        <v>248.94800000000001</v>
      </c>
      <c r="E3818">
        <v>5290</v>
      </c>
      <c r="F3818">
        <v>1617</v>
      </c>
      <c r="G3818">
        <v>1</v>
      </c>
      <c r="H3818">
        <v>0.2</v>
      </c>
      <c r="I3818">
        <v>0</v>
      </c>
      <c r="J3818">
        <v>51.045999999999999</v>
      </c>
      <c r="K3818" s="1">
        <f>537.362</f>
        <v>537.36199999999997</v>
      </c>
      <c r="L3818">
        <v>0</v>
      </c>
    </row>
    <row r="3819" spans="1:12" x14ac:dyDescent="0.25">
      <c r="A3819">
        <f>80820961*0.00001</f>
        <v>808.20961000000011</v>
      </c>
      <c r="B3819">
        <v>3513</v>
      </c>
      <c r="C3819">
        <v>137</v>
      </c>
      <c r="D3819" s="1">
        <f>249.008</f>
        <v>249.00800000000001</v>
      </c>
      <c r="E3819">
        <v>5290</v>
      </c>
      <c r="F3819">
        <v>1617</v>
      </c>
      <c r="G3819">
        <v>1</v>
      </c>
      <c r="H3819">
        <v>0.2</v>
      </c>
      <c r="I3819">
        <v>0</v>
      </c>
      <c r="J3819">
        <v>51.045999999999999</v>
      </c>
      <c r="K3819">
        <v>537.36199999999997</v>
      </c>
      <c r="L3819">
        <v>0</v>
      </c>
    </row>
    <row r="3820" spans="1:12" x14ac:dyDescent="0.25">
      <c r="A3820">
        <f>80821094*0.00001</f>
        <v>808.21094000000005</v>
      </c>
      <c r="B3820">
        <v>3513</v>
      </c>
      <c r="C3820">
        <v>138</v>
      </c>
      <c r="D3820">
        <v>249.00800000000001</v>
      </c>
      <c r="E3820">
        <v>5290</v>
      </c>
      <c r="F3820" s="1">
        <f>1617</f>
        <v>1617</v>
      </c>
      <c r="G3820">
        <v>1</v>
      </c>
      <c r="H3820">
        <v>0.2</v>
      </c>
      <c r="I3820">
        <v>0</v>
      </c>
      <c r="J3820">
        <v>51.045999999999999</v>
      </c>
      <c r="K3820">
        <v>537.36199999999997</v>
      </c>
      <c r="L3820">
        <v>0</v>
      </c>
    </row>
    <row r="3821" spans="1:12" x14ac:dyDescent="0.25">
      <c r="A3821">
        <f>80821227*0.00001</f>
        <v>808.2122700000001</v>
      </c>
      <c r="B3821">
        <v>3513</v>
      </c>
      <c r="C3821">
        <v>139</v>
      </c>
      <c r="D3821">
        <v>249.00800000000001</v>
      </c>
      <c r="E3821">
        <v>5290</v>
      </c>
      <c r="F3821">
        <v>1617</v>
      </c>
      <c r="G3821">
        <v>1</v>
      </c>
      <c r="H3821" s="1">
        <f>0.2</f>
        <v>0.2</v>
      </c>
      <c r="I3821">
        <v>0</v>
      </c>
      <c r="J3821">
        <v>51.045999999999999</v>
      </c>
      <c r="K3821">
        <v>537.36199999999997</v>
      </c>
      <c r="L3821">
        <v>0</v>
      </c>
    </row>
    <row r="3822" spans="1:12" x14ac:dyDescent="0.25">
      <c r="A3822">
        <f>80821361*0.00001</f>
        <v>808.21361000000002</v>
      </c>
      <c r="B3822">
        <v>3513</v>
      </c>
      <c r="C3822">
        <v>140</v>
      </c>
      <c r="D3822">
        <v>249.00800000000001</v>
      </c>
      <c r="E3822">
        <v>5290</v>
      </c>
      <c r="F3822">
        <v>1617</v>
      </c>
      <c r="G3822">
        <v>1</v>
      </c>
      <c r="H3822">
        <v>0.2</v>
      </c>
      <c r="I3822">
        <v>0</v>
      </c>
      <c r="J3822" s="1">
        <f>50.9412</f>
        <v>50.941200000000002</v>
      </c>
      <c r="K3822">
        <v>537.36199999999997</v>
      </c>
      <c r="L3822">
        <v>0</v>
      </c>
    </row>
    <row r="3823" spans="1:12" x14ac:dyDescent="0.25">
      <c r="A3823">
        <f>80821494*0.00001</f>
        <v>808.21494000000007</v>
      </c>
      <c r="B3823">
        <v>3513</v>
      </c>
      <c r="C3823">
        <v>141</v>
      </c>
      <c r="D3823">
        <v>249.00800000000001</v>
      </c>
      <c r="E3823">
        <v>5290</v>
      </c>
      <c r="F3823">
        <v>1617</v>
      </c>
      <c r="G3823">
        <v>1</v>
      </c>
      <c r="H3823">
        <v>0.2</v>
      </c>
      <c r="I3823">
        <v>0</v>
      </c>
      <c r="J3823">
        <v>50.941200000000002</v>
      </c>
      <c r="K3823">
        <v>537.36199999999997</v>
      </c>
      <c r="L3823" s="1">
        <f>0</f>
        <v>0</v>
      </c>
    </row>
    <row r="3824" spans="1:12" x14ac:dyDescent="0.25">
      <c r="A3824">
        <f>80821627*0.00001</f>
        <v>808.21627000000012</v>
      </c>
      <c r="B3824">
        <v>3513</v>
      </c>
      <c r="C3824">
        <v>142</v>
      </c>
      <c r="D3824">
        <v>249.00800000000001</v>
      </c>
      <c r="E3824" s="1">
        <f>5287</f>
        <v>5287</v>
      </c>
      <c r="F3824">
        <v>1617</v>
      </c>
      <c r="G3824">
        <v>1</v>
      </c>
      <c r="H3824">
        <v>0.2</v>
      </c>
      <c r="I3824">
        <v>0</v>
      </c>
      <c r="J3824">
        <v>50.941200000000002</v>
      </c>
      <c r="K3824">
        <v>537.36199999999997</v>
      </c>
      <c r="L3824">
        <v>0</v>
      </c>
    </row>
    <row r="3825" spans="1:12" x14ac:dyDescent="0.25">
      <c r="A3825">
        <f>80821760*0.00001</f>
        <v>808.21760000000006</v>
      </c>
      <c r="B3825">
        <v>3513</v>
      </c>
      <c r="C3825">
        <v>143</v>
      </c>
      <c r="D3825">
        <v>249.00800000000001</v>
      </c>
      <c r="E3825">
        <v>5287</v>
      </c>
      <c r="F3825">
        <v>1617</v>
      </c>
      <c r="G3825" s="1">
        <f>1</f>
        <v>1</v>
      </c>
      <c r="H3825">
        <v>0.2</v>
      </c>
      <c r="I3825">
        <v>0</v>
      </c>
      <c r="J3825">
        <v>50.941200000000002</v>
      </c>
      <c r="K3825">
        <v>537.36199999999997</v>
      </c>
      <c r="L3825">
        <v>0</v>
      </c>
    </row>
    <row r="3826" spans="1:12" x14ac:dyDescent="0.25">
      <c r="A3826">
        <f>80821893*0.00001</f>
        <v>808.21893000000011</v>
      </c>
      <c r="B3826">
        <v>3513</v>
      </c>
      <c r="C3826">
        <v>144</v>
      </c>
      <c r="D3826">
        <v>249.00800000000001</v>
      </c>
      <c r="E3826">
        <v>5287</v>
      </c>
      <c r="F3826">
        <v>1617</v>
      </c>
      <c r="G3826">
        <v>1</v>
      </c>
      <c r="H3826">
        <v>0.2</v>
      </c>
      <c r="I3826" s="1">
        <f>0</f>
        <v>0</v>
      </c>
      <c r="J3826">
        <v>50.941200000000002</v>
      </c>
      <c r="K3826">
        <v>537.36199999999997</v>
      </c>
      <c r="L3826">
        <v>0</v>
      </c>
    </row>
    <row r="3827" spans="1:12" x14ac:dyDescent="0.25">
      <c r="A3827">
        <f>80822026*0.00001</f>
        <v>808.22026000000005</v>
      </c>
      <c r="B3827">
        <v>3513</v>
      </c>
      <c r="C3827">
        <v>145</v>
      </c>
      <c r="D3827">
        <v>249.00800000000001</v>
      </c>
      <c r="E3827">
        <v>5287</v>
      </c>
      <c r="F3827">
        <v>1617</v>
      </c>
      <c r="G3827">
        <v>1</v>
      </c>
      <c r="H3827">
        <v>0.2</v>
      </c>
      <c r="I3827">
        <v>0</v>
      </c>
      <c r="J3827">
        <v>50.941200000000002</v>
      </c>
      <c r="K3827" s="1">
        <f>537.485</f>
        <v>537.48500000000001</v>
      </c>
      <c r="L3827">
        <v>0</v>
      </c>
    </row>
    <row r="3828" spans="1:12" x14ac:dyDescent="0.25">
      <c r="A3828">
        <f>80822159*0.00001</f>
        <v>808.22159000000011</v>
      </c>
      <c r="B3828">
        <v>3513</v>
      </c>
      <c r="C3828">
        <v>146</v>
      </c>
      <c r="D3828" s="1">
        <f>249.139</f>
        <v>249.13900000000001</v>
      </c>
      <c r="E3828">
        <v>5287</v>
      </c>
      <c r="F3828">
        <v>1617</v>
      </c>
      <c r="G3828">
        <v>1</v>
      </c>
      <c r="H3828">
        <v>0.2</v>
      </c>
      <c r="I3828">
        <v>0</v>
      </c>
      <c r="J3828">
        <v>50.941200000000002</v>
      </c>
      <c r="K3828">
        <v>537.48500000000001</v>
      </c>
      <c r="L3828">
        <v>0</v>
      </c>
    </row>
    <row r="3829" spans="1:12" x14ac:dyDescent="0.25">
      <c r="A3829">
        <f>80822292*0.00001</f>
        <v>808.22292000000004</v>
      </c>
      <c r="B3829">
        <v>3513</v>
      </c>
      <c r="C3829">
        <v>147</v>
      </c>
      <c r="D3829">
        <v>249.13900000000001</v>
      </c>
      <c r="E3829">
        <v>5287</v>
      </c>
      <c r="F3829" s="1">
        <f>1617</f>
        <v>1617</v>
      </c>
      <c r="G3829">
        <v>1</v>
      </c>
      <c r="H3829">
        <v>0.2</v>
      </c>
      <c r="I3829">
        <v>0</v>
      </c>
      <c r="J3829">
        <v>50.941200000000002</v>
      </c>
      <c r="K3829">
        <v>537.48500000000001</v>
      </c>
      <c r="L3829">
        <v>0</v>
      </c>
    </row>
    <row r="3830" spans="1:12" x14ac:dyDescent="0.25">
      <c r="A3830">
        <f>80822426*0.00001</f>
        <v>808.22426000000007</v>
      </c>
      <c r="B3830">
        <v>3513</v>
      </c>
      <c r="C3830">
        <v>148</v>
      </c>
      <c r="D3830">
        <v>249.13900000000001</v>
      </c>
      <c r="E3830">
        <v>5287</v>
      </c>
      <c r="F3830">
        <v>1617</v>
      </c>
      <c r="G3830">
        <v>1</v>
      </c>
      <c r="H3830" s="1">
        <f>0.2</f>
        <v>0.2</v>
      </c>
      <c r="I3830">
        <v>0</v>
      </c>
      <c r="J3830">
        <v>50.941200000000002</v>
      </c>
      <c r="K3830">
        <v>537.48500000000001</v>
      </c>
      <c r="L3830">
        <v>0</v>
      </c>
    </row>
    <row r="3831" spans="1:12" x14ac:dyDescent="0.25">
      <c r="A3831">
        <f>80822559*0.00001</f>
        <v>808.22559000000001</v>
      </c>
      <c r="B3831">
        <v>3513</v>
      </c>
      <c r="C3831">
        <v>149</v>
      </c>
      <c r="D3831">
        <v>249.13900000000001</v>
      </c>
      <c r="E3831">
        <v>5287</v>
      </c>
      <c r="F3831">
        <v>1617</v>
      </c>
      <c r="G3831">
        <v>1</v>
      </c>
      <c r="H3831">
        <v>0.2</v>
      </c>
      <c r="I3831">
        <v>0</v>
      </c>
      <c r="J3831" s="1">
        <f>50.8287</f>
        <v>50.828699999999998</v>
      </c>
      <c r="K3831">
        <v>537.48500000000001</v>
      </c>
      <c r="L3831">
        <v>0</v>
      </c>
    </row>
    <row r="3832" spans="1:12" x14ac:dyDescent="0.25">
      <c r="A3832">
        <f>80822692*0.00001</f>
        <v>808.22692000000006</v>
      </c>
      <c r="B3832">
        <v>3513</v>
      </c>
      <c r="C3832">
        <v>150</v>
      </c>
      <c r="D3832">
        <v>249.13900000000001</v>
      </c>
      <c r="E3832">
        <v>5287</v>
      </c>
      <c r="F3832">
        <v>1617</v>
      </c>
      <c r="G3832">
        <v>1</v>
      </c>
      <c r="H3832">
        <v>0.2</v>
      </c>
      <c r="I3832">
        <v>0</v>
      </c>
      <c r="J3832">
        <v>50.828699999999998</v>
      </c>
      <c r="K3832">
        <v>537.48500000000001</v>
      </c>
      <c r="L3832" s="1">
        <f>0</f>
        <v>0</v>
      </c>
    </row>
    <row r="3833" spans="1:12" x14ac:dyDescent="0.25">
      <c r="A3833">
        <f>80822825*0.00001</f>
        <v>808.22825000000012</v>
      </c>
      <c r="B3833">
        <v>3513</v>
      </c>
      <c r="C3833">
        <v>151</v>
      </c>
      <c r="D3833">
        <v>249.13900000000001</v>
      </c>
      <c r="E3833" s="1">
        <f>5285</f>
        <v>5285</v>
      </c>
      <c r="F3833">
        <v>1617</v>
      </c>
      <c r="G3833">
        <v>1</v>
      </c>
      <c r="H3833">
        <v>0.2</v>
      </c>
      <c r="I3833">
        <v>0</v>
      </c>
      <c r="J3833">
        <v>50.828699999999998</v>
      </c>
      <c r="K3833">
        <v>537.48500000000001</v>
      </c>
      <c r="L3833">
        <v>0</v>
      </c>
    </row>
    <row r="3834" spans="1:12" x14ac:dyDescent="0.25">
      <c r="A3834">
        <f>80822958*0.00001</f>
        <v>808.22958000000006</v>
      </c>
      <c r="B3834">
        <v>3513</v>
      </c>
      <c r="C3834">
        <v>152</v>
      </c>
      <c r="D3834">
        <v>249.13900000000001</v>
      </c>
      <c r="E3834">
        <v>5285</v>
      </c>
      <c r="F3834">
        <v>1617</v>
      </c>
      <c r="G3834" s="1">
        <f>1</f>
        <v>1</v>
      </c>
      <c r="H3834">
        <v>0.2</v>
      </c>
      <c r="I3834">
        <v>0</v>
      </c>
      <c r="J3834">
        <v>50.828699999999998</v>
      </c>
      <c r="K3834">
        <v>537.48500000000001</v>
      </c>
      <c r="L3834">
        <v>0</v>
      </c>
    </row>
    <row r="3835" spans="1:12" x14ac:dyDescent="0.25">
      <c r="A3835">
        <f>80823091*0.00001</f>
        <v>808.23091000000011</v>
      </c>
      <c r="B3835">
        <v>3513</v>
      </c>
      <c r="C3835">
        <v>153</v>
      </c>
      <c r="D3835">
        <v>249.13900000000001</v>
      </c>
      <c r="E3835">
        <v>5285</v>
      </c>
      <c r="F3835">
        <v>1617</v>
      </c>
      <c r="G3835">
        <v>1</v>
      </c>
      <c r="H3835">
        <v>0.2</v>
      </c>
      <c r="I3835" s="1">
        <f>0</f>
        <v>0</v>
      </c>
      <c r="J3835">
        <v>50.828699999999998</v>
      </c>
      <c r="K3835">
        <v>537.48500000000001</v>
      </c>
      <c r="L3835">
        <v>0</v>
      </c>
    </row>
    <row r="3836" spans="1:12" x14ac:dyDescent="0.25">
      <c r="A3836">
        <f>80823224*0.00001</f>
        <v>808.23224000000005</v>
      </c>
      <c r="B3836">
        <v>3513</v>
      </c>
      <c r="C3836">
        <v>154</v>
      </c>
      <c r="D3836">
        <v>249.13900000000001</v>
      </c>
      <c r="E3836">
        <v>5285</v>
      </c>
      <c r="F3836">
        <v>1617</v>
      </c>
      <c r="G3836">
        <v>1</v>
      </c>
      <c r="H3836">
        <v>0.2</v>
      </c>
      <c r="I3836">
        <v>0</v>
      </c>
      <c r="J3836">
        <v>50.828699999999998</v>
      </c>
      <c r="K3836" s="1">
        <f>537.607</f>
        <v>537.60699999999997</v>
      </c>
      <c r="L3836">
        <v>0</v>
      </c>
    </row>
    <row r="3837" spans="1:12" x14ac:dyDescent="0.25">
      <c r="A3837">
        <f>80823358*0.00001</f>
        <v>808.23358000000007</v>
      </c>
      <c r="B3837">
        <v>3513</v>
      </c>
      <c r="C3837">
        <v>155</v>
      </c>
      <c r="D3837" s="1">
        <f>249.222</f>
        <v>249.22200000000001</v>
      </c>
      <c r="E3837">
        <v>5285</v>
      </c>
      <c r="F3837">
        <v>1617</v>
      </c>
      <c r="G3837">
        <v>1</v>
      </c>
      <c r="H3837">
        <v>0.2</v>
      </c>
      <c r="I3837">
        <v>0</v>
      </c>
      <c r="J3837">
        <v>50.828699999999998</v>
      </c>
      <c r="K3837">
        <v>537.60699999999997</v>
      </c>
      <c r="L3837">
        <v>0</v>
      </c>
    </row>
    <row r="3838" spans="1:12" x14ac:dyDescent="0.25">
      <c r="A3838">
        <f>80823491*0.00001</f>
        <v>808.23491000000001</v>
      </c>
      <c r="B3838">
        <v>3513</v>
      </c>
      <c r="C3838">
        <v>156</v>
      </c>
      <c r="D3838">
        <v>249.22200000000001</v>
      </c>
      <c r="E3838">
        <v>5285</v>
      </c>
      <c r="F3838" s="1">
        <f>1617</f>
        <v>1617</v>
      </c>
      <c r="G3838">
        <v>1</v>
      </c>
      <c r="H3838">
        <v>0.2</v>
      </c>
      <c r="I3838">
        <v>0</v>
      </c>
      <c r="J3838">
        <v>50.828699999999998</v>
      </c>
      <c r="K3838">
        <v>537.60699999999997</v>
      </c>
      <c r="L3838">
        <v>0</v>
      </c>
    </row>
    <row r="3839" spans="1:12" x14ac:dyDescent="0.25">
      <c r="A3839">
        <f>80823624*0.00001</f>
        <v>808.23624000000007</v>
      </c>
      <c r="B3839">
        <v>3513</v>
      </c>
      <c r="C3839">
        <v>157</v>
      </c>
      <c r="D3839">
        <v>249.22200000000001</v>
      </c>
      <c r="E3839">
        <v>5285</v>
      </c>
      <c r="F3839">
        <v>1617</v>
      </c>
      <c r="G3839">
        <v>1</v>
      </c>
      <c r="H3839" s="1">
        <f>0.2</f>
        <v>0.2</v>
      </c>
      <c r="I3839">
        <v>0</v>
      </c>
      <c r="J3839">
        <v>50.828699999999998</v>
      </c>
      <c r="K3839">
        <v>537.60699999999997</v>
      </c>
      <c r="L3839">
        <v>0</v>
      </c>
    </row>
    <row r="3840" spans="1:12" x14ac:dyDescent="0.25">
      <c r="A3840">
        <f>80823757*0.00001</f>
        <v>808.23757000000012</v>
      </c>
      <c r="B3840">
        <v>3513</v>
      </c>
      <c r="C3840">
        <v>158</v>
      </c>
      <c r="D3840">
        <v>249.22200000000001</v>
      </c>
      <c r="E3840">
        <v>5285</v>
      </c>
      <c r="F3840">
        <v>1617</v>
      </c>
      <c r="G3840">
        <v>1</v>
      </c>
      <c r="H3840">
        <v>0.2</v>
      </c>
      <c r="I3840">
        <v>0</v>
      </c>
      <c r="J3840" s="1">
        <f>50.758</f>
        <v>50.758000000000003</v>
      </c>
      <c r="K3840">
        <v>537.60699999999997</v>
      </c>
      <c r="L3840">
        <v>0</v>
      </c>
    </row>
    <row r="3841" spans="1:12" x14ac:dyDescent="0.25">
      <c r="A3841">
        <f>80823890*0.00001</f>
        <v>808.23890000000006</v>
      </c>
      <c r="B3841">
        <v>3513</v>
      </c>
      <c r="C3841">
        <v>158</v>
      </c>
      <c r="D3841">
        <v>249.22200000000001</v>
      </c>
      <c r="E3841">
        <v>5285</v>
      </c>
      <c r="F3841">
        <v>1617</v>
      </c>
      <c r="G3841">
        <v>1</v>
      </c>
      <c r="H3841">
        <v>0.2</v>
      </c>
      <c r="I3841">
        <v>0</v>
      </c>
      <c r="J3841">
        <v>50.758000000000003</v>
      </c>
      <c r="K3841">
        <v>537.60699999999997</v>
      </c>
      <c r="L3841" s="1">
        <f>0</f>
        <v>0</v>
      </c>
    </row>
    <row r="3842" spans="1:12" x14ac:dyDescent="0.25">
      <c r="A3842">
        <f>80824023*0.00001</f>
        <v>808.24023000000011</v>
      </c>
      <c r="B3842">
        <v>3513</v>
      </c>
      <c r="C3842">
        <v>160</v>
      </c>
      <c r="D3842">
        <v>249.22200000000001</v>
      </c>
      <c r="E3842" s="1">
        <f>5284</f>
        <v>5284</v>
      </c>
      <c r="F3842">
        <v>1617</v>
      </c>
      <c r="G3842">
        <v>1</v>
      </c>
      <c r="H3842">
        <v>0.2</v>
      </c>
      <c r="I3842">
        <v>0</v>
      </c>
      <c r="J3842">
        <v>50.758000000000003</v>
      </c>
      <c r="K3842">
        <v>537.60699999999997</v>
      </c>
      <c r="L3842">
        <v>0</v>
      </c>
    </row>
    <row r="3843" spans="1:12" x14ac:dyDescent="0.25">
      <c r="A3843">
        <f>80824156*0.00001</f>
        <v>808.24156000000005</v>
      </c>
      <c r="B3843">
        <v>3513</v>
      </c>
      <c r="C3843">
        <v>161</v>
      </c>
      <c r="D3843">
        <v>249.22200000000001</v>
      </c>
      <c r="E3843">
        <v>5284</v>
      </c>
      <c r="F3843">
        <v>1617</v>
      </c>
      <c r="G3843" s="1">
        <f>1</f>
        <v>1</v>
      </c>
      <c r="H3843">
        <v>0.2</v>
      </c>
      <c r="I3843">
        <v>0</v>
      </c>
      <c r="J3843">
        <v>50.758000000000003</v>
      </c>
      <c r="K3843">
        <v>537.60699999999997</v>
      </c>
      <c r="L3843">
        <v>0</v>
      </c>
    </row>
    <row r="3844" spans="1:12" x14ac:dyDescent="0.25">
      <c r="A3844">
        <f>80824289*0.00001</f>
        <v>808.2428900000001</v>
      </c>
      <c r="B3844">
        <v>3513</v>
      </c>
      <c r="C3844">
        <v>162</v>
      </c>
      <c r="D3844">
        <v>249.22200000000001</v>
      </c>
      <c r="E3844">
        <v>5284</v>
      </c>
      <c r="F3844">
        <v>1617</v>
      </c>
      <c r="G3844">
        <v>1</v>
      </c>
      <c r="H3844">
        <v>0.2</v>
      </c>
      <c r="I3844" s="1">
        <f>0</f>
        <v>0</v>
      </c>
      <c r="J3844">
        <v>50.758000000000003</v>
      </c>
      <c r="K3844">
        <v>537.60699999999997</v>
      </c>
      <c r="L3844">
        <v>0</v>
      </c>
    </row>
    <row r="3845" spans="1:12" x14ac:dyDescent="0.25">
      <c r="A3845">
        <f>80824423*0.00001</f>
        <v>808.24423000000002</v>
      </c>
      <c r="B3845">
        <v>3513</v>
      </c>
      <c r="C3845">
        <v>163</v>
      </c>
      <c r="D3845">
        <v>249.22200000000001</v>
      </c>
      <c r="E3845">
        <v>5284</v>
      </c>
      <c r="F3845">
        <v>1617</v>
      </c>
      <c r="G3845">
        <v>1</v>
      </c>
      <c r="H3845">
        <v>0.2</v>
      </c>
      <c r="I3845">
        <v>0</v>
      </c>
      <c r="J3845">
        <v>50.758000000000003</v>
      </c>
      <c r="K3845" s="1">
        <f>537.729</f>
        <v>537.72900000000004</v>
      </c>
      <c r="L3845">
        <v>0</v>
      </c>
    </row>
    <row r="3846" spans="1:12" x14ac:dyDescent="0.25">
      <c r="A3846">
        <f>80824556*0.00001</f>
        <v>808.24556000000007</v>
      </c>
      <c r="B3846">
        <v>3513</v>
      </c>
      <c r="C3846">
        <v>164</v>
      </c>
      <c r="D3846" s="1">
        <f>249.278</f>
        <v>249.27799999999999</v>
      </c>
      <c r="E3846">
        <v>5284</v>
      </c>
      <c r="F3846">
        <v>1617</v>
      </c>
      <c r="G3846">
        <v>1</v>
      </c>
      <c r="H3846">
        <v>0.2</v>
      </c>
      <c r="I3846">
        <v>0</v>
      </c>
      <c r="J3846">
        <v>50.758000000000003</v>
      </c>
      <c r="K3846">
        <v>537.72900000000004</v>
      </c>
      <c r="L3846">
        <v>0</v>
      </c>
    </row>
    <row r="3847" spans="1:12" x14ac:dyDescent="0.25">
      <c r="A3847">
        <f>80824689*0.00001</f>
        <v>808.24689000000012</v>
      </c>
      <c r="B3847">
        <v>3513</v>
      </c>
      <c r="C3847">
        <v>165</v>
      </c>
      <c r="D3847">
        <v>249.27799999999999</v>
      </c>
      <c r="E3847">
        <v>5284</v>
      </c>
      <c r="F3847" s="1">
        <f>1618</f>
        <v>1618</v>
      </c>
      <c r="G3847">
        <v>1</v>
      </c>
      <c r="H3847">
        <v>0.2</v>
      </c>
      <c r="I3847">
        <v>0</v>
      </c>
      <c r="J3847">
        <v>50.758000000000003</v>
      </c>
      <c r="K3847">
        <v>537.72900000000004</v>
      </c>
      <c r="L3847">
        <v>0</v>
      </c>
    </row>
    <row r="3848" spans="1:12" x14ac:dyDescent="0.25">
      <c r="A3848">
        <f>80824822*0.00001</f>
        <v>808.24822000000006</v>
      </c>
      <c r="B3848">
        <v>3513</v>
      </c>
      <c r="C3848">
        <v>166</v>
      </c>
      <c r="D3848">
        <v>249.27799999999999</v>
      </c>
      <c r="E3848">
        <v>5284</v>
      </c>
      <c r="F3848">
        <v>1618</v>
      </c>
      <c r="G3848">
        <v>1</v>
      </c>
      <c r="H3848" s="1">
        <f>0.2</f>
        <v>0.2</v>
      </c>
      <c r="I3848">
        <v>0</v>
      </c>
      <c r="J3848">
        <v>50.758000000000003</v>
      </c>
      <c r="K3848">
        <v>537.72900000000004</v>
      </c>
      <c r="L3848">
        <v>0</v>
      </c>
    </row>
    <row r="3849" spans="1:12" x14ac:dyDescent="0.25">
      <c r="A3849">
        <f>80824955*0.00001</f>
        <v>808.24955000000011</v>
      </c>
      <c r="B3849">
        <v>3513</v>
      </c>
      <c r="C3849">
        <v>167</v>
      </c>
      <c r="D3849">
        <v>249.27799999999999</v>
      </c>
      <c r="E3849">
        <v>5284</v>
      </c>
      <c r="F3849">
        <v>1618</v>
      </c>
      <c r="G3849">
        <v>1</v>
      </c>
      <c r="H3849">
        <v>0.2</v>
      </c>
      <c r="I3849">
        <v>0</v>
      </c>
      <c r="J3849" s="1">
        <f>50.7101</f>
        <v>50.710099999999997</v>
      </c>
      <c r="K3849">
        <v>537.72900000000004</v>
      </c>
      <c r="L3849">
        <v>0</v>
      </c>
    </row>
    <row r="3850" spans="1:12" x14ac:dyDescent="0.25">
      <c r="A3850">
        <f>80825088*0.00001</f>
        <v>808.25088000000005</v>
      </c>
      <c r="B3850">
        <v>3513</v>
      </c>
      <c r="C3850">
        <v>168</v>
      </c>
      <c r="D3850">
        <v>249.27799999999999</v>
      </c>
      <c r="E3850">
        <v>5284</v>
      </c>
      <c r="F3850">
        <v>1618</v>
      </c>
      <c r="G3850">
        <v>1</v>
      </c>
      <c r="H3850">
        <v>0.2</v>
      </c>
      <c r="I3850">
        <v>0</v>
      </c>
      <c r="J3850">
        <v>50.710099999999997</v>
      </c>
      <c r="K3850">
        <v>537.72900000000004</v>
      </c>
      <c r="L3850" s="1">
        <f>0</f>
        <v>0</v>
      </c>
    </row>
    <row r="3851" spans="1:12" x14ac:dyDescent="0.25">
      <c r="A3851">
        <f>80825221*0.00001</f>
        <v>808.2522100000001</v>
      </c>
      <c r="B3851">
        <v>3513</v>
      </c>
      <c r="C3851">
        <v>169</v>
      </c>
      <c r="D3851">
        <v>249.27799999999999</v>
      </c>
      <c r="E3851" s="1">
        <f>5284</f>
        <v>5284</v>
      </c>
      <c r="F3851">
        <v>1618</v>
      </c>
      <c r="G3851">
        <v>1</v>
      </c>
      <c r="H3851">
        <v>0.2</v>
      </c>
      <c r="I3851">
        <v>0</v>
      </c>
      <c r="J3851">
        <v>50.710099999999997</v>
      </c>
      <c r="K3851">
        <v>537.72900000000004</v>
      </c>
      <c r="L3851">
        <v>0</v>
      </c>
    </row>
    <row r="3852" spans="1:12" x14ac:dyDescent="0.25">
      <c r="A3852">
        <f>80825355*0.00001</f>
        <v>808.25355000000002</v>
      </c>
      <c r="B3852">
        <v>3513</v>
      </c>
      <c r="C3852">
        <v>170</v>
      </c>
      <c r="D3852">
        <v>249.27799999999999</v>
      </c>
      <c r="E3852">
        <v>5284</v>
      </c>
      <c r="F3852">
        <v>1618</v>
      </c>
      <c r="G3852" s="1">
        <f>1</f>
        <v>1</v>
      </c>
      <c r="H3852">
        <v>0.2</v>
      </c>
      <c r="I3852">
        <v>0</v>
      </c>
      <c r="J3852">
        <v>50.710099999999997</v>
      </c>
      <c r="K3852">
        <v>537.72900000000004</v>
      </c>
      <c r="L3852">
        <v>0</v>
      </c>
    </row>
    <row r="3853" spans="1:12" x14ac:dyDescent="0.25">
      <c r="A3853">
        <f>80825488*0.00001</f>
        <v>808.25488000000007</v>
      </c>
      <c r="B3853">
        <v>3513</v>
      </c>
      <c r="C3853">
        <v>171</v>
      </c>
      <c r="D3853">
        <v>249.27799999999999</v>
      </c>
      <c r="E3853">
        <v>5284</v>
      </c>
      <c r="F3853">
        <v>1618</v>
      </c>
      <c r="G3853">
        <v>1</v>
      </c>
      <c r="H3853">
        <v>0.2</v>
      </c>
      <c r="I3853" s="1">
        <f>0</f>
        <v>0</v>
      </c>
      <c r="J3853">
        <v>50.710099999999997</v>
      </c>
      <c r="K3853">
        <v>537.72900000000004</v>
      </c>
      <c r="L3853">
        <v>0</v>
      </c>
    </row>
    <row r="3854" spans="1:12" x14ac:dyDescent="0.25">
      <c r="A3854">
        <f>80825621*0.00001</f>
        <v>808.25621000000001</v>
      </c>
      <c r="B3854">
        <v>3513</v>
      </c>
      <c r="C3854">
        <v>172</v>
      </c>
      <c r="D3854">
        <v>249.27799999999999</v>
      </c>
      <c r="E3854">
        <v>5284</v>
      </c>
      <c r="F3854">
        <v>1618</v>
      </c>
      <c r="G3854">
        <v>1</v>
      </c>
      <c r="H3854">
        <v>0.2</v>
      </c>
      <c r="I3854">
        <v>0</v>
      </c>
      <c r="J3854">
        <v>50.710099999999997</v>
      </c>
      <c r="K3854" s="1">
        <f>537.851</f>
        <v>537.851</v>
      </c>
      <c r="L3854">
        <v>0</v>
      </c>
    </row>
    <row r="3855" spans="1:12" x14ac:dyDescent="0.25">
      <c r="A3855">
        <f>80825754*0.00001</f>
        <v>808.25754000000006</v>
      </c>
      <c r="B3855">
        <v>3513</v>
      </c>
      <c r="C3855">
        <v>173</v>
      </c>
      <c r="D3855" s="1">
        <f>249.309</f>
        <v>249.309</v>
      </c>
      <c r="E3855">
        <v>5284</v>
      </c>
      <c r="F3855">
        <v>1618</v>
      </c>
      <c r="G3855">
        <v>1</v>
      </c>
      <c r="H3855">
        <v>0.2</v>
      </c>
      <c r="I3855">
        <v>0</v>
      </c>
      <c r="J3855">
        <v>50.710099999999997</v>
      </c>
      <c r="K3855">
        <v>537.851</v>
      </c>
      <c r="L3855">
        <v>0</v>
      </c>
    </row>
    <row r="3856" spans="1:12" x14ac:dyDescent="0.25">
      <c r="A3856">
        <f>80825888*0.00001</f>
        <v>808.25888000000009</v>
      </c>
      <c r="B3856">
        <v>3513</v>
      </c>
      <c r="C3856">
        <v>174</v>
      </c>
      <c r="D3856">
        <v>249.309</v>
      </c>
      <c r="E3856">
        <v>5284</v>
      </c>
      <c r="F3856" s="1">
        <f>1618</f>
        <v>1618</v>
      </c>
      <c r="G3856">
        <v>1</v>
      </c>
      <c r="H3856">
        <v>0.2</v>
      </c>
      <c r="I3856">
        <v>0</v>
      </c>
      <c r="J3856">
        <v>50.710099999999997</v>
      </c>
      <c r="K3856">
        <v>537.851</v>
      </c>
      <c r="L3856">
        <v>0</v>
      </c>
    </row>
    <row r="3857" spans="1:12" x14ac:dyDescent="0.25">
      <c r="A3857">
        <f>80826021*0.00001</f>
        <v>808.26021000000003</v>
      </c>
      <c r="B3857">
        <v>3513</v>
      </c>
      <c r="C3857">
        <v>175</v>
      </c>
      <c r="D3857">
        <v>249.309</v>
      </c>
      <c r="E3857">
        <v>5284</v>
      </c>
      <c r="F3857">
        <v>1618</v>
      </c>
      <c r="G3857">
        <v>1</v>
      </c>
      <c r="H3857" s="1">
        <f>0.2</f>
        <v>0.2</v>
      </c>
      <c r="I3857">
        <v>0</v>
      </c>
      <c r="J3857">
        <v>50.710099999999997</v>
      </c>
      <c r="K3857">
        <v>537.851</v>
      </c>
      <c r="L3857">
        <v>0</v>
      </c>
    </row>
    <row r="3858" spans="1:12" x14ac:dyDescent="0.25">
      <c r="A3858">
        <f>80826154*0.00001</f>
        <v>808.26154000000008</v>
      </c>
      <c r="B3858">
        <v>3513</v>
      </c>
      <c r="C3858">
        <v>176</v>
      </c>
      <c r="D3858">
        <v>249.309</v>
      </c>
      <c r="E3858">
        <v>5284</v>
      </c>
      <c r="F3858">
        <v>1618</v>
      </c>
      <c r="G3858">
        <v>1</v>
      </c>
      <c r="H3858">
        <v>0.2</v>
      </c>
      <c r="I3858">
        <v>0</v>
      </c>
      <c r="J3858" s="1">
        <f>50.6832</f>
        <v>50.683199999999999</v>
      </c>
      <c r="K3858">
        <v>537.851</v>
      </c>
      <c r="L3858">
        <v>0</v>
      </c>
    </row>
    <row r="3859" spans="1:12" x14ac:dyDescent="0.25">
      <c r="A3859">
        <f>80826287*0.00001</f>
        <v>808.26287000000002</v>
      </c>
      <c r="B3859">
        <v>3513</v>
      </c>
      <c r="C3859">
        <v>177</v>
      </c>
      <c r="D3859">
        <v>249.309</v>
      </c>
      <c r="E3859">
        <v>5284</v>
      </c>
      <c r="F3859">
        <v>1618</v>
      </c>
      <c r="G3859">
        <v>1</v>
      </c>
      <c r="H3859">
        <v>0.2</v>
      </c>
      <c r="I3859">
        <v>0</v>
      </c>
      <c r="J3859">
        <v>50.683199999999999</v>
      </c>
      <c r="K3859">
        <v>537.851</v>
      </c>
      <c r="L3859" s="1">
        <f>0</f>
        <v>0</v>
      </c>
    </row>
    <row r="3860" spans="1:12" x14ac:dyDescent="0.25">
      <c r="A3860">
        <f>80826420*0.00001</f>
        <v>808.26420000000007</v>
      </c>
      <c r="B3860">
        <v>3513</v>
      </c>
      <c r="C3860">
        <v>178</v>
      </c>
      <c r="D3860">
        <v>249.309</v>
      </c>
      <c r="E3860" s="1">
        <f>5284</f>
        <v>5284</v>
      </c>
      <c r="F3860" s="1">
        <f>1618</f>
        <v>1618</v>
      </c>
      <c r="G3860" s="1">
        <f>1</f>
        <v>1</v>
      </c>
      <c r="H3860">
        <v>0.2</v>
      </c>
      <c r="I3860">
        <v>0</v>
      </c>
      <c r="J3860">
        <v>50.683199999999999</v>
      </c>
      <c r="K3860">
        <v>537.851</v>
      </c>
      <c r="L3860">
        <v>0</v>
      </c>
    </row>
    <row r="3861" spans="1:12" s="2" customFormat="1" x14ac:dyDescent="0.25">
      <c r="A3861" s="2">
        <f>80826687*0.00001</f>
        <v>808.26687000000004</v>
      </c>
      <c r="B3861" s="2">
        <v>3514</v>
      </c>
      <c r="C3861" s="2">
        <v>0</v>
      </c>
      <c r="D3861" s="2">
        <v>249.309</v>
      </c>
      <c r="E3861" s="2">
        <v>5284</v>
      </c>
      <c r="F3861" s="2">
        <v>1618</v>
      </c>
      <c r="G3861" s="2">
        <v>1</v>
      </c>
      <c r="H3861" s="2">
        <v>0.2</v>
      </c>
      <c r="I3861" s="1">
        <f>0</f>
        <v>0</v>
      </c>
      <c r="J3861" s="2">
        <v>50.683199999999999</v>
      </c>
      <c r="K3861" s="2">
        <v>537.851</v>
      </c>
      <c r="L3861" s="2">
        <v>0</v>
      </c>
    </row>
    <row r="3862" spans="1:12" x14ac:dyDescent="0.25">
      <c r="A3862">
        <f>80826821*0.00001</f>
        <v>808.26821000000007</v>
      </c>
      <c r="B3862">
        <v>3514</v>
      </c>
      <c r="C3862">
        <v>1</v>
      </c>
      <c r="D3862">
        <v>249.309</v>
      </c>
      <c r="E3862">
        <v>5284</v>
      </c>
      <c r="F3862">
        <v>1618</v>
      </c>
      <c r="G3862">
        <v>1</v>
      </c>
      <c r="H3862">
        <v>0.2</v>
      </c>
      <c r="I3862">
        <v>0</v>
      </c>
      <c r="J3862">
        <v>50.683199999999999</v>
      </c>
      <c r="K3862" s="1">
        <f>537.946</f>
        <v>537.94600000000003</v>
      </c>
      <c r="L3862">
        <v>0</v>
      </c>
    </row>
    <row r="3863" spans="1:12" x14ac:dyDescent="0.25">
      <c r="A3863">
        <f>80826954*0.00001</f>
        <v>808.26954000000012</v>
      </c>
      <c r="B3863">
        <v>3514</v>
      </c>
      <c r="C3863">
        <v>2</v>
      </c>
      <c r="D3863" s="1">
        <f>249.327</f>
        <v>249.327</v>
      </c>
      <c r="E3863">
        <v>5284</v>
      </c>
      <c r="F3863">
        <v>1618</v>
      </c>
      <c r="G3863">
        <v>1</v>
      </c>
      <c r="H3863">
        <v>0.2</v>
      </c>
      <c r="I3863">
        <v>0</v>
      </c>
      <c r="J3863">
        <v>50.683199999999999</v>
      </c>
      <c r="K3863">
        <v>537.94600000000003</v>
      </c>
      <c r="L3863">
        <v>0</v>
      </c>
    </row>
    <row r="3864" spans="1:12" x14ac:dyDescent="0.25">
      <c r="A3864">
        <f>80827087*0.00001</f>
        <v>808.27087000000006</v>
      </c>
      <c r="B3864">
        <v>3514</v>
      </c>
      <c r="C3864">
        <v>3</v>
      </c>
      <c r="D3864">
        <v>249.327</v>
      </c>
      <c r="E3864">
        <v>5284</v>
      </c>
      <c r="F3864" s="1">
        <f>1618</f>
        <v>1618</v>
      </c>
      <c r="G3864">
        <v>1</v>
      </c>
      <c r="H3864">
        <v>0.2</v>
      </c>
      <c r="I3864">
        <v>0</v>
      </c>
      <c r="J3864">
        <v>50.683199999999999</v>
      </c>
      <c r="K3864">
        <v>537.94600000000003</v>
      </c>
      <c r="L3864">
        <v>0</v>
      </c>
    </row>
    <row r="3865" spans="1:12" x14ac:dyDescent="0.25">
      <c r="A3865">
        <f>80827220*0.00001</f>
        <v>808.27220000000011</v>
      </c>
      <c r="B3865">
        <v>3514</v>
      </c>
      <c r="C3865">
        <v>4</v>
      </c>
      <c r="D3865">
        <v>249.327</v>
      </c>
      <c r="E3865">
        <v>5284</v>
      </c>
      <c r="F3865">
        <v>1618</v>
      </c>
      <c r="G3865">
        <v>1</v>
      </c>
      <c r="H3865" s="1">
        <f>0.2</f>
        <v>0.2</v>
      </c>
      <c r="I3865">
        <v>0</v>
      </c>
      <c r="J3865">
        <v>50.683199999999999</v>
      </c>
      <c r="K3865">
        <v>537.94600000000003</v>
      </c>
      <c r="L3865">
        <v>0</v>
      </c>
    </row>
    <row r="3866" spans="1:12" x14ac:dyDescent="0.25">
      <c r="A3866">
        <f>80827354*0.00001</f>
        <v>808.27354000000003</v>
      </c>
      <c r="B3866">
        <v>3514</v>
      </c>
      <c r="C3866">
        <v>5</v>
      </c>
      <c r="D3866">
        <v>249.327</v>
      </c>
      <c r="E3866">
        <v>5284</v>
      </c>
      <c r="F3866">
        <v>1618</v>
      </c>
      <c r="G3866">
        <v>1</v>
      </c>
      <c r="H3866">
        <v>0.2</v>
      </c>
      <c r="I3866">
        <v>0</v>
      </c>
      <c r="J3866" s="1">
        <f>50.6682</f>
        <v>50.668199999999999</v>
      </c>
      <c r="K3866">
        <v>537.94600000000003</v>
      </c>
      <c r="L3866">
        <v>0</v>
      </c>
    </row>
    <row r="3867" spans="1:12" x14ac:dyDescent="0.25">
      <c r="A3867">
        <f>80827487*0.00001</f>
        <v>808.27487000000008</v>
      </c>
      <c r="B3867">
        <v>3514</v>
      </c>
      <c r="C3867">
        <v>6</v>
      </c>
      <c r="D3867">
        <v>249.327</v>
      </c>
      <c r="E3867">
        <v>5284</v>
      </c>
      <c r="F3867">
        <v>1618</v>
      </c>
      <c r="G3867">
        <v>1</v>
      </c>
      <c r="H3867">
        <v>0.2</v>
      </c>
      <c r="I3867">
        <v>0</v>
      </c>
      <c r="J3867">
        <v>50.668199999999999</v>
      </c>
      <c r="K3867">
        <v>537.94600000000003</v>
      </c>
      <c r="L3867" s="1">
        <f>0</f>
        <v>0</v>
      </c>
    </row>
    <row r="3868" spans="1:12" x14ac:dyDescent="0.25">
      <c r="A3868">
        <f>80827620*0.00001</f>
        <v>808.27620000000002</v>
      </c>
      <c r="B3868">
        <v>3514</v>
      </c>
      <c r="C3868">
        <v>7</v>
      </c>
      <c r="D3868">
        <v>249.327</v>
      </c>
      <c r="E3868" s="1">
        <f>5284</f>
        <v>5284</v>
      </c>
      <c r="F3868">
        <v>1618</v>
      </c>
      <c r="G3868">
        <v>1</v>
      </c>
      <c r="H3868">
        <v>0.2</v>
      </c>
      <c r="I3868">
        <v>0</v>
      </c>
      <c r="J3868">
        <v>50.668199999999999</v>
      </c>
      <c r="K3868">
        <v>537.94600000000003</v>
      </c>
      <c r="L3868">
        <v>0</v>
      </c>
    </row>
    <row r="3869" spans="1:12" x14ac:dyDescent="0.25">
      <c r="A3869">
        <f>80827753*0.00001</f>
        <v>808.27753000000007</v>
      </c>
      <c r="B3869">
        <v>3514</v>
      </c>
      <c r="C3869">
        <v>8</v>
      </c>
      <c r="D3869">
        <v>249.327</v>
      </c>
      <c r="E3869">
        <v>5284</v>
      </c>
      <c r="F3869">
        <v>1618</v>
      </c>
      <c r="G3869" s="1">
        <f>1</f>
        <v>1</v>
      </c>
      <c r="H3869">
        <v>0.2</v>
      </c>
      <c r="I3869">
        <v>0</v>
      </c>
      <c r="J3869">
        <v>50.668199999999999</v>
      </c>
      <c r="K3869">
        <v>537.94600000000003</v>
      </c>
      <c r="L3869">
        <v>0</v>
      </c>
    </row>
    <row r="3870" spans="1:12" x14ac:dyDescent="0.25">
      <c r="A3870">
        <f>80827886*0.00001</f>
        <v>808.27886000000012</v>
      </c>
      <c r="B3870">
        <v>3514</v>
      </c>
      <c r="C3870">
        <v>9</v>
      </c>
      <c r="D3870">
        <v>249.327</v>
      </c>
      <c r="E3870">
        <v>5284</v>
      </c>
      <c r="F3870">
        <v>1618</v>
      </c>
      <c r="G3870">
        <v>1</v>
      </c>
      <c r="H3870">
        <v>0.2</v>
      </c>
      <c r="I3870" s="1">
        <f>0</f>
        <v>0</v>
      </c>
      <c r="J3870">
        <v>50.668199999999999</v>
      </c>
      <c r="K3870">
        <v>537.94600000000003</v>
      </c>
      <c r="L3870">
        <v>0</v>
      </c>
    </row>
    <row r="3871" spans="1:12" x14ac:dyDescent="0.25">
      <c r="A3871">
        <f>80828019*0.00001</f>
        <v>808.28019000000006</v>
      </c>
      <c r="B3871">
        <v>3514</v>
      </c>
      <c r="C3871">
        <v>10</v>
      </c>
      <c r="D3871">
        <v>249.327</v>
      </c>
      <c r="E3871">
        <v>5284</v>
      </c>
      <c r="F3871">
        <v>1618</v>
      </c>
      <c r="G3871">
        <v>1</v>
      </c>
      <c r="H3871">
        <v>0.2</v>
      </c>
      <c r="I3871">
        <v>0</v>
      </c>
      <c r="J3871">
        <v>50.668199999999999</v>
      </c>
      <c r="K3871" s="1">
        <f>538.068</f>
        <v>538.06799999999998</v>
      </c>
      <c r="L3871">
        <v>0</v>
      </c>
    </row>
    <row r="3872" spans="1:12" x14ac:dyDescent="0.25">
      <c r="A3872">
        <f>80828152*0.00001</f>
        <v>808.28152000000011</v>
      </c>
      <c r="B3872">
        <v>3514</v>
      </c>
      <c r="C3872">
        <v>11</v>
      </c>
      <c r="D3872" s="1">
        <f>249.393</f>
        <v>249.393</v>
      </c>
      <c r="E3872">
        <v>5284</v>
      </c>
      <c r="F3872">
        <v>1618</v>
      </c>
      <c r="G3872">
        <v>1</v>
      </c>
      <c r="H3872">
        <v>0.2</v>
      </c>
      <c r="I3872">
        <v>0</v>
      </c>
      <c r="J3872">
        <v>50.668199999999999</v>
      </c>
      <c r="K3872">
        <v>538.06799999999998</v>
      </c>
      <c r="L3872">
        <v>0</v>
      </c>
    </row>
    <row r="3873" spans="1:12" x14ac:dyDescent="0.25">
      <c r="A3873">
        <f>80828285*0.00001</f>
        <v>808.28285000000005</v>
      </c>
      <c r="B3873">
        <v>3514</v>
      </c>
      <c r="C3873">
        <v>12</v>
      </c>
      <c r="D3873">
        <v>249.393</v>
      </c>
      <c r="E3873">
        <v>5284</v>
      </c>
      <c r="F3873" s="1">
        <f>1618</f>
        <v>1618</v>
      </c>
      <c r="G3873">
        <v>1</v>
      </c>
      <c r="H3873">
        <v>0.2</v>
      </c>
      <c r="I3873">
        <v>0</v>
      </c>
      <c r="J3873">
        <v>50.668199999999999</v>
      </c>
      <c r="K3873">
        <v>538.06799999999998</v>
      </c>
      <c r="L3873">
        <v>0</v>
      </c>
    </row>
    <row r="3874" spans="1:12" x14ac:dyDescent="0.25">
      <c r="A3874">
        <f>80828418*0.00001</f>
        <v>808.28418000000011</v>
      </c>
      <c r="B3874">
        <v>3514</v>
      </c>
      <c r="C3874">
        <v>13</v>
      </c>
      <c r="D3874">
        <v>249.393</v>
      </c>
      <c r="E3874">
        <v>5284</v>
      </c>
      <c r="F3874">
        <v>1618</v>
      </c>
      <c r="G3874">
        <v>1</v>
      </c>
      <c r="H3874" s="1">
        <f>0.2</f>
        <v>0.2</v>
      </c>
      <c r="I3874">
        <v>0</v>
      </c>
      <c r="J3874">
        <v>50.668199999999999</v>
      </c>
      <c r="K3874">
        <v>538.06799999999998</v>
      </c>
      <c r="L3874">
        <v>0</v>
      </c>
    </row>
    <row r="3875" spans="1:12" x14ac:dyDescent="0.25">
      <c r="A3875">
        <f>80828551*0.00001</f>
        <v>808.28551000000004</v>
      </c>
      <c r="B3875">
        <v>3514</v>
      </c>
      <c r="C3875">
        <v>14</v>
      </c>
      <c r="D3875">
        <v>249.393</v>
      </c>
      <c r="E3875">
        <v>5284</v>
      </c>
      <c r="F3875">
        <v>1618</v>
      </c>
      <c r="G3875">
        <v>1</v>
      </c>
      <c r="H3875">
        <v>0.2</v>
      </c>
      <c r="I3875">
        <v>0</v>
      </c>
      <c r="J3875" s="1">
        <f>50.5578</f>
        <v>50.5578</v>
      </c>
      <c r="K3875">
        <v>538.06799999999998</v>
      </c>
      <c r="L3875">
        <v>0</v>
      </c>
    </row>
    <row r="3876" spans="1:12" x14ac:dyDescent="0.25">
      <c r="A3876">
        <f>80828684*0.00001</f>
        <v>808.2868400000001</v>
      </c>
      <c r="B3876">
        <v>3514</v>
      </c>
      <c r="C3876">
        <v>15</v>
      </c>
      <c r="D3876">
        <v>249.393</v>
      </c>
      <c r="E3876">
        <v>5284</v>
      </c>
      <c r="F3876">
        <v>1618</v>
      </c>
      <c r="G3876">
        <v>1</v>
      </c>
      <c r="H3876">
        <v>0.2</v>
      </c>
      <c r="I3876">
        <v>0</v>
      </c>
      <c r="J3876">
        <v>50.5578</v>
      </c>
      <c r="K3876">
        <v>538.06799999999998</v>
      </c>
      <c r="L3876" s="1">
        <f>0</f>
        <v>0</v>
      </c>
    </row>
    <row r="3877" spans="1:12" x14ac:dyDescent="0.25">
      <c r="A3877">
        <f>80828817*0.00001</f>
        <v>808.28817000000004</v>
      </c>
      <c r="B3877">
        <v>3514</v>
      </c>
      <c r="C3877">
        <v>16</v>
      </c>
      <c r="D3877">
        <v>249.393</v>
      </c>
      <c r="E3877" s="1">
        <f>5281</f>
        <v>5281</v>
      </c>
      <c r="F3877">
        <v>1618</v>
      </c>
      <c r="G3877">
        <v>1</v>
      </c>
      <c r="H3877">
        <v>0.2</v>
      </c>
      <c r="I3877">
        <v>0</v>
      </c>
      <c r="J3877">
        <v>50.5578</v>
      </c>
      <c r="K3877">
        <v>538.06799999999998</v>
      </c>
      <c r="L3877">
        <v>0</v>
      </c>
    </row>
    <row r="3878" spans="1:12" x14ac:dyDescent="0.25">
      <c r="A3878">
        <f>80828950*0.00001</f>
        <v>808.28950000000009</v>
      </c>
      <c r="B3878">
        <v>3514</v>
      </c>
      <c r="C3878">
        <v>17</v>
      </c>
      <c r="D3878">
        <v>249.393</v>
      </c>
      <c r="E3878">
        <v>5281</v>
      </c>
      <c r="F3878">
        <v>1618</v>
      </c>
      <c r="G3878" s="1">
        <f>1</f>
        <v>1</v>
      </c>
      <c r="H3878">
        <v>0.2</v>
      </c>
      <c r="I3878">
        <v>0</v>
      </c>
      <c r="J3878">
        <v>50.5578</v>
      </c>
      <c r="K3878">
        <v>538.06799999999998</v>
      </c>
      <c r="L3878">
        <v>0</v>
      </c>
    </row>
    <row r="3879" spans="1:12" x14ac:dyDescent="0.25">
      <c r="A3879">
        <f>80829083*0.00001</f>
        <v>808.29083000000003</v>
      </c>
      <c r="B3879">
        <v>3514</v>
      </c>
      <c r="C3879">
        <v>18</v>
      </c>
      <c r="D3879">
        <v>249.393</v>
      </c>
      <c r="E3879">
        <v>5281</v>
      </c>
      <c r="F3879">
        <v>1618</v>
      </c>
      <c r="G3879">
        <v>1</v>
      </c>
      <c r="H3879">
        <v>0.2</v>
      </c>
      <c r="I3879" s="1">
        <f>0</f>
        <v>0</v>
      </c>
      <c r="J3879">
        <v>50.5578</v>
      </c>
      <c r="K3879">
        <v>538.06799999999998</v>
      </c>
      <c r="L3879">
        <v>0</v>
      </c>
    </row>
    <row r="3880" spans="1:12" x14ac:dyDescent="0.25">
      <c r="A3880">
        <f>80829216*0.00001</f>
        <v>808.29216000000008</v>
      </c>
      <c r="B3880">
        <v>3514</v>
      </c>
      <c r="C3880">
        <v>19</v>
      </c>
      <c r="D3880">
        <v>249.393</v>
      </c>
      <c r="E3880">
        <v>5281</v>
      </c>
      <c r="F3880">
        <v>1618</v>
      </c>
      <c r="G3880">
        <v>1</v>
      </c>
      <c r="H3880">
        <v>0.2</v>
      </c>
      <c r="I3880">
        <v>0</v>
      </c>
      <c r="J3880">
        <v>50.5578</v>
      </c>
      <c r="K3880" s="1">
        <f>538.189</f>
        <v>538.18899999999996</v>
      </c>
      <c r="L3880">
        <v>0</v>
      </c>
    </row>
    <row r="3881" spans="1:12" x14ac:dyDescent="0.25">
      <c r="A3881">
        <f>80829349*0.00001</f>
        <v>808.29349000000002</v>
      </c>
      <c r="B3881">
        <v>3514</v>
      </c>
      <c r="C3881">
        <v>20</v>
      </c>
      <c r="D3881" s="1">
        <f>249.52</f>
        <v>249.52</v>
      </c>
      <c r="E3881">
        <v>5281</v>
      </c>
      <c r="F3881">
        <v>1618</v>
      </c>
      <c r="G3881">
        <v>1</v>
      </c>
      <c r="H3881">
        <v>0.2</v>
      </c>
      <c r="I3881">
        <v>0</v>
      </c>
      <c r="J3881">
        <v>50.5578</v>
      </c>
      <c r="K3881">
        <v>538.18899999999996</v>
      </c>
      <c r="L3881">
        <v>0</v>
      </c>
    </row>
    <row r="3882" spans="1:12" x14ac:dyDescent="0.25">
      <c r="A3882">
        <f>80829482*0.00001</f>
        <v>808.29482000000007</v>
      </c>
      <c r="B3882">
        <v>3514</v>
      </c>
      <c r="C3882">
        <v>21</v>
      </c>
      <c r="D3882">
        <v>249.52</v>
      </c>
      <c r="E3882">
        <v>5281</v>
      </c>
      <c r="F3882" s="1">
        <f>1618</f>
        <v>1618</v>
      </c>
      <c r="G3882">
        <v>1</v>
      </c>
      <c r="H3882">
        <v>0.2</v>
      </c>
      <c r="I3882">
        <v>0</v>
      </c>
      <c r="J3882">
        <v>50.5578</v>
      </c>
      <c r="K3882">
        <v>538.18899999999996</v>
      </c>
      <c r="L3882">
        <v>0</v>
      </c>
    </row>
    <row r="3883" spans="1:12" x14ac:dyDescent="0.25">
      <c r="A3883">
        <f>80829615*0.00001</f>
        <v>808.29615000000001</v>
      </c>
      <c r="B3883">
        <v>3514</v>
      </c>
      <c r="C3883">
        <v>22</v>
      </c>
      <c r="D3883">
        <v>249.52</v>
      </c>
      <c r="E3883">
        <v>5281</v>
      </c>
      <c r="F3883">
        <v>1618</v>
      </c>
      <c r="G3883">
        <v>1</v>
      </c>
      <c r="H3883" s="1">
        <f>0.2</f>
        <v>0.2</v>
      </c>
      <c r="I3883">
        <v>0</v>
      </c>
      <c r="J3883">
        <v>50.5578</v>
      </c>
      <c r="K3883">
        <v>538.18899999999996</v>
      </c>
      <c r="L3883">
        <v>0</v>
      </c>
    </row>
    <row r="3884" spans="1:12" x14ac:dyDescent="0.25">
      <c r="A3884">
        <f>80829748*0.00001</f>
        <v>808.29748000000006</v>
      </c>
      <c r="B3884">
        <v>3514</v>
      </c>
      <c r="C3884">
        <v>23</v>
      </c>
      <c r="D3884">
        <v>249.52</v>
      </c>
      <c r="E3884">
        <v>5281</v>
      </c>
      <c r="F3884">
        <v>1618</v>
      </c>
      <c r="G3884">
        <v>1</v>
      </c>
      <c r="H3884">
        <v>0.2</v>
      </c>
      <c r="I3884">
        <v>0</v>
      </c>
      <c r="J3884" s="1">
        <f>50.4491</f>
        <v>50.449100000000001</v>
      </c>
      <c r="K3884">
        <v>538.18899999999996</v>
      </c>
      <c r="L3884">
        <v>0</v>
      </c>
    </row>
    <row r="3885" spans="1:12" x14ac:dyDescent="0.25">
      <c r="A3885">
        <f>80829881*0.00001</f>
        <v>808.29881000000012</v>
      </c>
      <c r="B3885">
        <v>3514</v>
      </c>
      <c r="C3885">
        <v>24</v>
      </c>
      <c r="D3885">
        <v>249.52</v>
      </c>
      <c r="E3885">
        <v>5281</v>
      </c>
      <c r="F3885">
        <v>1618</v>
      </c>
      <c r="G3885">
        <v>1</v>
      </c>
      <c r="H3885">
        <v>0.2</v>
      </c>
      <c r="I3885">
        <v>0</v>
      </c>
      <c r="J3885">
        <v>50.449100000000001</v>
      </c>
      <c r="K3885">
        <v>538.18899999999996</v>
      </c>
      <c r="L3885" s="1">
        <f>0</f>
        <v>0</v>
      </c>
    </row>
    <row r="3886" spans="1:12" x14ac:dyDescent="0.25">
      <c r="A3886">
        <f>80830014*0.00001</f>
        <v>808.30014000000006</v>
      </c>
      <c r="B3886">
        <v>3514</v>
      </c>
      <c r="C3886">
        <v>25</v>
      </c>
      <c r="D3886">
        <v>249.52</v>
      </c>
      <c r="E3886" s="1">
        <f>5279</f>
        <v>5279</v>
      </c>
      <c r="F3886">
        <v>1618</v>
      </c>
      <c r="G3886">
        <v>1</v>
      </c>
      <c r="H3886">
        <v>0.2</v>
      </c>
      <c r="I3886">
        <v>0</v>
      </c>
      <c r="J3886">
        <v>50.449100000000001</v>
      </c>
      <c r="K3886">
        <v>538.18899999999996</v>
      </c>
      <c r="L3886">
        <v>0</v>
      </c>
    </row>
    <row r="3887" spans="1:12" x14ac:dyDescent="0.25">
      <c r="A3887">
        <f>80830147*0.00001</f>
        <v>808.30147000000011</v>
      </c>
      <c r="B3887">
        <v>3514</v>
      </c>
      <c r="C3887">
        <v>26</v>
      </c>
      <c r="D3887">
        <v>249.52</v>
      </c>
      <c r="E3887">
        <v>5279</v>
      </c>
      <c r="F3887">
        <v>1618</v>
      </c>
      <c r="G3887" s="1">
        <f>1</f>
        <v>1</v>
      </c>
      <c r="H3887">
        <v>0.2</v>
      </c>
      <c r="I3887">
        <v>0</v>
      </c>
      <c r="J3887">
        <v>50.449100000000001</v>
      </c>
      <c r="K3887">
        <v>538.18899999999996</v>
      </c>
      <c r="L3887">
        <v>0</v>
      </c>
    </row>
    <row r="3888" spans="1:12" x14ac:dyDescent="0.25">
      <c r="A3888">
        <f>80830280*0.00001</f>
        <v>808.30280000000005</v>
      </c>
      <c r="B3888">
        <v>3514</v>
      </c>
      <c r="C3888">
        <v>27</v>
      </c>
      <c r="D3888">
        <v>249.52</v>
      </c>
      <c r="E3888">
        <v>5279</v>
      </c>
      <c r="F3888">
        <v>1618</v>
      </c>
      <c r="G3888">
        <v>1</v>
      </c>
      <c r="H3888">
        <v>0.2</v>
      </c>
      <c r="I3888" s="1">
        <f>0</f>
        <v>0</v>
      </c>
      <c r="J3888">
        <v>50.449100000000001</v>
      </c>
      <c r="K3888">
        <v>538.18899999999996</v>
      </c>
      <c r="L3888">
        <v>0</v>
      </c>
    </row>
    <row r="3889" spans="1:12" x14ac:dyDescent="0.25">
      <c r="A3889">
        <f>80830412*0.00001</f>
        <v>808.30412000000001</v>
      </c>
      <c r="B3889">
        <v>3514</v>
      </c>
      <c r="C3889">
        <v>28</v>
      </c>
      <c r="D3889">
        <v>249.52</v>
      </c>
      <c r="E3889">
        <v>5279</v>
      </c>
      <c r="F3889">
        <v>1618</v>
      </c>
      <c r="G3889">
        <v>1</v>
      </c>
      <c r="H3889">
        <v>0.2</v>
      </c>
      <c r="I3889">
        <v>0</v>
      </c>
      <c r="J3889">
        <v>50.449100000000001</v>
      </c>
      <c r="K3889" s="1">
        <f>538.31</f>
        <v>538.30999999999995</v>
      </c>
      <c r="L3889">
        <v>0</v>
      </c>
    </row>
    <row r="3890" spans="1:12" x14ac:dyDescent="0.25">
      <c r="A3890">
        <f>80830545*0.00001</f>
        <v>808.30545000000006</v>
      </c>
      <c r="B3890">
        <v>3514</v>
      </c>
      <c r="C3890">
        <v>29</v>
      </c>
      <c r="D3890" s="1">
        <f>249.6</f>
        <v>249.6</v>
      </c>
      <c r="E3890">
        <v>5279</v>
      </c>
      <c r="F3890">
        <v>1618</v>
      </c>
      <c r="G3890">
        <v>1</v>
      </c>
      <c r="H3890">
        <v>0.2</v>
      </c>
      <c r="I3890">
        <v>0</v>
      </c>
      <c r="J3890">
        <v>50.449100000000001</v>
      </c>
      <c r="K3890">
        <v>538.30999999999995</v>
      </c>
      <c r="L3890">
        <v>0</v>
      </c>
    </row>
    <row r="3891" spans="1:12" x14ac:dyDescent="0.25">
      <c r="A3891">
        <f>80830678*0.00001</f>
        <v>808.30678000000012</v>
      </c>
      <c r="B3891">
        <v>3514</v>
      </c>
      <c r="C3891">
        <v>30</v>
      </c>
      <c r="D3891">
        <v>249.6</v>
      </c>
      <c r="E3891">
        <v>5279</v>
      </c>
      <c r="F3891" s="1">
        <f>1618</f>
        <v>1618</v>
      </c>
      <c r="G3891">
        <v>1</v>
      </c>
      <c r="H3891">
        <v>0.2</v>
      </c>
      <c r="I3891">
        <v>0</v>
      </c>
      <c r="J3891">
        <v>50.449100000000001</v>
      </c>
      <c r="K3891">
        <v>538.30999999999995</v>
      </c>
      <c r="L3891">
        <v>0</v>
      </c>
    </row>
    <row r="3892" spans="1:12" x14ac:dyDescent="0.25">
      <c r="A3892">
        <f>80830811*0.00001</f>
        <v>808.30811000000006</v>
      </c>
      <c r="B3892">
        <v>3514</v>
      </c>
      <c r="C3892">
        <v>31</v>
      </c>
      <c r="D3892">
        <v>249.6</v>
      </c>
      <c r="E3892">
        <v>5279</v>
      </c>
      <c r="F3892">
        <v>1618</v>
      </c>
      <c r="G3892">
        <v>1</v>
      </c>
      <c r="H3892" s="1">
        <f>0.2</f>
        <v>0.2</v>
      </c>
      <c r="I3892">
        <v>0</v>
      </c>
      <c r="J3892">
        <v>50.449100000000001</v>
      </c>
      <c r="K3892">
        <v>538.30999999999995</v>
      </c>
      <c r="L3892">
        <v>0</v>
      </c>
    </row>
    <row r="3893" spans="1:12" x14ac:dyDescent="0.25">
      <c r="A3893">
        <f>80830944*0.00001</f>
        <v>808.30944000000011</v>
      </c>
      <c r="B3893">
        <v>3514</v>
      </c>
      <c r="C3893">
        <v>32</v>
      </c>
      <c r="D3893">
        <v>249.6</v>
      </c>
      <c r="E3893">
        <v>5279</v>
      </c>
      <c r="F3893">
        <v>1618</v>
      </c>
      <c r="G3893">
        <v>1</v>
      </c>
      <c r="H3893">
        <v>0.2</v>
      </c>
      <c r="I3893">
        <v>0</v>
      </c>
      <c r="J3893" s="1">
        <f>50.3803</f>
        <v>50.380299999999998</v>
      </c>
      <c r="K3893">
        <v>538.30999999999995</v>
      </c>
      <c r="L3893">
        <v>0</v>
      </c>
    </row>
    <row r="3894" spans="1:12" x14ac:dyDescent="0.25">
      <c r="A3894">
        <f>80831077*0.00001</f>
        <v>808.31077000000005</v>
      </c>
      <c r="B3894">
        <v>3514</v>
      </c>
      <c r="C3894">
        <v>33</v>
      </c>
      <c r="D3894">
        <v>249.6</v>
      </c>
      <c r="E3894">
        <v>5279</v>
      </c>
      <c r="F3894">
        <v>1618</v>
      </c>
      <c r="G3894">
        <v>1</v>
      </c>
      <c r="H3894">
        <v>0.2</v>
      </c>
      <c r="I3894">
        <v>0</v>
      </c>
      <c r="J3894">
        <v>50.380299999999998</v>
      </c>
      <c r="K3894">
        <v>538.30999999999995</v>
      </c>
      <c r="L3894" s="1">
        <f>0</f>
        <v>0</v>
      </c>
    </row>
    <row r="3895" spans="1:12" x14ac:dyDescent="0.25">
      <c r="A3895">
        <f>80831210*0.00001</f>
        <v>808.3121000000001</v>
      </c>
      <c r="B3895">
        <v>3514</v>
      </c>
      <c r="C3895">
        <v>34</v>
      </c>
      <c r="D3895">
        <v>249.6</v>
      </c>
      <c r="E3895" s="1">
        <f>5278</f>
        <v>5278</v>
      </c>
      <c r="F3895">
        <v>1618</v>
      </c>
      <c r="G3895">
        <v>1</v>
      </c>
      <c r="H3895">
        <v>0.2</v>
      </c>
      <c r="I3895">
        <v>0</v>
      </c>
      <c r="J3895">
        <v>50.380299999999998</v>
      </c>
      <c r="K3895">
        <v>538.30999999999995</v>
      </c>
      <c r="L3895">
        <v>0</v>
      </c>
    </row>
    <row r="3896" spans="1:12" x14ac:dyDescent="0.25">
      <c r="A3896">
        <f>80831343*0.00001</f>
        <v>808.31343000000004</v>
      </c>
      <c r="B3896">
        <v>3514</v>
      </c>
      <c r="C3896">
        <v>35</v>
      </c>
      <c r="D3896">
        <v>249.6</v>
      </c>
      <c r="E3896">
        <v>5278</v>
      </c>
      <c r="F3896">
        <v>1618</v>
      </c>
      <c r="G3896" s="1">
        <f>1</f>
        <v>1</v>
      </c>
      <c r="H3896">
        <v>0.2</v>
      </c>
      <c r="I3896">
        <v>0</v>
      </c>
      <c r="J3896">
        <v>50.380299999999998</v>
      </c>
      <c r="K3896">
        <v>538.30999999999995</v>
      </c>
      <c r="L3896">
        <v>0</v>
      </c>
    </row>
    <row r="3897" spans="1:12" x14ac:dyDescent="0.25">
      <c r="A3897">
        <f>80831476*0.00001</f>
        <v>808.31476000000009</v>
      </c>
      <c r="B3897">
        <v>3514</v>
      </c>
      <c r="C3897">
        <v>36</v>
      </c>
      <c r="D3897">
        <v>249.6</v>
      </c>
      <c r="E3897">
        <v>5278</v>
      </c>
      <c r="F3897">
        <v>1618</v>
      </c>
      <c r="G3897">
        <v>1</v>
      </c>
      <c r="H3897">
        <v>0.2</v>
      </c>
      <c r="I3897" s="1">
        <f>0</f>
        <v>0</v>
      </c>
      <c r="J3897">
        <v>50.380299999999998</v>
      </c>
      <c r="K3897">
        <v>538.30999999999995</v>
      </c>
      <c r="L3897">
        <v>0</v>
      </c>
    </row>
    <row r="3898" spans="1:12" x14ac:dyDescent="0.25">
      <c r="A3898">
        <f>80831609*0.00001</f>
        <v>808.31609000000003</v>
      </c>
      <c r="B3898">
        <v>3514</v>
      </c>
      <c r="C3898">
        <v>37</v>
      </c>
      <c r="D3898">
        <v>249.6</v>
      </c>
      <c r="E3898">
        <v>5278</v>
      </c>
      <c r="F3898">
        <v>1618</v>
      </c>
      <c r="G3898">
        <v>1</v>
      </c>
      <c r="H3898">
        <v>0.2</v>
      </c>
      <c r="I3898">
        <v>0</v>
      </c>
      <c r="J3898">
        <v>50.380299999999998</v>
      </c>
      <c r="K3898" s="1">
        <f>538.431</f>
        <v>538.43100000000004</v>
      </c>
      <c r="L3898">
        <v>0</v>
      </c>
    </row>
    <row r="3899" spans="1:12" x14ac:dyDescent="0.25">
      <c r="A3899">
        <f>80831742*0.00001</f>
        <v>808.31742000000008</v>
      </c>
      <c r="B3899">
        <v>3514</v>
      </c>
      <c r="C3899">
        <v>38</v>
      </c>
      <c r="D3899" s="1">
        <f>249.651</f>
        <v>249.65100000000001</v>
      </c>
      <c r="E3899">
        <v>5278</v>
      </c>
      <c r="F3899">
        <v>1618</v>
      </c>
      <c r="G3899">
        <v>1</v>
      </c>
      <c r="H3899">
        <v>0.2</v>
      </c>
      <c r="I3899">
        <v>0</v>
      </c>
      <c r="J3899">
        <v>50.380299999999998</v>
      </c>
      <c r="K3899">
        <v>538.43100000000004</v>
      </c>
      <c r="L3899">
        <v>0</v>
      </c>
    </row>
    <row r="3900" spans="1:12" x14ac:dyDescent="0.25">
      <c r="A3900">
        <f>80831875*0.00001</f>
        <v>808.31875000000002</v>
      </c>
      <c r="B3900">
        <v>3514</v>
      </c>
      <c r="C3900">
        <v>39</v>
      </c>
      <c r="D3900">
        <v>249.65100000000001</v>
      </c>
      <c r="E3900">
        <v>5278</v>
      </c>
      <c r="F3900" s="1">
        <f>1618</f>
        <v>1618</v>
      </c>
      <c r="G3900">
        <v>1</v>
      </c>
      <c r="H3900">
        <v>0.2</v>
      </c>
      <c r="I3900">
        <v>0</v>
      </c>
      <c r="J3900">
        <v>50.380299999999998</v>
      </c>
      <c r="K3900">
        <v>538.43100000000004</v>
      </c>
      <c r="L3900">
        <v>0</v>
      </c>
    </row>
    <row r="3901" spans="1:12" x14ac:dyDescent="0.25">
      <c r="A3901">
        <f>80832008*0.00001</f>
        <v>808.32008000000008</v>
      </c>
      <c r="B3901">
        <v>3514</v>
      </c>
      <c r="C3901">
        <v>40</v>
      </c>
      <c r="D3901">
        <v>249.65100000000001</v>
      </c>
      <c r="E3901">
        <v>5278</v>
      </c>
      <c r="F3901">
        <v>1618</v>
      </c>
      <c r="G3901">
        <v>1</v>
      </c>
      <c r="H3901" s="1">
        <f>0.2</f>
        <v>0.2</v>
      </c>
      <c r="I3901">
        <v>0</v>
      </c>
      <c r="J3901">
        <v>50.380299999999998</v>
      </c>
      <c r="K3901">
        <v>538.43100000000004</v>
      </c>
      <c r="L3901">
        <v>0</v>
      </c>
    </row>
    <row r="3902" spans="1:12" x14ac:dyDescent="0.25">
      <c r="A3902">
        <f>80832141*0.00001</f>
        <v>808.32141000000001</v>
      </c>
      <c r="B3902">
        <v>3514</v>
      </c>
      <c r="C3902">
        <v>41</v>
      </c>
      <c r="D3902">
        <v>249.65100000000001</v>
      </c>
      <c r="E3902">
        <v>5278</v>
      </c>
      <c r="F3902">
        <v>1618</v>
      </c>
      <c r="G3902">
        <v>1</v>
      </c>
      <c r="H3902">
        <v>0.2</v>
      </c>
      <c r="I3902">
        <v>0</v>
      </c>
      <c r="J3902" s="1">
        <f>50.337</f>
        <v>50.337000000000003</v>
      </c>
      <c r="K3902">
        <v>538.43100000000004</v>
      </c>
      <c r="L3902">
        <v>0</v>
      </c>
    </row>
    <row r="3903" spans="1:12" x14ac:dyDescent="0.25">
      <c r="A3903">
        <f>80832274*0.00001</f>
        <v>808.32274000000007</v>
      </c>
      <c r="B3903">
        <v>3514</v>
      </c>
      <c r="C3903">
        <v>42</v>
      </c>
      <c r="D3903">
        <v>249.65100000000001</v>
      </c>
      <c r="E3903">
        <v>5278</v>
      </c>
      <c r="F3903">
        <v>1618</v>
      </c>
      <c r="G3903">
        <v>1</v>
      </c>
      <c r="H3903">
        <v>0.2</v>
      </c>
      <c r="I3903">
        <v>0</v>
      </c>
      <c r="J3903">
        <v>50.337000000000003</v>
      </c>
      <c r="K3903">
        <v>538.43100000000004</v>
      </c>
      <c r="L3903" s="1">
        <f>0</f>
        <v>0</v>
      </c>
    </row>
    <row r="3904" spans="1:12" x14ac:dyDescent="0.25">
      <c r="A3904">
        <f>80832407*0.00001</f>
        <v>808.32407000000012</v>
      </c>
      <c r="B3904">
        <v>3514</v>
      </c>
      <c r="C3904">
        <v>43</v>
      </c>
      <c r="D3904">
        <v>249.65100000000001</v>
      </c>
      <c r="E3904" s="1">
        <f>5278</f>
        <v>5278</v>
      </c>
      <c r="F3904">
        <v>1618</v>
      </c>
      <c r="G3904">
        <v>1</v>
      </c>
      <c r="H3904">
        <v>0.2</v>
      </c>
      <c r="I3904">
        <v>0</v>
      </c>
      <c r="J3904">
        <v>50.337000000000003</v>
      </c>
      <c r="K3904">
        <v>538.43100000000004</v>
      </c>
      <c r="L3904">
        <v>0</v>
      </c>
    </row>
    <row r="3905" spans="1:12" x14ac:dyDescent="0.25">
      <c r="A3905">
        <f>80832540*0.00001</f>
        <v>808.32540000000006</v>
      </c>
      <c r="B3905">
        <v>3514</v>
      </c>
      <c r="C3905">
        <v>44</v>
      </c>
      <c r="D3905">
        <v>249.65100000000001</v>
      </c>
      <c r="E3905">
        <v>5278</v>
      </c>
      <c r="F3905">
        <v>1618</v>
      </c>
      <c r="G3905" s="1">
        <f>1</f>
        <v>1</v>
      </c>
      <c r="H3905">
        <v>0.2</v>
      </c>
      <c r="I3905">
        <v>0</v>
      </c>
      <c r="J3905">
        <v>50.337000000000003</v>
      </c>
      <c r="K3905">
        <v>538.43100000000004</v>
      </c>
      <c r="L3905">
        <v>0</v>
      </c>
    </row>
    <row r="3906" spans="1:12" x14ac:dyDescent="0.25">
      <c r="A3906">
        <f>80832673*0.00001</f>
        <v>808.32673000000011</v>
      </c>
      <c r="B3906">
        <v>3514</v>
      </c>
      <c r="C3906">
        <v>45</v>
      </c>
      <c r="D3906">
        <v>249.65100000000001</v>
      </c>
      <c r="E3906">
        <v>5278</v>
      </c>
      <c r="F3906">
        <v>1618</v>
      </c>
      <c r="G3906">
        <v>1</v>
      </c>
      <c r="H3906">
        <v>0.2</v>
      </c>
      <c r="I3906" s="1">
        <f>0</f>
        <v>0</v>
      </c>
      <c r="J3906">
        <v>50.337000000000003</v>
      </c>
      <c r="K3906">
        <v>538.43100000000004</v>
      </c>
      <c r="L3906">
        <v>0</v>
      </c>
    </row>
    <row r="3907" spans="1:12" x14ac:dyDescent="0.25">
      <c r="A3907">
        <f>80832806*0.00001</f>
        <v>808.32806000000005</v>
      </c>
      <c r="B3907">
        <v>3514</v>
      </c>
      <c r="C3907">
        <v>46</v>
      </c>
      <c r="D3907">
        <v>249.65100000000001</v>
      </c>
      <c r="E3907">
        <v>5278</v>
      </c>
      <c r="F3907">
        <v>1618</v>
      </c>
      <c r="G3907">
        <v>1</v>
      </c>
      <c r="H3907">
        <v>0.2</v>
      </c>
      <c r="I3907">
        <v>0</v>
      </c>
      <c r="J3907">
        <v>50.337000000000003</v>
      </c>
      <c r="K3907" s="1">
        <f>538.552</f>
        <v>538.55200000000002</v>
      </c>
      <c r="L3907">
        <v>0</v>
      </c>
    </row>
    <row r="3908" spans="1:12" x14ac:dyDescent="0.25">
      <c r="A3908">
        <f>80832939*0.00001</f>
        <v>808.3293900000001</v>
      </c>
      <c r="B3908">
        <v>3514</v>
      </c>
      <c r="C3908">
        <v>47</v>
      </c>
      <c r="D3908" s="1">
        <f>249.683</f>
        <v>249.68299999999999</v>
      </c>
      <c r="E3908">
        <v>5278</v>
      </c>
      <c r="F3908">
        <v>1618</v>
      </c>
      <c r="G3908">
        <v>1</v>
      </c>
      <c r="H3908">
        <v>0.2</v>
      </c>
      <c r="I3908">
        <v>0</v>
      </c>
      <c r="J3908">
        <v>50.337000000000003</v>
      </c>
      <c r="K3908">
        <v>538.55200000000002</v>
      </c>
      <c r="L3908">
        <v>0</v>
      </c>
    </row>
    <row r="3909" spans="1:12" x14ac:dyDescent="0.25">
      <c r="A3909">
        <f>80833072*0.00001</f>
        <v>808.33072000000004</v>
      </c>
      <c r="B3909">
        <v>3514</v>
      </c>
      <c r="C3909">
        <v>48</v>
      </c>
      <c r="D3909">
        <v>249.68299999999999</v>
      </c>
      <c r="E3909">
        <v>5278</v>
      </c>
      <c r="F3909" s="1">
        <f>1618</f>
        <v>1618</v>
      </c>
      <c r="G3909">
        <v>1</v>
      </c>
      <c r="H3909">
        <v>0.2</v>
      </c>
      <c r="I3909">
        <v>0</v>
      </c>
      <c r="J3909">
        <v>50.337000000000003</v>
      </c>
      <c r="K3909">
        <v>538.55200000000002</v>
      </c>
      <c r="L3909">
        <v>0</v>
      </c>
    </row>
    <row r="3910" spans="1:12" x14ac:dyDescent="0.25">
      <c r="A3910">
        <f>80833205*0.00001</f>
        <v>808.33205000000009</v>
      </c>
      <c r="B3910">
        <v>3514</v>
      </c>
      <c r="C3910">
        <v>49</v>
      </c>
      <c r="D3910">
        <v>249.68299999999999</v>
      </c>
      <c r="E3910">
        <v>5278</v>
      </c>
      <c r="F3910">
        <v>1618</v>
      </c>
      <c r="G3910">
        <v>1</v>
      </c>
      <c r="H3910" s="1">
        <f>0.2</f>
        <v>0.2</v>
      </c>
      <c r="I3910">
        <v>0</v>
      </c>
      <c r="J3910">
        <v>50.337000000000003</v>
      </c>
      <c r="K3910">
        <v>538.55200000000002</v>
      </c>
      <c r="L3910">
        <v>0</v>
      </c>
    </row>
    <row r="3911" spans="1:12" x14ac:dyDescent="0.25">
      <c r="A3911">
        <f>80833338*0.00001</f>
        <v>808.33338000000003</v>
      </c>
      <c r="B3911">
        <v>3514</v>
      </c>
      <c r="C3911">
        <v>50</v>
      </c>
      <c r="D3911">
        <v>249.68299999999999</v>
      </c>
      <c r="E3911">
        <v>5278</v>
      </c>
      <c r="F3911">
        <v>1618</v>
      </c>
      <c r="G3911">
        <v>1</v>
      </c>
      <c r="H3911">
        <v>0.2</v>
      </c>
      <c r="I3911">
        <v>0</v>
      </c>
      <c r="J3911" s="1">
        <f>50.3099</f>
        <v>50.309899999999999</v>
      </c>
      <c r="K3911">
        <v>538.55200000000002</v>
      </c>
      <c r="L3911">
        <v>0</v>
      </c>
    </row>
    <row r="3912" spans="1:12" x14ac:dyDescent="0.25">
      <c r="A3912">
        <f>80833471*0.00001</f>
        <v>808.33471000000009</v>
      </c>
      <c r="B3912">
        <v>3514</v>
      </c>
      <c r="C3912">
        <v>51</v>
      </c>
      <c r="D3912">
        <v>249.68299999999999</v>
      </c>
      <c r="E3912">
        <v>5278</v>
      </c>
      <c r="F3912">
        <v>1618</v>
      </c>
      <c r="G3912">
        <v>1</v>
      </c>
      <c r="H3912">
        <v>0.2</v>
      </c>
      <c r="I3912">
        <v>0</v>
      </c>
      <c r="J3912">
        <v>50.309899999999999</v>
      </c>
      <c r="K3912">
        <v>538.55200000000002</v>
      </c>
      <c r="L3912" s="1">
        <f>0</f>
        <v>0</v>
      </c>
    </row>
    <row r="3913" spans="1:12" x14ac:dyDescent="0.25">
      <c r="A3913">
        <f>80833604*0.00001</f>
        <v>808.33604000000003</v>
      </c>
      <c r="B3913">
        <v>3514</v>
      </c>
      <c r="C3913">
        <v>52</v>
      </c>
      <c r="D3913">
        <v>249.68299999999999</v>
      </c>
      <c r="E3913" s="1">
        <f>5278</f>
        <v>5278</v>
      </c>
      <c r="F3913">
        <v>1618</v>
      </c>
      <c r="G3913">
        <v>1</v>
      </c>
      <c r="H3913">
        <v>0.2</v>
      </c>
      <c r="I3913">
        <v>0</v>
      </c>
      <c r="J3913">
        <v>50.309899999999999</v>
      </c>
      <c r="K3913">
        <v>538.55200000000002</v>
      </c>
      <c r="L3913">
        <v>0</v>
      </c>
    </row>
    <row r="3914" spans="1:12" x14ac:dyDescent="0.25">
      <c r="A3914">
        <f>80833737*0.00001</f>
        <v>808.33737000000008</v>
      </c>
      <c r="B3914">
        <v>3514</v>
      </c>
      <c r="C3914">
        <v>53</v>
      </c>
      <c r="D3914">
        <v>249.68299999999999</v>
      </c>
      <c r="E3914">
        <v>5278</v>
      </c>
      <c r="F3914">
        <v>1618</v>
      </c>
      <c r="G3914" s="1">
        <f>1</f>
        <v>1</v>
      </c>
      <c r="H3914">
        <v>0.2</v>
      </c>
      <c r="I3914">
        <v>0</v>
      </c>
      <c r="J3914">
        <v>50.309899999999999</v>
      </c>
      <c r="K3914">
        <v>538.55200000000002</v>
      </c>
      <c r="L3914">
        <v>0</v>
      </c>
    </row>
    <row r="3915" spans="1:12" x14ac:dyDescent="0.25">
      <c r="A3915">
        <f>80833870*0.00001</f>
        <v>808.33870000000002</v>
      </c>
      <c r="B3915">
        <v>3514</v>
      </c>
      <c r="C3915">
        <v>54</v>
      </c>
      <c r="D3915">
        <v>249.68299999999999</v>
      </c>
      <c r="E3915">
        <v>5278</v>
      </c>
      <c r="F3915">
        <v>1618</v>
      </c>
      <c r="G3915">
        <v>1</v>
      </c>
      <c r="H3915">
        <v>0.2</v>
      </c>
      <c r="I3915" s="1">
        <f>0</f>
        <v>0</v>
      </c>
      <c r="J3915">
        <v>50.309899999999999</v>
      </c>
      <c r="K3915">
        <v>538.55200000000002</v>
      </c>
      <c r="L3915">
        <v>0</v>
      </c>
    </row>
    <row r="3916" spans="1:12" x14ac:dyDescent="0.25">
      <c r="A3916">
        <f>80834003*0.00001</f>
        <v>808.34003000000007</v>
      </c>
      <c r="B3916">
        <v>3514</v>
      </c>
      <c r="C3916">
        <v>55</v>
      </c>
      <c r="D3916">
        <v>249.68299999999999</v>
      </c>
      <c r="E3916">
        <v>5278</v>
      </c>
      <c r="F3916">
        <v>1618</v>
      </c>
      <c r="G3916">
        <v>1</v>
      </c>
      <c r="H3916">
        <v>0.2</v>
      </c>
      <c r="I3916">
        <v>0</v>
      </c>
      <c r="J3916">
        <v>50.309899999999999</v>
      </c>
      <c r="K3916" s="1">
        <f>538.673</f>
        <v>538.673</v>
      </c>
      <c r="L3916">
        <v>0</v>
      </c>
    </row>
    <row r="3917" spans="1:12" x14ac:dyDescent="0.25">
      <c r="A3917">
        <f>80834135*0.00001</f>
        <v>808.34135000000003</v>
      </c>
      <c r="B3917">
        <v>3514</v>
      </c>
      <c r="C3917">
        <v>56</v>
      </c>
      <c r="D3917" s="1">
        <f>249.702</f>
        <v>249.702</v>
      </c>
      <c r="E3917">
        <v>5278</v>
      </c>
      <c r="F3917">
        <v>1618</v>
      </c>
      <c r="G3917">
        <v>1</v>
      </c>
      <c r="H3917">
        <v>0.2</v>
      </c>
      <c r="I3917">
        <v>0</v>
      </c>
      <c r="J3917">
        <v>50.309899999999999</v>
      </c>
      <c r="K3917">
        <v>538.673</v>
      </c>
      <c r="L3917">
        <v>0</v>
      </c>
    </row>
    <row r="3918" spans="1:12" x14ac:dyDescent="0.25">
      <c r="A3918">
        <f>80834268*0.00001</f>
        <v>808.34268000000009</v>
      </c>
      <c r="B3918">
        <v>3514</v>
      </c>
      <c r="C3918">
        <v>57</v>
      </c>
      <c r="D3918">
        <v>249.702</v>
      </c>
      <c r="E3918">
        <v>5278</v>
      </c>
      <c r="F3918" s="1">
        <f>1618</f>
        <v>1618</v>
      </c>
      <c r="G3918">
        <v>1</v>
      </c>
      <c r="H3918">
        <v>0.2</v>
      </c>
      <c r="I3918">
        <v>0</v>
      </c>
      <c r="J3918">
        <v>50.309899999999999</v>
      </c>
      <c r="K3918">
        <v>538.673</v>
      </c>
      <c r="L3918">
        <v>0</v>
      </c>
    </row>
    <row r="3919" spans="1:12" x14ac:dyDescent="0.25">
      <c r="A3919">
        <f>80834401*0.00001</f>
        <v>808.34401000000003</v>
      </c>
      <c r="B3919">
        <v>3514</v>
      </c>
      <c r="C3919">
        <v>58</v>
      </c>
      <c r="D3919">
        <v>249.702</v>
      </c>
      <c r="E3919">
        <v>5278</v>
      </c>
      <c r="F3919">
        <v>1618</v>
      </c>
      <c r="G3919">
        <v>1</v>
      </c>
      <c r="H3919" s="1">
        <f>0.2</f>
        <v>0.2</v>
      </c>
      <c r="I3919">
        <v>0</v>
      </c>
      <c r="J3919">
        <v>50.309899999999999</v>
      </c>
      <c r="K3919">
        <v>538.673</v>
      </c>
      <c r="L3919">
        <v>0</v>
      </c>
    </row>
    <row r="3920" spans="1:12" x14ac:dyDescent="0.25">
      <c r="A3920">
        <f>80834534*0.00001</f>
        <v>808.34534000000008</v>
      </c>
      <c r="B3920">
        <v>3514</v>
      </c>
      <c r="C3920">
        <v>59</v>
      </c>
      <c r="D3920">
        <v>249.702</v>
      </c>
      <c r="E3920">
        <v>5278</v>
      </c>
      <c r="F3920">
        <v>1618</v>
      </c>
      <c r="G3920">
        <v>1</v>
      </c>
      <c r="H3920">
        <v>0.2</v>
      </c>
      <c r="I3920">
        <v>0</v>
      </c>
      <c r="J3920" s="1">
        <f>50.2928</f>
        <v>50.2928</v>
      </c>
      <c r="K3920">
        <v>538.673</v>
      </c>
      <c r="L3920">
        <v>0</v>
      </c>
    </row>
    <row r="3921" spans="1:12" x14ac:dyDescent="0.25">
      <c r="A3921">
        <f>80834668*0.00001</f>
        <v>808.34668000000011</v>
      </c>
      <c r="B3921">
        <v>3514</v>
      </c>
      <c r="C3921">
        <v>60</v>
      </c>
      <c r="D3921">
        <v>249.702</v>
      </c>
      <c r="E3921">
        <v>5278</v>
      </c>
      <c r="F3921">
        <v>1618</v>
      </c>
      <c r="G3921">
        <v>1</v>
      </c>
      <c r="H3921">
        <v>0.2</v>
      </c>
      <c r="I3921">
        <v>0</v>
      </c>
      <c r="J3921">
        <v>50.2928</v>
      </c>
      <c r="K3921">
        <v>538.673</v>
      </c>
      <c r="L3921" s="1">
        <f>0</f>
        <v>0</v>
      </c>
    </row>
    <row r="3922" spans="1:12" x14ac:dyDescent="0.25">
      <c r="A3922">
        <f>80834801*0.00001</f>
        <v>808.34801000000004</v>
      </c>
      <c r="B3922">
        <v>3514</v>
      </c>
      <c r="C3922">
        <v>61</v>
      </c>
      <c r="D3922">
        <v>249.702</v>
      </c>
      <c r="E3922" s="1">
        <f>5278</f>
        <v>5278</v>
      </c>
      <c r="F3922">
        <v>1618</v>
      </c>
      <c r="G3922">
        <v>1</v>
      </c>
      <c r="H3922">
        <v>0.2</v>
      </c>
      <c r="I3922">
        <v>0</v>
      </c>
      <c r="J3922">
        <v>50.2928</v>
      </c>
      <c r="K3922">
        <v>538.673</v>
      </c>
      <c r="L3922">
        <v>0</v>
      </c>
    </row>
    <row r="3923" spans="1:12" x14ac:dyDescent="0.25">
      <c r="A3923">
        <f>80834934*0.00001</f>
        <v>808.3493400000001</v>
      </c>
      <c r="B3923">
        <v>3514</v>
      </c>
      <c r="C3923">
        <v>62</v>
      </c>
      <c r="D3923">
        <v>249.702</v>
      </c>
      <c r="E3923">
        <v>5278</v>
      </c>
      <c r="F3923">
        <v>1618</v>
      </c>
      <c r="G3923" s="1">
        <f>1</f>
        <v>1</v>
      </c>
      <c r="H3923">
        <v>0.2</v>
      </c>
      <c r="I3923">
        <v>0</v>
      </c>
      <c r="J3923">
        <v>50.2928</v>
      </c>
      <c r="K3923">
        <v>538.673</v>
      </c>
      <c r="L3923">
        <v>0</v>
      </c>
    </row>
    <row r="3924" spans="1:12" x14ac:dyDescent="0.25">
      <c r="A3924">
        <f>80835067*0.00001</f>
        <v>808.35067000000004</v>
      </c>
      <c r="B3924">
        <v>3514</v>
      </c>
      <c r="C3924">
        <v>63</v>
      </c>
      <c r="D3924">
        <v>249.702</v>
      </c>
      <c r="E3924">
        <v>5278</v>
      </c>
      <c r="F3924">
        <v>1618</v>
      </c>
      <c r="G3924">
        <v>1</v>
      </c>
      <c r="H3924">
        <v>0.2</v>
      </c>
      <c r="I3924" s="1">
        <f>0</f>
        <v>0</v>
      </c>
      <c r="J3924">
        <v>50.2928</v>
      </c>
      <c r="K3924">
        <v>538.673</v>
      </c>
      <c r="L3924">
        <v>0</v>
      </c>
    </row>
    <row r="3925" spans="1:12" x14ac:dyDescent="0.25">
      <c r="A3925">
        <f>80835200*0.00001</f>
        <v>808.35200000000009</v>
      </c>
      <c r="B3925">
        <v>3514</v>
      </c>
      <c r="C3925">
        <v>64</v>
      </c>
      <c r="D3925">
        <v>249.702</v>
      </c>
      <c r="E3925">
        <v>5278</v>
      </c>
      <c r="F3925">
        <v>1618</v>
      </c>
      <c r="G3925">
        <v>1</v>
      </c>
      <c r="H3925">
        <v>0.2</v>
      </c>
      <c r="I3925">
        <v>0</v>
      </c>
      <c r="J3925">
        <v>50.2928</v>
      </c>
      <c r="K3925" s="1">
        <f>538.794</f>
        <v>538.79399999999998</v>
      </c>
      <c r="L3925">
        <v>0</v>
      </c>
    </row>
    <row r="3926" spans="1:12" x14ac:dyDescent="0.25">
      <c r="A3926">
        <f>80835333*0.00001</f>
        <v>808.35333000000003</v>
      </c>
      <c r="B3926">
        <v>3514</v>
      </c>
      <c r="C3926">
        <v>65</v>
      </c>
      <c r="D3926" s="1">
        <f>249.715</f>
        <v>249.715</v>
      </c>
      <c r="E3926">
        <v>5278</v>
      </c>
      <c r="F3926">
        <v>1618</v>
      </c>
      <c r="G3926">
        <v>1</v>
      </c>
      <c r="H3926">
        <v>0.2</v>
      </c>
      <c r="I3926">
        <v>0</v>
      </c>
      <c r="J3926">
        <v>50.2928</v>
      </c>
      <c r="K3926">
        <v>538.79399999999998</v>
      </c>
      <c r="L3926">
        <v>0</v>
      </c>
    </row>
    <row r="3927" spans="1:12" x14ac:dyDescent="0.25">
      <c r="A3927">
        <f>80835466*0.00001</f>
        <v>808.35466000000008</v>
      </c>
      <c r="B3927">
        <v>3514</v>
      </c>
      <c r="C3927">
        <v>66</v>
      </c>
      <c r="D3927">
        <v>249.715</v>
      </c>
      <c r="E3927">
        <v>5278</v>
      </c>
      <c r="F3927" s="1">
        <f>1618</f>
        <v>1618</v>
      </c>
      <c r="G3927">
        <v>1</v>
      </c>
      <c r="H3927">
        <v>0.2</v>
      </c>
      <c r="I3927">
        <v>0</v>
      </c>
      <c r="J3927">
        <v>50.2928</v>
      </c>
      <c r="K3927">
        <v>538.79399999999998</v>
      </c>
      <c r="L3927">
        <v>0</v>
      </c>
    </row>
    <row r="3928" spans="1:12" x14ac:dyDescent="0.25">
      <c r="A3928">
        <f>80835599*0.00001</f>
        <v>808.35599000000002</v>
      </c>
      <c r="B3928">
        <v>3514</v>
      </c>
      <c r="C3928">
        <v>67</v>
      </c>
      <c r="D3928">
        <v>249.715</v>
      </c>
      <c r="E3928">
        <v>5278</v>
      </c>
      <c r="F3928">
        <v>1618</v>
      </c>
      <c r="G3928">
        <v>1</v>
      </c>
      <c r="H3928" s="1">
        <f>0.2</f>
        <v>0.2</v>
      </c>
      <c r="I3928">
        <v>0</v>
      </c>
      <c r="J3928">
        <v>50.2928</v>
      </c>
      <c r="K3928">
        <v>538.79399999999998</v>
      </c>
      <c r="L3928">
        <v>0</v>
      </c>
    </row>
    <row r="3929" spans="1:12" x14ac:dyDescent="0.25">
      <c r="A3929">
        <f>80835732*0.00001</f>
        <v>808.35732000000007</v>
      </c>
      <c r="B3929">
        <v>3514</v>
      </c>
      <c r="C3929">
        <v>68</v>
      </c>
      <c r="D3929">
        <v>249.715</v>
      </c>
      <c r="E3929">
        <v>5278</v>
      </c>
      <c r="F3929">
        <v>1618</v>
      </c>
      <c r="G3929">
        <v>1</v>
      </c>
      <c r="H3929">
        <v>0.2</v>
      </c>
      <c r="I3929">
        <v>0</v>
      </c>
      <c r="J3929" s="1">
        <f>50.2817</f>
        <v>50.281700000000001</v>
      </c>
      <c r="K3929">
        <v>538.79399999999998</v>
      </c>
      <c r="L3929">
        <v>0</v>
      </c>
    </row>
    <row r="3930" spans="1:12" x14ac:dyDescent="0.25">
      <c r="A3930">
        <f>80835865*0.00001</f>
        <v>808.35865000000001</v>
      </c>
      <c r="B3930">
        <v>3514</v>
      </c>
      <c r="C3930">
        <v>69</v>
      </c>
      <c r="D3930">
        <v>249.715</v>
      </c>
      <c r="E3930">
        <v>5278</v>
      </c>
      <c r="F3930">
        <v>1618</v>
      </c>
      <c r="G3930">
        <v>1</v>
      </c>
      <c r="H3930">
        <v>0.2</v>
      </c>
      <c r="I3930">
        <v>0</v>
      </c>
      <c r="J3930">
        <v>50.281700000000001</v>
      </c>
      <c r="K3930">
        <v>538.79399999999998</v>
      </c>
      <c r="L3930" s="1">
        <f>0</f>
        <v>0</v>
      </c>
    </row>
    <row r="3931" spans="1:12" x14ac:dyDescent="0.25">
      <c r="A3931">
        <f>80835998*0.00001</f>
        <v>808.35998000000006</v>
      </c>
      <c r="B3931">
        <v>3514</v>
      </c>
      <c r="C3931">
        <v>70</v>
      </c>
      <c r="D3931">
        <v>249.715</v>
      </c>
      <c r="E3931" s="1">
        <f>5278</f>
        <v>5278</v>
      </c>
      <c r="F3931">
        <v>1618</v>
      </c>
      <c r="G3931">
        <v>1</v>
      </c>
      <c r="H3931">
        <v>0.2</v>
      </c>
      <c r="I3931">
        <v>0</v>
      </c>
      <c r="J3931">
        <v>50.281700000000001</v>
      </c>
      <c r="K3931">
        <v>538.79399999999998</v>
      </c>
      <c r="L3931">
        <v>0</v>
      </c>
    </row>
    <row r="3932" spans="1:12" x14ac:dyDescent="0.25">
      <c r="A3932">
        <f>80836131*0.00001</f>
        <v>808.36131000000012</v>
      </c>
      <c r="B3932">
        <v>3514</v>
      </c>
      <c r="C3932">
        <v>71</v>
      </c>
      <c r="D3932">
        <v>249.715</v>
      </c>
      <c r="E3932">
        <v>5278</v>
      </c>
      <c r="F3932">
        <v>1618</v>
      </c>
      <c r="G3932" s="1">
        <f>1</f>
        <v>1</v>
      </c>
      <c r="H3932">
        <v>0.2</v>
      </c>
      <c r="I3932">
        <v>0</v>
      </c>
      <c r="J3932">
        <v>50.281700000000001</v>
      </c>
      <c r="K3932">
        <v>538.79399999999998</v>
      </c>
      <c r="L3932">
        <v>0</v>
      </c>
    </row>
    <row r="3933" spans="1:12" x14ac:dyDescent="0.25">
      <c r="A3933">
        <f>80836264*0.00001</f>
        <v>808.36264000000006</v>
      </c>
      <c r="B3933">
        <v>3514</v>
      </c>
      <c r="C3933">
        <v>72</v>
      </c>
      <c r="D3933">
        <v>249.715</v>
      </c>
      <c r="E3933">
        <v>5278</v>
      </c>
      <c r="F3933">
        <v>1618</v>
      </c>
      <c r="G3933">
        <v>1</v>
      </c>
      <c r="H3933">
        <v>0.2</v>
      </c>
      <c r="I3933" s="1">
        <f>0</f>
        <v>0</v>
      </c>
      <c r="J3933">
        <v>50.281700000000001</v>
      </c>
      <c r="K3933">
        <v>538.79399999999998</v>
      </c>
      <c r="L3933">
        <v>0</v>
      </c>
    </row>
    <row r="3934" spans="1:12" x14ac:dyDescent="0.25">
      <c r="A3934">
        <f>80836397*0.00001</f>
        <v>808.36397000000011</v>
      </c>
      <c r="B3934">
        <v>3514</v>
      </c>
      <c r="C3934">
        <v>73</v>
      </c>
      <c r="D3934">
        <v>249.715</v>
      </c>
      <c r="E3934">
        <v>5278</v>
      </c>
      <c r="F3934">
        <v>1618</v>
      </c>
      <c r="G3934">
        <v>1</v>
      </c>
      <c r="H3934">
        <v>0.2</v>
      </c>
      <c r="I3934">
        <v>0</v>
      </c>
      <c r="J3934">
        <v>50.281700000000001</v>
      </c>
      <c r="K3934" s="1">
        <f>538.915</f>
        <v>538.91499999999996</v>
      </c>
      <c r="L3934">
        <v>0</v>
      </c>
    </row>
    <row r="3935" spans="1:12" x14ac:dyDescent="0.25">
      <c r="A3935">
        <f>80836529*0.00001</f>
        <v>808.36529000000007</v>
      </c>
      <c r="B3935">
        <v>3514</v>
      </c>
      <c r="C3935">
        <v>74</v>
      </c>
      <c r="D3935" s="1">
        <f>249.777</f>
        <v>249.77699999999999</v>
      </c>
      <c r="E3935">
        <v>5278</v>
      </c>
      <c r="F3935">
        <v>1618</v>
      </c>
      <c r="G3935">
        <v>1</v>
      </c>
      <c r="H3935">
        <v>0.2</v>
      </c>
      <c r="I3935">
        <v>0</v>
      </c>
      <c r="J3935">
        <v>50.281700000000001</v>
      </c>
      <c r="K3935">
        <v>538.91499999999996</v>
      </c>
      <c r="L3935">
        <v>0</v>
      </c>
    </row>
    <row r="3936" spans="1:12" x14ac:dyDescent="0.25">
      <c r="A3936">
        <f>80836662*0.00001</f>
        <v>808.36662000000001</v>
      </c>
      <c r="B3936">
        <v>3514</v>
      </c>
      <c r="C3936">
        <v>75</v>
      </c>
      <c r="D3936">
        <v>249.77699999999999</v>
      </c>
      <c r="E3936">
        <v>5278</v>
      </c>
      <c r="F3936" s="1">
        <f>1618</f>
        <v>1618</v>
      </c>
      <c r="G3936">
        <v>1</v>
      </c>
      <c r="H3936">
        <v>0.2</v>
      </c>
      <c r="I3936">
        <v>0</v>
      </c>
      <c r="J3936">
        <v>50.281700000000001</v>
      </c>
      <c r="K3936">
        <v>538.91499999999996</v>
      </c>
      <c r="L3936">
        <v>0</v>
      </c>
    </row>
    <row r="3937" spans="1:12" x14ac:dyDescent="0.25">
      <c r="A3937">
        <f>80836795*0.00001</f>
        <v>808.36795000000006</v>
      </c>
      <c r="B3937">
        <v>3514</v>
      </c>
      <c r="C3937">
        <v>76</v>
      </c>
      <c r="D3937">
        <v>249.77699999999999</v>
      </c>
      <c r="E3937">
        <v>5278</v>
      </c>
      <c r="F3937">
        <v>1618</v>
      </c>
      <c r="G3937">
        <v>1</v>
      </c>
      <c r="H3937" s="1">
        <f>0.2</f>
        <v>0.2</v>
      </c>
      <c r="I3937">
        <v>0</v>
      </c>
      <c r="J3937">
        <v>50.281700000000001</v>
      </c>
      <c r="K3937">
        <v>538.91499999999996</v>
      </c>
      <c r="L3937">
        <v>0</v>
      </c>
    </row>
    <row r="3938" spans="1:12" x14ac:dyDescent="0.25">
      <c r="A3938">
        <f>80836927*0.00001</f>
        <v>808.36927000000003</v>
      </c>
      <c r="B3938">
        <v>3514</v>
      </c>
      <c r="C3938">
        <v>77</v>
      </c>
      <c r="D3938">
        <v>249.77699999999999</v>
      </c>
      <c r="E3938">
        <v>5278</v>
      </c>
      <c r="F3938">
        <v>1618</v>
      </c>
      <c r="G3938">
        <v>1</v>
      </c>
      <c r="H3938">
        <v>0.2</v>
      </c>
      <c r="I3938">
        <v>0</v>
      </c>
      <c r="J3938" s="1">
        <f>50.1749</f>
        <v>50.174900000000001</v>
      </c>
      <c r="K3938">
        <v>538.91499999999996</v>
      </c>
      <c r="L3938">
        <v>0</v>
      </c>
    </row>
    <row r="3939" spans="1:12" x14ac:dyDescent="0.25">
      <c r="A3939">
        <f>80837060*0.00001</f>
        <v>808.37060000000008</v>
      </c>
      <c r="B3939">
        <v>3514</v>
      </c>
      <c r="C3939">
        <v>78</v>
      </c>
      <c r="D3939">
        <v>249.77699999999999</v>
      </c>
      <c r="E3939">
        <v>5278</v>
      </c>
      <c r="F3939">
        <v>1618</v>
      </c>
      <c r="G3939">
        <v>1</v>
      </c>
      <c r="H3939">
        <v>0.2</v>
      </c>
      <c r="I3939">
        <v>0</v>
      </c>
      <c r="J3939">
        <v>50.174900000000001</v>
      </c>
      <c r="K3939">
        <v>538.91499999999996</v>
      </c>
      <c r="L3939" s="1">
        <f>0</f>
        <v>0</v>
      </c>
    </row>
    <row r="3940" spans="1:12" x14ac:dyDescent="0.25">
      <c r="A3940">
        <f>80837193*0.00001</f>
        <v>808.37193000000002</v>
      </c>
      <c r="B3940">
        <v>3514</v>
      </c>
      <c r="C3940">
        <v>79</v>
      </c>
      <c r="D3940">
        <v>249.77699999999999</v>
      </c>
      <c r="E3940" s="1">
        <f>5276</f>
        <v>5276</v>
      </c>
      <c r="F3940">
        <v>1618</v>
      </c>
      <c r="G3940">
        <v>1</v>
      </c>
      <c r="H3940">
        <v>0.2</v>
      </c>
      <c r="I3940">
        <v>0</v>
      </c>
      <c r="J3940">
        <v>50.174900000000001</v>
      </c>
      <c r="K3940">
        <v>538.91499999999996</v>
      </c>
      <c r="L3940">
        <v>0</v>
      </c>
    </row>
    <row r="3941" spans="1:12" x14ac:dyDescent="0.25">
      <c r="A3941">
        <f>80837325*0.00001</f>
        <v>808.3732500000001</v>
      </c>
      <c r="B3941">
        <v>3514</v>
      </c>
      <c r="C3941">
        <v>80</v>
      </c>
      <c r="D3941">
        <v>249.77699999999999</v>
      </c>
      <c r="E3941">
        <v>5276</v>
      </c>
      <c r="F3941">
        <v>1618</v>
      </c>
      <c r="G3941" s="1">
        <f>1</f>
        <v>1</v>
      </c>
      <c r="H3941">
        <v>0.2</v>
      </c>
      <c r="I3941">
        <v>0</v>
      </c>
      <c r="J3941">
        <v>50.174900000000001</v>
      </c>
      <c r="K3941">
        <v>538.91499999999996</v>
      </c>
      <c r="L3941">
        <v>0</v>
      </c>
    </row>
    <row r="3942" spans="1:12" x14ac:dyDescent="0.25">
      <c r="A3942">
        <f>80837458*0.00001</f>
        <v>808.37458000000004</v>
      </c>
      <c r="B3942">
        <v>3514</v>
      </c>
      <c r="C3942">
        <v>81</v>
      </c>
      <c r="D3942">
        <v>249.77699999999999</v>
      </c>
      <c r="E3942">
        <v>5276</v>
      </c>
      <c r="F3942">
        <v>1618</v>
      </c>
      <c r="G3942">
        <v>1</v>
      </c>
      <c r="H3942">
        <v>0.2</v>
      </c>
      <c r="I3942" s="1">
        <f>0</f>
        <v>0</v>
      </c>
      <c r="J3942">
        <v>50.174900000000001</v>
      </c>
      <c r="K3942">
        <v>538.91499999999996</v>
      </c>
      <c r="L3942">
        <v>0</v>
      </c>
    </row>
    <row r="3943" spans="1:12" x14ac:dyDescent="0.25">
      <c r="A3943">
        <f>80837591*0.00001</f>
        <v>808.37591000000009</v>
      </c>
      <c r="B3943">
        <v>3514</v>
      </c>
      <c r="C3943">
        <v>82</v>
      </c>
      <c r="D3943">
        <v>249.77699999999999</v>
      </c>
      <c r="E3943">
        <v>5276</v>
      </c>
      <c r="F3943">
        <v>1618</v>
      </c>
      <c r="G3943">
        <v>1</v>
      </c>
      <c r="H3943">
        <v>0.2</v>
      </c>
      <c r="I3943">
        <v>0</v>
      </c>
      <c r="J3943">
        <v>50.174900000000001</v>
      </c>
      <c r="K3943" s="1">
        <f>539.035</f>
        <v>539.03499999999997</v>
      </c>
      <c r="L3943">
        <v>0</v>
      </c>
    </row>
    <row r="3944" spans="1:12" x14ac:dyDescent="0.25">
      <c r="A3944">
        <f>80837723*0.00001</f>
        <v>808.37723000000005</v>
      </c>
      <c r="B3944">
        <v>3514</v>
      </c>
      <c r="C3944">
        <v>83</v>
      </c>
      <c r="D3944" s="1">
        <f>249.901</f>
        <v>249.90100000000001</v>
      </c>
      <c r="E3944">
        <v>5276</v>
      </c>
      <c r="F3944">
        <v>1618</v>
      </c>
      <c r="G3944">
        <v>1</v>
      </c>
      <c r="H3944">
        <v>0.2</v>
      </c>
      <c r="I3944">
        <v>0</v>
      </c>
      <c r="J3944">
        <v>50.174900000000001</v>
      </c>
      <c r="K3944">
        <v>539.03499999999997</v>
      </c>
      <c r="L3944">
        <v>0</v>
      </c>
    </row>
    <row r="3945" spans="1:12" x14ac:dyDescent="0.25">
      <c r="A3945">
        <f>80837856*0.00001</f>
        <v>808.37856000000011</v>
      </c>
      <c r="B3945">
        <v>3514</v>
      </c>
      <c r="C3945">
        <v>84</v>
      </c>
      <c r="D3945">
        <v>249.90100000000001</v>
      </c>
      <c r="E3945">
        <v>5276</v>
      </c>
      <c r="F3945" s="1">
        <f>1618</f>
        <v>1618</v>
      </c>
      <c r="G3945">
        <v>1</v>
      </c>
      <c r="H3945">
        <v>0.2</v>
      </c>
      <c r="I3945">
        <v>0</v>
      </c>
      <c r="J3945">
        <v>50.174900000000001</v>
      </c>
      <c r="K3945">
        <v>539.03499999999997</v>
      </c>
      <c r="L3945">
        <v>0</v>
      </c>
    </row>
    <row r="3946" spans="1:12" x14ac:dyDescent="0.25">
      <c r="A3946">
        <f>80837989*0.00001</f>
        <v>808.37989000000005</v>
      </c>
      <c r="B3946">
        <v>3514</v>
      </c>
      <c r="C3946">
        <v>85</v>
      </c>
      <c r="D3946">
        <v>249.90100000000001</v>
      </c>
      <c r="E3946">
        <v>5276</v>
      </c>
      <c r="F3946">
        <v>1618</v>
      </c>
      <c r="G3946">
        <v>1</v>
      </c>
      <c r="H3946" s="1">
        <f>0.2</f>
        <v>0.2</v>
      </c>
      <c r="I3946">
        <v>0</v>
      </c>
      <c r="J3946">
        <v>50.174900000000001</v>
      </c>
      <c r="K3946">
        <v>539.03499999999997</v>
      </c>
      <c r="L3946">
        <v>0</v>
      </c>
    </row>
    <row r="3947" spans="1:12" x14ac:dyDescent="0.25">
      <c r="A3947">
        <f>80838121*0.00001</f>
        <v>808.38121000000001</v>
      </c>
      <c r="B3947">
        <v>3514</v>
      </c>
      <c r="C3947">
        <v>86</v>
      </c>
      <c r="D3947">
        <v>249.90100000000001</v>
      </c>
      <c r="E3947">
        <v>5276</v>
      </c>
      <c r="F3947">
        <v>1618</v>
      </c>
      <c r="G3947">
        <v>1</v>
      </c>
      <c r="H3947">
        <v>0.2</v>
      </c>
      <c r="I3947">
        <v>0</v>
      </c>
      <c r="J3947" s="1">
        <f>50.0691</f>
        <v>50.069099999999999</v>
      </c>
      <c r="K3947">
        <v>539.03499999999997</v>
      </c>
      <c r="L3947">
        <v>0</v>
      </c>
    </row>
    <row r="3948" spans="1:12" x14ac:dyDescent="0.25">
      <c r="A3948">
        <f>80838254*0.00001</f>
        <v>808.38254000000006</v>
      </c>
      <c r="B3948">
        <v>3514</v>
      </c>
      <c r="C3948">
        <v>87</v>
      </c>
      <c r="D3948">
        <v>249.90100000000001</v>
      </c>
      <c r="E3948">
        <v>5276</v>
      </c>
      <c r="F3948">
        <v>1618</v>
      </c>
      <c r="G3948">
        <v>1</v>
      </c>
      <c r="H3948">
        <v>0.2</v>
      </c>
      <c r="I3948">
        <v>0</v>
      </c>
      <c r="J3948">
        <v>50.069099999999999</v>
      </c>
      <c r="K3948">
        <v>539.03499999999997</v>
      </c>
      <c r="L3948" s="1">
        <f>0</f>
        <v>0</v>
      </c>
    </row>
    <row r="3949" spans="1:12" x14ac:dyDescent="0.25">
      <c r="A3949">
        <f>80838387*0.00001</f>
        <v>808.38387000000012</v>
      </c>
      <c r="B3949">
        <v>3514</v>
      </c>
      <c r="C3949">
        <v>88</v>
      </c>
      <c r="D3949">
        <v>249.90100000000001</v>
      </c>
      <c r="E3949" s="1">
        <f>5274</f>
        <v>5274</v>
      </c>
      <c r="F3949">
        <v>1618</v>
      </c>
      <c r="G3949">
        <v>1</v>
      </c>
      <c r="H3949">
        <v>0.2</v>
      </c>
      <c r="I3949">
        <v>0</v>
      </c>
      <c r="J3949">
        <v>50.069099999999999</v>
      </c>
      <c r="K3949">
        <v>539.03499999999997</v>
      </c>
      <c r="L3949">
        <v>0</v>
      </c>
    </row>
    <row r="3950" spans="1:12" x14ac:dyDescent="0.25">
      <c r="A3950">
        <f>80838519*0.00001</f>
        <v>808.38519000000008</v>
      </c>
      <c r="B3950">
        <v>3514</v>
      </c>
      <c r="C3950">
        <v>89</v>
      </c>
      <c r="D3950">
        <v>249.90100000000001</v>
      </c>
      <c r="E3950">
        <v>5274</v>
      </c>
      <c r="F3950">
        <v>1618</v>
      </c>
      <c r="G3950" s="1">
        <f>1</f>
        <v>1</v>
      </c>
      <c r="H3950">
        <v>0.2</v>
      </c>
      <c r="I3950">
        <v>0</v>
      </c>
      <c r="J3950">
        <v>50.069099999999999</v>
      </c>
      <c r="K3950">
        <v>539.03499999999997</v>
      </c>
      <c r="L3950">
        <v>0</v>
      </c>
    </row>
    <row r="3951" spans="1:12" x14ac:dyDescent="0.25">
      <c r="A3951">
        <f>80838652*0.00001</f>
        <v>808.38652000000002</v>
      </c>
      <c r="B3951">
        <v>3514</v>
      </c>
      <c r="C3951">
        <v>90</v>
      </c>
      <c r="D3951">
        <v>249.90100000000001</v>
      </c>
      <c r="E3951">
        <v>5274</v>
      </c>
      <c r="F3951">
        <v>1618</v>
      </c>
      <c r="G3951">
        <v>1</v>
      </c>
      <c r="H3951">
        <v>0.2</v>
      </c>
      <c r="I3951" s="1">
        <f>0</f>
        <v>0</v>
      </c>
      <c r="J3951">
        <v>50.069099999999999</v>
      </c>
      <c r="K3951">
        <v>539.03499999999997</v>
      </c>
      <c r="L3951">
        <v>0</v>
      </c>
    </row>
    <row r="3952" spans="1:12" x14ac:dyDescent="0.25">
      <c r="A3952">
        <f>80838785*0.00001</f>
        <v>808.38785000000007</v>
      </c>
      <c r="B3952">
        <v>3514</v>
      </c>
      <c r="C3952">
        <v>91</v>
      </c>
      <c r="D3952">
        <v>249.90100000000001</v>
      </c>
      <c r="E3952">
        <v>5274</v>
      </c>
      <c r="F3952">
        <v>1618</v>
      </c>
      <c r="G3952">
        <v>1</v>
      </c>
      <c r="H3952">
        <v>0.2</v>
      </c>
      <c r="I3952">
        <v>0</v>
      </c>
      <c r="J3952">
        <v>50.069099999999999</v>
      </c>
      <c r="K3952" s="1">
        <f>539.155</f>
        <v>539.15499999999997</v>
      </c>
      <c r="L3952">
        <v>0</v>
      </c>
    </row>
    <row r="3953" spans="1:12" x14ac:dyDescent="0.25">
      <c r="A3953">
        <f>80838917*0.00001</f>
        <v>808.38917000000004</v>
      </c>
      <c r="B3953">
        <v>3514</v>
      </c>
      <c r="C3953">
        <v>92</v>
      </c>
      <c r="D3953" s="1">
        <f>249.979</f>
        <v>249.97900000000001</v>
      </c>
      <c r="E3953">
        <v>5274</v>
      </c>
      <c r="F3953">
        <v>1618</v>
      </c>
      <c r="G3953">
        <v>1</v>
      </c>
      <c r="H3953">
        <v>0.2</v>
      </c>
      <c r="I3953">
        <v>0</v>
      </c>
      <c r="J3953">
        <v>50.069099999999999</v>
      </c>
      <c r="K3953">
        <v>539.15499999999997</v>
      </c>
      <c r="L3953">
        <v>0</v>
      </c>
    </row>
    <row r="3954" spans="1:12" x14ac:dyDescent="0.25">
      <c r="A3954">
        <f>80839050*0.00001</f>
        <v>808.39050000000009</v>
      </c>
      <c r="B3954">
        <v>3514</v>
      </c>
      <c r="C3954">
        <v>93</v>
      </c>
      <c r="D3954">
        <v>249.97900000000001</v>
      </c>
      <c r="E3954">
        <v>5274</v>
      </c>
      <c r="F3954" s="1">
        <f>1618</f>
        <v>1618</v>
      </c>
      <c r="G3954">
        <v>1</v>
      </c>
      <c r="H3954">
        <v>0.2</v>
      </c>
      <c r="I3954">
        <v>0</v>
      </c>
      <c r="J3954">
        <v>50.069099999999999</v>
      </c>
      <c r="K3954">
        <v>539.15499999999997</v>
      </c>
      <c r="L3954">
        <v>0</v>
      </c>
    </row>
    <row r="3955" spans="1:12" x14ac:dyDescent="0.25">
      <c r="A3955">
        <f>80839183*0.00001</f>
        <v>808.39183000000003</v>
      </c>
      <c r="B3955">
        <v>3514</v>
      </c>
      <c r="C3955">
        <v>94</v>
      </c>
      <c r="D3955">
        <v>249.97900000000001</v>
      </c>
      <c r="E3955">
        <v>5274</v>
      </c>
      <c r="F3955">
        <v>1618</v>
      </c>
      <c r="G3955">
        <v>1</v>
      </c>
      <c r="H3955" s="1">
        <f>0.2</f>
        <v>0.2</v>
      </c>
      <c r="I3955">
        <v>0</v>
      </c>
      <c r="J3955">
        <v>50.069099999999999</v>
      </c>
      <c r="K3955">
        <v>539.15499999999997</v>
      </c>
      <c r="L3955">
        <v>0</v>
      </c>
    </row>
    <row r="3956" spans="1:12" x14ac:dyDescent="0.25">
      <c r="A3956">
        <f>80839315*0.00001</f>
        <v>808.39315000000011</v>
      </c>
      <c r="B3956">
        <v>3514</v>
      </c>
      <c r="C3956">
        <v>95</v>
      </c>
      <c r="D3956">
        <v>249.97900000000001</v>
      </c>
      <c r="E3956">
        <v>5274</v>
      </c>
      <c r="F3956">
        <v>1618</v>
      </c>
      <c r="G3956">
        <v>1</v>
      </c>
      <c r="H3956">
        <v>0.2</v>
      </c>
      <c r="I3956">
        <v>0</v>
      </c>
      <c r="J3956" s="1">
        <f>50.0024</f>
        <v>50.002400000000002</v>
      </c>
      <c r="K3956">
        <v>539.15499999999997</v>
      </c>
      <c r="L3956">
        <v>0</v>
      </c>
    </row>
    <row r="3957" spans="1:12" x14ac:dyDescent="0.25">
      <c r="A3957">
        <f>80839448*0.00001</f>
        <v>808.39448000000004</v>
      </c>
      <c r="B3957">
        <v>3514</v>
      </c>
      <c r="C3957">
        <v>96</v>
      </c>
      <c r="D3957">
        <v>249.97900000000001</v>
      </c>
      <c r="E3957">
        <v>5274</v>
      </c>
      <c r="F3957">
        <v>1618</v>
      </c>
      <c r="G3957">
        <v>1</v>
      </c>
      <c r="H3957">
        <v>0.2</v>
      </c>
      <c r="I3957">
        <v>0</v>
      </c>
      <c r="J3957">
        <v>50.002400000000002</v>
      </c>
      <c r="K3957">
        <v>539.15499999999997</v>
      </c>
      <c r="L3957" s="1">
        <f>0</f>
        <v>0</v>
      </c>
    </row>
    <row r="3958" spans="1:12" x14ac:dyDescent="0.25">
      <c r="A3958">
        <f>80839581*0.00001</f>
        <v>808.3958100000001</v>
      </c>
      <c r="B3958">
        <v>3514</v>
      </c>
      <c r="C3958">
        <v>97</v>
      </c>
      <c r="D3958">
        <v>249.97900000000001</v>
      </c>
      <c r="E3958" s="1">
        <f>5273</f>
        <v>5273</v>
      </c>
      <c r="F3958">
        <v>1618</v>
      </c>
      <c r="G3958">
        <v>1</v>
      </c>
      <c r="H3958">
        <v>0.2</v>
      </c>
      <c r="I3958">
        <v>0</v>
      </c>
      <c r="J3958">
        <v>50.002400000000002</v>
      </c>
      <c r="K3958">
        <v>539.15499999999997</v>
      </c>
      <c r="L3958">
        <v>0</v>
      </c>
    </row>
    <row r="3959" spans="1:12" x14ac:dyDescent="0.25">
      <c r="A3959">
        <f>80839713*0.00001</f>
        <v>808.39713000000006</v>
      </c>
      <c r="B3959">
        <v>3514</v>
      </c>
      <c r="C3959">
        <v>98</v>
      </c>
      <c r="D3959">
        <v>249.97900000000001</v>
      </c>
      <c r="E3959">
        <v>5273</v>
      </c>
      <c r="F3959">
        <v>1618</v>
      </c>
      <c r="G3959" s="1">
        <f>1</f>
        <v>1</v>
      </c>
      <c r="H3959">
        <v>0.2</v>
      </c>
      <c r="I3959">
        <v>0</v>
      </c>
      <c r="J3959">
        <v>50.002400000000002</v>
      </c>
      <c r="K3959">
        <v>539.15499999999997</v>
      </c>
      <c r="L3959">
        <v>0</v>
      </c>
    </row>
    <row r="3960" spans="1:12" x14ac:dyDescent="0.25">
      <c r="A3960">
        <f>80839846*0.00001</f>
        <v>808.39846000000011</v>
      </c>
      <c r="B3960">
        <v>3514</v>
      </c>
      <c r="C3960">
        <v>99</v>
      </c>
      <c r="D3960">
        <v>249.97900000000001</v>
      </c>
      <c r="E3960">
        <v>5273</v>
      </c>
      <c r="F3960">
        <v>1618</v>
      </c>
      <c r="G3960">
        <v>1</v>
      </c>
      <c r="H3960">
        <v>0.2</v>
      </c>
      <c r="I3960" s="1">
        <f>0</f>
        <v>0</v>
      </c>
      <c r="J3960">
        <v>50.002400000000002</v>
      </c>
      <c r="K3960">
        <v>539.15499999999997</v>
      </c>
      <c r="L3960">
        <v>0</v>
      </c>
    </row>
    <row r="3961" spans="1:12" x14ac:dyDescent="0.25">
      <c r="A3961">
        <f>80839979*0.00001</f>
        <v>808.39979000000005</v>
      </c>
      <c r="B3961">
        <v>3514</v>
      </c>
      <c r="C3961">
        <v>100</v>
      </c>
      <c r="D3961">
        <v>249.97900000000001</v>
      </c>
      <c r="E3961">
        <v>5273</v>
      </c>
      <c r="F3961">
        <v>1618</v>
      </c>
      <c r="G3961">
        <v>1</v>
      </c>
      <c r="H3961">
        <v>0.2</v>
      </c>
      <c r="I3961">
        <v>0</v>
      </c>
      <c r="J3961">
        <v>50.002400000000002</v>
      </c>
      <c r="K3961" s="1">
        <f>539.275</f>
        <v>539.27499999999998</v>
      </c>
      <c r="L3961">
        <v>0</v>
      </c>
    </row>
    <row r="3962" spans="1:12" x14ac:dyDescent="0.25">
      <c r="A3962">
        <f>80840111*0.00001</f>
        <v>808.40111000000002</v>
      </c>
      <c r="B3962">
        <v>3514</v>
      </c>
      <c r="C3962">
        <v>101</v>
      </c>
      <c r="D3962" s="1">
        <f>250.028</f>
        <v>250.02799999999999</v>
      </c>
      <c r="E3962">
        <v>5273</v>
      </c>
      <c r="F3962">
        <v>1618</v>
      </c>
      <c r="G3962">
        <v>1</v>
      </c>
      <c r="H3962">
        <v>0.2</v>
      </c>
      <c r="I3962">
        <v>0</v>
      </c>
      <c r="J3962">
        <v>50.002400000000002</v>
      </c>
      <c r="K3962">
        <v>539.27499999999998</v>
      </c>
      <c r="L3962">
        <v>0</v>
      </c>
    </row>
    <row r="3963" spans="1:12" x14ac:dyDescent="0.25">
      <c r="A3963">
        <f>80840244*0.00001</f>
        <v>808.40244000000007</v>
      </c>
      <c r="B3963">
        <v>3514</v>
      </c>
      <c r="C3963">
        <v>102</v>
      </c>
      <c r="D3963">
        <v>250.02799999999999</v>
      </c>
      <c r="E3963">
        <v>5273</v>
      </c>
      <c r="F3963" s="1">
        <f>1618</f>
        <v>1618</v>
      </c>
      <c r="G3963">
        <v>1</v>
      </c>
      <c r="H3963">
        <v>0.2</v>
      </c>
      <c r="I3963">
        <v>0</v>
      </c>
      <c r="J3963">
        <v>50.002400000000002</v>
      </c>
      <c r="K3963">
        <v>539.27499999999998</v>
      </c>
      <c r="L3963">
        <v>0</v>
      </c>
    </row>
    <row r="3964" spans="1:12" x14ac:dyDescent="0.25">
      <c r="A3964">
        <f>80840377*0.00001</f>
        <v>808.40377000000012</v>
      </c>
      <c r="B3964">
        <v>3514</v>
      </c>
      <c r="C3964">
        <v>103</v>
      </c>
      <c r="D3964">
        <v>250.02799999999999</v>
      </c>
      <c r="E3964">
        <v>5273</v>
      </c>
      <c r="F3964">
        <v>1618</v>
      </c>
      <c r="G3964">
        <v>1</v>
      </c>
      <c r="H3964" s="1">
        <f>0.2</f>
        <v>0.2</v>
      </c>
      <c r="I3964">
        <v>0</v>
      </c>
      <c r="J3964">
        <v>50.002400000000002</v>
      </c>
      <c r="K3964">
        <v>539.27499999999998</v>
      </c>
      <c r="L3964">
        <v>0</v>
      </c>
    </row>
    <row r="3965" spans="1:12" x14ac:dyDescent="0.25">
      <c r="A3965">
        <f>80840509*0.00001</f>
        <v>808.40509000000009</v>
      </c>
      <c r="B3965">
        <v>3514</v>
      </c>
      <c r="C3965">
        <v>104</v>
      </c>
      <c r="D3965">
        <v>250.02799999999999</v>
      </c>
      <c r="E3965">
        <v>5273</v>
      </c>
      <c r="F3965">
        <v>1618</v>
      </c>
      <c r="G3965">
        <v>1</v>
      </c>
      <c r="H3965">
        <v>0.2</v>
      </c>
      <c r="I3965">
        <v>0</v>
      </c>
      <c r="J3965" s="1">
        <f>49.9604</f>
        <v>49.9604</v>
      </c>
      <c r="K3965">
        <v>539.27499999999998</v>
      </c>
      <c r="L3965">
        <v>0</v>
      </c>
    </row>
    <row r="3966" spans="1:12" x14ac:dyDescent="0.25">
      <c r="A3966">
        <f>80840642*0.00001</f>
        <v>808.40642000000003</v>
      </c>
      <c r="B3966">
        <v>3514</v>
      </c>
      <c r="C3966">
        <v>105</v>
      </c>
      <c r="D3966">
        <v>250.02799999999999</v>
      </c>
      <c r="E3966">
        <v>5273</v>
      </c>
      <c r="F3966">
        <v>1618</v>
      </c>
      <c r="G3966">
        <v>1</v>
      </c>
      <c r="H3966">
        <v>0.2</v>
      </c>
      <c r="I3966">
        <v>0</v>
      </c>
      <c r="J3966">
        <v>49.9604</v>
      </c>
      <c r="K3966">
        <v>539.27499999999998</v>
      </c>
      <c r="L3966" s="1">
        <f>0</f>
        <v>0</v>
      </c>
    </row>
    <row r="3967" spans="1:12" x14ac:dyDescent="0.25">
      <c r="A3967">
        <f>80840775*0.00001</f>
        <v>808.40775000000008</v>
      </c>
      <c r="B3967">
        <v>3514</v>
      </c>
      <c r="C3967">
        <v>106</v>
      </c>
      <c r="D3967">
        <v>250.02799999999999</v>
      </c>
      <c r="E3967" s="1">
        <f>5272</f>
        <v>5272</v>
      </c>
      <c r="F3967">
        <v>1618</v>
      </c>
      <c r="G3967">
        <v>1</v>
      </c>
      <c r="H3967">
        <v>0.2</v>
      </c>
      <c r="I3967">
        <v>0</v>
      </c>
      <c r="J3967">
        <v>49.9604</v>
      </c>
      <c r="K3967">
        <v>539.27499999999998</v>
      </c>
      <c r="L3967">
        <v>0</v>
      </c>
    </row>
    <row r="3968" spans="1:12" x14ac:dyDescent="0.25">
      <c r="A3968">
        <f>80840907*0.00001</f>
        <v>808.40907000000004</v>
      </c>
      <c r="B3968">
        <v>3514</v>
      </c>
      <c r="C3968">
        <v>107</v>
      </c>
      <c r="D3968">
        <v>250.02799999999999</v>
      </c>
      <c r="E3968">
        <v>5272</v>
      </c>
      <c r="F3968">
        <v>1618</v>
      </c>
      <c r="G3968" s="1">
        <f>1</f>
        <v>1</v>
      </c>
      <c r="H3968">
        <v>0.2</v>
      </c>
      <c r="I3968">
        <v>0</v>
      </c>
      <c r="J3968">
        <v>49.9604</v>
      </c>
      <c r="K3968">
        <v>539.27499999999998</v>
      </c>
      <c r="L3968">
        <v>0</v>
      </c>
    </row>
    <row r="3969" spans="1:12" x14ac:dyDescent="0.25">
      <c r="A3969">
        <f>80841040*0.00001</f>
        <v>808.4104000000001</v>
      </c>
      <c r="B3969">
        <v>3514</v>
      </c>
      <c r="C3969">
        <v>108</v>
      </c>
      <c r="D3969">
        <v>250.02799999999999</v>
      </c>
      <c r="E3969">
        <v>5272</v>
      </c>
      <c r="F3969">
        <v>1618</v>
      </c>
      <c r="G3969">
        <v>1</v>
      </c>
      <c r="H3969">
        <v>0.2</v>
      </c>
      <c r="I3969" s="1">
        <f>0</f>
        <v>0</v>
      </c>
      <c r="J3969">
        <v>49.9604</v>
      </c>
      <c r="K3969">
        <v>539.27499999999998</v>
      </c>
      <c r="L3969">
        <v>0</v>
      </c>
    </row>
    <row r="3970" spans="1:12" x14ac:dyDescent="0.25">
      <c r="A3970">
        <f>80841173*0.00001</f>
        <v>808.41173000000003</v>
      </c>
      <c r="B3970">
        <v>3514</v>
      </c>
      <c r="C3970">
        <v>109</v>
      </c>
      <c r="D3970">
        <v>250.02799999999999</v>
      </c>
      <c r="E3970">
        <v>5272</v>
      </c>
      <c r="F3970">
        <v>1618</v>
      </c>
      <c r="G3970">
        <v>1</v>
      </c>
      <c r="H3970">
        <v>0.2</v>
      </c>
      <c r="I3970">
        <v>0</v>
      </c>
      <c r="J3970">
        <v>49.9604</v>
      </c>
      <c r="K3970" s="1">
        <f>539.395</f>
        <v>539.39499999999998</v>
      </c>
      <c r="L3970">
        <v>0</v>
      </c>
    </row>
    <row r="3971" spans="1:12" x14ac:dyDescent="0.25">
      <c r="A3971">
        <f>80841305*0.00001</f>
        <v>808.41305000000011</v>
      </c>
      <c r="B3971">
        <v>3514</v>
      </c>
      <c r="C3971">
        <v>110</v>
      </c>
      <c r="D3971" s="1">
        <f>250.059</f>
        <v>250.059</v>
      </c>
      <c r="E3971">
        <v>5272</v>
      </c>
      <c r="F3971">
        <v>1618</v>
      </c>
      <c r="G3971">
        <v>1</v>
      </c>
      <c r="H3971">
        <v>0.2</v>
      </c>
      <c r="I3971">
        <v>0</v>
      </c>
      <c r="J3971">
        <v>49.9604</v>
      </c>
      <c r="K3971">
        <v>539.39499999999998</v>
      </c>
      <c r="L3971">
        <v>0</v>
      </c>
    </row>
    <row r="3972" spans="1:12" x14ac:dyDescent="0.25">
      <c r="A3972">
        <f>80841438*0.00001</f>
        <v>808.41438000000005</v>
      </c>
      <c r="B3972">
        <v>3514</v>
      </c>
      <c r="C3972">
        <v>111</v>
      </c>
      <c r="D3972">
        <v>250.059</v>
      </c>
      <c r="E3972">
        <v>5272</v>
      </c>
      <c r="F3972" s="1">
        <f>1618</f>
        <v>1618</v>
      </c>
      <c r="G3972">
        <v>1</v>
      </c>
      <c r="H3972">
        <v>0.2</v>
      </c>
      <c r="I3972">
        <v>0</v>
      </c>
      <c r="J3972">
        <v>49.9604</v>
      </c>
      <c r="K3972">
        <v>539.39499999999998</v>
      </c>
      <c r="L3972">
        <v>0</v>
      </c>
    </row>
    <row r="3973" spans="1:12" x14ac:dyDescent="0.25">
      <c r="A3973">
        <f>80841571*0.00001</f>
        <v>808.4157100000001</v>
      </c>
      <c r="B3973">
        <v>3514</v>
      </c>
      <c r="C3973">
        <v>112</v>
      </c>
      <c r="D3973">
        <v>250.059</v>
      </c>
      <c r="E3973">
        <v>5272</v>
      </c>
      <c r="F3973">
        <v>1618</v>
      </c>
      <c r="G3973">
        <v>1</v>
      </c>
      <c r="H3973" s="1">
        <f>0.2</f>
        <v>0.2</v>
      </c>
      <c r="I3973">
        <v>0</v>
      </c>
      <c r="J3973">
        <v>49.9604</v>
      </c>
      <c r="K3973">
        <v>539.39499999999998</v>
      </c>
      <c r="L3973">
        <v>0</v>
      </c>
    </row>
    <row r="3974" spans="1:12" x14ac:dyDescent="0.25">
      <c r="A3974">
        <f>80841703*0.00001</f>
        <v>808.41703000000007</v>
      </c>
      <c r="B3974">
        <v>3514</v>
      </c>
      <c r="C3974">
        <v>113</v>
      </c>
      <c r="D3974">
        <v>250.059</v>
      </c>
      <c r="E3974">
        <v>5272</v>
      </c>
      <c r="F3974">
        <v>1618</v>
      </c>
      <c r="G3974">
        <v>1</v>
      </c>
      <c r="H3974">
        <v>0.2</v>
      </c>
      <c r="I3974">
        <v>0</v>
      </c>
      <c r="J3974" s="1">
        <f>49.9339</f>
        <v>49.933900000000001</v>
      </c>
      <c r="K3974">
        <v>539.39499999999998</v>
      </c>
      <c r="L3974">
        <v>0</v>
      </c>
    </row>
    <row r="3975" spans="1:12" x14ac:dyDescent="0.25">
      <c r="A3975">
        <f>80841836*0.00001</f>
        <v>808.41836000000012</v>
      </c>
      <c r="B3975">
        <v>3514</v>
      </c>
      <c r="C3975">
        <v>114</v>
      </c>
      <c r="D3975">
        <v>250.059</v>
      </c>
      <c r="E3975">
        <v>5272</v>
      </c>
      <c r="F3975">
        <v>1618</v>
      </c>
      <c r="G3975">
        <v>1</v>
      </c>
      <c r="H3975">
        <v>0.2</v>
      </c>
      <c r="I3975">
        <v>0</v>
      </c>
      <c r="J3975">
        <v>49.933900000000001</v>
      </c>
      <c r="K3975">
        <v>539.39499999999998</v>
      </c>
      <c r="L3975" s="1">
        <f>0</f>
        <v>0</v>
      </c>
    </row>
    <row r="3976" spans="1:12" x14ac:dyDescent="0.25">
      <c r="A3976">
        <f>80841969*0.00001</f>
        <v>808.41969000000006</v>
      </c>
      <c r="B3976">
        <v>3514</v>
      </c>
      <c r="C3976">
        <v>115</v>
      </c>
      <c r="D3976">
        <v>250.059</v>
      </c>
      <c r="E3976" s="1">
        <f>5272</f>
        <v>5272</v>
      </c>
      <c r="F3976">
        <v>1618</v>
      </c>
      <c r="G3976">
        <v>1</v>
      </c>
      <c r="H3976">
        <v>0.2</v>
      </c>
      <c r="I3976">
        <v>0</v>
      </c>
      <c r="J3976">
        <v>49.933900000000001</v>
      </c>
      <c r="K3976">
        <v>539.39499999999998</v>
      </c>
      <c r="L3976">
        <v>0</v>
      </c>
    </row>
    <row r="3977" spans="1:12" x14ac:dyDescent="0.25">
      <c r="A3977">
        <f>80842101*0.00001</f>
        <v>808.42101000000002</v>
      </c>
      <c r="B3977">
        <v>3514</v>
      </c>
      <c r="C3977">
        <v>116</v>
      </c>
      <c r="D3977">
        <v>250.059</v>
      </c>
      <c r="E3977">
        <v>5272</v>
      </c>
      <c r="F3977">
        <v>1618</v>
      </c>
      <c r="G3977" s="1">
        <f>1</f>
        <v>1</v>
      </c>
      <c r="H3977">
        <v>0.2</v>
      </c>
      <c r="I3977">
        <v>0</v>
      </c>
      <c r="J3977">
        <v>49.933900000000001</v>
      </c>
      <c r="K3977">
        <v>539.39499999999998</v>
      </c>
      <c r="L3977">
        <v>0</v>
      </c>
    </row>
    <row r="3978" spans="1:12" x14ac:dyDescent="0.25">
      <c r="A3978">
        <f>80842234*0.00001</f>
        <v>808.42234000000008</v>
      </c>
      <c r="B3978">
        <v>3514</v>
      </c>
      <c r="C3978">
        <v>117</v>
      </c>
      <c r="D3978">
        <v>250.059</v>
      </c>
      <c r="E3978">
        <v>5272</v>
      </c>
      <c r="F3978">
        <v>1618</v>
      </c>
      <c r="G3978">
        <v>1</v>
      </c>
      <c r="H3978">
        <v>0.2</v>
      </c>
      <c r="I3978" s="1">
        <f>0</f>
        <v>0</v>
      </c>
      <c r="J3978">
        <v>49.933900000000001</v>
      </c>
      <c r="K3978">
        <v>539.39499999999998</v>
      </c>
      <c r="L3978">
        <v>0</v>
      </c>
    </row>
    <row r="3979" spans="1:12" x14ac:dyDescent="0.25">
      <c r="A3979">
        <f>80842367*0.00001</f>
        <v>808.42367000000002</v>
      </c>
      <c r="B3979">
        <v>3514</v>
      </c>
      <c r="C3979">
        <v>118</v>
      </c>
      <c r="D3979">
        <v>250.059</v>
      </c>
      <c r="E3979">
        <v>5272</v>
      </c>
      <c r="F3979">
        <v>1618</v>
      </c>
      <c r="G3979">
        <v>1</v>
      </c>
      <c r="H3979">
        <v>0.2</v>
      </c>
      <c r="I3979">
        <v>0</v>
      </c>
      <c r="J3979">
        <v>49.933900000000001</v>
      </c>
      <c r="K3979" s="1">
        <f>539.515</f>
        <v>539.51499999999999</v>
      </c>
      <c r="L3979">
        <v>0</v>
      </c>
    </row>
    <row r="3980" spans="1:12" x14ac:dyDescent="0.25">
      <c r="A3980">
        <f>80842499*0.00001</f>
        <v>808.42499000000009</v>
      </c>
      <c r="B3980">
        <v>3514</v>
      </c>
      <c r="C3980">
        <v>119</v>
      </c>
      <c r="D3980" s="1">
        <f>250.078</f>
        <v>250.078</v>
      </c>
      <c r="E3980">
        <v>5272</v>
      </c>
      <c r="F3980">
        <v>1618</v>
      </c>
      <c r="G3980">
        <v>1</v>
      </c>
      <c r="H3980">
        <v>0.2</v>
      </c>
      <c r="I3980">
        <v>0</v>
      </c>
      <c r="J3980">
        <v>49.933900000000001</v>
      </c>
      <c r="K3980">
        <v>539.51499999999999</v>
      </c>
      <c r="L3980">
        <v>0</v>
      </c>
    </row>
    <row r="3981" spans="1:12" x14ac:dyDescent="0.25">
      <c r="A3981">
        <f>80842632*0.00001</f>
        <v>808.42632000000003</v>
      </c>
      <c r="B3981">
        <v>3514</v>
      </c>
      <c r="C3981">
        <v>120</v>
      </c>
      <c r="D3981">
        <v>250.078</v>
      </c>
      <c r="E3981">
        <v>5272</v>
      </c>
      <c r="F3981" s="1">
        <f>1618</f>
        <v>1618</v>
      </c>
      <c r="G3981">
        <v>1</v>
      </c>
      <c r="H3981">
        <v>0.2</v>
      </c>
      <c r="I3981">
        <v>0</v>
      </c>
      <c r="J3981">
        <v>49.933900000000001</v>
      </c>
      <c r="K3981">
        <v>539.51499999999999</v>
      </c>
      <c r="L3981">
        <v>0</v>
      </c>
    </row>
    <row r="3982" spans="1:12" x14ac:dyDescent="0.25">
      <c r="A3982">
        <f>80842765*0.00001</f>
        <v>808.42765000000009</v>
      </c>
      <c r="B3982">
        <v>3514</v>
      </c>
      <c r="C3982">
        <v>121</v>
      </c>
      <c r="D3982">
        <v>250.078</v>
      </c>
      <c r="E3982">
        <v>5272</v>
      </c>
      <c r="F3982">
        <v>1618</v>
      </c>
      <c r="G3982">
        <v>1</v>
      </c>
      <c r="H3982" s="1">
        <f>0.2</f>
        <v>0.2</v>
      </c>
      <c r="I3982">
        <v>0</v>
      </c>
      <c r="J3982">
        <v>49.933900000000001</v>
      </c>
      <c r="K3982">
        <v>539.51499999999999</v>
      </c>
      <c r="L3982">
        <v>0</v>
      </c>
    </row>
    <row r="3983" spans="1:12" x14ac:dyDescent="0.25">
      <c r="A3983">
        <f>80842897*0.00001</f>
        <v>808.42897000000005</v>
      </c>
      <c r="B3983">
        <v>3514</v>
      </c>
      <c r="C3983">
        <v>122</v>
      </c>
      <c r="D3983">
        <v>250.078</v>
      </c>
      <c r="E3983">
        <v>5272</v>
      </c>
      <c r="F3983">
        <v>1618</v>
      </c>
      <c r="G3983">
        <v>1</v>
      </c>
      <c r="H3983">
        <v>0.2</v>
      </c>
      <c r="I3983">
        <v>0</v>
      </c>
      <c r="J3983" s="1">
        <f>49.9173</f>
        <v>49.917299999999997</v>
      </c>
      <c r="K3983">
        <v>539.51499999999999</v>
      </c>
      <c r="L3983">
        <v>0</v>
      </c>
    </row>
    <row r="3984" spans="1:12" x14ac:dyDescent="0.25">
      <c r="A3984">
        <f>80843030*0.00001</f>
        <v>808.4303000000001</v>
      </c>
      <c r="B3984">
        <v>3514</v>
      </c>
      <c r="C3984">
        <v>123</v>
      </c>
      <c r="D3984">
        <v>250.078</v>
      </c>
      <c r="E3984">
        <v>5272</v>
      </c>
      <c r="F3984">
        <v>1618</v>
      </c>
      <c r="G3984">
        <v>1</v>
      </c>
      <c r="H3984">
        <v>0.2</v>
      </c>
      <c r="I3984">
        <v>0</v>
      </c>
      <c r="J3984">
        <v>49.917299999999997</v>
      </c>
      <c r="K3984">
        <v>539.51499999999999</v>
      </c>
      <c r="L3984" s="1">
        <f>0</f>
        <v>0</v>
      </c>
    </row>
    <row r="3985" spans="1:12" x14ac:dyDescent="0.25">
      <c r="A3985">
        <f>80843163*0.00001</f>
        <v>808.43163000000004</v>
      </c>
      <c r="B3985">
        <v>3514</v>
      </c>
      <c r="C3985">
        <v>124</v>
      </c>
      <c r="D3985">
        <v>250.078</v>
      </c>
      <c r="E3985" s="1">
        <f>5273</f>
        <v>5273</v>
      </c>
      <c r="F3985">
        <v>1618</v>
      </c>
      <c r="G3985">
        <v>1</v>
      </c>
      <c r="H3985">
        <v>0.2</v>
      </c>
      <c r="I3985">
        <v>0</v>
      </c>
      <c r="J3985">
        <v>49.917299999999997</v>
      </c>
      <c r="K3985">
        <v>539.51499999999999</v>
      </c>
      <c r="L3985">
        <v>0</v>
      </c>
    </row>
    <row r="3986" spans="1:12" x14ac:dyDescent="0.25">
      <c r="A3986">
        <f>80843295*0.00001</f>
        <v>808.43295000000012</v>
      </c>
      <c r="B3986">
        <v>3514</v>
      </c>
      <c r="C3986">
        <v>125</v>
      </c>
      <c r="D3986">
        <v>250.078</v>
      </c>
      <c r="E3986">
        <v>5273</v>
      </c>
      <c r="F3986">
        <v>1618</v>
      </c>
      <c r="G3986" s="1">
        <f>1</f>
        <v>1</v>
      </c>
      <c r="H3986">
        <v>0.2</v>
      </c>
      <c r="I3986">
        <v>0</v>
      </c>
      <c r="J3986">
        <v>49.917299999999997</v>
      </c>
      <c r="K3986">
        <v>539.51499999999999</v>
      </c>
      <c r="L3986">
        <v>0</v>
      </c>
    </row>
    <row r="3987" spans="1:12" x14ac:dyDescent="0.25">
      <c r="A3987">
        <f>80843428*0.00001</f>
        <v>808.43428000000006</v>
      </c>
      <c r="B3987">
        <v>3514</v>
      </c>
      <c r="C3987">
        <v>126</v>
      </c>
      <c r="D3987">
        <v>250.078</v>
      </c>
      <c r="E3987">
        <v>5273</v>
      </c>
      <c r="F3987">
        <v>1618</v>
      </c>
      <c r="G3987">
        <v>1</v>
      </c>
      <c r="H3987">
        <v>0.2</v>
      </c>
      <c r="I3987" s="1">
        <f>0</f>
        <v>0</v>
      </c>
      <c r="J3987">
        <v>49.917299999999997</v>
      </c>
      <c r="K3987">
        <v>539.51499999999999</v>
      </c>
      <c r="L3987">
        <v>0</v>
      </c>
    </row>
    <row r="3988" spans="1:12" x14ac:dyDescent="0.25">
      <c r="A3988">
        <f>80843561*0.00001</f>
        <v>808.43561000000011</v>
      </c>
      <c r="B3988">
        <v>3514</v>
      </c>
      <c r="C3988">
        <v>127</v>
      </c>
      <c r="D3988">
        <v>250.078</v>
      </c>
      <c r="E3988">
        <v>5273</v>
      </c>
      <c r="F3988">
        <v>1618</v>
      </c>
      <c r="G3988">
        <v>1</v>
      </c>
      <c r="H3988">
        <v>0.2</v>
      </c>
      <c r="I3988">
        <v>0</v>
      </c>
      <c r="J3988">
        <v>49.917299999999997</v>
      </c>
      <c r="K3988" s="1">
        <f>539.635</f>
        <v>539.63499999999999</v>
      </c>
      <c r="L3988">
        <v>0</v>
      </c>
    </row>
    <row r="3989" spans="1:12" x14ac:dyDescent="0.25">
      <c r="A3989">
        <f>80843693*0.00001</f>
        <v>808.43693000000007</v>
      </c>
      <c r="B3989">
        <v>3514</v>
      </c>
      <c r="C3989">
        <v>128</v>
      </c>
      <c r="D3989" s="1">
        <f>250.09</f>
        <v>250.09</v>
      </c>
      <c r="E3989">
        <v>5273</v>
      </c>
      <c r="F3989">
        <v>1618</v>
      </c>
      <c r="G3989">
        <v>1</v>
      </c>
      <c r="H3989">
        <v>0.2</v>
      </c>
      <c r="I3989">
        <v>0</v>
      </c>
      <c r="J3989">
        <v>49.917299999999997</v>
      </c>
      <c r="K3989">
        <v>539.63499999999999</v>
      </c>
      <c r="L3989">
        <v>0</v>
      </c>
    </row>
    <row r="3990" spans="1:12" x14ac:dyDescent="0.25">
      <c r="A3990">
        <f>80843826*0.00001</f>
        <v>808.43826000000001</v>
      </c>
      <c r="B3990">
        <v>3514</v>
      </c>
      <c r="C3990">
        <v>129</v>
      </c>
      <c r="D3990">
        <v>250.09</v>
      </c>
      <c r="E3990">
        <v>5273</v>
      </c>
      <c r="F3990" s="1">
        <f>1618</f>
        <v>1618</v>
      </c>
      <c r="G3990">
        <v>1</v>
      </c>
      <c r="H3990">
        <v>0.2</v>
      </c>
      <c r="I3990">
        <v>0</v>
      </c>
      <c r="J3990">
        <v>49.917299999999997</v>
      </c>
      <c r="K3990">
        <v>539.63499999999999</v>
      </c>
      <c r="L3990">
        <v>0</v>
      </c>
    </row>
    <row r="3991" spans="1:12" x14ac:dyDescent="0.25">
      <c r="A3991">
        <f>80843959*0.00001</f>
        <v>808.43959000000007</v>
      </c>
      <c r="B3991">
        <v>3514</v>
      </c>
      <c r="C3991">
        <v>130</v>
      </c>
      <c r="D3991">
        <v>250.09</v>
      </c>
      <c r="E3991">
        <v>5273</v>
      </c>
      <c r="F3991">
        <v>1618</v>
      </c>
      <c r="G3991">
        <v>1</v>
      </c>
      <c r="H3991" s="1">
        <f>0.2</f>
        <v>0.2</v>
      </c>
      <c r="I3991">
        <v>0</v>
      </c>
      <c r="J3991">
        <v>49.917299999999997</v>
      </c>
      <c r="K3991">
        <v>539.63499999999999</v>
      </c>
      <c r="L3991">
        <v>0</v>
      </c>
    </row>
    <row r="3992" spans="1:12" x14ac:dyDescent="0.25">
      <c r="A3992">
        <f>80844092*0.00001</f>
        <v>808.44092000000012</v>
      </c>
      <c r="B3992">
        <v>3514</v>
      </c>
      <c r="C3992">
        <v>131</v>
      </c>
      <c r="D3992">
        <v>250.09</v>
      </c>
      <c r="E3992">
        <v>5273</v>
      </c>
      <c r="F3992">
        <v>1618</v>
      </c>
      <c r="G3992">
        <v>1</v>
      </c>
      <c r="H3992">
        <v>0.2</v>
      </c>
      <c r="I3992">
        <v>0</v>
      </c>
      <c r="J3992" s="1">
        <f>49.9077</f>
        <v>49.907699999999998</v>
      </c>
      <c r="K3992">
        <v>539.63499999999999</v>
      </c>
      <c r="L3992">
        <v>0</v>
      </c>
    </row>
    <row r="3993" spans="1:12" x14ac:dyDescent="0.25">
      <c r="A3993">
        <f>80844225*0.00001</f>
        <v>808.44225000000006</v>
      </c>
      <c r="B3993">
        <v>3514</v>
      </c>
      <c r="C3993">
        <v>132</v>
      </c>
      <c r="D3993">
        <v>250.09</v>
      </c>
      <c r="E3993">
        <v>5273</v>
      </c>
      <c r="F3993">
        <v>1618</v>
      </c>
      <c r="G3993">
        <v>1</v>
      </c>
      <c r="H3993">
        <v>0.2</v>
      </c>
      <c r="I3993">
        <v>0</v>
      </c>
      <c r="J3993">
        <v>49.907699999999998</v>
      </c>
      <c r="K3993">
        <v>539.63499999999999</v>
      </c>
      <c r="L3993" s="1">
        <f>0</f>
        <v>0</v>
      </c>
    </row>
    <row r="3994" spans="1:12" x14ac:dyDescent="0.25">
      <c r="A3994">
        <f>80844358*0.00001</f>
        <v>808.44358000000011</v>
      </c>
      <c r="B3994">
        <v>3514</v>
      </c>
      <c r="C3994">
        <v>133</v>
      </c>
      <c r="D3994">
        <v>250.09</v>
      </c>
      <c r="E3994" s="1">
        <f>5273</f>
        <v>5273</v>
      </c>
      <c r="F3994">
        <v>1618</v>
      </c>
      <c r="G3994">
        <v>1</v>
      </c>
      <c r="H3994">
        <v>0.2</v>
      </c>
      <c r="I3994">
        <v>0</v>
      </c>
      <c r="J3994">
        <v>49.907699999999998</v>
      </c>
      <c r="K3994">
        <v>539.63499999999999</v>
      </c>
      <c r="L3994">
        <v>0</v>
      </c>
    </row>
    <row r="3995" spans="1:12" x14ac:dyDescent="0.25">
      <c r="A3995">
        <f>80844491*0.00001</f>
        <v>808.44491000000005</v>
      </c>
      <c r="B3995">
        <v>3514</v>
      </c>
      <c r="C3995">
        <v>134</v>
      </c>
      <c r="D3995">
        <v>250.09</v>
      </c>
      <c r="E3995">
        <v>5273</v>
      </c>
      <c r="F3995">
        <v>1618</v>
      </c>
      <c r="G3995" s="1">
        <f>1</f>
        <v>1</v>
      </c>
      <c r="H3995">
        <v>0.2</v>
      </c>
      <c r="I3995">
        <v>0</v>
      </c>
      <c r="J3995">
        <v>49.907699999999998</v>
      </c>
      <c r="K3995">
        <v>539.63499999999999</v>
      </c>
      <c r="L3995">
        <v>0</v>
      </c>
    </row>
    <row r="3996" spans="1:12" x14ac:dyDescent="0.25">
      <c r="A3996">
        <f>80844624*0.00001</f>
        <v>808.4462400000001</v>
      </c>
      <c r="B3996">
        <v>3514</v>
      </c>
      <c r="C3996">
        <v>135</v>
      </c>
      <c r="D3996">
        <v>250.09</v>
      </c>
      <c r="E3996">
        <v>5273</v>
      </c>
      <c r="F3996">
        <v>1618</v>
      </c>
      <c r="G3996">
        <v>1</v>
      </c>
      <c r="H3996">
        <v>0.2</v>
      </c>
      <c r="I3996" s="1">
        <f>0</f>
        <v>0</v>
      </c>
      <c r="J3996">
        <v>49.907699999999998</v>
      </c>
      <c r="K3996">
        <v>539.63499999999999</v>
      </c>
      <c r="L3996">
        <v>0</v>
      </c>
    </row>
    <row r="3997" spans="1:12" x14ac:dyDescent="0.25">
      <c r="A3997">
        <f>80844757*0.00001</f>
        <v>808.44757000000004</v>
      </c>
      <c r="B3997">
        <v>3514</v>
      </c>
      <c r="C3997">
        <v>136</v>
      </c>
      <c r="D3997">
        <v>250.09</v>
      </c>
      <c r="E3997">
        <v>5273</v>
      </c>
      <c r="F3997">
        <v>1618</v>
      </c>
      <c r="G3997">
        <v>1</v>
      </c>
      <c r="H3997">
        <v>0.2</v>
      </c>
      <c r="I3997">
        <v>0</v>
      </c>
      <c r="J3997">
        <v>49.907699999999998</v>
      </c>
      <c r="K3997" s="1">
        <f>539.754</f>
        <v>539.75400000000002</v>
      </c>
      <c r="L3997">
        <v>0</v>
      </c>
    </row>
    <row r="3998" spans="1:12" x14ac:dyDescent="0.25">
      <c r="A3998">
        <f>80844890*0.00001</f>
        <v>808.44890000000009</v>
      </c>
      <c r="B3998">
        <v>3514</v>
      </c>
      <c r="C3998">
        <v>137</v>
      </c>
      <c r="D3998" s="1">
        <f>250.117</f>
        <v>250.11699999999999</v>
      </c>
      <c r="E3998">
        <v>5273</v>
      </c>
      <c r="F3998">
        <v>1618</v>
      </c>
      <c r="G3998">
        <v>1</v>
      </c>
      <c r="H3998">
        <v>0.2</v>
      </c>
      <c r="I3998">
        <v>0</v>
      </c>
      <c r="J3998">
        <v>49.907699999999998</v>
      </c>
      <c r="K3998">
        <v>539.75400000000002</v>
      </c>
      <c r="L3998">
        <v>0</v>
      </c>
    </row>
    <row r="3999" spans="1:12" x14ac:dyDescent="0.25">
      <c r="A3999">
        <f>80845022*0.00001</f>
        <v>808.45022000000006</v>
      </c>
      <c r="B3999">
        <v>3514</v>
      </c>
      <c r="C3999">
        <v>138</v>
      </c>
      <c r="D3999">
        <v>250.11699999999999</v>
      </c>
      <c r="E3999">
        <v>5273</v>
      </c>
      <c r="F3999" s="1">
        <f>1618</f>
        <v>1618</v>
      </c>
      <c r="G3999">
        <v>1</v>
      </c>
      <c r="H3999">
        <v>0.2</v>
      </c>
      <c r="I3999">
        <v>0</v>
      </c>
      <c r="J3999">
        <v>49.907699999999998</v>
      </c>
      <c r="K3999">
        <v>539.75400000000002</v>
      </c>
      <c r="L3999">
        <v>0</v>
      </c>
    </row>
    <row r="4000" spans="1:12" x14ac:dyDescent="0.25">
      <c r="A4000">
        <f>80845154*0.00001</f>
        <v>808.45154000000002</v>
      </c>
      <c r="B4000">
        <v>3514</v>
      </c>
      <c r="C4000">
        <v>139</v>
      </c>
      <c r="D4000">
        <v>250.11699999999999</v>
      </c>
      <c r="E4000">
        <v>5273</v>
      </c>
      <c r="F4000">
        <v>1618</v>
      </c>
      <c r="G4000">
        <v>1</v>
      </c>
      <c r="H4000" s="1">
        <f>0.2</f>
        <v>0.2</v>
      </c>
      <c r="I4000">
        <v>0</v>
      </c>
      <c r="J4000">
        <v>49.907699999999998</v>
      </c>
      <c r="K4000">
        <v>539.75400000000002</v>
      </c>
      <c r="L4000">
        <v>0</v>
      </c>
    </row>
    <row r="4001" spans="1:12" x14ac:dyDescent="0.25">
      <c r="A4001">
        <f>80845286*0.00001</f>
        <v>808.4528600000001</v>
      </c>
      <c r="B4001">
        <v>3514</v>
      </c>
      <c r="C4001">
        <v>140</v>
      </c>
      <c r="D4001">
        <v>250.11699999999999</v>
      </c>
      <c r="E4001">
        <v>5273</v>
      </c>
      <c r="F4001">
        <v>1618</v>
      </c>
      <c r="G4001">
        <v>1</v>
      </c>
      <c r="H4001">
        <v>0.2</v>
      </c>
      <c r="I4001">
        <v>0</v>
      </c>
      <c r="J4001" s="1">
        <f>49.8304</f>
        <v>49.830399999999997</v>
      </c>
      <c r="K4001">
        <v>539.75400000000002</v>
      </c>
      <c r="L4001">
        <v>0</v>
      </c>
    </row>
    <row r="4002" spans="1:12" x14ac:dyDescent="0.25">
      <c r="A4002">
        <f>80845419*0.00001</f>
        <v>808.45419000000004</v>
      </c>
      <c r="B4002">
        <v>3514</v>
      </c>
      <c r="C4002">
        <v>141</v>
      </c>
      <c r="D4002">
        <v>250.11699999999999</v>
      </c>
      <c r="E4002">
        <v>5273</v>
      </c>
      <c r="F4002">
        <v>1618</v>
      </c>
      <c r="G4002">
        <v>1</v>
      </c>
      <c r="H4002">
        <v>0.2</v>
      </c>
      <c r="I4002">
        <v>0</v>
      </c>
      <c r="J4002">
        <v>49.830399999999997</v>
      </c>
      <c r="K4002">
        <v>539.75400000000002</v>
      </c>
      <c r="L4002" s="1">
        <f>0</f>
        <v>0</v>
      </c>
    </row>
    <row r="4003" spans="1:12" x14ac:dyDescent="0.25">
      <c r="A4003">
        <f>80845552*0.00001</f>
        <v>808.45552000000009</v>
      </c>
      <c r="B4003">
        <v>3514</v>
      </c>
      <c r="C4003">
        <v>142</v>
      </c>
      <c r="D4003">
        <v>250.11699999999999</v>
      </c>
      <c r="E4003" s="1">
        <f>5271</f>
        <v>5271</v>
      </c>
      <c r="F4003">
        <v>1618</v>
      </c>
      <c r="G4003">
        <v>1</v>
      </c>
      <c r="H4003">
        <v>0.2</v>
      </c>
      <c r="I4003">
        <v>0</v>
      </c>
      <c r="J4003">
        <v>49.830399999999997</v>
      </c>
      <c r="K4003">
        <v>539.75400000000002</v>
      </c>
      <c r="L4003">
        <v>0</v>
      </c>
    </row>
    <row r="4004" spans="1:12" x14ac:dyDescent="0.25">
      <c r="A4004">
        <f>80845685*0.00001</f>
        <v>808.45685000000003</v>
      </c>
      <c r="B4004">
        <v>3514</v>
      </c>
      <c r="C4004">
        <v>143</v>
      </c>
      <c r="D4004">
        <v>250.11699999999999</v>
      </c>
      <c r="E4004">
        <v>5271</v>
      </c>
      <c r="F4004">
        <v>1618</v>
      </c>
      <c r="G4004" s="1">
        <f>1</f>
        <v>1</v>
      </c>
      <c r="H4004">
        <v>0.2</v>
      </c>
      <c r="I4004">
        <v>0</v>
      </c>
      <c r="J4004">
        <v>49.830399999999997</v>
      </c>
      <c r="K4004">
        <v>539.75400000000002</v>
      </c>
      <c r="L4004">
        <v>0</v>
      </c>
    </row>
    <row r="4005" spans="1:12" x14ac:dyDescent="0.25">
      <c r="A4005">
        <f>80845817*0.00001</f>
        <v>808.45817000000011</v>
      </c>
      <c r="B4005">
        <v>3514</v>
      </c>
      <c r="C4005">
        <v>144</v>
      </c>
      <c r="D4005">
        <v>250.11699999999999</v>
      </c>
      <c r="E4005">
        <v>5271</v>
      </c>
      <c r="F4005">
        <v>1618</v>
      </c>
      <c r="G4005">
        <v>1</v>
      </c>
      <c r="H4005">
        <v>0.2</v>
      </c>
      <c r="I4005" s="1">
        <f>0</f>
        <v>0</v>
      </c>
      <c r="J4005">
        <v>49.830399999999997</v>
      </c>
      <c r="K4005">
        <v>539.75400000000002</v>
      </c>
      <c r="L4005">
        <v>0</v>
      </c>
    </row>
    <row r="4006" spans="1:12" x14ac:dyDescent="0.25">
      <c r="A4006">
        <f>80845949*0.00001</f>
        <v>808.45949000000007</v>
      </c>
      <c r="B4006">
        <v>3514</v>
      </c>
      <c r="C4006">
        <v>145</v>
      </c>
      <c r="D4006">
        <v>250.11699999999999</v>
      </c>
      <c r="E4006">
        <v>5271</v>
      </c>
      <c r="F4006">
        <v>1618</v>
      </c>
      <c r="G4006">
        <v>1</v>
      </c>
      <c r="H4006">
        <v>0.2</v>
      </c>
      <c r="I4006">
        <v>0</v>
      </c>
      <c r="J4006">
        <v>49.830399999999997</v>
      </c>
      <c r="K4006" s="1">
        <f>539.873</f>
        <v>539.87300000000005</v>
      </c>
      <c r="L4006">
        <v>0</v>
      </c>
    </row>
    <row r="4007" spans="1:12" x14ac:dyDescent="0.25">
      <c r="A4007">
        <f>80846081*0.00001</f>
        <v>808.46081000000004</v>
      </c>
      <c r="B4007">
        <v>3514</v>
      </c>
      <c r="C4007">
        <v>146</v>
      </c>
      <c r="D4007" s="1">
        <f>250.254</f>
        <v>250.25399999999999</v>
      </c>
      <c r="E4007">
        <v>5271</v>
      </c>
      <c r="F4007">
        <v>1618</v>
      </c>
      <c r="G4007">
        <v>1</v>
      </c>
      <c r="H4007">
        <v>0.2</v>
      </c>
      <c r="I4007">
        <v>0</v>
      </c>
      <c r="J4007">
        <v>49.830399999999997</v>
      </c>
      <c r="K4007">
        <v>539.87300000000005</v>
      </c>
      <c r="L4007">
        <v>0</v>
      </c>
    </row>
    <row r="4008" spans="1:12" x14ac:dyDescent="0.25">
      <c r="A4008">
        <f>80846213*0.00001</f>
        <v>808.46213000000012</v>
      </c>
      <c r="B4008">
        <v>3514</v>
      </c>
      <c r="C4008">
        <v>147</v>
      </c>
      <c r="D4008">
        <v>250.25399999999999</v>
      </c>
      <c r="E4008">
        <v>5271</v>
      </c>
      <c r="F4008" s="1">
        <f>1618</f>
        <v>1618</v>
      </c>
      <c r="G4008">
        <v>1</v>
      </c>
      <c r="H4008">
        <v>0.2</v>
      </c>
      <c r="I4008">
        <v>0</v>
      </c>
      <c r="J4008">
        <v>49.830399999999997</v>
      </c>
      <c r="K4008">
        <v>539.87300000000005</v>
      </c>
      <c r="L4008">
        <v>0</v>
      </c>
    </row>
    <row r="4009" spans="1:12" x14ac:dyDescent="0.25">
      <c r="A4009">
        <f>80846346*0.00001</f>
        <v>808.46346000000005</v>
      </c>
      <c r="B4009">
        <v>3514</v>
      </c>
      <c r="C4009">
        <v>148</v>
      </c>
      <c r="D4009">
        <v>250.25399999999999</v>
      </c>
      <c r="E4009">
        <v>5271</v>
      </c>
      <c r="F4009">
        <v>1618</v>
      </c>
      <c r="G4009">
        <v>1</v>
      </c>
      <c r="H4009" s="1">
        <f>0.2</f>
        <v>0.2</v>
      </c>
      <c r="I4009">
        <v>0</v>
      </c>
      <c r="J4009">
        <v>49.830399999999997</v>
      </c>
      <c r="K4009">
        <v>539.87300000000005</v>
      </c>
      <c r="L4009">
        <v>0</v>
      </c>
    </row>
    <row r="4010" spans="1:12" x14ac:dyDescent="0.25">
      <c r="A4010">
        <f>80846479*0.00001</f>
        <v>808.46479000000011</v>
      </c>
      <c r="B4010">
        <v>3514</v>
      </c>
      <c r="C4010">
        <v>149</v>
      </c>
      <c r="D4010">
        <v>250.25399999999999</v>
      </c>
      <c r="E4010">
        <v>5271</v>
      </c>
      <c r="F4010">
        <v>1618</v>
      </c>
      <c r="G4010">
        <v>1</v>
      </c>
      <c r="H4010">
        <v>0.2</v>
      </c>
      <c r="I4010">
        <v>0</v>
      </c>
      <c r="J4010" s="1">
        <f>49.7129</f>
        <v>49.712899999999998</v>
      </c>
      <c r="K4010">
        <v>539.87300000000005</v>
      </c>
      <c r="L4010">
        <v>0</v>
      </c>
    </row>
    <row r="4011" spans="1:12" x14ac:dyDescent="0.25">
      <c r="A4011">
        <f>80846612*0.00001</f>
        <v>808.46612000000005</v>
      </c>
      <c r="B4011">
        <v>3514</v>
      </c>
      <c r="C4011">
        <v>150</v>
      </c>
      <c r="D4011">
        <v>250.25399999999999</v>
      </c>
      <c r="E4011">
        <v>5271</v>
      </c>
      <c r="F4011">
        <v>1618</v>
      </c>
      <c r="G4011">
        <v>1</v>
      </c>
      <c r="H4011">
        <v>0.2</v>
      </c>
      <c r="I4011">
        <v>0</v>
      </c>
      <c r="J4011">
        <v>49.712899999999998</v>
      </c>
      <c r="K4011">
        <v>539.87300000000005</v>
      </c>
      <c r="L4011" s="1">
        <f>0</f>
        <v>0</v>
      </c>
    </row>
    <row r="4012" spans="1:12" x14ac:dyDescent="0.25">
      <c r="A4012">
        <f>80846745*0.00001</f>
        <v>808.4674500000001</v>
      </c>
      <c r="B4012">
        <v>3514</v>
      </c>
      <c r="C4012">
        <v>151</v>
      </c>
      <c r="D4012">
        <v>250.25399999999999</v>
      </c>
      <c r="E4012" s="1">
        <f>5269</f>
        <v>5269</v>
      </c>
      <c r="F4012">
        <v>1618</v>
      </c>
      <c r="G4012">
        <v>1</v>
      </c>
      <c r="H4012">
        <v>0.2</v>
      </c>
      <c r="I4012">
        <v>0</v>
      </c>
      <c r="J4012">
        <v>49.712899999999998</v>
      </c>
      <c r="K4012">
        <v>539.87300000000005</v>
      </c>
      <c r="L4012">
        <v>0</v>
      </c>
    </row>
    <row r="4013" spans="1:12" x14ac:dyDescent="0.25">
      <c r="A4013">
        <f>80846878*0.00001</f>
        <v>808.46878000000004</v>
      </c>
      <c r="B4013">
        <v>3514</v>
      </c>
      <c r="C4013">
        <v>152</v>
      </c>
      <c r="D4013">
        <v>250.25399999999999</v>
      </c>
      <c r="E4013">
        <v>5269</v>
      </c>
      <c r="F4013">
        <v>1618</v>
      </c>
      <c r="G4013" s="1">
        <f>1</f>
        <v>1</v>
      </c>
      <c r="H4013">
        <v>0.2</v>
      </c>
      <c r="I4013">
        <v>0</v>
      </c>
      <c r="J4013">
        <v>49.712899999999998</v>
      </c>
      <c r="K4013">
        <v>539.87300000000005</v>
      </c>
      <c r="L4013">
        <v>0</v>
      </c>
    </row>
    <row r="4014" spans="1:12" x14ac:dyDescent="0.25">
      <c r="A4014">
        <f>80847010*0.00001</f>
        <v>808.47010000000012</v>
      </c>
      <c r="B4014">
        <v>3514</v>
      </c>
      <c r="C4014">
        <v>153</v>
      </c>
      <c r="D4014">
        <v>250.25399999999999</v>
      </c>
      <c r="E4014">
        <v>5269</v>
      </c>
      <c r="F4014">
        <v>1618</v>
      </c>
      <c r="G4014">
        <v>1</v>
      </c>
      <c r="H4014">
        <v>0.2</v>
      </c>
      <c r="I4014" s="1">
        <f>0</f>
        <v>0</v>
      </c>
      <c r="J4014">
        <v>49.712899999999998</v>
      </c>
      <c r="K4014">
        <v>539.87300000000005</v>
      </c>
      <c r="L4014">
        <v>0</v>
      </c>
    </row>
    <row r="4015" spans="1:12" x14ac:dyDescent="0.25">
      <c r="A4015">
        <f>80847142*0.00001</f>
        <v>808.47142000000008</v>
      </c>
      <c r="B4015">
        <v>3514</v>
      </c>
      <c r="C4015">
        <v>154</v>
      </c>
      <c r="D4015">
        <v>250.25399999999999</v>
      </c>
      <c r="E4015">
        <v>5269</v>
      </c>
      <c r="F4015">
        <v>1618</v>
      </c>
      <c r="G4015">
        <v>1</v>
      </c>
      <c r="H4015">
        <v>0.2</v>
      </c>
      <c r="I4015">
        <v>0</v>
      </c>
      <c r="J4015">
        <v>49.712899999999998</v>
      </c>
      <c r="K4015" s="1">
        <f>539.993</f>
        <v>539.99300000000005</v>
      </c>
      <c r="L4015">
        <v>0</v>
      </c>
    </row>
    <row r="4016" spans="1:12" x14ac:dyDescent="0.25">
      <c r="A4016">
        <f>80847274*0.00001</f>
        <v>808.47274000000004</v>
      </c>
      <c r="B4016">
        <v>3514</v>
      </c>
      <c r="C4016">
        <v>155</v>
      </c>
      <c r="D4016" s="1">
        <f>250.34</f>
        <v>250.34</v>
      </c>
      <c r="E4016">
        <v>5269</v>
      </c>
      <c r="F4016">
        <v>1618</v>
      </c>
      <c r="G4016">
        <v>1</v>
      </c>
      <c r="H4016">
        <v>0.2</v>
      </c>
      <c r="I4016">
        <v>0</v>
      </c>
      <c r="J4016">
        <v>49.712899999999998</v>
      </c>
      <c r="K4016">
        <v>539.99300000000005</v>
      </c>
      <c r="L4016">
        <v>0</v>
      </c>
    </row>
    <row r="4017" spans="1:12" x14ac:dyDescent="0.25">
      <c r="A4017">
        <f>80847407*0.00001</f>
        <v>808.4740700000001</v>
      </c>
      <c r="B4017">
        <v>3514</v>
      </c>
      <c r="C4017">
        <v>156</v>
      </c>
      <c r="D4017">
        <v>250.34</v>
      </c>
      <c r="E4017">
        <v>5269</v>
      </c>
      <c r="F4017" s="1">
        <f>1618</f>
        <v>1618</v>
      </c>
      <c r="G4017">
        <v>1</v>
      </c>
      <c r="H4017">
        <v>0.2</v>
      </c>
      <c r="I4017">
        <v>0</v>
      </c>
      <c r="J4017">
        <v>49.712899999999998</v>
      </c>
      <c r="K4017">
        <v>539.99300000000005</v>
      </c>
      <c r="L4017">
        <v>0</v>
      </c>
    </row>
    <row r="4018" spans="1:12" x14ac:dyDescent="0.25">
      <c r="A4018">
        <f>80847540*0.00001</f>
        <v>808.47540000000004</v>
      </c>
      <c r="B4018">
        <v>3514</v>
      </c>
      <c r="C4018">
        <v>157</v>
      </c>
      <c r="D4018">
        <v>250.34</v>
      </c>
      <c r="E4018">
        <v>5269</v>
      </c>
      <c r="F4018">
        <v>1618</v>
      </c>
      <c r="G4018">
        <v>1</v>
      </c>
      <c r="H4018" s="1">
        <f>0.2</f>
        <v>0.2</v>
      </c>
      <c r="I4018">
        <v>0</v>
      </c>
      <c r="J4018">
        <v>49.712899999999998</v>
      </c>
      <c r="K4018">
        <v>539.99300000000005</v>
      </c>
      <c r="L4018">
        <v>0</v>
      </c>
    </row>
    <row r="4019" spans="1:12" x14ac:dyDescent="0.25">
      <c r="A4019">
        <f>80847673*0.00001</f>
        <v>808.47673000000009</v>
      </c>
      <c r="B4019">
        <v>3514</v>
      </c>
      <c r="C4019">
        <v>158</v>
      </c>
      <c r="D4019">
        <v>250.34</v>
      </c>
      <c r="E4019">
        <v>5269</v>
      </c>
      <c r="F4019">
        <v>1618</v>
      </c>
      <c r="G4019">
        <v>1</v>
      </c>
      <c r="H4019">
        <v>0.2</v>
      </c>
      <c r="I4019">
        <v>0</v>
      </c>
      <c r="J4019" s="1">
        <f>49.639</f>
        <v>49.639000000000003</v>
      </c>
      <c r="K4019">
        <v>539.99300000000005</v>
      </c>
      <c r="L4019">
        <v>0</v>
      </c>
    </row>
    <row r="4020" spans="1:12" x14ac:dyDescent="0.25">
      <c r="A4020">
        <f>80847806*0.00001</f>
        <v>808.47806000000003</v>
      </c>
      <c r="B4020">
        <v>3514</v>
      </c>
      <c r="C4020">
        <v>159</v>
      </c>
      <c r="D4020">
        <v>250.34</v>
      </c>
      <c r="E4020">
        <v>5269</v>
      </c>
      <c r="F4020">
        <v>1618</v>
      </c>
      <c r="G4020">
        <v>1</v>
      </c>
      <c r="H4020">
        <v>0.2</v>
      </c>
      <c r="I4020">
        <v>0</v>
      </c>
      <c r="J4020">
        <v>49.639000000000003</v>
      </c>
      <c r="K4020">
        <v>539.99300000000005</v>
      </c>
      <c r="L4020" s="1">
        <f>0</f>
        <v>0</v>
      </c>
    </row>
    <row r="4021" spans="1:12" x14ac:dyDescent="0.25">
      <c r="A4021">
        <f>80847938*0.00001</f>
        <v>808.47938000000011</v>
      </c>
      <c r="B4021">
        <v>3514</v>
      </c>
      <c r="C4021">
        <v>160</v>
      </c>
      <c r="D4021">
        <v>250.34</v>
      </c>
      <c r="E4021" s="1">
        <f>5268</f>
        <v>5268</v>
      </c>
      <c r="F4021">
        <v>1618</v>
      </c>
      <c r="G4021">
        <v>1</v>
      </c>
      <c r="H4021">
        <v>0.2</v>
      </c>
      <c r="I4021">
        <v>0</v>
      </c>
      <c r="J4021">
        <v>49.639000000000003</v>
      </c>
      <c r="K4021">
        <v>539.99300000000005</v>
      </c>
      <c r="L4021">
        <v>0</v>
      </c>
    </row>
    <row r="4022" spans="1:12" x14ac:dyDescent="0.25">
      <c r="A4022">
        <f>80848070*0.00001</f>
        <v>808.48070000000007</v>
      </c>
      <c r="B4022">
        <v>3514</v>
      </c>
      <c r="C4022">
        <v>161</v>
      </c>
      <c r="D4022">
        <v>250.34</v>
      </c>
      <c r="E4022">
        <v>5268</v>
      </c>
      <c r="F4022">
        <v>1618</v>
      </c>
      <c r="G4022" s="1">
        <f>1</f>
        <v>1</v>
      </c>
      <c r="H4022">
        <v>0.2</v>
      </c>
      <c r="I4022">
        <v>0</v>
      </c>
      <c r="J4022">
        <v>49.639000000000003</v>
      </c>
      <c r="K4022">
        <v>539.99300000000005</v>
      </c>
      <c r="L4022">
        <v>0</v>
      </c>
    </row>
    <row r="4023" spans="1:12" x14ac:dyDescent="0.25">
      <c r="A4023">
        <f>80848202*0.00001</f>
        <v>808.48202000000003</v>
      </c>
      <c r="B4023">
        <v>3514</v>
      </c>
      <c r="C4023">
        <v>162</v>
      </c>
      <c r="D4023">
        <v>250.34</v>
      </c>
      <c r="E4023">
        <v>5268</v>
      </c>
      <c r="F4023">
        <v>1618</v>
      </c>
      <c r="G4023">
        <v>1</v>
      </c>
      <c r="H4023">
        <v>0.2</v>
      </c>
      <c r="I4023" s="1">
        <f>0</f>
        <v>0</v>
      </c>
      <c r="J4023">
        <v>49.639000000000003</v>
      </c>
      <c r="K4023">
        <v>539.99300000000005</v>
      </c>
      <c r="L4023">
        <v>0</v>
      </c>
    </row>
    <row r="4024" spans="1:12" x14ac:dyDescent="0.25">
      <c r="A4024">
        <f>80848335*0.00001</f>
        <v>808.48335000000009</v>
      </c>
      <c r="B4024">
        <v>3514</v>
      </c>
      <c r="C4024">
        <v>163</v>
      </c>
      <c r="D4024">
        <v>250.34</v>
      </c>
      <c r="E4024">
        <v>5268</v>
      </c>
      <c r="F4024">
        <v>1618</v>
      </c>
      <c r="G4024">
        <v>1</v>
      </c>
      <c r="H4024">
        <v>0.2</v>
      </c>
      <c r="I4024">
        <v>0</v>
      </c>
      <c r="J4024">
        <v>49.639000000000003</v>
      </c>
      <c r="K4024" s="1">
        <f>540.112</f>
        <v>540.11199999999997</v>
      </c>
      <c r="L4024">
        <v>0</v>
      </c>
    </row>
    <row r="4025" spans="1:12" x14ac:dyDescent="0.25">
      <c r="A4025">
        <f>80848468*0.00001</f>
        <v>808.48468000000003</v>
      </c>
      <c r="B4025">
        <v>3514</v>
      </c>
      <c r="C4025">
        <v>164</v>
      </c>
      <c r="D4025" s="1">
        <f>250.395</f>
        <v>250.39500000000001</v>
      </c>
      <c r="E4025">
        <v>5268</v>
      </c>
      <c r="F4025">
        <v>1618</v>
      </c>
      <c r="G4025">
        <v>1</v>
      </c>
      <c r="H4025">
        <v>0.2</v>
      </c>
      <c r="I4025">
        <v>0</v>
      </c>
      <c r="J4025">
        <v>49.639000000000003</v>
      </c>
      <c r="K4025">
        <v>540.11199999999997</v>
      </c>
      <c r="L4025">
        <v>0</v>
      </c>
    </row>
    <row r="4026" spans="1:12" x14ac:dyDescent="0.25">
      <c r="A4026">
        <f>80848601*0.00001</f>
        <v>808.48601000000008</v>
      </c>
      <c r="B4026">
        <v>3514</v>
      </c>
      <c r="C4026">
        <v>165</v>
      </c>
      <c r="D4026">
        <v>250.39500000000001</v>
      </c>
      <c r="E4026">
        <v>5268</v>
      </c>
      <c r="F4026" s="1">
        <f>1618</f>
        <v>1618</v>
      </c>
      <c r="G4026">
        <v>1</v>
      </c>
      <c r="H4026">
        <v>0.2</v>
      </c>
      <c r="I4026">
        <v>0</v>
      </c>
      <c r="J4026">
        <v>49.639000000000003</v>
      </c>
      <c r="K4026">
        <v>540.11199999999997</v>
      </c>
      <c r="L4026">
        <v>0</v>
      </c>
    </row>
    <row r="4027" spans="1:12" x14ac:dyDescent="0.25">
      <c r="A4027">
        <f>80848733*0.00001</f>
        <v>808.48733000000004</v>
      </c>
      <c r="B4027">
        <v>3514</v>
      </c>
      <c r="C4027">
        <v>166</v>
      </c>
      <c r="D4027">
        <v>250.39500000000001</v>
      </c>
      <c r="E4027">
        <v>5268</v>
      </c>
      <c r="F4027">
        <v>1618</v>
      </c>
      <c r="G4027">
        <v>1</v>
      </c>
      <c r="H4027" s="1">
        <f>0.2</f>
        <v>0.2</v>
      </c>
      <c r="I4027">
        <v>0</v>
      </c>
      <c r="J4027">
        <v>49.639000000000003</v>
      </c>
      <c r="K4027">
        <v>540.11199999999997</v>
      </c>
      <c r="L4027">
        <v>0</v>
      </c>
    </row>
    <row r="4028" spans="1:12" x14ac:dyDescent="0.25">
      <c r="A4028">
        <f>80848866*0.00001</f>
        <v>808.4886600000001</v>
      </c>
      <c r="B4028">
        <v>3514</v>
      </c>
      <c r="C4028">
        <v>167</v>
      </c>
      <c r="D4028">
        <v>250.39500000000001</v>
      </c>
      <c r="E4028">
        <v>5268</v>
      </c>
      <c r="F4028">
        <v>1618</v>
      </c>
      <c r="G4028">
        <v>1</v>
      </c>
      <c r="H4028">
        <v>0.2</v>
      </c>
      <c r="I4028">
        <v>0</v>
      </c>
      <c r="J4028" s="1">
        <f>49.5921</f>
        <v>49.592100000000002</v>
      </c>
      <c r="K4028">
        <v>540.11199999999997</v>
      </c>
      <c r="L4028">
        <v>0</v>
      </c>
    </row>
    <row r="4029" spans="1:12" x14ac:dyDescent="0.25">
      <c r="A4029">
        <f>80848998*0.00001</f>
        <v>808.48998000000006</v>
      </c>
      <c r="B4029">
        <v>3514</v>
      </c>
      <c r="C4029">
        <v>168</v>
      </c>
      <c r="D4029">
        <v>250.39500000000001</v>
      </c>
      <c r="E4029">
        <v>5268</v>
      </c>
      <c r="F4029">
        <v>1618</v>
      </c>
      <c r="G4029">
        <v>1</v>
      </c>
      <c r="H4029">
        <v>0.2</v>
      </c>
      <c r="I4029">
        <v>0</v>
      </c>
      <c r="J4029">
        <v>49.592100000000002</v>
      </c>
      <c r="K4029">
        <v>540.11199999999997</v>
      </c>
      <c r="L4029" s="1">
        <f>0</f>
        <v>0</v>
      </c>
    </row>
    <row r="4030" spans="1:12" x14ac:dyDescent="0.25">
      <c r="A4030">
        <f>80849130*0.00001</f>
        <v>808.49130000000002</v>
      </c>
      <c r="B4030">
        <v>3514</v>
      </c>
      <c r="C4030">
        <v>169</v>
      </c>
      <c r="D4030">
        <v>250.39500000000001</v>
      </c>
      <c r="E4030" s="1">
        <f>5267</f>
        <v>5267</v>
      </c>
      <c r="F4030">
        <v>1618</v>
      </c>
      <c r="G4030">
        <v>1</v>
      </c>
      <c r="H4030">
        <v>0.2</v>
      </c>
      <c r="I4030">
        <v>0</v>
      </c>
      <c r="J4030">
        <v>49.592100000000002</v>
      </c>
      <c r="K4030">
        <v>540.11199999999997</v>
      </c>
      <c r="L4030">
        <v>0</v>
      </c>
    </row>
    <row r="4031" spans="1:12" x14ac:dyDescent="0.25">
      <c r="A4031">
        <f>80849262*0.00001</f>
        <v>808.4926200000001</v>
      </c>
      <c r="B4031">
        <v>3514</v>
      </c>
      <c r="C4031">
        <v>170</v>
      </c>
      <c r="D4031">
        <v>250.39500000000001</v>
      </c>
      <c r="E4031">
        <v>5267</v>
      </c>
      <c r="F4031">
        <v>1618</v>
      </c>
      <c r="G4031" s="1">
        <f>1</f>
        <v>1</v>
      </c>
      <c r="H4031">
        <v>0.2</v>
      </c>
      <c r="I4031">
        <v>0</v>
      </c>
      <c r="J4031">
        <v>49.592100000000002</v>
      </c>
      <c r="K4031">
        <v>540.11199999999997</v>
      </c>
      <c r="L4031">
        <v>0</v>
      </c>
    </row>
    <row r="4032" spans="1:12" x14ac:dyDescent="0.25">
      <c r="A4032">
        <f>80849395*0.00001</f>
        <v>808.49395000000004</v>
      </c>
      <c r="B4032">
        <v>3514</v>
      </c>
      <c r="C4032">
        <v>171</v>
      </c>
      <c r="D4032">
        <v>250.39500000000001</v>
      </c>
      <c r="E4032">
        <v>5267</v>
      </c>
      <c r="F4032">
        <v>1618</v>
      </c>
      <c r="G4032">
        <v>1</v>
      </c>
      <c r="H4032">
        <v>0.2</v>
      </c>
      <c r="I4032" s="1">
        <f>0</f>
        <v>0</v>
      </c>
      <c r="J4032">
        <v>49.592100000000002</v>
      </c>
      <c r="K4032">
        <v>540.11199999999997</v>
      </c>
      <c r="L4032">
        <v>0</v>
      </c>
    </row>
    <row r="4033" spans="1:12" x14ac:dyDescent="0.25">
      <c r="A4033">
        <f>80849528*0.00001</f>
        <v>808.49528000000009</v>
      </c>
      <c r="B4033">
        <v>3514</v>
      </c>
      <c r="C4033">
        <v>172</v>
      </c>
      <c r="D4033">
        <v>250.39500000000001</v>
      </c>
      <c r="E4033">
        <v>5267</v>
      </c>
      <c r="F4033">
        <v>1618</v>
      </c>
      <c r="G4033">
        <v>1</v>
      </c>
      <c r="H4033">
        <v>0.2</v>
      </c>
      <c r="I4033">
        <v>0</v>
      </c>
      <c r="J4033">
        <v>49.592100000000002</v>
      </c>
      <c r="K4033" s="1">
        <f>540.23</f>
        <v>540.23</v>
      </c>
      <c r="L4033">
        <v>0</v>
      </c>
    </row>
    <row r="4034" spans="1:12" x14ac:dyDescent="0.25">
      <c r="A4034">
        <f>80849661*0.00001</f>
        <v>808.49661000000003</v>
      </c>
      <c r="B4034">
        <v>3514</v>
      </c>
      <c r="C4034">
        <v>173</v>
      </c>
      <c r="D4034" s="1">
        <f>250.429</f>
        <v>250.429</v>
      </c>
      <c r="E4034">
        <v>5267</v>
      </c>
      <c r="F4034">
        <v>1618</v>
      </c>
      <c r="G4034">
        <v>1</v>
      </c>
      <c r="H4034">
        <v>0.2</v>
      </c>
      <c r="I4034">
        <v>0</v>
      </c>
      <c r="J4034">
        <v>49.592100000000002</v>
      </c>
      <c r="K4034">
        <v>540.23</v>
      </c>
      <c r="L4034">
        <v>0</v>
      </c>
    </row>
    <row r="4035" spans="1:12" x14ac:dyDescent="0.25">
      <c r="A4035">
        <f>80849794*0.00001</f>
        <v>808.49794000000009</v>
      </c>
      <c r="B4035">
        <v>3514</v>
      </c>
      <c r="C4035">
        <v>174</v>
      </c>
      <c r="D4035">
        <v>250.429</v>
      </c>
      <c r="E4035">
        <v>5267</v>
      </c>
      <c r="F4035" s="1">
        <f>1618</f>
        <v>1618</v>
      </c>
      <c r="G4035">
        <v>1</v>
      </c>
      <c r="H4035">
        <v>0.2</v>
      </c>
      <c r="I4035">
        <v>0</v>
      </c>
      <c r="J4035">
        <v>49.592100000000002</v>
      </c>
      <c r="K4035">
        <v>540.23</v>
      </c>
      <c r="L4035">
        <v>0</v>
      </c>
    </row>
    <row r="4036" spans="1:12" x14ac:dyDescent="0.25">
      <c r="A4036">
        <f>80849926*0.00001</f>
        <v>808.49926000000005</v>
      </c>
      <c r="B4036">
        <v>3514</v>
      </c>
      <c r="C4036">
        <v>175</v>
      </c>
      <c r="D4036">
        <v>250.429</v>
      </c>
      <c r="E4036">
        <v>5267</v>
      </c>
      <c r="F4036">
        <v>1618</v>
      </c>
      <c r="G4036">
        <v>1</v>
      </c>
      <c r="H4036" s="1">
        <f>0.2</f>
        <v>0.2</v>
      </c>
      <c r="I4036">
        <v>0</v>
      </c>
      <c r="J4036">
        <v>49.592100000000002</v>
      </c>
      <c r="K4036">
        <v>540.23</v>
      </c>
      <c r="L4036">
        <v>0</v>
      </c>
    </row>
    <row r="4037" spans="1:12" x14ac:dyDescent="0.25">
      <c r="A4037">
        <f>80850058*0.00001</f>
        <v>808.50058000000001</v>
      </c>
      <c r="B4037">
        <v>3514</v>
      </c>
      <c r="C4037">
        <v>176</v>
      </c>
      <c r="D4037">
        <v>250.429</v>
      </c>
      <c r="E4037">
        <v>5267</v>
      </c>
      <c r="F4037">
        <v>1618</v>
      </c>
      <c r="G4037">
        <v>1</v>
      </c>
      <c r="H4037">
        <v>0.2</v>
      </c>
      <c r="I4037">
        <v>0</v>
      </c>
      <c r="J4037" s="1">
        <f>49.563</f>
        <v>49.563000000000002</v>
      </c>
      <c r="K4037">
        <v>540.23</v>
      </c>
      <c r="L4037">
        <v>0</v>
      </c>
    </row>
    <row r="4038" spans="1:12" x14ac:dyDescent="0.25">
      <c r="A4038">
        <f>80850190*0.00001</f>
        <v>808.50190000000009</v>
      </c>
      <c r="B4038">
        <v>3514</v>
      </c>
      <c r="C4038">
        <v>177</v>
      </c>
      <c r="D4038">
        <v>250.429</v>
      </c>
      <c r="E4038">
        <v>5267</v>
      </c>
      <c r="F4038">
        <v>1618</v>
      </c>
      <c r="G4038">
        <v>1</v>
      </c>
      <c r="H4038">
        <v>0.2</v>
      </c>
      <c r="I4038">
        <v>0</v>
      </c>
      <c r="J4038">
        <v>49.563000000000002</v>
      </c>
      <c r="K4038">
        <v>540.23</v>
      </c>
      <c r="L4038" s="1">
        <f>0</f>
        <v>0</v>
      </c>
    </row>
    <row r="4039" spans="1:12" x14ac:dyDescent="0.25">
      <c r="A4039">
        <f>80850323*0.00001</f>
        <v>808.50323000000003</v>
      </c>
      <c r="B4039">
        <v>3514</v>
      </c>
      <c r="C4039">
        <v>178</v>
      </c>
      <c r="D4039">
        <v>250.429</v>
      </c>
      <c r="E4039" s="1">
        <f>5267</f>
        <v>5267</v>
      </c>
      <c r="F4039" s="1">
        <f>1618</f>
        <v>1618</v>
      </c>
      <c r="G4039" s="1">
        <f>1</f>
        <v>1</v>
      </c>
      <c r="H4039">
        <v>0.2</v>
      </c>
      <c r="I4039">
        <v>0</v>
      </c>
      <c r="J4039">
        <v>49.563000000000002</v>
      </c>
      <c r="K4039">
        <v>540.23</v>
      </c>
      <c r="L4039">
        <v>0</v>
      </c>
    </row>
    <row r="4040" spans="1:12" s="2" customFormat="1" x14ac:dyDescent="0.25">
      <c r="A4040" s="2">
        <f>80850589*0.00001</f>
        <v>808.50589000000002</v>
      </c>
      <c r="B4040" s="2">
        <v>3515</v>
      </c>
      <c r="C4040" s="2">
        <v>0</v>
      </c>
      <c r="D4040" s="2">
        <v>250.429</v>
      </c>
      <c r="E4040" s="2">
        <v>5267</v>
      </c>
      <c r="F4040" s="2">
        <v>1618</v>
      </c>
      <c r="G4040" s="2">
        <v>1</v>
      </c>
      <c r="H4040" s="2">
        <v>0.2</v>
      </c>
      <c r="I4040" s="1">
        <f>0</f>
        <v>0</v>
      </c>
      <c r="J4040" s="2">
        <v>49.563000000000002</v>
      </c>
      <c r="K4040" s="2">
        <v>540.23</v>
      </c>
      <c r="L4040" s="2">
        <v>0</v>
      </c>
    </row>
    <row r="4041" spans="1:12" x14ac:dyDescent="0.25">
      <c r="A4041">
        <f>80850722*0.00001</f>
        <v>808.50722000000007</v>
      </c>
      <c r="B4041">
        <v>3515</v>
      </c>
      <c r="C4041">
        <v>1</v>
      </c>
      <c r="D4041">
        <v>250.429</v>
      </c>
      <c r="E4041">
        <v>5267</v>
      </c>
      <c r="F4041">
        <v>1618</v>
      </c>
      <c r="G4041">
        <v>1</v>
      </c>
      <c r="H4041">
        <v>0.2</v>
      </c>
      <c r="I4041">
        <v>0</v>
      </c>
      <c r="J4041">
        <v>49.563000000000002</v>
      </c>
      <c r="K4041" s="1">
        <f>540.323</f>
        <v>540.32299999999998</v>
      </c>
      <c r="L4041">
        <v>0</v>
      </c>
    </row>
    <row r="4042" spans="1:12" x14ac:dyDescent="0.25">
      <c r="A4042">
        <f>80850855*0.00001</f>
        <v>808.50855000000001</v>
      </c>
      <c r="B4042">
        <v>3515</v>
      </c>
      <c r="C4042">
        <v>2</v>
      </c>
      <c r="D4042" s="1">
        <f>250.444</f>
        <v>250.44399999999999</v>
      </c>
      <c r="E4042">
        <v>5267</v>
      </c>
      <c r="F4042">
        <v>1618</v>
      </c>
      <c r="G4042">
        <v>1</v>
      </c>
      <c r="H4042">
        <v>0.2</v>
      </c>
      <c r="I4042">
        <v>0</v>
      </c>
      <c r="J4042">
        <v>49.563000000000002</v>
      </c>
      <c r="K4042">
        <v>540.32299999999998</v>
      </c>
      <c r="L4042">
        <v>0</v>
      </c>
    </row>
    <row r="4043" spans="1:12" x14ac:dyDescent="0.25">
      <c r="A4043">
        <f>80850987*0.00001</f>
        <v>808.50987000000009</v>
      </c>
      <c r="B4043">
        <v>3515</v>
      </c>
      <c r="C4043">
        <v>3</v>
      </c>
      <c r="D4043">
        <v>250.44399999999999</v>
      </c>
      <c r="E4043">
        <v>5267</v>
      </c>
      <c r="F4043" s="1">
        <f>1618</f>
        <v>1618</v>
      </c>
      <c r="G4043">
        <v>1</v>
      </c>
      <c r="H4043">
        <v>0.2</v>
      </c>
      <c r="I4043">
        <v>0</v>
      </c>
      <c r="J4043">
        <v>49.563000000000002</v>
      </c>
      <c r="K4043">
        <v>540.32299999999998</v>
      </c>
      <c r="L4043">
        <v>0</v>
      </c>
    </row>
    <row r="4044" spans="1:12" x14ac:dyDescent="0.25">
      <c r="A4044">
        <f>80851119*0.00001</f>
        <v>808.51119000000006</v>
      </c>
      <c r="B4044">
        <v>3515</v>
      </c>
      <c r="C4044">
        <v>4</v>
      </c>
      <c r="D4044">
        <v>250.44399999999999</v>
      </c>
      <c r="E4044">
        <v>5267</v>
      </c>
      <c r="F4044">
        <v>1618</v>
      </c>
      <c r="G4044">
        <v>1</v>
      </c>
      <c r="H4044" s="1">
        <f>0.2</f>
        <v>0.2</v>
      </c>
      <c r="I4044">
        <v>0</v>
      </c>
      <c r="J4044">
        <v>49.563000000000002</v>
      </c>
      <c r="K4044">
        <v>540.32299999999998</v>
      </c>
      <c r="L4044">
        <v>0</v>
      </c>
    </row>
    <row r="4045" spans="1:12" x14ac:dyDescent="0.25">
      <c r="A4045">
        <f>80851251*0.00001</f>
        <v>808.51251000000002</v>
      </c>
      <c r="B4045">
        <v>3515</v>
      </c>
      <c r="C4045">
        <v>5</v>
      </c>
      <c r="D4045">
        <v>250.44399999999999</v>
      </c>
      <c r="E4045">
        <v>5267</v>
      </c>
      <c r="F4045">
        <v>1618</v>
      </c>
      <c r="G4045">
        <v>1</v>
      </c>
      <c r="H4045">
        <v>0.2</v>
      </c>
      <c r="I4045">
        <v>0</v>
      </c>
      <c r="J4045" s="1">
        <f>49.5497</f>
        <v>49.549700000000001</v>
      </c>
      <c r="K4045">
        <v>540.32299999999998</v>
      </c>
      <c r="L4045">
        <v>0</v>
      </c>
    </row>
    <row r="4046" spans="1:12" x14ac:dyDescent="0.25">
      <c r="A4046">
        <f>80851384*0.00001</f>
        <v>808.51384000000007</v>
      </c>
      <c r="B4046">
        <v>3515</v>
      </c>
      <c r="C4046">
        <v>6</v>
      </c>
      <c r="D4046">
        <v>250.44399999999999</v>
      </c>
      <c r="E4046">
        <v>5267</v>
      </c>
      <c r="F4046">
        <v>1618</v>
      </c>
      <c r="G4046">
        <v>1</v>
      </c>
      <c r="H4046">
        <v>0.2</v>
      </c>
      <c r="I4046">
        <v>0</v>
      </c>
      <c r="J4046">
        <v>49.549700000000001</v>
      </c>
      <c r="K4046">
        <v>540.32299999999998</v>
      </c>
      <c r="L4046" s="1">
        <f>0</f>
        <v>0</v>
      </c>
    </row>
    <row r="4047" spans="1:12" x14ac:dyDescent="0.25">
      <c r="A4047">
        <f>80851517*0.00001</f>
        <v>808.51517000000001</v>
      </c>
      <c r="B4047">
        <v>3515</v>
      </c>
      <c r="C4047">
        <v>7</v>
      </c>
      <c r="D4047">
        <v>250.44399999999999</v>
      </c>
      <c r="E4047" s="1">
        <f>5267</f>
        <v>5267</v>
      </c>
      <c r="F4047">
        <v>1618</v>
      </c>
      <c r="G4047">
        <v>1</v>
      </c>
      <c r="H4047">
        <v>0.2</v>
      </c>
      <c r="I4047">
        <v>0</v>
      </c>
      <c r="J4047">
        <v>49.549700000000001</v>
      </c>
      <c r="K4047">
        <v>540.32299999999998</v>
      </c>
      <c r="L4047">
        <v>0</v>
      </c>
    </row>
    <row r="4048" spans="1:12" x14ac:dyDescent="0.25">
      <c r="A4048">
        <f>80851650*0.00001</f>
        <v>808.51650000000006</v>
      </c>
      <c r="B4048">
        <v>3515</v>
      </c>
      <c r="C4048">
        <v>8</v>
      </c>
      <c r="D4048">
        <v>250.44399999999999</v>
      </c>
      <c r="E4048">
        <v>5267</v>
      </c>
      <c r="F4048">
        <v>1618</v>
      </c>
      <c r="G4048" s="1">
        <f>1</f>
        <v>1</v>
      </c>
      <c r="H4048">
        <v>0.2</v>
      </c>
      <c r="I4048">
        <v>0</v>
      </c>
      <c r="J4048">
        <v>49.549700000000001</v>
      </c>
      <c r="K4048">
        <v>540.32299999999998</v>
      </c>
      <c r="L4048">
        <v>0</v>
      </c>
    </row>
    <row r="4049" spans="1:12" x14ac:dyDescent="0.25">
      <c r="A4049">
        <f>80851783*0.00001</f>
        <v>808.51783000000012</v>
      </c>
      <c r="B4049">
        <v>3515</v>
      </c>
      <c r="C4049">
        <v>9</v>
      </c>
      <c r="D4049">
        <v>250.44399999999999</v>
      </c>
      <c r="E4049">
        <v>5267</v>
      </c>
      <c r="F4049">
        <v>1618</v>
      </c>
      <c r="G4049">
        <v>1</v>
      </c>
      <c r="H4049">
        <v>0.2</v>
      </c>
      <c r="I4049" s="1">
        <f>0</f>
        <v>0</v>
      </c>
      <c r="J4049">
        <v>49.549700000000001</v>
      </c>
      <c r="K4049">
        <v>540.32299999999998</v>
      </c>
      <c r="L4049">
        <v>0</v>
      </c>
    </row>
    <row r="4050" spans="1:12" x14ac:dyDescent="0.25">
      <c r="A4050">
        <f>80851915*0.00001</f>
        <v>808.51915000000008</v>
      </c>
      <c r="B4050">
        <v>3515</v>
      </c>
      <c r="C4050">
        <v>10</v>
      </c>
      <c r="D4050">
        <v>250.44399999999999</v>
      </c>
      <c r="E4050">
        <v>5267</v>
      </c>
      <c r="F4050">
        <v>1618</v>
      </c>
      <c r="G4050">
        <v>1</v>
      </c>
      <c r="H4050">
        <v>0.2</v>
      </c>
      <c r="I4050">
        <v>0</v>
      </c>
      <c r="J4050">
        <v>49.549700000000001</v>
      </c>
      <c r="K4050" s="1">
        <f>540.441</f>
        <v>540.44100000000003</v>
      </c>
      <c r="L4050">
        <v>0</v>
      </c>
    </row>
    <row r="4051" spans="1:12" x14ac:dyDescent="0.25">
      <c r="A4051">
        <f>80852047*0.00001</f>
        <v>808.52047000000005</v>
      </c>
      <c r="B4051">
        <v>3515</v>
      </c>
      <c r="C4051">
        <v>11</v>
      </c>
      <c r="D4051" s="1">
        <f>250.46</f>
        <v>250.46</v>
      </c>
      <c r="E4051">
        <v>5267</v>
      </c>
      <c r="F4051">
        <v>1618</v>
      </c>
      <c r="G4051">
        <v>1</v>
      </c>
      <c r="H4051">
        <v>0.2</v>
      </c>
      <c r="I4051">
        <v>0</v>
      </c>
      <c r="J4051">
        <v>49.549700000000001</v>
      </c>
      <c r="K4051">
        <v>540.44100000000003</v>
      </c>
      <c r="L4051">
        <v>0</v>
      </c>
    </row>
    <row r="4052" spans="1:12" x14ac:dyDescent="0.25">
      <c r="A4052">
        <f>80852179*0.00001</f>
        <v>808.52179000000001</v>
      </c>
      <c r="B4052">
        <v>3515</v>
      </c>
      <c r="C4052">
        <v>12</v>
      </c>
      <c r="D4052">
        <v>250.46</v>
      </c>
      <c r="E4052">
        <v>5267</v>
      </c>
      <c r="F4052" s="1">
        <f>1618</f>
        <v>1618</v>
      </c>
      <c r="G4052">
        <v>1</v>
      </c>
      <c r="H4052">
        <v>0.2</v>
      </c>
      <c r="I4052">
        <v>0</v>
      </c>
      <c r="J4052">
        <v>49.549700000000001</v>
      </c>
      <c r="K4052">
        <v>540.44100000000003</v>
      </c>
      <c r="L4052">
        <v>0</v>
      </c>
    </row>
    <row r="4053" spans="1:12" x14ac:dyDescent="0.25">
      <c r="A4053">
        <f>80852312*0.00001</f>
        <v>808.52312000000006</v>
      </c>
      <c r="B4053">
        <v>3515</v>
      </c>
      <c r="C4053">
        <v>13</v>
      </c>
      <c r="D4053">
        <v>250.46</v>
      </c>
      <c r="E4053">
        <v>5267</v>
      </c>
      <c r="F4053">
        <v>1618</v>
      </c>
      <c r="G4053">
        <v>1</v>
      </c>
      <c r="H4053" s="1">
        <f>0.2</f>
        <v>0.2</v>
      </c>
      <c r="I4053">
        <v>0</v>
      </c>
      <c r="J4053">
        <v>49.549700000000001</v>
      </c>
      <c r="K4053">
        <v>540.44100000000003</v>
      </c>
      <c r="L4053">
        <v>0</v>
      </c>
    </row>
    <row r="4054" spans="1:12" x14ac:dyDescent="0.25">
      <c r="A4054">
        <f>80852445*0.00001</f>
        <v>808.52445000000012</v>
      </c>
      <c r="B4054">
        <v>3515</v>
      </c>
      <c r="C4054">
        <v>14</v>
      </c>
      <c r="D4054">
        <v>250.46</v>
      </c>
      <c r="E4054">
        <v>5267</v>
      </c>
      <c r="F4054">
        <v>1618</v>
      </c>
      <c r="G4054">
        <v>1</v>
      </c>
      <c r="H4054">
        <v>0.2</v>
      </c>
      <c r="I4054">
        <v>0</v>
      </c>
      <c r="J4054" s="1">
        <f>49.536</f>
        <v>49.536000000000001</v>
      </c>
      <c r="K4054">
        <v>540.44100000000003</v>
      </c>
      <c r="L4054">
        <v>0</v>
      </c>
    </row>
    <row r="4055" spans="1:12" x14ac:dyDescent="0.25">
      <c r="A4055">
        <f>80852578*0.00001</f>
        <v>808.52578000000005</v>
      </c>
      <c r="B4055">
        <v>3515</v>
      </c>
      <c r="C4055">
        <v>15</v>
      </c>
      <c r="D4055">
        <v>250.46</v>
      </c>
      <c r="E4055">
        <v>5267</v>
      </c>
      <c r="F4055">
        <v>1618</v>
      </c>
      <c r="G4055">
        <v>1</v>
      </c>
      <c r="H4055">
        <v>0.2</v>
      </c>
      <c r="I4055">
        <v>0</v>
      </c>
      <c r="J4055">
        <v>49.536000000000001</v>
      </c>
      <c r="K4055">
        <v>540.44100000000003</v>
      </c>
      <c r="L4055" s="1">
        <f>0</f>
        <v>0</v>
      </c>
    </row>
    <row r="4056" spans="1:12" x14ac:dyDescent="0.25">
      <c r="A4056">
        <f>80852711*0.00001</f>
        <v>808.52711000000011</v>
      </c>
      <c r="B4056">
        <v>3515</v>
      </c>
      <c r="C4056">
        <v>16</v>
      </c>
      <c r="D4056">
        <v>250.46</v>
      </c>
      <c r="E4056" s="1">
        <f>5268</f>
        <v>5268</v>
      </c>
      <c r="F4056">
        <v>1618</v>
      </c>
      <c r="G4056">
        <v>1</v>
      </c>
      <c r="H4056">
        <v>0.2</v>
      </c>
      <c r="I4056">
        <v>0</v>
      </c>
      <c r="J4056">
        <v>49.536000000000001</v>
      </c>
      <c r="K4056">
        <v>540.44100000000003</v>
      </c>
      <c r="L4056">
        <v>0</v>
      </c>
    </row>
    <row r="4057" spans="1:12" x14ac:dyDescent="0.25">
      <c r="A4057">
        <f>80852843*0.00001</f>
        <v>808.52843000000007</v>
      </c>
      <c r="B4057">
        <v>3515</v>
      </c>
      <c r="C4057">
        <v>17</v>
      </c>
      <c r="D4057">
        <v>250.46</v>
      </c>
      <c r="E4057">
        <v>5268</v>
      </c>
      <c r="F4057">
        <v>1618</v>
      </c>
      <c r="G4057" s="1">
        <f>1</f>
        <v>1</v>
      </c>
      <c r="H4057">
        <v>0.2</v>
      </c>
      <c r="I4057">
        <v>0</v>
      </c>
      <c r="J4057">
        <v>49.536000000000001</v>
      </c>
      <c r="K4057">
        <v>540.44100000000003</v>
      </c>
      <c r="L4057">
        <v>0</v>
      </c>
    </row>
    <row r="4058" spans="1:12" x14ac:dyDescent="0.25">
      <c r="A4058">
        <f>80852975*0.00001</f>
        <v>808.52975000000004</v>
      </c>
      <c r="B4058">
        <v>3515</v>
      </c>
      <c r="C4058">
        <v>18</v>
      </c>
      <c r="D4058">
        <v>250.46</v>
      </c>
      <c r="E4058">
        <v>5268</v>
      </c>
      <c r="F4058">
        <v>1618</v>
      </c>
      <c r="G4058">
        <v>1</v>
      </c>
      <c r="H4058">
        <v>0.2</v>
      </c>
      <c r="I4058" s="1">
        <f>0</f>
        <v>0</v>
      </c>
      <c r="J4058">
        <v>49.536000000000001</v>
      </c>
      <c r="K4058">
        <v>540.44100000000003</v>
      </c>
      <c r="L4058">
        <v>0</v>
      </c>
    </row>
    <row r="4059" spans="1:12" x14ac:dyDescent="0.25">
      <c r="A4059">
        <f>80853107*0.00001</f>
        <v>808.53107000000011</v>
      </c>
      <c r="B4059">
        <v>3515</v>
      </c>
      <c r="C4059">
        <v>19</v>
      </c>
      <c r="D4059">
        <v>250.46</v>
      </c>
      <c r="E4059">
        <v>5268</v>
      </c>
      <c r="F4059">
        <v>1618</v>
      </c>
      <c r="G4059">
        <v>1</v>
      </c>
      <c r="H4059">
        <v>0.2</v>
      </c>
      <c r="I4059">
        <v>0</v>
      </c>
      <c r="J4059">
        <v>49.536000000000001</v>
      </c>
      <c r="K4059" s="1">
        <f>540.56</f>
        <v>540.55999999999995</v>
      </c>
      <c r="L4059">
        <v>0</v>
      </c>
    </row>
    <row r="4060" spans="1:12" x14ac:dyDescent="0.25">
      <c r="A4060">
        <f>80853239*0.00001</f>
        <v>808.53239000000008</v>
      </c>
      <c r="B4060">
        <v>3515</v>
      </c>
      <c r="C4060">
        <v>20</v>
      </c>
      <c r="D4060" s="1">
        <f>250.47</f>
        <v>250.47</v>
      </c>
      <c r="E4060">
        <v>5268</v>
      </c>
      <c r="F4060">
        <v>1618</v>
      </c>
      <c r="G4060">
        <v>1</v>
      </c>
      <c r="H4060">
        <v>0.2</v>
      </c>
      <c r="I4060">
        <v>0</v>
      </c>
      <c r="J4060">
        <v>49.536000000000001</v>
      </c>
      <c r="K4060">
        <v>540.55999999999995</v>
      </c>
      <c r="L4060">
        <v>0</v>
      </c>
    </row>
    <row r="4061" spans="1:12" x14ac:dyDescent="0.25">
      <c r="A4061">
        <f>80853372*0.00001</f>
        <v>808.53372000000002</v>
      </c>
      <c r="B4061">
        <v>3515</v>
      </c>
      <c r="C4061">
        <v>21</v>
      </c>
      <c r="D4061">
        <v>250.47</v>
      </c>
      <c r="E4061">
        <v>5268</v>
      </c>
      <c r="F4061" s="1">
        <f>1618</f>
        <v>1618</v>
      </c>
      <c r="G4061">
        <v>1</v>
      </c>
      <c r="H4061">
        <v>0.2</v>
      </c>
      <c r="I4061">
        <v>0</v>
      </c>
      <c r="J4061">
        <v>49.536000000000001</v>
      </c>
      <c r="K4061">
        <v>540.55999999999995</v>
      </c>
      <c r="L4061">
        <v>0</v>
      </c>
    </row>
    <row r="4062" spans="1:12" x14ac:dyDescent="0.25">
      <c r="A4062">
        <f>80853505*0.00001</f>
        <v>808.53505000000007</v>
      </c>
      <c r="B4062">
        <v>3515</v>
      </c>
      <c r="C4062">
        <v>22</v>
      </c>
      <c r="D4062">
        <v>250.47</v>
      </c>
      <c r="E4062">
        <v>5268</v>
      </c>
      <c r="F4062">
        <v>1618</v>
      </c>
      <c r="G4062">
        <v>1</v>
      </c>
      <c r="H4062" s="1">
        <f>0.2</f>
        <v>0.2</v>
      </c>
      <c r="I4062">
        <v>0</v>
      </c>
      <c r="J4062">
        <v>49.536000000000001</v>
      </c>
      <c r="K4062">
        <v>540.55999999999995</v>
      </c>
      <c r="L4062">
        <v>0</v>
      </c>
    </row>
    <row r="4063" spans="1:12" x14ac:dyDescent="0.25">
      <c r="A4063">
        <f>80853638*0.00001</f>
        <v>808.53638000000012</v>
      </c>
      <c r="B4063">
        <v>3515</v>
      </c>
      <c r="C4063">
        <v>23</v>
      </c>
      <c r="D4063">
        <v>250.47</v>
      </c>
      <c r="E4063">
        <v>5268</v>
      </c>
      <c r="F4063">
        <v>1618</v>
      </c>
      <c r="G4063">
        <v>1</v>
      </c>
      <c r="H4063">
        <v>0.2</v>
      </c>
      <c r="I4063">
        <v>0</v>
      </c>
      <c r="J4063" s="1">
        <f>49.5274</f>
        <v>49.5274</v>
      </c>
      <c r="K4063">
        <v>540.55999999999995</v>
      </c>
      <c r="L4063">
        <v>0</v>
      </c>
    </row>
    <row r="4064" spans="1:12" x14ac:dyDescent="0.25">
      <c r="A4064">
        <f>80853771*0.00001</f>
        <v>808.53771000000006</v>
      </c>
      <c r="B4064">
        <v>3515</v>
      </c>
      <c r="C4064">
        <v>24</v>
      </c>
      <c r="D4064">
        <v>250.47</v>
      </c>
      <c r="E4064">
        <v>5268</v>
      </c>
      <c r="F4064">
        <v>1618</v>
      </c>
      <c r="G4064">
        <v>1</v>
      </c>
      <c r="H4064">
        <v>0.2</v>
      </c>
      <c r="I4064">
        <v>0</v>
      </c>
      <c r="J4064">
        <v>49.5274</v>
      </c>
      <c r="K4064">
        <v>540.55999999999995</v>
      </c>
      <c r="L4064" s="1">
        <f>0</f>
        <v>0</v>
      </c>
    </row>
    <row r="4065" spans="1:12" x14ac:dyDescent="0.25">
      <c r="A4065">
        <f>80853903*0.00001</f>
        <v>808.53903000000003</v>
      </c>
      <c r="B4065">
        <v>3515</v>
      </c>
      <c r="C4065">
        <v>25</v>
      </c>
      <c r="D4065">
        <v>250.47</v>
      </c>
      <c r="E4065" s="1">
        <f>5268</f>
        <v>5268</v>
      </c>
      <c r="F4065">
        <v>1618</v>
      </c>
      <c r="G4065">
        <v>1</v>
      </c>
      <c r="H4065">
        <v>0.2</v>
      </c>
      <c r="I4065">
        <v>0</v>
      </c>
      <c r="J4065">
        <v>49.5274</v>
      </c>
      <c r="K4065">
        <v>540.55999999999995</v>
      </c>
      <c r="L4065">
        <v>0</v>
      </c>
    </row>
    <row r="4066" spans="1:12" x14ac:dyDescent="0.25">
      <c r="A4066">
        <f>80854036*0.00001</f>
        <v>808.54036000000008</v>
      </c>
      <c r="B4066">
        <v>3515</v>
      </c>
      <c r="C4066">
        <v>26</v>
      </c>
      <c r="D4066">
        <v>250.47</v>
      </c>
      <c r="E4066">
        <v>5268</v>
      </c>
      <c r="F4066">
        <v>1618</v>
      </c>
      <c r="G4066" s="1">
        <f>1</f>
        <v>1</v>
      </c>
      <c r="H4066">
        <v>0.2</v>
      </c>
      <c r="I4066">
        <v>0</v>
      </c>
      <c r="J4066">
        <v>49.5274</v>
      </c>
      <c r="K4066">
        <v>540.55999999999995</v>
      </c>
      <c r="L4066">
        <v>0</v>
      </c>
    </row>
    <row r="4067" spans="1:12" x14ac:dyDescent="0.25">
      <c r="A4067">
        <f>80854169*0.00001</f>
        <v>808.54169000000002</v>
      </c>
      <c r="B4067">
        <v>3515</v>
      </c>
      <c r="C4067">
        <v>27</v>
      </c>
      <c r="D4067">
        <v>250.47</v>
      </c>
      <c r="E4067">
        <v>5268</v>
      </c>
      <c r="F4067">
        <v>1618</v>
      </c>
      <c r="G4067">
        <v>1</v>
      </c>
      <c r="H4067">
        <v>0.2</v>
      </c>
      <c r="I4067" s="1">
        <f>0</f>
        <v>0</v>
      </c>
      <c r="J4067">
        <v>49.5274</v>
      </c>
      <c r="K4067">
        <v>540.55999999999995</v>
      </c>
      <c r="L4067">
        <v>0</v>
      </c>
    </row>
    <row r="4068" spans="1:12" x14ac:dyDescent="0.25">
      <c r="A4068">
        <f>80854302*0.00001</f>
        <v>808.54302000000007</v>
      </c>
      <c r="B4068">
        <v>3515</v>
      </c>
      <c r="C4068">
        <v>28</v>
      </c>
      <c r="D4068">
        <v>250.47</v>
      </c>
      <c r="E4068">
        <v>5268</v>
      </c>
      <c r="F4068">
        <v>1618</v>
      </c>
      <c r="G4068">
        <v>1</v>
      </c>
      <c r="H4068">
        <v>0.2</v>
      </c>
      <c r="I4068">
        <v>0</v>
      </c>
      <c r="J4068">
        <v>49.5274</v>
      </c>
      <c r="K4068" s="1">
        <f>540.678</f>
        <v>540.678</v>
      </c>
      <c r="L4068">
        <v>0</v>
      </c>
    </row>
    <row r="4069" spans="1:12" x14ac:dyDescent="0.25">
      <c r="A4069">
        <f>80854435*0.00001</f>
        <v>808.54435000000012</v>
      </c>
      <c r="B4069">
        <v>3515</v>
      </c>
      <c r="C4069">
        <v>29</v>
      </c>
      <c r="D4069" s="1">
        <f>250.562</f>
        <v>250.56200000000001</v>
      </c>
      <c r="E4069">
        <v>5268</v>
      </c>
      <c r="F4069">
        <v>1618</v>
      </c>
      <c r="G4069">
        <v>1</v>
      </c>
      <c r="H4069">
        <v>0.2</v>
      </c>
      <c r="I4069">
        <v>0</v>
      </c>
      <c r="J4069">
        <v>49.5274</v>
      </c>
      <c r="K4069">
        <v>540.678</v>
      </c>
      <c r="L4069">
        <v>0</v>
      </c>
    </row>
    <row r="4070" spans="1:12" x14ac:dyDescent="0.25">
      <c r="A4070">
        <f>80854568*0.00001</f>
        <v>808.54568000000006</v>
      </c>
      <c r="B4070">
        <v>3515</v>
      </c>
      <c r="C4070">
        <v>30</v>
      </c>
      <c r="D4070">
        <v>250.56200000000001</v>
      </c>
      <c r="E4070">
        <v>5268</v>
      </c>
      <c r="F4070" s="1">
        <f>1618</f>
        <v>1618</v>
      </c>
      <c r="G4070">
        <v>1</v>
      </c>
      <c r="H4070">
        <v>0.2</v>
      </c>
      <c r="I4070">
        <v>0</v>
      </c>
      <c r="J4070">
        <v>49.5274</v>
      </c>
      <c r="K4070">
        <v>540.678</v>
      </c>
      <c r="L4070">
        <v>0</v>
      </c>
    </row>
    <row r="4071" spans="1:12" x14ac:dyDescent="0.25">
      <c r="A4071">
        <f>80854701*0.00001</f>
        <v>808.54701000000011</v>
      </c>
      <c r="B4071">
        <v>3515</v>
      </c>
      <c r="C4071">
        <v>31</v>
      </c>
      <c r="D4071">
        <v>250.56200000000001</v>
      </c>
      <c r="E4071">
        <v>5268</v>
      </c>
      <c r="F4071">
        <v>1618</v>
      </c>
      <c r="G4071">
        <v>1</v>
      </c>
      <c r="H4071" s="1">
        <f>0.2</f>
        <v>0.2</v>
      </c>
      <c r="I4071">
        <v>0</v>
      </c>
      <c r="J4071">
        <v>49.5274</v>
      </c>
      <c r="K4071">
        <v>540.678</v>
      </c>
      <c r="L4071">
        <v>0</v>
      </c>
    </row>
    <row r="4072" spans="1:12" x14ac:dyDescent="0.25">
      <c r="A4072">
        <f>80854833*0.00001</f>
        <v>808.54833000000008</v>
      </c>
      <c r="B4072">
        <v>3515</v>
      </c>
      <c r="C4072">
        <v>32</v>
      </c>
      <c r="D4072">
        <v>250.56200000000001</v>
      </c>
      <c r="E4072">
        <v>5268</v>
      </c>
      <c r="F4072">
        <v>1618</v>
      </c>
      <c r="G4072">
        <v>1</v>
      </c>
      <c r="H4072">
        <v>0.2</v>
      </c>
      <c r="I4072">
        <v>0</v>
      </c>
      <c r="J4072" s="1">
        <f>49.3949</f>
        <v>49.3949</v>
      </c>
      <c r="K4072">
        <v>540.678</v>
      </c>
      <c r="L4072">
        <v>0</v>
      </c>
    </row>
    <row r="4073" spans="1:12" x14ac:dyDescent="0.25">
      <c r="A4073">
        <f>80854965*0.00001</f>
        <v>808.54965000000004</v>
      </c>
      <c r="B4073">
        <v>3515</v>
      </c>
      <c r="C4073">
        <v>33</v>
      </c>
      <c r="D4073">
        <v>250.56200000000001</v>
      </c>
      <c r="E4073">
        <v>5268</v>
      </c>
      <c r="F4073">
        <v>1618</v>
      </c>
      <c r="G4073">
        <v>1</v>
      </c>
      <c r="H4073">
        <v>0.2</v>
      </c>
      <c r="I4073">
        <v>0</v>
      </c>
      <c r="J4073">
        <v>49.3949</v>
      </c>
      <c r="K4073">
        <v>540.678</v>
      </c>
      <c r="L4073" s="1">
        <f>0</f>
        <v>0</v>
      </c>
    </row>
    <row r="4074" spans="1:12" x14ac:dyDescent="0.25">
      <c r="A4074">
        <f>80855097*0.00001</f>
        <v>808.55097000000012</v>
      </c>
      <c r="B4074">
        <v>3515</v>
      </c>
      <c r="C4074">
        <v>34</v>
      </c>
      <c r="D4074">
        <v>250.56200000000001</v>
      </c>
      <c r="E4074" s="1">
        <f>5265</f>
        <v>5265</v>
      </c>
      <c r="F4074">
        <v>1618</v>
      </c>
      <c r="G4074">
        <v>1</v>
      </c>
      <c r="H4074">
        <v>0.2</v>
      </c>
      <c r="I4074">
        <v>0</v>
      </c>
      <c r="J4074">
        <v>49.3949</v>
      </c>
      <c r="K4074">
        <v>540.678</v>
      </c>
      <c r="L4074">
        <v>0</v>
      </c>
    </row>
    <row r="4075" spans="1:12" x14ac:dyDescent="0.25">
      <c r="A4075">
        <f>80855229*0.00001</f>
        <v>808.55229000000008</v>
      </c>
      <c r="B4075">
        <v>3515</v>
      </c>
      <c r="C4075">
        <v>35</v>
      </c>
      <c r="D4075">
        <v>250.56200000000001</v>
      </c>
      <c r="E4075">
        <v>5265</v>
      </c>
      <c r="F4075">
        <v>1618</v>
      </c>
      <c r="G4075" s="1">
        <f>1</f>
        <v>1</v>
      </c>
      <c r="H4075">
        <v>0.2</v>
      </c>
      <c r="I4075">
        <v>0</v>
      </c>
      <c r="J4075">
        <v>49.3949</v>
      </c>
      <c r="K4075">
        <v>540.678</v>
      </c>
      <c r="L4075">
        <v>0</v>
      </c>
    </row>
    <row r="4076" spans="1:12" x14ac:dyDescent="0.25">
      <c r="A4076">
        <f>80855361*0.00001</f>
        <v>808.55361000000005</v>
      </c>
      <c r="B4076">
        <v>3515</v>
      </c>
      <c r="C4076">
        <v>36</v>
      </c>
      <c r="D4076">
        <v>250.56200000000001</v>
      </c>
      <c r="E4076">
        <v>5265</v>
      </c>
      <c r="F4076">
        <v>1618</v>
      </c>
      <c r="G4076">
        <v>1</v>
      </c>
      <c r="H4076">
        <v>0.2</v>
      </c>
      <c r="I4076" s="1">
        <f>0</f>
        <v>0</v>
      </c>
      <c r="J4076">
        <v>49.3949</v>
      </c>
      <c r="K4076">
        <v>540.678</v>
      </c>
      <c r="L4076">
        <v>0</v>
      </c>
    </row>
    <row r="4077" spans="1:12" x14ac:dyDescent="0.25">
      <c r="A4077">
        <f>80855493*0.00001</f>
        <v>808.55493000000001</v>
      </c>
      <c r="B4077">
        <v>3515</v>
      </c>
      <c r="C4077">
        <v>37</v>
      </c>
      <c r="D4077">
        <v>250.56200000000001</v>
      </c>
      <c r="E4077">
        <v>5265</v>
      </c>
      <c r="F4077">
        <v>1618</v>
      </c>
      <c r="G4077">
        <v>1</v>
      </c>
      <c r="H4077">
        <v>0.2</v>
      </c>
      <c r="I4077">
        <v>0</v>
      </c>
      <c r="J4077">
        <v>49.3949</v>
      </c>
      <c r="K4077" s="1">
        <f>540.796</f>
        <v>540.79600000000005</v>
      </c>
      <c r="L4077">
        <v>0</v>
      </c>
    </row>
    <row r="4078" spans="1:12" x14ac:dyDescent="0.25">
      <c r="A4078">
        <f>80855625*0.00001</f>
        <v>808.55625000000009</v>
      </c>
      <c r="B4078">
        <v>3515</v>
      </c>
      <c r="C4078">
        <v>38</v>
      </c>
      <c r="D4078" s="1">
        <f>250.674</f>
        <v>250.67400000000001</v>
      </c>
      <c r="E4078">
        <v>5265</v>
      </c>
      <c r="F4078">
        <v>1618</v>
      </c>
      <c r="G4078">
        <v>1</v>
      </c>
      <c r="H4078">
        <v>0.2</v>
      </c>
      <c r="I4078">
        <v>0</v>
      </c>
      <c r="J4078">
        <v>49.3949</v>
      </c>
      <c r="K4078">
        <v>540.79600000000005</v>
      </c>
      <c r="L4078">
        <v>0</v>
      </c>
    </row>
    <row r="4079" spans="1:12" x14ac:dyDescent="0.25">
      <c r="A4079">
        <f>80855757*0.00001</f>
        <v>808.55757000000006</v>
      </c>
      <c r="B4079">
        <v>3515</v>
      </c>
      <c r="C4079">
        <v>39</v>
      </c>
      <c r="D4079">
        <v>250.67400000000001</v>
      </c>
      <c r="E4079">
        <v>5265</v>
      </c>
      <c r="F4079" s="1">
        <f>1618</f>
        <v>1618</v>
      </c>
      <c r="G4079">
        <v>1</v>
      </c>
      <c r="H4079">
        <v>0.2</v>
      </c>
      <c r="I4079">
        <v>0</v>
      </c>
      <c r="J4079">
        <v>49.3949</v>
      </c>
      <c r="K4079">
        <v>540.79600000000005</v>
      </c>
      <c r="L4079">
        <v>0</v>
      </c>
    </row>
    <row r="4080" spans="1:12" x14ac:dyDescent="0.25">
      <c r="A4080">
        <f>80855889*0.00001</f>
        <v>808.55889000000002</v>
      </c>
      <c r="B4080">
        <v>3515</v>
      </c>
      <c r="C4080">
        <v>40</v>
      </c>
      <c r="D4080">
        <v>250.67400000000001</v>
      </c>
      <c r="E4080">
        <v>5265</v>
      </c>
      <c r="F4080">
        <v>1618</v>
      </c>
      <c r="G4080">
        <v>1</v>
      </c>
      <c r="H4080" s="1">
        <f>0.2</f>
        <v>0.2</v>
      </c>
      <c r="I4080">
        <v>0</v>
      </c>
      <c r="J4080">
        <v>49.3949</v>
      </c>
      <c r="K4080">
        <v>540.79600000000005</v>
      </c>
      <c r="L4080">
        <v>0</v>
      </c>
    </row>
    <row r="4081" spans="1:12" x14ac:dyDescent="0.25">
      <c r="A4081">
        <f>80856022*0.00001</f>
        <v>808.56022000000007</v>
      </c>
      <c r="B4081">
        <v>3515</v>
      </c>
      <c r="C4081">
        <v>41</v>
      </c>
      <c r="D4081">
        <v>250.67400000000001</v>
      </c>
      <c r="E4081">
        <v>5265</v>
      </c>
      <c r="F4081">
        <v>1618</v>
      </c>
      <c r="G4081">
        <v>1</v>
      </c>
      <c r="H4081">
        <v>0.2</v>
      </c>
      <c r="I4081">
        <v>0</v>
      </c>
      <c r="J4081" s="1">
        <f>49.2989</f>
        <v>49.298900000000003</v>
      </c>
      <c r="K4081">
        <v>540.79600000000005</v>
      </c>
      <c r="L4081">
        <v>0</v>
      </c>
    </row>
    <row r="4082" spans="1:12" x14ac:dyDescent="0.25">
      <c r="A4082">
        <f>80856155*0.00001</f>
        <v>808.56155000000001</v>
      </c>
      <c r="B4082">
        <v>3515</v>
      </c>
      <c r="C4082">
        <v>42</v>
      </c>
      <c r="D4082">
        <v>250.67400000000001</v>
      </c>
      <c r="E4082">
        <v>5265</v>
      </c>
      <c r="F4082">
        <v>1618</v>
      </c>
      <c r="G4082">
        <v>1</v>
      </c>
      <c r="H4082">
        <v>0.2</v>
      </c>
      <c r="I4082">
        <v>0</v>
      </c>
      <c r="J4082">
        <v>49.298900000000003</v>
      </c>
      <c r="K4082">
        <v>540.79600000000005</v>
      </c>
      <c r="L4082" s="1">
        <f>0</f>
        <v>0</v>
      </c>
    </row>
    <row r="4083" spans="1:12" x14ac:dyDescent="0.25">
      <c r="A4083">
        <f>80856288*0.00001</f>
        <v>808.56288000000006</v>
      </c>
      <c r="B4083">
        <v>3515</v>
      </c>
      <c r="C4083">
        <v>43</v>
      </c>
      <c r="D4083">
        <v>250.67400000000001</v>
      </c>
      <c r="E4083" s="1">
        <f>5263</f>
        <v>5263</v>
      </c>
      <c r="F4083">
        <v>1618</v>
      </c>
      <c r="G4083">
        <v>1</v>
      </c>
      <c r="H4083">
        <v>0.2</v>
      </c>
      <c r="I4083">
        <v>0</v>
      </c>
      <c r="J4083">
        <v>49.298900000000003</v>
      </c>
      <c r="K4083">
        <v>540.79600000000005</v>
      </c>
      <c r="L4083">
        <v>0</v>
      </c>
    </row>
    <row r="4084" spans="1:12" x14ac:dyDescent="0.25">
      <c r="A4084">
        <f>80856421*0.00001</f>
        <v>808.56421000000012</v>
      </c>
      <c r="B4084">
        <v>3515</v>
      </c>
      <c r="C4084">
        <v>44</v>
      </c>
      <c r="D4084">
        <v>250.67400000000001</v>
      </c>
      <c r="E4084">
        <v>5263</v>
      </c>
      <c r="F4084">
        <v>1618</v>
      </c>
      <c r="G4084" s="1">
        <f>1</f>
        <v>1</v>
      </c>
      <c r="H4084">
        <v>0.2</v>
      </c>
      <c r="I4084">
        <v>0</v>
      </c>
      <c r="J4084">
        <v>49.298900000000003</v>
      </c>
      <c r="K4084">
        <v>540.79600000000005</v>
      </c>
      <c r="L4084">
        <v>0</v>
      </c>
    </row>
    <row r="4085" spans="1:12" x14ac:dyDescent="0.25">
      <c r="A4085">
        <f>80856554*0.00001</f>
        <v>808.56554000000006</v>
      </c>
      <c r="B4085">
        <v>3515</v>
      </c>
      <c r="C4085">
        <v>45</v>
      </c>
      <c r="D4085">
        <v>250.67400000000001</v>
      </c>
      <c r="E4085">
        <v>5263</v>
      </c>
      <c r="F4085">
        <v>1618</v>
      </c>
      <c r="G4085">
        <v>1</v>
      </c>
      <c r="H4085">
        <v>0.2</v>
      </c>
      <c r="I4085" s="1">
        <f>0</f>
        <v>0</v>
      </c>
      <c r="J4085">
        <v>49.298900000000003</v>
      </c>
      <c r="K4085">
        <v>540.79600000000005</v>
      </c>
      <c r="L4085">
        <v>0</v>
      </c>
    </row>
    <row r="4086" spans="1:12" x14ac:dyDescent="0.25">
      <c r="A4086">
        <f>80856686*0.00001</f>
        <v>808.56686000000002</v>
      </c>
      <c r="B4086">
        <v>3515</v>
      </c>
      <c r="C4086">
        <v>46</v>
      </c>
      <c r="D4086">
        <v>250.67400000000001</v>
      </c>
      <c r="E4086">
        <v>5263</v>
      </c>
      <c r="F4086">
        <v>1618</v>
      </c>
      <c r="G4086">
        <v>1</v>
      </c>
      <c r="H4086">
        <v>0.2</v>
      </c>
      <c r="I4086">
        <v>0</v>
      </c>
      <c r="J4086">
        <v>49.298900000000003</v>
      </c>
      <c r="K4086" s="1">
        <f>540.914</f>
        <v>540.91399999999999</v>
      </c>
      <c r="L4086">
        <v>0</v>
      </c>
    </row>
    <row r="4087" spans="1:12" x14ac:dyDescent="0.25">
      <c r="A4087">
        <f>80856818*0.00001</f>
        <v>808.5681800000001</v>
      </c>
      <c r="B4087">
        <v>3515</v>
      </c>
      <c r="C4087">
        <v>47</v>
      </c>
      <c r="D4087" s="1">
        <f>250.745</f>
        <v>250.745</v>
      </c>
      <c r="E4087">
        <v>5263</v>
      </c>
      <c r="F4087">
        <v>1618</v>
      </c>
      <c r="G4087">
        <v>1</v>
      </c>
      <c r="H4087">
        <v>0.2</v>
      </c>
      <c r="I4087">
        <v>0</v>
      </c>
      <c r="J4087">
        <v>49.298900000000003</v>
      </c>
      <c r="K4087">
        <v>540.91399999999999</v>
      </c>
      <c r="L4087">
        <v>0</v>
      </c>
    </row>
    <row r="4088" spans="1:12" x14ac:dyDescent="0.25">
      <c r="A4088">
        <f>80856950*0.00001</f>
        <v>808.56950000000006</v>
      </c>
      <c r="B4088">
        <v>3515</v>
      </c>
      <c r="C4088">
        <v>48</v>
      </c>
      <c r="D4088">
        <v>250.745</v>
      </c>
      <c r="E4088">
        <v>5263</v>
      </c>
      <c r="F4088" s="1">
        <f>1618</f>
        <v>1618</v>
      </c>
      <c r="G4088">
        <v>1</v>
      </c>
      <c r="H4088">
        <v>0.2</v>
      </c>
      <c r="I4088">
        <v>0</v>
      </c>
      <c r="J4088">
        <v>49.298900000000003</v>
      </c>
      <c r="K4088">
        <v>540.91399999999999</v>
      </c>
      <c r="L4088">
        <v>0</v>
      </c>
    </row>
    <row r="4089" spans="1:12" x14ac:dyDescent="0.25">
      <c r="A4089">
        <f>80857082*0.00001</f>
        <v>808.57082000000003</v>
      </c>
      <c r="B4089">
        <v>3515</v>
      </c>
      <c r="C4089">
        <v>49</v>
      </c>
      <c r="D4089">
        <v>250.745</v>
      </c>
      <c r="E4089">
        <v>5263</v>
      </c>
      <c r="F4089">
        <v>1618</v>
      </c>
      <c r="G4089">
        <v>1</v>
      </c>
      <c r="H4089" s="1">
        <f>0.2</f>
        <v>0.2</v>
      </c>
      <c r="I4089">
        <v>0</v>
      </c>
      <c r="J4089">
        <v>49.298900000000003</v>
      </c>
      <c r="K4089">
        <v>540.91399999999999</v>
      </c>
      <c r="L4089">
        <v>0</v>
      </c>
    </row>
    <row r="4090" spans="1:12" x14ac:dyDescent="0.25">
      <c r="A4090">
        <f>80857214*0.00001</f>
        <v>808.5721400000001</v>
      </c>
      <c r="B4090">
        <v>3515</v>
      </c>
      <c r="C4090">
        <v>50</v>
      </c>
      <c r="D4090">
        <v>250.745</v>
      </c>
      <c r="E4090">
        <v>5263</v>
      </c>
      <c r="F4090">
        <v>1618</v>
      </c>
      <c r="G4090">
        <v>1</v>
      </c>
      <c r="H4090">
        <v>0.2</v>
      </c>
      <c r="I4090">
        <v>0</v>
      </c>
      <c r="J4090" s="1">
        <f>49.2381</f>
        <v>49.238100000000003</v>
      </c>
      <c r="K4090">
        <v>540.91399999999999</v>
      </c>
      <c r="L4090">
        <v>0</v>
      </c>
    </row>
    <row r="4091" spans="1:12" x14ac:dyDescent="0.25">
      <c r="A4091">
        <f>80857346*0.00001</f>
        <v>808.57346000000007</v>
      </c>
      <c r="B4091">
        <v>3515</v>
      </c>
      <c r="C4091">
        <v>51</v>
      </c>
      <c r="D4091">
        <v>250.745</v>
      </c>
      <c r="E4091">
        <v>5263</v>
      </c>
      <c r="F4091">
        <v>1618</v>
      </c>
      <c r="G4091">
        <v>1</v>
      </c>
      <c r="H4091">
        <v>0.2</v>
      </c>
      <c r="I4091">
        <v>0</v>
      </c>
      <c r="J4091">
        <v>49.238100000000003</v>
      </c>
      <c r="K4091">
        <v>540.91399999999999</v>
      </c>
      <c r="L4091" s="1">
        <f>0</f>
        <v>0</v>
      </c>
    </row>
    <row r="4092" spans="1:12" x14ac:dyDescent="0.25">
      <c r="A4092">
        <f>80857478*0.00001</f>
        <v>808.57478000000003</v>
      </c>
      <c r="B4092">
        <v>3515</v>
      </c>
      <c r="C4092">
        <v>52</v>
      </c>
      <c r="D4092">
        <v>250.745</v>
      </c>
      <c r="E4092" s="1">
        <f>5262</f>
        <v>5262</v>
      </c>
      <c r="F4092">
        <v>1618</v>
      </c>
      <c r="G4092">
        <v>1</v>
      </c>
      <c r="H4092">
        <v>0.2</v>
      </c>
      <c r="I4092">
        <v>0</v>
      </c>
      <c r="J4092">
        <v>49.238100000000003</v>
      </c>
      <c r="K4092">
        <v>540.91399999999999</v>
      </c>
      <c r="L4092">
        <v>0</v>
      </c>
    </row>
    <row r="4093" spans="1:12" x14ac:dyDescent="0.25">
      <c r="A4093">
        <f>80857610*0.00001</f>
        <v>808.57610000000011</v>
      </c>
      <c r="B4093">
        <v>3515</v>
      </c>
      <c r="C4093">
        <v>53</v>
      </c>
      <c r="D4093">
        <v>250.745</v>
      </c>
      <c r="E4093">
        <v>5262</v>
      </c>
      <c r="F4093">
        <v>1618</v>
      </c>
      <c r="G4093" s="1">
        <f>1</f>
        <v>1</v>
      </c>
      <c r="H4093">
        <v>0.2</v>
      </c>
      <c r="I4093">
        <v>0</v>
      </c>
      <c r="J4093">
        <v>49.238100000000003</v>
      </c>
      <c r="K4093">
        <v>540.91399999999999</v>
      </c>
      <c r="L4093">
        <v>0</v>
      </c>
    </row>
    <row r="4094" spans="1:12" x14ac:dyDescent="0.25">
      <c r="A4094">
        <f>80857742*0.00001</f>
        <v>808.57742000000007</v>
      </c>
      <c r="B4094">
        <v>3515</v>
      </c>
      <c r="C4094">
        <v>54</v>
      </c>
      <c r="D4094">
        <v>250.745</v>
      </c>
      <c r="E4094">
        <v>5262</v>
      </c>
      <c r="F4094">
        <v>1618</v>
      </c>
      <c r="G4094">
        <v>1</v>
      </c>
      <c r="H4094">
        <v>0.2</v>
      </c>
      <c r="I4094" s="1">
        <f>0</f>
        <v>0</v>
      </c>
      <c r="J4094">
        <v>49.238100000000003</v>
      </c>
      <c r="K4094">
        <v>540.91399999999999</v>
      </c>
      <c r="L4094">
        <v>0</v>
      </c>
    </row>
    <row r="4095" spans="1:12" x14ac:dyDescent="0.25">
      <c r="A4095">
        <f>80857875*0.00001</f>
        <v>808.57875000000001</v>
      </c>
      <c r="B4095">
        <v>3515</v>
      </c>
      <c r="C4095">
        <v>55</v>
      </c>
      <c r="D4095">
        <v>250.745</v>
      </c>
      <c r="E4095">
        <v>5262</v>
      </c>
      <c r="F4095">
        <v>1618</v>
      </c>
      <c r="G4095">
        <v>1</v>
      </c>
      <c r="H4095">
        <v>0.2</v>
      </c>
      <c r="I4095">
        <v>0</v>
      </c>
      <c r="J4095">
        <v>49.238100000000003</v>
      </c>
      <c r="K4095" s="1">
        <f>541.032</f>
        <v>541.03200000000004</v>
      </c>
      <c r="L4095">
        <v>0</v>
      </c>
    </row>
    <row r="4096" spans="1:12" x14ac:dyDescent="0.25">
      <c r="A4096">
        <f>80858008*0.00001</f>
        <v>808.58008000000007</v>
      </c>
      <c r="B4096">
        <v>3515</v>
      </c>
      <c r="C4096">
        <v>56</v>
      </c>
      <c r="D4096" s="1">
        <f>250.789</f>
        <v>250.78899999999999</v>
      </c>
      <c r="E4096">
        <v>5262</v>
      </c>
      <c r="F4096">
        <v>1618</v>
      </c>
      <c r="G4096">
        <v>1</v>
      </c>
      <c r="H4096">
        <v>0.2</v>
      </c>
      <c r="I4096">
        <v>0</v>
      </c>
      <c r="J4096">
        <v>49.238100000000003</v>
      </c>
      <c r="K4096">
        <v>541.03200000000004</v>
      </c>
      <c r="L4096">
        <v>0</v>
      </c>
    </row>
    <row r="4097" spans="1:12" x14ac:dyDescent="0.25">
      <c r="A4097">
        <f>80858140*0.00001</f>
        <v>808.58140000000003</v>
      </c>
      <c r="B4097">
        <v>3515</v>
      </c>
      <c r="C4097">
        <v>57</v>
      </c>
      <c r="D4097">
        <v>250.78899999999999</v>
      </c>
      <c r="E4097">
        <v>5262</v>
      </c>
      <c r="F4097" s="1">
        <f>1618</f>
        <v>1618</v>
      </c>
      <c r="G4097">
        <v>1</v>
      </c>
      <c r="H4097">
        <v>0.2</v>
      </c>
      <c r="I4097">
        <v>0</v>
      </c>
      <c r="J4097">
        <v>49.238100000000003</v>
      </c>
      <c r="K4097">
        <v>541.03200000000004</v>
      </c>
      <c r="L4097">
        <v>0</v>
      </c>
    </row>
    <row r="4098" spans="1:12" x14ac:dyDescent="0.25">
      <c r="A4098">
        <f>80858273*0.00001</f>
        <v>808.58273000000008</v>
      </c>
      <c r="B4098">
        <v>3515</v>
      </c>
      <c r="C4098">
        <v>58</v>
      </c>
      <c r="D4098">
        <v>250.78899999999999</v>
      </c>
      <c r="E4098">
        <v>5262</v>
      </c>
      <c r="F4098">
        <v>1618</v>
      </c>
      <c r="G4098">
        <v>1</v>
      </c>
      <c r="H4098" s="1">
        <f>0.2</f>
        <v>0.2</v>
      </c>
      <c r="I4098">
        <v>0</v>
      </c>
      <c r="J4098">
        <v>49.238100000000003</v>
      </c>
      <c r="K4098">
        <v>541.03200000000004</v>
      </c>
      <c r="L4098">
        <v>0</v>
      </c>
    </row>
    <row r="4099" spans="1:12" x14ac:dyDescent="0.25">
      <c r="A4099">
        <f>80858406*0.00001</f>
        <v>808.58406000000002</v>
      </c>
      <c r="B4099">
        <v>3515</v>
      </c>
      <c r="C4099">
        <v>59</v>
      </c>
      <c r="D4099">
        <v>250.78899999999999</v>
      </c>
      <c r="E4099">
        <v>5262</v>
      </c>
      <c r="F4099">
        <v>1618</v>
      </c>
      <c r="G4099">
        <v>1</v>
      </c>
      <c r="H4099">
        <v>0.2</v>
      </c>
      <c r="I4099">
        <v>0</v>
      </c>
      <c r="J4099" s="1">
        <f>49.2005</f>
        <v>49.200499999999998</v>
      </c>
      <c r="K4099">
        <v>541.03200000000004</v>
      </c>
      <c r="L4099">
        <v>0</v>
      </c>
    </row>
    <row r="4100" spans="1:12" x14ac:dyDescent="0.25">
      <c r="A4100">
        <f>80858539*0.00001</f>
        <v>808.58539000000007</v>
      </c>
      <c r="B4100">
        <v>3515</v>
      </c>
      <c r="C4100">
        <v>60</v>
      </c>
      <c r="D4100">
        <v>250.78899999999999</v>
      </c>
      <c r="E4100">
        <v>5262</v>
      </c>
      <c r="F4100">
        <v>1618</v>
      </c>
      <c r="G4100">
        <v>1</v>
      </c>
      <c r="H4100">
        <v>0.2</v>
      </c>
      <c r="I4100">
        <v>0</v>
      </c>
      <c r="J4100">
        <v>49.200499999999998</v>
      </c>
      <c r="K4100">
        <v>541.03200000000004</v>
      </c>
      <c r="L4100" s="1">
        <f>0</f>
        <v>0</v>
      </c>
    </row>
    <row r="4101" spans="1:12" x14ac:dyDescent="0.25">
      <c r="A4101">
        <f>80858671*0.00001</f>
        <v>808.58671000000004</v>
      </c>
      <c r="B4101">
        <v>3515</v>
      </c>
      <c r="C4101">
        <v>61</v>
      </c>
      <c r="D4101">
        <v>250.78899999999999</v>
      </c>
      <c r="E4101" s="1">
        <f>5262</f>
        <v>5262</v>
      </c>
      <c r="F4101">
        <v>1618</v>
      </c>
      <c r="G4101">
        <v>1</v>
      </c>
      <c r="H4101">
        <v>0.2</v>
      </c>
      <c r="I4101">
        <v>0</v>
      </c>
      <c r="J4101">
        <v>49.200499999999998</v>
      </c>
      <c r="K4101">
        <v>541.03200000000004</v>
      </c>
      <c r="L4101">
        <v>0</v>
      </c>
    </row>
    <row r="4102" spans="1:12" x14ac:dyDescent="0.25">
      <c r="A4102">
        <f>80858803*0.00001</f>
        <v>808.58803000000012</v>
      </c>
      <c r="B4102">
        <v>3515</v>
      </c>
      <c r="C4102">
        <v>62</v>
      </c>
      <c r="D4102">
        <v>250.78899999999999</v>
      </c>
      <c r="E4102">
        <v>5262</v>
      </c>
      <c r="F4102">
        <v>1618</v>
      </c>
      <c r="G4102" s="1">
        <f>1</f>
        <v>1</v>
      </c>
      <c r="H4102">
        <v>0.2</v>
      </c>
      <c r="I4102">
        <v>0</v>
      </c>
      <c r="J4102">
        <v>49.200499999999998</v>
      </c>
      <c r="K4102">
        <v>541.03200000000004</v>
      </c>
      <c r="L4102">
        <v>0</v>
      </c>
    </row>
    <row r="4103" spans="1:12" x14ac:dyDescent="0.25">
      <c r="A4103">
        <f>80858935*0.00001</f>
        <v>808.58935000000008</v>
      </c>
      <c r="B4103">
        <v>3515</v>
      </c>
      <c r="C4103">
        <v>63</v>
      </c>
      <c r="D4103">
        <v>250.78899999999999</v>
      </c>
      <c r="E4103">
        <v>5262</v>
      </c>
      <c r="F4103">
        <v>1618</v>
      </c>
      <c r="G4103">
        <v>1</v>
      </c>
      <c r="H4103">
        <v>0.2</v>
      </c>
      <c r="I4103" s="1">
        <f>0</f>
        <v>0</v>
      </c>
      <c r="J4103">
        <v>49.200499999999998</v>
      </c>
      <c r="K4103">
        <v>541.03200000000004</v>
      </c>
      <c r="L4103">
        <v>0</v>
      </c>
    </row>
    <row r="4104" spans="1:12" x14ac:dyDescent="0.25">
      <c r="A4104">
        <f>80859067*0.00001</f>
        <v>808.59067000000005</v>
      </c>
      <c r="B4104">
        <v>3515</v>
      </c>
      <c r="C4104">
        <v>64</v>
      </c>
      <c r="D4104">
        <v>250.78899999999999</v>
      </c>
      <c r="E4104">
        <v>5262</v>
      </c>
      <c r="F4104">
        <v>1618</v>
      </c>
      <c r="G4104">
        <v>1</v>
      </c>
      <c r="H4104">
        <v>0.2</v>
      </c>
      <c r="I4104">
        <v>0</v>
      </c>
      <c r="J4104">
        <v>49.200499999999998</v>
      </c>
      <c r="K4104" s="1">
        <f>541.15</f>
        <v>541.15</v>
      </c>
      <c r="L4104">
        <v>0</v>
      </c>
    </row>
    <row r="4105" spans="1:12" x14ac:dyDescent="0.25">
      <c r="A4105">
        <f>80859199*0.00001</f>
        <v>808.59199000000001</v>
      </c>
      <c r="B4105">
        <v>3515</v>
      </c>
      <c r="C4105">
        <v>65</v>
      </c>
      <c r="D4105" s="1">
        <f>250.817</f>
        <v>250.81700000000001</v>
      </c>
      <c r="E4105">
        <v>5262</v>
      </c>
      <c r="F4105">
        <v>1618</v>
      </c>
      <c r="G4105">
        <v>1</v>
      </c>
      <c r="H4105">
        <v>0.2</v>
      </c>
      <c r="I4105">
        <v>0</v>
      </c>
      <c r="J4105">
        <v>49.200499999999998</v>
      </c>
      <c r="K4105">
        <v>541.15</v>
      </c>
      <c r="L4105">
        <v>0</v>
      </c>
    </row>
    <row r="4106" spans="1:12" x14ac:dyDescent="0.25">
      <c r="A4106">
        <f>80859331*0.00001</f>
        <v>808.59331000000009</v>
      </c>
      <c r="B4106">
        <v>3515</v>
      </c>
      <c r="C4106">
        <v>66</v>
      </c>
      <c r="D4106">
        <v>250.81700000000001</v>
      </c>
      <c r="E4106">
        <v>5262</v>
      </c>
      <c r="F4106" s="1">
        <f>1618</f>
        <v>1618</v>
      </c>
      <c r="G4106">
        <v>1</v>
      </c>
      <c r="H4106">
        <v>0.2</v>
      </c>
      <c r="I4106">
        <v>0</v>
      </c>
      <c r="J4106">
        <v>49.200499999999998</v>
      </c>
      <c r="K4106">
        <v>541.15</v>
      </c>
      <c r="L4106">
        <v>0</v>
      </c>
    </row>
    <row r="4107" spans="1:12" x14ac:dyDescent="0.25">
      <c r="A4107">
        <f>80859463*0.00001</f>
        <v>808.59463000000005</v>
      </c>
      <c r="B4107">
        <v>3515</v>
      </c>
      <c r="C4107">
        <v>67</v>
      </c>
      <c r="D4107">
        <v>250.81700000000001</v>
      </c>
      <c r="E4107">
        <v>5262</v>
      </c>
      <c r="F4107">
        <v>1618</v>
      </c>
      <c r="G4107">
        <v>1</v>
      </c>
      <c r="H4107" s="1">
        <f>0.2</f>
        <v>0.2</v>
      </c>
      <c r="I4107">
        <v>0</v>
      </c>
      <c r="J4107">
        <v>49.200499999999998</v>
      </c>
      <c r="K4107">
        <v>541.15</v>
      </c>
      <c r="L4107">
        <v>0</v>
      </c>
    </row>
    <row r="4108" spans="1:12" x14ac:dyDescent="0.25">
      <c r="A4108">
        <f>80859595*0.00001</f>
        <v>808.59595000000002</v>
      </c>
      <c r="B4108">
        <v>3515</v>
      </c>
      <c r="C4108">
        <v>68</v>
      </c>
      <c r="D4108">
        <v>250.81700000000001</v>
      </c>
      <c r="E4108">
        <v>5262</v>
      </c>
      <c r="F4108">
        <v>1618</v>
      </c>
      <c r="G4108">
        <v>1</v>
      </c>
      <c r="H4108">
        <v>0.2</v>
      </c>
      <c r="I4108">
        <v>0</v>
      </c>
      <c r="J4108" s="1">
        <f>49.1766</f>
        <v>49.176600000000001</v>
      </c>
      <c r="K4108">
        <v>541.15</v>
      </c>
      <c r="L4108">
        <v>0</v>
      </c>
    </row>
    <row r="4109" spans="1:12" x14ac:dyDescent="0.25">
      <c r="A4109">
        <f>80859727*0.00001</f>
        <v>808.59727000000009</v>
      </c>
      <c r="B4109">
        <v>3515</v>
      </c>
      <c r="C4109">
        <v>69</v>
      </c>
      <c r="D4109">
        <v>250.81700000000001</v>
      </c>
      <c r="E4109">
        <v>5262</v>
      </c>
      <c r="F4109">
        <v>1618</v>
      </c>
      <c r="G4109">
        <v>1</v>
      </c>
      <c r="H4109">
        <v>0.2</v>
      </c>
      <c r="I4109">
        <v>0</v>
      </c>
      <c r="J4109">
        <v>49.176600000000001</v>
      </c>
      <c r="K4109">
        <v>541.15</v>
      </c>
      <c r="L4109" s="1">
        <f>0</f>
        <v>0</v>
      </c>
    </row>
    <row r="4110" spans="1:12" x14ac:dyDescent="0.25">
      <c r="A4110">
        <f>80859859*0.00001</f>
        <v>808.59859000000006</v>
      </c>
      <c r="B4110">
        <v>3515</v>
      </c>
      <c r="C4110">
        <v>70</v>
      </c>
      <c r="D4110">
        <v>250.81700000000001</v>
      </c>
      <c r="E4110" s="1">
        <f>5262</f>
        <v>5262</v>
      </c>
      <c r="F4110">
        <v>1618</v>
      </c>
      <c r="G4110">
        <v>1</v>
      </c>
      <c r="H4110">
        <v>0.2</v>
      </c>
      <c r="I4110">
        <v>0</v>
      </c>
      <c r="J4110">
        <v>49.176600000000001</v>
      </c>
      <c r="K4110">
        <v>541.15</v>
      </c>
      <c r="L4110">
        <v>0</v>
      </c>
    </row>
    <row r="4111" spans="1:12" x14ac:dyDescent="0.25">
      <c r="A4111">
        <f>80859992*0.00001</f>
        <v>808.59992000000011</v>
      </c>
      <c r="B4111">
        <v>3515</v>
      </c>
      <c r="C4111">
        <v>71</v>
      </c>
      <c r="D4111">
        <v>250.81700000000001</v>
      </c>
      <c r="E4111">
        <v>5262</v>
      </c>
      <c r="F4111">
        <v>1618</v>
      </c>
      <c r="G4111" s="1">
        <f>1</f>
        <v>1</v>
      </c>
      <c r="H4111">
        <v>0.2</v>
      </c>
      <c r="I4111">
        <v>0</v>
      </c>
      <c r="J4111">
        <v>49.176600000000001</v>
      </c>
      <c r="K4111">
        <v>541.15</v>
      </c>
      <c r="L4111">
        <v>0</v>
      </c>
    </row>
    <row r="4112" spans="1:12" x14ac:dyDescent="0.25">
      <c r="A4112">
        <f>80860125*0.00001</f>
        <v>808.60125000000005</v>
      </c>
      <c r="B4112">
        <v>3515</v>
      </c>
      <c r="C4112">
        <v>72</v>
      </c>
      <c r="D4112">
        <v>250.81700000000001</v>
      </c>
      <c r="E4112">
        <v>5262</v>
      </c>
      <c r="F4112">
        <v>1618</v>
      </c>
      <c r="G4112">
        <v>1</v>
      </c>
      <c r="H4112">
        <v>0.2</v>
      </c>
      <c r="I4112" s="1">
        <f>0</f>
        <v>0</v>
      </c>
      <c r="J4112">
        <v>49.176600000000001</v>
      </c>
      <c r="K4112">
        <v>541.15</v>
      </c>
      <c r="L4112">
        <v>0</v>
      </c>
    </row>
    <row r="4113" spans="1:12" x14ac:dyDescent="0.25">
      <c r="A4113">
        <f>80860258*0.00001</f>
        <v>808.6025800000001</v>
      </c>
      <c r="B4113">
        <v>3515</v>
      </c>
      <c r="C4113">
        <v>73</v>
      </c>
      <c r="D4113">
        <v>250.81700000000001</v>
      </c>
      <c r="E4113">
        <v>5262</v>
      </c>
      <c r="F4113">
        <v>1618</v>
      </c>
      <c r="G4113">
        <v>1</v>
      </c>
      <c r="H4113">
        <v>0.2</v>
      </c>
      <c r="I4113">
        <v>0</v>
      </c>
      <c r="J4113">
        <v>49.176600000000001</v>
      </c>
      <c r="K4113" s="1">
        <f>541.268</f>
        <v>541.26800000000003</v>
      </c>
      <c r="L4113">
        <v>0</v>
      </c>
    </row>
    <row r="4114" spans="1:12" x14ac:dyDescent="0.25">
      <c r="A4114">
        <f>80860391*0.00001</f>
        <v>808.60391000000004</v>
      </c>
      <c r="B4114">
        <v>3515</v>
      </c>
      <c r="C4114">
        <v>74</v>
      </c>
      <c r="D4114" s="1">
        <f>250.834</f>
        <v>250.834</v>
      </c>
      <c r="E4114">
        <v>5262</v>
      </c>
      <c r="F4114">
        <v>1618</v>
      </c>
      <c r="G4114">
        <v>1</v>
      </c>
      <c r="H4114">
        <v>0.2</v>
      </c>
      <c r="I4114">
        <v>0</v>
      </c>
      <c r="J4114">
        <v>49.176600000000001</v>
      </c>
      <c r="K4114">
        <v>541.26800000000003</v>
      </c>
      <c r="L4114">
        <v>0</v>
      </c>
    </row>
    <row r="4115" spans="1:12" x14ac:dyDescent="0.25">
      <c r="A4115">
        <f>80860524*0.00001</f>
        <v>808.60524000000009</v>
      </c>
      <c r="B4115">
        <v>3515</v>
      </c>
      <c r="C4115">
        <v>75</v>
      </c>
      <c r="D4115">
        <v>250.834</v>
      </c>
      <c r="E4115">
        <v>5262</v>
      </c>
      <c r="F4115" s="1">
        <f>1618</f>
        <v>1618</v>
      </c>
      <c r="G4115">
        <v>1</v>
      </c>
      <c r="H4115">
        <v>0.2</v>
      </c>
      <c r="I4115">
        <v>0</v>
      </c>
      <c r="J4115">
        <v>49.176600000000001</v>
      </c>
      <c r="K4115">
        <v>541.26800000000003</v>
      </c>
      <c r="L4115">
        <v>0</v>
      </c>
    </row>
    <row r="4116" spans="1:12" x14ac:dyDescent="0.25">
      <c r="A4116">
        <f>80860656*0.00001</f>
        <v>808.60656000000006</v>
      </c>
      <c r="B4116">
        <v>3515</v>
      </c>
      <c r="C4116">
        <v>76</v>
      </c>
      <c r="D4116">
        <v>250.834</v>
      </c>
      <c r="E4116">
        <v>5262</v>
      </c>
      <c r="F4116">
        <v>1618</v>
      </c>
      <c r="G4116">
        <v>1</v>
      </c>
      <c r="H4116" s="1">
        <f>0.2</f>
        <v>0.2</v>
      </c>
      <c r="I4116">
        <v>0</v>
      </c>
      <c r="J4116">
        <v>49.176600000000001</v>
      </c>
      <c r="K4116">
        <v>541.26800000000003</v>
      </c>
      <c r="L4116">
        <v>0</v>
      </c>
    </row>
    <row r="4117" spans="1:12" x14ac:dyDescent="0.25">
      <c r="A4117">
        <f>80860788*0.00001</f>
        <v>808.60788000000002</v>
      </c>
      <c r="B4117">
        <v>3515</v>
      </c>
      <c r="C4117">
        <v>77</v>
      </c>
      <c r="D4117">
        <v>250.834</v>
      </c>
      <c r="E4117">
        <v>5262</v>
      </c>
      <c r="F4117">
        <v>1618</v>
      </c>
      <c r="G4117">
        <v>1</v>
      </c>
      <c r="H4117">
        <v>0.2</v>
      </c>
      <c r="I4117">
        <v>0</v>
      </c>
      <c r="J4117" s="1">
        <f>49.1615</f>
        <v>49.161499999999997</v>
      </c>
      <c r="K4117">
        <v>541.26800000000003</v>
      </c>
      <c r="L4117">
        <v>0</v>
      </c>
    </row>
    <row r="4118" spans="1:12" x14ac:dyDescent="0.25">
      <c r="A4118">
        <f>80860920*0.00001</f>
        <v>808.6092000000001</v>
      </c>
      <c r="B4118">
        <v>3515</v>
      </c>
      <c r="C4118">
        <v>78</v>
      </c>
      <c r="D4118">
        <v>250.834</v>
      </c>
      <c r="E4118">
        <v>5262</v>
      </c>
      <c r="F4118">
        <v>1618</v>
      </c>
      <c r="G4118">
        <v>1</v>
      </c>
      <c r="H4118">
        <v>0.2</v>
      </c>
      <c r="I4118">
        <v>0</v>
      </c>
      <c r="J4118">
        <v>49.161499999999997</v>
      </c>
      <c r="K4118">
        <v>541.26800000000003</v>
      </c>
      <c r="L4118" s="1">
        <f>0</f>
        <v>0</v>
      </c>
    </row>
    <row r="4119" spans="1:12" x14ac:dyDescent="0.25">
      <c r="A4119">
        <f>80861052*0.00001</f>
        <v>808.61052000000007</v>
      </c>
      <c r="B4119">
        <v>3515</v>
      </c>
      <c r="C4119">
        <v>79</v>
      </c>
      <c r="D4119">
        <v>250.834</v>
      </c>
      <c r="E4119" s="1">
        <f>5262</f>
        <v>5262</v>
      </c>
      <c r="F4119">
        <v>1618</v>
      </c>
      <c r="G4119">
        <v>1</v>
      </c>
      <c r="H4119">
        <v>0.2</v>
      </c>
      <c r="I4119">
        <v>0</v>
      </c>
      <c r="J4119">
        <v>49.161499999999997</v>
      </c>
      <c r="K4119">
        <v>541.26800000000003</v>
      </c>
      <c r="L4119">
        <v>0</v>
      </c>
    </row>
    <row r="4120" spans="1:12" x14ac:dyDescent="0.25">
      <c r="A4120">
        <f>80861184*0.00001</f>
        <v>808.61184000000003</v>
      </c>
      <c r="B4120">
        <v>3515</v>
      </c>
      <c r="C4120">
        <v>80</v>
      </c>
      <c r="D4120">
        <v>250.834</v>
      </c>
      <c r="E4120">
        <v>5262</v>
      </c>
      <c r="F4120">
        <v>1618</v>
      </c>
      <c r="G4120" s="1">
        <f>1</f>
        <v>1</v>
      </c>
      <c r="H4120">
        <v>0.2</v>
      </c>
      <c r="I4120">
        <v>0</v>
      </c>
      <c r="J4120">
        <v>49.161499999999997</v>
      </c>
      <c r="K4120">
        <v>541.26800000000003</v>
      </c>
      <c r="L4120">
        <v>0</v>
      </c>
    </row>
    <row r="4121" spans="1:12" x14ac:dyDescent="0.25">
      <c r="A4121">
        <f>80861316*0.00001</f>
        <v>808.61316000000011</v>
      </c>
      <c r="B4121">
        <v>3515</v>
      </c>
      <c r="C4121">
        <v>81</v>
      </c>
      <c r="D4121">
        <v>250.834</v>
      </c>
      <c r="E4121">
        <v>5262</v>
      </c>
      <c r="F4121">
        <v>1618</v>
      </c>
      <c r="G4121">
        <v>1</v>
      </c>
      <c r="H4121">
        <v>0.2</v>
      </c>
      <c r="I4121" s="1">
        <f>0</f>
        <v>0</v>
      </c>
      <c r="J4121">
        <v>49.161499999999997</v>
      </c>
      <c r="K4121">
        <v>541.26800000000003</v>
      </c>
      <c r="L4121">
        <v>0</v>
      </c>
    </row>
    <row r="4122" spans="1:12" x14ac:dyDescent="0.25">
      <c r="A4122">
        <f>80861448*0.00001</f>
        <v>808.61448000000007</v>
      </c>
      <c r="B4122">
        <v>3515</v>
      </c>
      <c r="C4122">
        <v>82</v>
      </c>
      <c r="D4122">
        <v>250.834</v>
      </c>
      <c r="E4122">
        <v>5262</v>
      </c>
      <c r="F4122">
        <v>1618</v>
      </c>
      <c r="G4122">
        <v>1</v>
      </c>
      <c r="H4122">
        <v>0.2</v>
      </c>
      <c r="I4122">
        <v>0</v>
      </c>
      <c r="J4122">
        <v>49.161499999999997</v>
      </c>
      <c r="K4122" s="1">
        <f>541.385</f>
        <v>541.38499999999999</v>
      </c>
      <c r="L4122">
        <v>0</v>
      </c>
    </row>
    <row r="4123" spans="1:12" x14ac:dyDescent="0.25">
      <c r="A4123">
        <f>80861580*0.00001</f>
        <v>808.61580000000004</v>
      </c>
      <c r="B4123">
        <v>3515</v>
      </c>
      <c r="C4123">
        <v>83</v>
      </c>
      <c r="D4123" s="1">
        <f>250.845</f>
        <v>250.845</v>
      </c>
      <c r="E4123">
        <v>5262</v>
      </c>
      <c r="F4123">
        <v>1618</v>
      </c>
      <c r="G4123">
        <v>1</v>
      </c>
      <c r="H4123">
        <v>0.2</v>
      </c>
      <c r="I4123">
        <v>0</v>
      </c>
      <c r="J4123">
        <v>49.161499999999997</v>
      </c>
      <c r="K4123">
        <v>541.38499999999999</v>
      </c>
      <c r="L4123">
        <v>0</v>
      </c>
    </row>
    <row r="4124" spans="1:12" x14ac:dyDescent="0.25">
      <c r="A4124">
        <f>80861712*0.00001</f>
        <v>808.61712000000011</v>
      </c>
      <c r="B4124">
        <v>3515</v>
      </c>
      <c r="C4124">
        <v>84</v>
      </c>
      <c r="D4124">
        <v>250.845</v>
      </c>
      <c r="E4124">
        <v>5262</v>
      </c>
      <c r="F4124" s="1">
        <f>1618</f>
        <v>1618</v>
      </c>
      <c r="G4124">
        <v>1</v>
      </c>
      <c r="H4124">
        <v>0.2</v>
      </c>
      <c r="I4124">
        <v>0</v>
      </c>
      <c r="J4124">
        <v>49.161499999999997</v>
      </c>
      <c r="K4124">
        <v>541.38499999999999</v>
      </c>
      <c r="L4124">
        <v>0</v>
      </c>
    </row>
    <row r="4125" spans="1:12" x14ac:dyDescent="0.25">
      <c r="A4125">
        <f>80861845*0.00001</f>
        <v>808.61845000000005</v>
      </c>
      <c r="B4125">
        <v>3515</v>
      </c>
      <c r="C4125">
        <v>85</v>
      </c>
      <c r="D4125">
        <v>250.845</v>
      </c>
      <c r="E4125">
        <v>5262</v>
      </c>
      <c r="F4125">
        <v>1618</v>
      </c>
      <c r="G4125">
        <v>1</v>
      </c>
      <c r="H4125" s="1">
        <f>0.2</f>
        <v>0.2</v>
      </c>
      <c r="I4125">
        <v>0</v>
      </c>
      <c r="J4125">
        <v>49.161499999999997</v>
      </c>
      <c r="K4125">
        <v>541.38499999999999</v>
      </c>
      <c r="L4125">
        <v>0</v>
      </c>
    </row>
    <row r="4126" spans="1:12" x14ac:dyDescent="0.25">
      <c r="A4126">
        <f>80861978*0.00001</f>
        <v>808.61978000000011</v>
      </c>
      <c r="B4126">
        <v>3515</v>
      </c>
      <c r="C4126">
        <v>86</v>
      </c>
      <c r="D4126">
        <v>250.845</v>
      </c>
      <c r="E4126">
        <v>5262</v>
      </c>
      <c r="F4126">
        <v>1618</v>
      </c>
      <c r="G4126">
        <v>1</v>
      </c>
      <c r="H4126">
        <v>0.2</v>
      </c>
      <c r="I4126">
        <v>0</v>
      </c>
      <c r="J4126" s="1">
        <f>49.152</f>
        <v>49.152000000000001</v>
      </c>
      <c r="K4126">
        <v>541.38499999999999</v>
      </c>
      <c r="L4126">
        <v>0</v>
      </c>
    </row>
    <row r="4127" spans="1:12" x14ac:dyDescent="0.25">
      <c r="A4127">
        <f>80862110*0.00001</f>
        <v>808.62110000000007</v>
      </c>
      <c r="B4127">
        <v>3515</v>
      </c>
      <c r="C4127">
        <v>87</v>
      </c>
      <c r="D4127">
        <v>250.845</v>
      </c>
      <c r="E4127">
        <v>5262</v>
      </c>
      <c r="F4127">
        <v>1618</v>
      </c>
      <c r="G4127">
        <v>1</v>
      </c>
      <c r="H4127">
        <v>0.2</v>
      </c>
      <c r="I4127">
        <v>0</v>
      </c>
      <c r="J4127">
        <v>49.152000000000001</v>
      </c>
      <c r="K4127">
        <v>541.38499999999999</v>
      </c>
      <c r="L4127" s="1">
        <f>0</f>
        <v>0</v>
      </c>
    </row>
    <row r="4128" spans="1:12" x14ac:dyDescent="0.25">
      <c r="A4128">
        <f>80862243*0.00001</f>
        <v>808.62243000000012</v>
      </c>
      <c r="B4128">
        <v>3515</v>
      </c>
      <c r="C4128">
        <v>88</v>
      </c>
      <c r="D4128">
        <v>250.845</v>
      </c>
      <c r="E4128" s="1">
        <f>5263</f>
        <v>5263</v>
      </c>
      <c r="F4128">
        <v>1618</v>
      </c>
      <c r="G4128">
        <v>1</v>
      </c>
      <c r="H4128">
        <v>0.2</v>
      </c>
      <c r="I4128">
        <v>0</v>
      </c>
      <c r="J4128">
        <v>49.152000000000001</v>
      </c>
      <c r="K4128">
        <v>541.38499999999999</v>
      </c>
      <c r="L4128">
        <v>0</v>
      </c>
    </row>
    <row r="4129" spans="1:12" x14ac:dyDescent="0.25">
      <c r="A4129">
        <f>80862376*0.00001</f>
        <v>808.62376000000006</v>
      </c>
      <c r="B4129">
        <v>3515</v>
      </c>
      <c r="C4129">
        <v>89</v>
      </c>
      <c r="D4129">
        <v>250.845</v>
      </c>
      <c r="E4129">
        <v>5263</v>
      </c>
      <c r="F4129">
        <v>1618</v>
      </c>
      <c r="G4129" s="1">
        <f>1</f>
        <v>1</v>
      </c>
      <c r="H4129">
        <v>0.2</v>
      </c>
      <c r="I4129">
        <v>0</v>
      </c>
      <c r="J4129">
        <v>49.152000000000001</v>
      </c>
      <c r="K4129">
        <v>541.38499999999999</v>
      </c>
      <c r="L4129">
        <v>0</v>
      </c>
    </row>
    <row r="4130" spans="1:12" x14ac:dyDescent="0.25">
      <c r="A4130">
        <f>80862509*0.00001</f>
        <v>808.62509000000011</v>
      </c>
      <c r="B4130">
        <v>3515</v>
      </c>
      <c r="C4130">
        <v>90</v>
      </c>
      <c r="D4130">
        <v>250.845</v>
      </c>
      <c r="E4130">
        <v>5263</v>
      </c>
      <c r="F4130">
        <v>1618</v>
      </c>
      <c r="G4130">
        <v>1</v>
      </c>
      <c r="H4130">
        <v>0.2</v>
      </c>
      <c r="I4130" s="1">
        <f>0</f>
        <v>0</v>
      </c>
      <c r="J4130">
        <v>49.152000000000001</v>
      </c>
      <c r="K4130">
        <v>541.38499999999999</v>
      </c>
      <c r="L4130">
        <v>0</v>
      </c>
    </row>
    <row r="4131" spans="1:12" x14ac:dyDescent="0.25">
      <c r="A4131">
        <f>80862641*0.00001</f>
        <v>808.62641000000008</v>
      </c>
      <c r="B4131">
        <v>3515</v>
      </c>
      <c r="C4131">
        <v>91</v>
      </c>
      <c r="D4131">
        <v>250.845</v>
      </c>
      <c r="E4131">
        <v>5263</v>
      </c>
      <c r="F4131">
        <v>1618</v>
      </c>
      <c r="G4131">
        <v>1</v>
      </c>
      <c r="H4131">
        <v>0.2</v>
      </c>
      <c r="I4131">
        <v>0</v>
      </c>
      <c r="J4131">
        <v>49.152000000000001</v>
      </c>
      <c r="K4131" s="1">
        <f>541.503</f>
        <v>541.50300000000004</v>
      </c>
      <c r="L4131">
        <v>0</v>
      </c>
    </row>
    <row r="4132" spans="1:12" x14ac:dyDescent="0.25">
      <c r="A4132">
        <f>80862773*0.00001</f>
        <v>808.62773000000004</v>
      </c>
      <c r="B4132">
        <v>3515</v>
      </c>
      <c r="C4132">
        <v>92</v>
      </c>
      <c r="D4132" s="1">
        <f>250.852</f>
        <v>250.852</v>
      </c>
      <c r="E4132">
        <v>5263</v>
      </c>
      <c r="F4132">
        <v>1618</v>
      </c>
      <c r="G4132">
        <v>1</v>
      </c>
      <c r="H4132">
        <v>0.2</v>
      </c>
      <c r="I4132">
        <v>0</v>
      </c>
      <c r="J4132">
        <v>49.152000000000001</v>
      </c>
      <c r="K4132">
        <v>541.50300000000004</v>
      </c>
      <c r="L4132">
        <v>0</v>
      </c>
    </row>
    <row r="4133" spans="1:12" x14ac:dyDescent="0.25">
      <c r="A4133">
        <f>80862905*0.00001</f>
        <v>808.62905000000012</v>
      </c>
      <c r="B4133">
        <v>3515</v>
      </c>
      <c r="C4133">
        <v>93</v>
      </c>
      <c r="D4133">
        <v>250.852</v>
      </c>
      <c r="E4133">
        <v>5263</v>
      </c>
      <c r="F4133" s="1">
        <f>1618</f>
        <v>1618</v>
      </c>
      <c r="G4133">
        <v>1</v>
      </c>
      <c r="H4133">
        <v>0.2</v>
      </c>
      <c r="I4133">
        <v>0</v>
      </c>
      <c r="J4133">
        <v>49.152000000000001</v>
      </c>
      <c r="K4133">
        <v>541.50300000000004</v>
      </c>
      <c r="L4133">
        <v>0</v>
      </c>
    </row>
    <row r="4134" spans="1:12" x14ac:dyDescent="0.25">
      <c r="A4134">
        <f>80863037*0.00001</f>
        <v>808.63037000000008</v>
      </c>
      <c r="B4134">
        <v>3515</v>
      </c>
      <c r="C4134">
        <v>94</v>
      </c>
      <c r="D4134">
        <v>250.852</v>
      </c>
      <c r="E4134">
        <v>5263</v>
      </c>
      <c r="F4134">
        <v>1618</v>
      </c>
      <c r="G4134">
        <v>1</v>
      </c>
      <c r="H4134" s="1">
        <f>0.2</f>
        <v>0.2</v>
      </c>
      <c r="I4134">
        <v>0</v>
      </c>
      <c r="J4134">
        <v>49.152000000000001</v>
      </c>
      <c r="K4134">
        <v>541.50300000000004</v>
      </c>
      <c r="L4134">
        <v>0</v>
      </c>
    </row>
    <row r="4135" spans="1:12" x14ac:dyDescent="0.25">
      <c r="A4135">
        <f>80863169*0.00001</f>
        <v>808.63169000000005</v>
      </c>
      <c r="B4135">
        <v>3515</v>
      </c>
      <c r="C4135">
        <v>95</v>
      </c>
      <c r="D4135">
        <v>250.852</v>
      </c>
      <c r="E4135">
        <v>5263</v>
      </c>
      <c r="F4135">
        <v>1618</v>
      </c>
      <c r="G4135">
        <v>1</v>
      </c>
      <c r="H4135">
        <v>0.2</v>
      </c>
      <c r="I4135">
        <v>0</v>
      </c>
      <c r="J4135" s="1">
        <f>49.146</f>
        <v>49.146000000000001</v>
      </c>
      <c r="K4135">
        <v>541.50300000000004</v>
      </c>
      <c r="L4135">
        <v>0</v>
      </c>
    </row>
    <row r="4136" spans="1:12" x14ac:dyDescent="0.25">
      <c r="A4136">
        <f>80863301*0.00001</f>
        <v>808.63301000000001</v>
      </c>
      <c r="B4136">
        <v>3515</v>
      </c>
      <c r="C4136">
        <v>96</v>
      </c>
      <c r="D4136">
        <v>250.852</v>
      </c>
      <c r="E4136">
        <v>5263</v>
      </c>
      <c r="F4136">
        <v>1618</v>
      </c>
      <c r="G4136">
        <v>1</v>
      </c>
      <c r="H4136">
        <v>0.2</v>
      </c>
      <c r="I4136">
        <v>0</v>
      </c>
      <c r="J4136">
        <v>49.146000000000001</v>
      </c>
      <c r="K4136">
        <v>541.50300000000004</v>
      </c>
      <c r="L4136" s="1">
        <f>0</f>
        <v>0</v>
      </c>
    </row>
    <row r="4137" spans="1:12" x14ac:dyDescent="0.25">
      <c r="A4137">
        <f>80863433*0.00001</f>
        <v>808.63433000000009</v>
      </c>
      <c r="B4137">
        <v>3515</v>
      </c>
      <c r="C4137">
        <v>97</v>
      </c>
      <c r="D4137">
        <v>250.852</v>
      </c>
      <c r="E4137" s="1">
        <f>5262</f>
        <v>5262</v>
      </c>
      <c r="F4137">
        <v>1618</v>
      </c>
      <c r="G4137">
        <v>1</v>
      </c>
      <c r="H4137">
        <v>0.2</v>
      </c>
      <c r="I4137">
        <v>0</v>
      </c>
      <c r="J4137">
        <v>49.146000000000001</v>
      </c>
      <c r="K4137">
        <v>541.50300000000004</v>
      </c>
      <c r="L4137">
        <v>0</v>
      </c>
    </row>
    <row r="4138" spans="1:12" x14ac:dyDescent="0.25">
      <c r="A4138">
        <f>80863565*0.00001</f>
        <v>808.63565000000006</v>
      </c>
      <c r="B4138">
        <v>3515</v>
      </c>
      <c r="C4138">
        <v>98</v>
      </c>
      <c r="D4138">
        <v>250.852</v>
      </c>
      <c r="E4138">
        <v>5262</v>
      </c>
      <c r="F4138">
        <v>1618</v>
      </c>
      <c r="G4138" s="1">
        <f>1</f>
        <v>1</v>
      </c>
      <c r="H4138">
        <v>0.2</v>
      </c>
      <c r="I4138">
        <v>0</v>
      </c>
      <c r="J4138">
        <v>49.146000000000001</v>
      </c>
      <c r="K4138">
        <v>541.50300000000004</v>
      </c>
      <c r="L4138">
        <v>0</v>
      </c>
    </row>
    <row r="4139" spans="1:12" x14ac:dyDescent="0.25">
      <c r="A4139">
        <f>80863697*0.00001</f>
        <v>808.63697000000002</v>
      </c>
      <c r="B4139">
        <v>3515</v>
      </c>
      <c r="C4139">
        <v>99</v>
      </c>
      <c r="D4139">
        <v>250.852</v>
      </c>
      <c r="E4139">
        <v>5262</v>
      </c>
      <c r="F4139">
        <v>1618</v>
      </c>
      <c r="G4139">
        <v>1</v>
      </c>
      <c r="H4139">
        <v>0.2</v>
      </c>
      <c r="I4139" s="1">
        <f>0</f>
        <v>0</v>
      </c>
      <c r="J4139">
        <v>49.146000000000001</v>
      </c>
      <c r="K4139">
        <v>541.50300000000004</v>
      </c>
      <c r="L4139">
        <v>0</v>
      </c>
    </row>
    <row r="4140" spans="1:12" x14ac:dyDescent="0.25">
      <c r="A4140">
        <f>80863829*0.00001</f>
        <v>808.6382900000001</v>
      </c>
      <c r="B4140">
        <v>3515</v>
      </c>
      <c r="C4140">
        <v>100</v>
      </c>
      <c r="D4140">
        <v>250.852</v>
      </c>
      <c r="E4140">
        <v>5262</v>
      </c>
      <c r="F4140">
        <v>1618</v>
      </c>
      <c r="G4140">
        <v>1</v>
      </c>
      <c r="H4140">
        <v>0.2</v>
      </c>
      <c r="I4140">
        <v>0</v>
      </c>
      <c r="J4140">
        <v>49.146000000000001</v>
      </c>
      <c r="K4140" s="1">
        <f>541.62</f>
        <v>541.62</v>
      </c>
      <c r="L4140">
        <v>0</v>
      </c>
    </row>
    <row r="4141" spans="1:12" x14ac:dyDescent="0.25">
      <c r="A4141">
        <f>80863962*0.00001</f>
        <v>808.63962000000004</v>
      </c>
      <c r="B4141">
        <v>3515</v>
      </c>
      <c r="C4141">
        <v>101</v>
      </c>
      <c r="D4141" s="1">
        <f>250.957</f>
        <v>250.95699999999999</v>
      </c>
      <c r="E4141">
        <v>5262</v>
      </c>
      <c r="F4141">
        <v>1618</v>
      </c>
      <c r="G4141">
        <v>1</v>
      </c>
      <c r="H4141">
        <v>0.2</v>
      </c>
      <c r="I4141">
        <v>0</v>
      </c>
      <c r="J4141">
        <v>49.146000000000001</v>
      </c>
      <c r="K4141">
        <v>541.62</v>
      </c>
      <c r="L4141">
        <v>0</v>
      </c>
    </row>
    <row r="4142" spans="1:12" x14ac:dyDescent="0.25">
      <c r="A4142">
        <f>80864094*0.00001</f>
        <v>808.64094000000011</v>
      </c>
      <c r="B4142">
        <v>3515</v>
      </c>
      <c r="C4142">
        <v>102</v>
      </c>
      <c r="D4142">
        <v>250.95699999999999</v>
      </c>
      <c r="E4142">
        <v>5262</v>
      </c>
      <c r="F4142" s="1">
        <f>1618</f>
        <v>1618</v>
      </c>
      <c r="G4142">
        <v>1</v>
      </c>
      <c r="H4142">
        <v>0.2</v>
      </c>
      <c r="I4142">
        <v>0</v>
      </c>
      <c r="J4142">
        <v>49.146000000000001</v>
      </c>
      <c r="K4142">
        <v>541.62</v>
      </c>
      <c r="L4142">
        <v>0</v>
      </c>
    </row>
    <row r="4143" spans="1:12" x14ac:dyDescent="0.25">
      <c r="A4143">
        <f>80864226*0.00001</f>
        <v>808.64226000000008</v>
      </c>
      <c r="B4143">
        <v>3515</v>
      </c>
      <c r="C4143">
        <v>103</v>
      </c>
      <c r="D4143">
        <v>250.95699999999999</v>
      </c>
      <c r="E4143">
        <v>5262</v>
      </c>
      <c r="F4143">
        <v>1618</v>
      </c>
      <c r="G4143">
        <v>1</v>
      </c>
      <c r="H4143" s="1">
        <f>0.2</f>
        <v>0.2</v>
      </c>
      <c r="I4143">
        <v>0</v>
      </c>
      <c r="J4143">
        <v>49.146000000000001</v>
      </c>
      <c r="K4143">
        <v>541.62</v>
      </c>
      <c r="L4143">
        <v>0</v>
      </c>
    </row>
    <row r="4144" spans="1:12" x14ac:dyDescent="0.25">
      <c r="A4144">
        <f>80864358*0.00001</f>
        <v>808.64358000000004</v>
      </c>
      <c r="B4144">
        <v>3515</v>
      </c>
      <c r="C4144">
        <v>104</v>
      </c>
      <c r="D4144">
        <v>250.95699999999999</v>
      </c>
      <c r="E4144">
        <v>5262</v>
      </c>
      <c r="F4144">
        <v>1618</v>
      </c>
      <c r="G4144">
        <v>1</v>
      </c>
      <c r="H4144">
        <v>0.2</v>
      </c>
      <c r="I4144">
        <v>0</v>
      </c>
      <c r="J4144" s="1">
        <f>49.0025</f>
        <v>49.002499999999998</v>
      </c>
      <c r="K4144">
        <v>541.62</v>
      </c>
      <c r="L4144">
        <v>0</v>
      </c>
    </row>
    <row r="4145" spans="1:12" x14ac:dyDescent="0.25">
      <c r="A4145">
        <f>80864491*0.00001</f>
        <v>808.6449100000001</v>
      </c>
      <c r="B4145">
        <v>3515</v>
      </c>
      <c r="C4145">
        <v>105</v>
      </c>
      <c r="D4145">
        <v>250.95699999999999</v>
      </c>
      <c r="E4145">
        <v>5262</v>
      </c>
      <c r="F4145">
        <v>1618</v>
      </c>
      <c r="G4145">
        <v>1</v>
      </c>
      <c r="H4145">
        <v>0.2</v>
      </c>
      <c r="I4145">
        <v>0</v>
      </c>
      <c r="J4145">
        <v>49.002499999999998</v>
      </c>
      <c r="K4145">
        <v>541.62</v>
      </c>
      <c r="L4145" s="1">
        <f>0</f>
        <v>0</v>
      </c>
    </row>
    <row r="4146" spans="1:12" x14ac:dyDescent="0.25">
      <c r="A4146">
        <f>80864623*0.00001</f>
        <v>808.64623000000006</v>
      </c>
      <c r="B4146">
        <v>3515</v>
      </c>
      <c r="C4146">
        <v>106</v>
      </c>
      <c r="D4146">
        <v>250.95699999999999</v>
      </c>
      <c r="E4146" s="1">
        <f>5260</f>
        <v>5260</v>
      </c>
      <c r="F4146">
        <v>1618</v>
      </c>
      <c r="G4146">
        <v>1</v>
      </c>
      <c r="H4146">
        <v>0.2</v>
      </c>
      <c r="I4146">
        <v>0</v>
      </c>
      <c r="J4146">
        <v>49.002499999999998</v>
      </c>
      <c r="K4146">
        <v>541.62</v>
      </c>
      <c r="L4146">
        <v>0</v>
      </c>
    </row>
    <row r="4147" spans="1:12" x14ac:dyDescent="0.25">
      <c r="A4147">
        <f>80864755*0.00001</f>
        <v>808.64755000000002</v>
      </c>
      <c r="B4147">
        <v>3515</v>
      </c>
      <c r="C4147">
        <v>107</v>
      </c>
      <c r="D4147">
        <v>250.95699999999999</v>
      </c>
      <c r="E4147">
        <v>5260</v>
      </c>
      <c r="F4147">
        <v>1618</v>
      </c>
      <c r="G4147" s="1">
        <f>1</f>
        <v>1</v>
      </c>
      <c r="H4147">
        <v>0.2</v>
      </c>
      <c r="I4147">
        <v>0</v>
      </c>
      <c r="J4147">
        <v>49.002499999999998</v>
      </c>
      <c r="K4147">
        <v>541.62</v>
      </c>
      <c r="L4147">
        <v>0</v>
      </c>
    </row>
    <row r="4148" spans="1:12" x14ac:dyDescent="0.25">
      <c r="A4148">
        <f>80864887*0.00001</f>
        <v>808.6488700000001</v>
      </c>
      <c r="B4148">
        <v>3515</v>
      </c>
      <c r="C4148">
        <v>108</v>
      </c>
      <c r="D4148">
        <v>250.95699999999999</v>
      </c>
      <c r="E4148">
        <v>5260</v>
      </c>
      <c r="F4148">
        <v>1618</v>
      </c>
      <c r="G4148">
        <v>1</v>
      </c>
      <c r="H4148">
        <v>0.2</v>
      </c>
      <c r="I4148" s="1">
        <f>0</f>
        <v>0</v>
      </c>
      <c r="J4148">
        <v>49.002499999999998</v>
      </c>
      <c r="K4148">
        <v>541.62</v>
      </c>
      <c r="L4148">
        <v>0</v>
      </c>
    </row>
    <row r="4149" spans="1:12" x14ac:dyDescent="0.25">
      <c r="A4149">
        <f>80865019*0.00001</f>
        <v>808.65019000000007</v>
      </c>
      <c r="B4149">
        <v>3515</v>
      </c>
      <c r="C4149">
        <v>109</v>
      </c>
      <c r="D4149">
        <v>250.95699999999999</v>
      </c>
      <c r="E4149">
        <v>5260</v>
      </c>
      <c r="F4149">
        <v>1618</v>
      </c>
      <c r="G4149">
        <v>1</v>
      </c>
      <c r="H4149">
        <v>0.2</v>
      </c>
      <c r="I4149">
        <v>0</v>
      </c>
      <c r="J4149">
        <v>49.002499999999998</v>
      </c>
      <c r="K4149" s="1">
        <f>541.737</f>
        <v>541.73699999999997</v>
      </c>
      <c r="L4149">
        <v>0</v>
      </c>
    </row>
    <row r="4150" spans="1:12" x14ac:dyDescent="0.25">
      <c r="A4150">
        <f>80865151*0.00001</f>
        <v>808.65151000000003</v>
      </c>
      <c r="B4150">
        <v>3515</v>
      </c>
      <c r="C4150">
        <v>110</v>
      </c>
      <c r="D4150" s="1">
        <f>251.062</f>
        <v>251.06200000000001</v>
      </c>
      <c r="E4150">
        <v>5260</v>
      </c>
      <c r="F4150">
        <v>1618</v>
      </c>
      <c r="G4150">
        <v>1</v>
      </c>
      <c r="H4150">
        <v>0.2</v>
      </c>
      <c r="I4150">
        <v>0</v>
      </c>
      <c r="J4150">
        <v>49.002499999999998</v>
      </c>
      <c r="K4150">
        <v>541.73699999999997</v>
      </c>
      <c r="L4150">
        <v>0</v>
      </c>
    </row>
    <row r="4151" spans="1:12" x14ac:dyDescent="0.25">
      <c r="A4151">
        <f>80865283*0.00001</f>
        <v>808.65283000000011</v>
      </c>
      <c r="B4151">
        <v>3515</v>
      </c>
      <c r="C4151">
        <v>111</v>
      </c>
      <c r="D4151">
        <v>251.06200000000001</v>
      </c>
      <c r="E4151">
        <v>5260</v>
      </c>
      <c r="F4151" s="1">
        <f>1618</f>
        <v>1618</v>
      </c>
      <c r="G4151">
        <v>1</v>
      </c>
      <c r="H4151">
        <v>0.2</v>
      </c>
      <c r="I4151">
        <v>0</v>
      </c>
      <c r="J4151">
        <v>49.002499999999998</v>
      </c>
      <c r="K4151">
        <v>541.73699999999997</v>
      </c>
      <c r="L4151">
        <v>0</v>
      </c>
    </row>
    <row r="4152" spans="1:12" x14ac:dyDescent="0.25">
      <c r="A4152">
        <f>80865416*0.00001</f>
        <v>808.65416000000005</v>
      </c>
      <c r="B4152">
        <v>3515</v>
      </c>
      <c r="C4152">
        <v>112</v>
      </c>
      <c r="D4152">
        <v>251.06200000000001</v>
      </c>
      <c r="E4152">
        <v>5260</v>
      </c>
      <c r="F4152">
        <v>1618</v>
      </c>
      <c r="G4152">
        <v>1</v>
      </c>
      <c r="H4152" s="1">
        <f>0.2</f>
        <v>0.2</v>
      </c>
      <c r="I4152">
        <v>0</v>
      </c>
      <c r="J4152">
        <v>49.002499999999998</v>
      </c>
      <c r="K4152">
        <v>541.73699999999997</v>
      </c>
      <c r="L4152">
        <v>0</v>
      </c>
    </row>
    <row r="4153" spans="1:12" x14ac:dyDescent="0.25">
      <c r="A4153">
        <f>80865548*0.00001</f>
        <v>808.65548000000001</v>
      </c>
      <c r="B4153">
        <v>3515</v>
      </c>
      <c r="C4153">
        <v>113</v>
      </c>
      <c r="D4153">
        <v>251.06200000000001</v>
      </c>
      <c r="E4153">
        <v>5260</v>
      </c>
      <c r="F4153">
        <v>1618</v>
      </c>
      <c r="G4153">
        <v>1</v>
      </c>
      <c r="H4153">
        <v>0.2</v>
      </c>
      <c r="I4153">
        <v>0</v>
      </c>
      <c r="J4153" s="1">
        <f>48.9118</f>
        <v>48.911799999999999</v>
      </c>
      <c r="K4153">
        <v>541.73699999999997</v>
      </c>
      <c r="L4153">
        <v>0</v>
      </c>
    </row>
    <row r="4154" spans="1:12" x14ac:dyDescent="0.25">
      <c r="A4154">
        <f>80865680*0.00001</f>
        <v>808.65680000000009</v>
      </c>
      <c r="B4154">
        <v>3515</v>
      </c>
      <c r="C4154">
        <v>114</v>
      </c>
      <c r="D4154">
        <v>251.06200000000001</v>
      </c>
      <c r="E4154">
        <v>5260</v>
      </c>
      <c r="F4154">
        <v>1618</v>
      </c>
      <c r="G4154">
        <v>1</v>
      </c>
      <c r="H4154">
        <v>0.2</v>
      </c>
      <c r="I4154">
        <v>0</v>
      </c>
      <c r="J4154">
        <v>48.911799999999999</v>
      </c>
      <c r="K4154">
        <v>541.73699999999997</v>
      </c>
      <c r="L4154" s="1">
        <f>0</f>
        <v>0</v>
      </c>
    </row>
    <row r="4155" spans="1:12" x14ac:dyDescent="0.25">
      <c r="A4155">
        <f>80865812*0.00001</f>
        <v>808.65812000000005</v>
      </c>
      <c r="B4155">
        <v>3515</v>
      </c>
      <c r="C4155">
        <v>115</v>
      </c>
      <c r="D4155">
        <v>251.06200000000001</v>
      </c>
      <c r="E4155" s="1">
        <f>5258</f>
        <v>5258</v>
      </c>
      <c r="F4155">
        <v>1618</v>
      </c>
      <c r="G4155">
        <v>1</v>
      </c>
      <c r="H4155">
        <v>0.2</v>
      </c>
      <c r="I4155">
        <v>0</v>
      </c>
      <c r="J4155">
        <v>48.911799999999999</v>
      </c>
      <c r="K4155">
        <v>541.73699999999997</v>
      </c>
      <c r="L4155">
        <v>0</v>
      </c>
    </row>
    <row r="4156" spans="1:12" x14ac:dyDescent="0.25">
      <c r="A4156">
        <f>80865945*0.00001</f>
        <v>808.65945000000011</v>
      </c>
      <c r="B4156">
        <v>3515</v>
      </c>
      <c r="C4156">
        <v>116</v>
      </c>
      <c r="D4156">
        <v>251.06200000000001</v>
      </c>
      <c r="E4156">
        <v>5258</v>
      </c>
      <c r="F4156">
        <v>1618</v>
      </c>
      <c r="G4156" s="1">
        <f>1</f>
        <v>1</v>
      </c>
      <c r="H4156">
        <v>0.2</v>
      </c>
      <c r="I4156">
        <v>0</v>
      </c>
      <c r="J4156">
        <v>48.911799999999999</v>
      </c>
      <c r="K4156">
        <v>541.73699999999997</v>
      </c>
      <c r="L4156">
        <v>0</v>
      </c>
    </row>
    <row r="4157" spans="1:12" x14ac:dyDescent="0.25">
      <c r="A4157">
        <f>80866077*0.00001</f>
        <v>808.66077000000007</v>
      </c>
      <c r="B4157">
        <v>3515</v>
      </c>
      <c r="C4157">
        <v>117</v>
      </c>
      <c r="D4157">
        <v>251.06200000000001</v>
      </c>
      <c r="E4157">
        <v>5258</v>
      </c>
      <c r="F4157">
        <v>1618</v>
      </c>
      <c r="G4157">
        <v>1</v>
      </c>
      <c r="H4157">
        <v>0.2</v>
      </c>
      <c r="I4157" s="1">
        <f>0</f>
        <v>0</v>
      </c>
      <c r="J4157">
        <v>48.911799999999999</v>
      </c>
      <c r="K4157">
        <v>541.73699999999997</v>
      </c>
      <c r="L4157">
        <v>0</v>
      </c>
    </row>
    <row r="4158" spans="1:12" x14ac:dyDescent="0.25">
      <c r="A4158">
        <f>80866209*0.00001</f>
        <v>808.66209000000003</v>
      </c>
      <c r="B4158">
        <v>3515</v>
      </c>
      <c r="C4158">
        <v>118</v>
      </c>
      <c r="D4158">
        <v>251.06200000000001</v>
      </c>
      <c r="E4158">
        <v>5258</v>
      </c>
      <c r="F4158">
        <v>1618</v>
      </c>
      <c r="G4158">
        <v>1</v>
      </c>
      <c r="H4158">
        <v>0.2</v>
      </c>
      <c r="I4158">
        <v>0</v>
      </c>
      <c r="J4158">
        <v>48.911799999999999</v>
      </c>
      <c r="K4158" s="1">
        <f>541.854</f>
        <v>541.85400000000004</v>
      </c>
      <c r="L4158">
        <v>0</v>
      </c>
    </row>
    <row r="4159" spans="1:12" x14ac:dyDescent="0.25">
      <c r="A4159">
        <f>80866341*0.00001</f>
        <v>808.66341000000011</v>
      </c>
      <c r="B4159">
        <v>3515</v>
      </c>
      <c r="C4159">
        <v>119</v>
      </c>
      <c r="D4159" s="1">
        <f>251.129</f>
        <v>251.12899999999999</v>
      </c>
      <c r="E4159">
        <v>5258</v>
      </c>
      <c r="F4159">
        <v>1618</v>
      </c>
      <c r="G4159">
        <v>1</v>
      </c>
      <c r="H4159">
        <v>0.2</v>
      </c>
      <c r="I4159">
        <v>0</v>
      </c>
      <c r="J4159">
        <v>48.911799999999999</v>
      </c>
      <c r="K4159">
        <v>541.85400000000004</v>
      </c>
      <c r="L4159">
        <v>0</v>
      </c>
    </row>
    <row r="4160" spans="1:12" x14ac:dyDescent="0.25">
      <c r="A4160">
        <f>80866474*0.00001</f>
        <v>808.66474000000005</v>
      </c>
      <c r="B4160">
        <v>3515</v>
      </c>
      <c r="C4160">
        <v>120</v>
      </c>
      <c r="D4160">
        <v>251.12899999999999</v>
      </c>
      <c r="E4160">
        <v>5258</v>
      </c>
      <c r="F4160" s="1">
        <f>1618</f>
        <v>1618</v>
      </c>
      <c r="G4160">
        <v>1</v>
      </c>
      <c r="H4160">
        <v>0.2</v>
      </c>
      <c r="I4160">
        <v>0</v>
      </c>
      <c r="J4160">
        <v>48.911799999999999</v>
      </c>
      <c r="K4160">
        <v>541.85400000000004</v>
      </c>
      <c r="L4160">
        <v>0</v>
      </c>
    </row>
    <row r="4161" spans="1:12" x14ac:dyDescent="0.25">
      <c r="A4161">
        <f>80866606*0.00001</f>
        <v>808.66606000000002</v>
      </c>
      <c r="B4161">
        <v>3515</v>
      </c>
      <c r="C4161">
        <v>121</v>
      </c>
      <c r="D4161">
        <v>251.12899999999999</v>
      </c>
      <c r="E4161">
        <v>5258</v>
      </c>
      <c r="F4161">
        <v>1618</v>
      </c>
      <c r="G4161">
        <v>1</v>
      </c>
      <c r="H4161" s="1">
        <f>0.2</f>
        <v>0.2</v>
      </c>
      <c r="I4161">
        <v>0</v>
      </c>
      <c r="J4161">
        <v>48.911799999999999</v>
      </c>
      <c r="K4161">
        <v>541.85400000000004</v>
      </c>
      <c r="L4161">
        <v>0</v>
      </c>
    </row>
    <row r="4162" spans="1:12" x14ac:dyDescent="0.25">
      <c r="A4162">
        <f>80866738*0.00001</f>
        <v>808.66738000000009</v>
      </c>
      <c r="B4162">
        <v>3515</v>
      </c>
      <c r="C4162">
        <v>122</v>
      </c>
      <c r="D4162">
        <v>251.12899999999999</v>
      </c>
      <c r="E4162">
        <v>5258</v>
      </c>
      <c r="F4162">
        <v>1618</v>
      </c>
      <c r="G4162">
        <v>1</v>
      </c>
      <c r="H4162">
        <v>0.2</v>
      </c>
      <c r="I4162">
        <v>0</v>
      </c>
      <c r="J4162" s="1">
        <f>48.8547</f>
        <v>48.854700000000001</v>
      </c>
      <c r="K4162">
        <v>541.85400000000004</v>
      </c>
      <c r="L4162">
        <v>0</v>
      </c>
    </row>
    <row r="4163" spans="1:12" x14ac:dyDescent="0.25">
      <c r="A4163">
        <f>80866870*0.00001</f>
        <v>808.66870000000006</v>
      </c>
      <c r="B4163">
        <v>3515</v>
      </c>
      <c r="C4163">
        <v>123</v>
      </c>
      <c r="D4163">
        <v>251.12899999999999</v>
      </c>
      <c r="E4163">
        <v>5258</v>
      </c>
      <c r="F4163">
        <v>1618</v>
      </c>
      <c r="G4163">
        <v>1</v>
      </c>
      <c r="H4163">
        <v>0.2</v>
      </c>
      <c r="I4163">
        <v>0</v>
      </c>
      <c r="J4163">
        <v>48.854700000000001</v>
      </c>
      <c r="K4163">
        <v>541.85400000000004</v>
      </c>
      <c r="L4163" s="1">
        <f>0</f>
        <v>0</v>
      </c>
    </row>
    <row r="4164" spans="1:12" x14ac:dyDescent="0.25">
      <c r="A4164">
        <f>80867002*0.00001</f>
        <v>808.67002000000002</v>
      </c>
      <c r="B4164">
        <v>3515</v>
      </c>
      <c r="C4164">
        <v>124</v>
      </c>
      <c r="D4164">
        <v>251.12899999999999</v>
      </c>
      <c r="E4164" s="1">
        <f>5257</f>
        <v>5257</v>
      </c>
      <c r="F4164">
        <v>1618</v>
      </c>
      <c r="G4164">
        <v>1</v>
      </c>
      <c r="H4164">
        <v>0.2</v>
      </c>
      <c r="I4164">
        <v>0</v>
      </c>
      <c r="J4164">
        <v>48.854700000000001</v>
      </c>
      <c r="K4164">
        <v>541.85400000000004</v>
      </c>
      <c r="L4164">
        <v>0</v>
      </c>
    </row>
    <row r="4165" spans="1:12" x14ac:dyDescent="0.25">
      <c r="A4165">
        <f>80867134*0.00001</f>
        <v>808.6713400000001</v>
      </c>
      <c r="B4165">
        <v>3515</v>
      </c>
      <c r="C4165">
        <v>125</v>
      </c>
      <c r="D4165">
        <v>251.12899999999999</v>
      </c>
      <c r="E4165">
        <v>5257</v>
      </c>
      <c r="F4165">
        <v>1618</v>
      </c>
      <c r="G4165" s="1">
        <f>1</f>
        <v>1</v>
      </c>
      <c r="H4165">
        <v>0.2</v>
      </c>
      <c r="I4165">
        <v>0</v>
      </c>
      <c r="J4165">
        <v>48.854700000000001</v>
      </c>
      <c r="K4165">
        <v>541.85400000000004</v>
      </c>
      <c r="L4165">
        <v>0</v>
      </c>
    </row>
    <row r="4166" spans="1:12" x14ac:dyDescent="0.25">
      <c r="A4166">
        <f>80867266*0.00001</f>
        <v>808.67266000000006</v>
      </c>
      <c r="B4166">
        <v>3515</v>
      </c>
      <c r="C4166">
        <v>126</v>
      </c>
      <c r="D4166">
        <v>251.12899999999999</v>
      </c>
      <c r="E4166">
        <v>5257</v>
      </c>
      <c r="F4166">
        <v>1618</v>
      </c>
      <c r="G4166">
        <v>1</v>
      </c>
      <c r="H4166">
        <v>0.2</v>
      </c>
      <c r="I4166" s="1">
        <f>0</f>
        <v>0</v>
      </c>
      <c r="J4166">
        <v>48.854700000000001</v>
      </c>
      <c r="K4166">
        <v>541.85400000000004</v>
      </c>
      <c r="L4166">
        <v>0</v>
      </c>
    </row>
    <row r="4167" spans="1:12" x14ac:dyDescent="0.25">
      <c r="A4167">
        <f>80867399*0.00001</f>
        <v>808.67399000000012</v>
      </c>
      <c r="B4167">
        <v>3515</v>
      </c>
      <c r="C4167">
        <v>127</v>
      </c>
      <c r="D4167">
        <v>251.12899999999999</v>
      </c>
      <c r="E4167">
        <v>5257</v>
      </c>
      <c r="F4167">
        <v>1618</v>
      </c>
      <c r="G4167">
        <v>1</v>
      </c>
      <c r="H4167">
        <v>0.2</v>
      </c>
      <c r="I4167">
        <v>0</v>
      </c>
      <c r="J4167">
        <v>48.854700000000001</v>
      </c>
      <c r="K4167" s="1">
        <f>541.971</f>
        <v>541.971</v>
      </c>
      <c r="L4167">
        <v>0</v>
      </c>
    </row>
    <row r="4168" spans="1:12" x14ac:dyDescent="0.25">
      <c r="A4168">
        <f>80867531*0.00001</f>
        <v>808.67531000000008</v>
      </c>
      <c r="B4168">
        <v>3515</v>
      </c>
      <c r="C4168">
        <v>128</v>
      </c>
      <c r="D4168" s="1">
        <f>251.171</f>
        <v>251.17099999999999</v>
      </c>
      <c r="E4168">
        <v>5257</v>
      </c>
      <c r="F4168">
        <v>1618</v>
      </c>
      <c r="G4168">
        <v>1</v>
      </c>
      <c r="H4168">
        <v>0.2</v>
      </c>
      <c r="I4168">
        <v>0</v>
      </c>
      <c r="J4168">
        <v>48.854700000000001</v>
      </c>
      <c r="K4168">
        <v>541.971</v>
      </c>
      <c r="L4168">
        <v>0</v>
      </c>
    </row>
    <row r="4169" spans="1:12" x14ac:dyDescent="0.25">
      <c r="A4169">
        <f>80867663*0.00001</f>
        <v>808.67663000000005</v>
      </c>
      <c r="B4169">
        <v>3515</v>
      </c>
      <c r="C4169">
        <v>129</v>
      </c>
      <c r="D4169">
        <v>251.17099999999999</v>
      </c>
      <c r="E4169">
        <v>5257</v>
      </c>
      <c r="F4169" s="1">
        <f>1618</f>
        <v>1618</v>
      </c>
      <c r="G4169">
        <v>1</v>
      </c>
      <c r="H4169">
        <v>0.2</v>
      </c>
      <c r="I4169">
        <v>0</v>
      </c>
      <c r="J4169">
        <v>48.854700000000001</v>
      </c>
      <c r="K4169">
        <v>541.971</v>
      </c>
      <c r="L4169">
        <v>0</v>
      </c>
    </row>
    <row r="4170" spans="1:12" x14ac:dyDescent="0.25">
      <c r="A4170">
        <f>80867795*0.00001</f>
        <v>808.67795000000001</v>
      </c>
      <c r="B4170">
        <v>3515</v>
      </c>
      <c r="C4170">
        <v>130</v>
      </c>
      <c r="D4170">
        <v>251.17099999999999</v>
      </c>
      <c r="E4170">
        <v>5257</v>
      </c>
      <c r="F4170">
        <v>1618</v>
      </c>
      <c r="G4170">
        <v>1</v>
      </c>
      <c r="H4170" s="1">
        <f>0.2</f>
        <v>0.2</v>
      </c>
      <c r="I4170">
        <v>0</v>
      </c>
      <c r="J4170">
        <v>48.854700000000001</v>
      </c>
      <c r="K4170">
        <v>541.971</v>
      </c>
      <c r="L4170">
        <v>0</v>
      </c>
    </row>
    <row r="4171" spans="1:12" x14ac:dyDescent="0.25">
      <c r="A4171">
        <f>80867928*0.00001</f>
        <v>808.67928000000006</v>
      </c>
      <c r="B4171">
        <v>3515</v>
      </c>
      <c r="C4171">
        <v>131</v>
      </c>
      <c r="D4171">
        <v>251.17099999999999</v>
      </c>
      <c r="E4171">
        <v>5257</v>
      </c>
      <c r="F4171">
        <v>1618</v>
      </c>
      <c r="G4171">
        <v>1</v>
      </c>
      <c r="H4171">
        <v>0.2</v>
      </c>
      <c r="I4171">
        <v>0</v>
      </c>
      <c r="J4171" s="1">
        <f>48.8189</f>
        <v>48.818899999999999</v>
      </c>
      <c r="K4171">
        <v>541.971</v>
      </c>
      <c r="L4171">
        <v>0</v>
      </c>
    </row>
    <row r="4172" spans="1:12" x14ac:dyDescent="0.25">
      <c r="A4172">
        <f>80868060*0.00001</f>
        <v>808.68060000000003</v>
      </c>
      <c r="B4172">
        <v>3515</v>
      </c>
      <c r="C4172">
        <v>132</v>
      </c>
      <c r="D4172">
        <v>251.17099999999999</v>
      </c>
      <c r="E4172">
        <v>5257</v>
      </c>
      <c r="F4172">
        <v>1618</v>
      </c>
      <c r="G4172">
        <v>1</v>
      </c>
      <c r="H4172">
        <v>0.2</v>
      </c>
      <c r="I4172">
        <v>0</v>
      </c>
      <c r="J4172">
        <v>48.818899999999999</v>
      </c>
      <c r="K4172">
        <v>541.971</v>
      </c>
      <c r="L4172" s="1">
        <f>0</f>
        <v>0</v>
      </c>
    </row>
    <row r="4173" spans="1:12" x14ac:dyDescent="0.25">
      <c r="A4173">
        <f>80868192*0.00001</f>
        <v>808.6819200000001</v>
      </c>
      <c r="B4173">
        <v>3515</v>
      </c>
      <c r="C4173">
        <v>133</v>
      </c>
      <c r="D4173">
        <v>251.17099999999999</v>
      </c>
      <c r="E4173" s="1">
        <f>5257</f>
        <v>5257</v>
      </c>
      <c r="F4173">
        <v>1618</v>
      </c>
      <c r="G4173">
        <v>1</v>
      </c>
      <c r="H4173">
        <v>0.2</v>
      </c>
      <c r="I4173">
        <v>0</v>
      </c>
      <c r="J4173">
        <v>48.818899999999999</v>
      </c>
      <c r="K4173">
        <v>541.971</v>
      </c>
      <c r="L4173">
        <v>0</v>
      </c>
    </row>
    <row r="4174" spans="1:12" x14ac:dyDescent="0.25">
      <c r="A4174">
        <f>80868324*0.00001</f>
        <v>808.68324000000007</v>
      </c>
      <c r="B4174">
        <v>3515</v>
      </c>
      <c r="C4174">
        <v>134</v>
      </c>
      <c r="D4174">
        <v>251.17099999999999</v>
      </c>
      <c r="E4174">
        <v>5257</v>
      </c>
      <c r="F4174">
        <v>1618</v>
      </c>
      <c r="G4174" s="1">
        <f>1</f>
        <v>1</v>
      </c>
      <c r="H4174">
        <v>0.2</v>
      </c>
      <c r="I4174">
        <v>0</v>
      </c>
      <c r="J4174">
        <v>48.818899999999999</v>
      </c>
      <c r="K4174">
        <v>541.971</v>
      </c>
      <c r="L4174">
        <v>0</v>
      </c>
    </row>
    <row r="4175" spans="1:12" x14ac:dyDescent="0.25">
      <c r="A4175">
        <f>80868457*0.00001</f>
        <v>808.68457000000012</v>
      </c>
      <c r="B4175">
        <v>3515</v>
      </c>
      <c r="C4175">
        <v>135</v>
      </c>
      <c r="D4175">
        <v>251.17099999999999</v>
      </c>
      <c r="E4175">
        <v>5257</v>
      </c>
      <c r="F4175">
        <v>1618</v>
      </c>
      <c r="G4175">
        <v>1</v>
      </c>
      <c r="H4175">
        <v>0.2</v>
      </c>
      <c r="I4175" s="1">
        <f>0</f>
        <v>0</v>
      </c>
      <c r="J4175">
        <v>48.818899999999999</v>
      </c>
      <c r="K4175">
        <v>541.971</v>
      </c>
      <c r="L4175">
        <v>0</v>
      </c>
    </row>
    <row r="4176" spans="1:12" x14ac:dyDescent="0.25">
      <c r="A4176">
        <f>80868589*0.00001</f>
        <v>808.68589000000009</v>
      </c>
      <c r="B4176">
        <v>3515</v>
      </c>
      <c r="C4176">
        <v>136</v>
      </c>
      <c r="D4176">
        <v>251.17099999999999</v>
      </c>
      <c r="E4176">
        <v>5257</v>
      </c>
      <c r="F4176">
        <v>1618</v>
      </c>
      <c r="G4176">
        <v>1</v>
      </c>
      <c r="H4176">
        <v>0.2</v>
      </c>
      <c r="I4176">
        <v>0</v>
      </c>
      <c r="J4176">
        <v>48.818899999999999</v>
      </c>
      <c r="K4176" s="1">
        <f>542.087</f>
        <v>542.08699999999999</v>
      </c>
      <c r="L4176">
        <v>0</v>
      </c>
    </row>
    <row r="4177" spans="1:12" x14ac:dyDescent="0.25">
      <c r="A4177">
        <f>80868721*0.00001</f>
        <v>808.68721000000005</v>
      </c>
      <c r="B4177">
        <v>3515</v>
      </c>
      <c r="C4177">
        <v>137</v>
      </c>
      <c r="D4177" s="1">
        <f>251.198</f>
        <v>251.19800000000001</v>
      </c>
      <c r="E4177">
        <v>5257</v>
      </c>
      <c r="F4177">
        <v>1618</v>
      </c>
      <c r="G4177">
        <v>1</v>
      </c>
      <c r="H4177">
        <v>0.2</v>
      </c>
      <c r="I4177">
        <v>0</v>
      </c>
      <c r="J4177">
        <v>48.818899999999999</v>
      </c>
      <c r="K4177">
        <v>542.08699999999999</v>
      </c>
      <c r="L4177">
        <v>0</v>
      </c>
    </row>
    <row r="4178" spans="1:12" x14ac:dyDescent="0.25">
      <c r="A4178">
        <f>80868854*0.00001</f>
        <v>808.6885400000001</v>
      </c>
      <c r="B4178">
        <v>3515</v>
      </c>
      <c r="C4178">
        <v>138</v>
      </c>
      <c r="D4178">
        <v>251.19800000000001</v>
      </c>
      <c r="E4178">
        <v>5257</v>
      </c>
      <c r="F4178" s="1">
        <f>1618</f>
        <v>1618</v>
      </c>
      <c r="G4178">
        <v>1</v>
      </c>
      <c r="H4178">
        <v>0.2</v>
      </c>
      <c r="I4178">
        <v>0</v>
      </c>
      <c r="J4178">
        <v>48.818899999999999</v>
      </c>
      <c r="K4178">
        <v>542.08699999999999</v>
      </c>
      <c r="L4178">
        <v>0</v>
      </c>
    </row>
    <row r="4179" spans="1:12" x14ac:dyDescent="0.25">
      <c r="A4179">
        <f>80868986*0.00001</f>
        <v>808.68986000000007</v>
      </c>
      <c r="B4179">
        <v>3515</v>
      </c>
      <c r="C4179">
        <v>139</v>
      </c>
      <c r="D4179">
        <v>251.19800000000001</v>
      </c>
      <c r="E4179">
        <v>5257</v>
      </c>
      <c r="F4179">
        <v>1618</v>
      </c>
      <c r="G4179">
        <v>1</v>
      </c>
      <c r="H4179" s="1">
        <f>0.2</f>
        <v>0.2</v>
      </c>
      <c r="I4179">
        <v>0</v>
      </c>
      <c r="J4179">
        <v>48.818899999999999</v>
      </c>
      <c r="K4179">
        <v>542.08699999999999</v>
      </c>
      <c r="L4179">
        <v>0</v>
      </c>
    </row>
    <row r="4180" spans="1:12" x14ac:dyDescent="0.25">
      <c r="A4180">
        <f>80869118*0.00001</f>
        <v>808.69118000000003</v>
      </c>
      <c r="B4180">
        <v>3515</v>
      </c>
      <c r="C4180">
        <v>140</v>
      </c>
      <c r="D4180">
        <v>251.19800000000001</v>
      </c>
      <c r="E4180">
        <v>5257</v>
      </c>
      <c r="F4180">
        <v>1618</v>
      </c>
      <c r="G4180">
        <v>1</v>
      </c>
      <c r="H4180">
        <v>0.2</v>
      </c>
      <c r="I4180">
        <v>0</v>
      </c>
      <c r="J4180" s="1">
        <f>48.7961</f>
        <v>48.796100000000003</v>
      </c>
      <c r="K4180">
        <v>542.08699999999999</v>
      </c>
      <c r="L4180">
        <v>0</v>
      </c>
    </row>
    <row r="4181" spans="1:12" x14ac:dyDescent="0.25">
      <c r="A4181">
        <f>80869250*0.00001</f>
        <v>808.69250000000011</v>
      </c>
      <c r="B4181">
        <v>3515</v>
      </c>
      <c r="C4181">
        <v>141</v>
      </c>
      <c r="D4181">
        <v>251.19800000000001</v>
      </c>
      <c r="E4181">
        <v>5257</v>
      </c>
      <c r="F4181">
        <v>1618</v>
      </c>
      <c r="G4181">
        <v>1</v>
      </c>
      <c r="H4181">
        <v>0.2</v>
      </c>
      <c r="I4181">
        <v>0</v>
      </c>
      <c r="J4181">
        <v>48.796100000000003</v>
      </c>
      <c r="K4181">
        <v>542.08699999999999</v>
      </c>
      <c r="L4181" s="1">
        <f>0</f>
        <v>0</v>
      </c>
    </row>
    <row r="4182" spans="1:12" x14ac:dyDescent="0.25">
      <c r="A4182">
        <f>80869383*0.00001</f>
        <v>808.69383000000005</v>
      </c>
      <c r="B4182">
        <v>3515</v>
      </c>
      <c r="C4182">
        <v>142</v>
      </c>
      <c r="D4182">
        <v>251.19800000000001</v>
      </c>
      <c r="E4182" s="1">
        <f>5257</f>
        <v>5257</v>
      </c>
      <c r="F4182">
        <v>1618</v>
      </c>
      <c r="G4182">
        <v>1</v>
      </c>
      <c r="H4182">
        <v>0.2</v>
      </c>
      <c r="I4182">
        <v>0</v>
      </c>
      <c r="J4182">
        <v>48.796100000000003</v>
      </c>
      <c r="K4182">
        <v>542.08699999999999</v>
      </c>
      <c r="L4182">
        <v>0</v>
      </c>
    </row>
    <row r="4183" spans="1:12" x14ac:dyDescent="0.25">
      <c r="A4183">
        <f>80869515*0.00001</f>
        <v>808.69515000000001</v>
      </c>
      <c r="B4183">
        <v>3515</v>
      </c>
      <c r="C4183">
        <v>143</v>
      </c>
      <c r="D4183">
        <v>251.19800000000001</v>
      </c>
      <c r="E4183">
        <v>5257</v>
      </c>
      <c r="F4183">
        <v>1618</v>
      </c>
      <c r="G4183" s="1">
        <f>1</f>
        <v>1</v>
      </c>
      <c r="H4183">
        <v>0.2</v>
      </c>
      <c r="I4183">
        <v>0</v>
      </c>
      <c r="J4183">
        <v>48.796100000000003</v>
      </c>
      <c r="K4183">
        <v>542.08699999999999</v>
      </c>
      <c r="L4183">
        <v>0</v>
      </c>
    </row>
    <row r="4184" spans="1:12" x14ac:dyDescent="0.25">
      <c r="A4184">
        <f>80869647*0.00001</f>
        <v>808.69647000000009</v>
      </c>
      <c r="B4184">
        <v>3515</v>
      </c>
      <c r="C4184">
        <v>144</v>
      </c>
      <c r="D4184">
        <v>251.19800000000001</v>
      </c>
      <c r="E4184">
        <v>5257</v>
      </c>
      <c r="F4184">
        <v>1618</v>
      </c>
      <c r="G4184">
        <v>1</v>
      </c>
      <c r="H4184">
        <v>0.2</v>
      </c>
      <c r="I4184" s="1">
        <f>0</f>
        <v>0</v>
      </c>
      <c r="J4184">
        <v>48.796100000000003</v>
      </c>
      <c r="K4184">
        <v>542.08699999999999</v>
      </c>
      <c r="L4184">
        <v>0</v>
      </c>
    </row>
    <row r="4185" spans="1:12" x14ac:dyDescent="0.25">
      <c r="A4185">
        <f>80869779*0.00001</f>
        <v>808.69779000000005</v>
      </c>
      <c r="B4185">
        <v>3515</v>
      </c>
      <c r="C4185">
        <v>145</v>
      </c>
      <c r="D4185">
        <v>251.19800000000001</v>
      </c>
      <c r="E4185">
        <v>5257</v>
      </c>
      <c r="F4185">
        <v>1618</v>
      </c>
      <c r="G4185">
        <v>1</v>
      </c>
      <c r="H4185">
        <v>0.2</v>
      </c>
      <c r="I4185">
        <v>0</v>
      </c>
      <c r="J4185">
        <v>48.796100000000003</v>
      </c>
      <c r="K4185" s="1">
        <f>542.204</f>
        <v>542.20399999999995</v>
      </c>
      <c r="L4185">
        <v>0</v>
      </c>
    </row>
    <row r="4186" spans="1:12" x14ac:dyDescent="0.25">
      <c r="A4186">
        <f>80869912*0.00001</f>
        <v>808.69912000000011</v>
      </c>
      <c r="B4186">
        <v>3515</v>
      </c>
      <c r="C4186">
        <v>146</v>
      </c>
      <c r="D4186" s="1">
        <f>251.214</f>
        <v>251.214</v>
      </c>
      <c r="E4186">
        <v>5257</v>
      </c>
      <c r="F4186">
        <v>1618</v>
      </c>
      <c r="G4186">
        <v>1</v>
      </c>
      <c r="H4186">
        <v>0.2</v>
      </c>
      <c r="I4186">
        <v>0</v>
      </c>
      <c r="J4186">
        <v>48.796100000000003</v>
      </c>
      <c r="K4186">
        <v>542.20399999999995</v>
      </c>
      <c r="L4186">
        <v>0</v>
      </c>
    </row>
    <row r="4187" spans="1:12" x14ac:dyDescent="0.25">
      <c r="A4187">
        <f>80870044*0.00001</f>
        <v>808.70044000000007</v>
      </c>
      <c r="B4187">
        <v>3515</v>
      </c>
      <c r="C4187">
        <v>147</v>
      </c>
      <c r="D4187">
        <v>251.214</v>
      </c>
      <c r="E4187">
        <v>5257</v>
      </c>
      <c r="F4187" s="1">
        <f>1618</f>
        <v>1618</v>
      </c>
      <c r="G4187">
        <v>1</v>
      </c>
      <c r="H4187">
        <v>0.2</v>
      </c>
      <c r="I4187">
        <v>0</v>
      </c>
      <c r="J4187">
        <v>48.796100000000003</v>
      </c>
      <c r="K4187">
        <v>542.20399999999995</v>
      </c>
      <c r="L4187">
        <v>0</v>
      </c>
    </row>
    <row r="4188" spans="1:12" x14ac:dyDescent="0.25">
      <c r="A4188">
        <f>80870176*0.00001</f>
        <v>808.70176000000004</v>
      </c>
      <c r="B4188">
        <v>3515</v>
      </c>
      <c r="C4188">
        <v>148</v>
      </c>
      <c r="D4188">
        <v>251.214</v>
      </c>
      <c r="E4188">
        <v>5257</v>
      </c>
      <c r="F4188">
        <v>1618</v>
      </c>
      <c r="G4188">
        <v>1</v>
      </c>
      <c r="H4188" s="1">
        <f>0.2</f>
        <v>0.2</v>
      </c>
      <c r="I4188">
        <v>0</v>
      </c>
      <c r="J4188">
        <v>48.796100000000003</v>
      </c>
      <c r="K4188">
        <v>542.20399999999995</v>
      </c>
      <c r="L4188">
        <v>0</v>
      </c>
    </row>
    <row r="4189" spans="1:12" x14ac:dyDescent="0.25">
      <c r="A4189">
        <f>80870308*0.00001</f>
        <v>808.70308000000011</v>
      </c>
      <c r="B4189">
        <v>3515</v>
      </c>
      <c r="C4189">
        <v>149</v>
      </c>
      <c r="D4189">
        <v>251.214</v>
      </c>
      <c r="E4189">
        <v>5257</v>
      </c>
      <c r="F4189">
        <v>1618</v>
      </c>
      <c r="G4189">
        <v>1</v>
      </c>
      <c r="H4189">
        <v>0.2</v>
      </c>
      <c r="I4189">
        <v>0</v>
      </c>
      <c r="J4189" s="1">
        <f>48.7819</f>
        <v>48.7819</v>
      </c>
      <c r="K4189">
        <v>542.20399999999995</v>
      </c>
      <c r="L4189">
        <v>0</v>
      </c>
    </row>
    <row r="4190" spans="1:12" x14ac:dyDescent="0.25">
      <c r="A4190">
        <f>80870440*0.00001</f>
        <v>808.70440000000008</v>
      </c>
      <c r="B4190">
        <v>3515</v>
      </c>
      <c r="C4190">
        <v>150</v>
      </c>
      <c r="D4190">
        <v>251.214</v>
      </c>
      <c r="E4190">
        <v>5257</v>
      </c>
      <c r="F4190">
        <v>1618</v>
      </c>
      <c r="G4190">
        <v>1</v>
      </c>
      <c r="H4190">
        <v>0.2</v>
      </c>
      <c r="I4190">
        <v>0</v>
      </c>
      <c r="J4190">
        <v>48.7819</v>
      </c>
      <c r="K4190">
        <v>542.20399999999995</v>
      </c>
      <c r="L4190" s="1">
        <f>0</f>
        <v>0</v>
      </c>
    </row>
    <row r="4191" spans="1:12" x14ac:dyDescent="0.25">
      <c r="A4191">
        <f>80870572*0.00001</f>
        <v>808.70572000000004</v>
      </c>
      <c r="B4191">
        <v>3515</v>
      </c>
      <c r="C4191">
        <v>151</v>
      </c>
      <c r="D4191">
        <v>251.214</v>
      </c>
      <c r="E4191" s="1">
        <f>5258</f>
        <v>5258</v>
      </c>
      <c r="F4191">
        <v>1618</v>
      </c>
      <c r="G4191">
        <v>1</v>
      </c>
      <c r="H4191">
        <v>0.2</v>
      </c>
      <c r="I4191">
        <v>0</v>
      </c>
      <c r="J4191">
        <v>48.7819</v>
      </c>
      <c r="K4191">
        <v>542.20399999999995</v>
      </c>
      <c r="L4191">
        <v>0</v>
      </c>
    </row>
    <row r="4192" spans="1:12" x14ac:dyDescent="0.25">
      <c r="A4192">
        <f>80870704*0.00001</f>
        <v>808.70704000000012</v>
      </c>
      <c r="B4192">
        <v>3515</v>
      </c>
      <c r="C4192">
        <v>152</v>
      </c>
      <c r="D4192">
        <v>251.214</v>
      </c>
      <c r="E4192">
        <v>5258</v>
      </c>
      <c r="F4192">
        <v>1618</v>
      </c>
      <c r="G4192" s="1">
        <f>1</f>
        <v>1</v>
      </c>
      <c r="H4192">
        <v>0.2</v>
      </c>
      <c r="I4192">
        <v>0</v>
      </c>
      <c r="J4192">
        <v>48.7819</v>
      </c>
      <c r="K4192">
        <v>542.20399999999995</v>
      </c>
      <c r="L4192">
        <v>0</v>
      </c>
    </row>
    <row r="4193" spans="1:12" x14ac:dyDescent="0.25">
      <c r="A4193">
        <f>80870837*0.00001</f>
        <v>808.70837000000006</v>
      </c>
      <c r="B4193">
        <v>3515</v>
      </c>
      <c r="C4193">
        <v>153</v>
      </c>
      <c r="D4193">
        <v>251.214</v>
      </c>
      <c r="E4193">
        <v>5258</v>
      </c>
      <c r="F4193">
        <v>1618</v>
      </c>
      <c r="G4193">
        <v>1</v>
      </c>
      <c r="H4193">
        <v>0.2</v>
      </c>
      <c r="I4193" s="1">
        <f>0</f>
        <v>0</v>
      </c>
      <c r="J4193">
        <v>48.7819</v>
      </c>
      <c r="K4193">
        <v>542.20399999999995</v>
      </c>
      <c r="L4193">
        <v>0</v>
      </c>
    </row>
    <row r="4194" spans="1:12" x14ac:dyDescent="0.25">
      <c r="A4194">
        <f>80870969*0.00001</f>
        <v>808.70969000000002</v>
      </c>
      <c r="B4194">
        <v>3515</v>
      </c>
      <c r="C4194">
        <v>154</v>
      </c>
      <c r="D4194">
        <v>251.214</v>
      </c>
      <c r="E4194">
        <v>5258</v>
      </c>
      <c r="F4194">
        <v>1618</v>
      </c>
      <c r="G4194">
        <v>1</v>
      </c>
      <c r="H4194">
        <v>0.2</v>
      </c>
      <c r="I4194">
        <v>0</v>
      </c>
      <c r="J4194">
        <v>48.7819</v>
      </c>
      <c r="K4194" s="1">
        <f>542.32</f>
        <v>542.32000000000005</v>
      </c>
      <c r="L4194">
        <v>0</v>
      </c>
    </row>
    <row r="4195" spans="1:12" x14ac:dyDescent="0.25">
      <c r="A4195">
        <f>80871101*0.00001</f>
        <v>808.7110100000001</v>
      </c>
      <c r="B4195">
        <v>3515</v>
      </c>
      <c r="C4195">
        <v>155</v>
      </c>
      <c r="D4195" s="1">
        <f>251.224</f>
        <v>251.22399999999999</v>
      </c>
      <c r="E4195">
        <v>5258</v>
      </c>
      <c r="F4195">
        <v>1618</v>
      </c>
      <c r="G4195">
        <v>1</v>
      </c>
      <c r="H4195">
        <v>0.2</v>
      </c>
      <c r="I4195">
        <v>0</v>
      </c>
      <c r="J4195">
        <v>48.7819</v>
      </c>
      <c r="K4195">
        <v>542.32000000000005</v>
      </c>
      <c r="L4195">
        <v>0</v>
      </c>
    </row>
    <row r="4196" spans="1:12" x14ac:dyDescent="0.25">
      <c r="A4196">
        <f>80871233*0.00001</f>
        <v>808.71233000000007</v>
      </c>
      <c r="B4196">
        <v>3515</v>
      </c>
      <c r="C4196">
        <v>156</v>
      </c>
      <c r="D4196">
        <v>251.22399999999999</v>
      </c>
      <c r="E4196">
        <v>5258</v>
      </c>
      <c r="F4196" s="1">
        <f>1618</f>
        <v>1618</v>
      </c>
      <c r="G4196">
        <v>1</v>
      </c>
      <c r="H4196">
        <v>0.2</v>
      </c>
      <c r="I4196">
        <v>0</v>
      </c>
      <c r="J4196">
        <v>48.7819</v>
      </c>
      <c r="K4196">
        <v>542.32000000000005</v>
      </c>
      <c r="L4196">
        <v>0</v>
      </c>
    </row>
    <row r="4197" spans="1:12" x14ac:dyDescent="0.25">
      <c r="A4197">
        <f>80871366*0.00001</f>
        <v>808.71366000000012</v>
      </c>
      <c r="B4197">
        <v>3515</v>
      </c>
      <c r="C4197">
        <v>157</v>
      </c>
      <c r="D4197">
        <v>251.22399999999999</v>
      </c>
      <c r="E4197">
        <v>5258</v>
      </c>
      <c r="F4197">
        <v>1618</v>
      </c>
      <c r="G4197">
        <v>1</v>
      </c>
      <c r="H4197" s="1">
        <f>0.2</f>
        <v>0.2</v>
      </c>
      <c r="I4197">
        <v>0</v>
      </c>
      <c r="J4197">
        <v>48.7819</v>
      </c>
      <c r="K4197">
        <v>542.32000000000005</v>
      </c>
      <c r="L4197">
        <v>0</v>
      </c>
    </row>
    <row r="4198" spans="1:12" x14ac:dyDescent="0.25">
      <c r="A4198">
        <f>80871498*0.00001</f>
        <v>808.71498000000008</v>
      </c>
      <c r="B4198">
        <v>3515</v>
      </c>
      <c r="C4198">
        <v>158</v>
      </c>
      <c r="D4198">
        <v>251.22399999999999</v>
      </c>
      <c r="E4198">
        <v>5258</v>
      </c>
      <c r="F4198">
        <v>1618</v>
      </c>
      <c r="G4198">
        <v>1</v>
      </c>
      <c r="H4198">
        <v>0.2</v>
      </c>
      <c r="I4198">
        <v>0</v>
      </c>
      <c r="J4198" s="1">
        <f>48.7729</f>
        <v>48.7729</v>
      </c>
      <c r="K4198">
        <v>542.32000000000005</v>
      </c>
      <c r="L4198">
        <v>0</v>
      </c>
    </row>
    <row r="4199" spans="1:12" x14ac:dyDescent="0.25">
      <c r="A4199">
        <f>80871625*0.00001</f>
        <v>808.71625000000006</v>
      </c>
      <c r="B4199">
        <v>3515</v>
      </c>
      <c r="C4199">
        <v>158</v>
      </c>
      <c r="D4199">
        <v>251.22399999999999</v>
      </c>
      <c r="E4199">
        <v>5258</v>
      </c>
      <c r="F4199">
        <v>1618</v>
      </c>
      <c r="G4199">
        <v>1</v>
      </c>
      <c r="H4199">
        <v>0.2</v>
      </c>
      <c r="I4199">
        <v>0</v>
      </c>
      <c r="J4199">
        <v>48.7729</v>
      </c>
      <c r="K4199">
        <v>542.32000000000005</v>
      </c>
      <c r="L4199" s="1">
        <f>0</f>
        <v>0</v>
      </c>
    </row>
    <row r="4200" spans="1:12" x14ac:dyDescent="0.25">
      <c r="A4200">
        <f>80871762*0.00001</f>
        <v>808.71762000000001</v>
      </c>
      <c r="B4200">
        <v>3515</v>
      </c>
      <c r="C4200">
        <v>160</v>
      </c>
      <c r="D4200">
        <v>251.22399999999999</v>
      </c>
      <c r="E4200" s="1">
        <f>5258</f>
        <v>5258</v>
      </c>
      <c r="F4200">
        <v>1618</v>
      </c>
      <c r="G4200">
        <v>1</v>
      </c>
      <c r="H4200">
        <v>0.2</v>
      </c>
      <c r="I4200">
        <v>0</v>
      </c>
      <c r="J4200">
        <v>48.7729</v>
      </c>
      <c r="K4200">
        <v>542.32000000000005</v>
      </c>
      <c r="L4200">
        <v>0</v>
      </c>
    </row>
    <row r="4201" spans="1:12" x14ac:dyDescent="0.25">
      <c r="A4201">
        <f>80871895*0.00001</f>
        <v>808.71895000000006</v>
      </c>
      <c r="B4201">
        <v>3515</v>
      </c>
      <c r="C4201">
        <v>161</v>
      </c>
      <c r="D4201">
        <v>251.22399999999999</v>
      </c>
      <c r="E4201">
        <v>5258</v>
      </c>
      <c r="F4201">
        <v>1618</v>
      </c>
      <c r="G4201" s="1">
        <f>1</f>
        <v>1</v>
      </c>
      <c r="H4201">
        <v>0.2</v>
      </c>
      <c r="I4201">
        <v>0</v>
      </c>
      <c r="J4201">
        <v>48.7729</v>
      </c>
      <c r="K4201">
        <v>542.32000000000005</v>
      </c>
      <c r="L4201">
        <v>0</v>
      </c>
    </row>
    <row r="4202" spans="1:12" x14ac:dyDescent="0.25">
      <c r="A4202">
        <f>80872027*0.00001</f>
        <v>808.72027000000003</v>
      </c>
      <c r="B4202">
        <v>3515</v>
      </c>
      <c r="C4202">
        <v>162</v>
      </c>
      <c r="D4202">
        <v>251.22399999999999</v>
      </c>
      <c r="E4202">
        <v>5258</v>
      </c>
      <c r="F4202">
        <v>1618</v>
      </c>
      <c r="G4202">
        <v>1</v>
      </c>
      <c r="H4202">
        <v>0.2</v>
      </c>
      <c r="I4202" s="1">
        <f>0</f>
        <v>0</v>
      </c>
      <c r="J4202">
        <v>48.7729</v>
      </c>
      <c r="K4202">
        <v>542.32000000000005</v>
      </c>
      <c r="L4202">
        <v>0</v>
      </c>
    </row>
    <row r="4203" spans="1:12" x14ac:dyDescent="0.25">
      <c r="A4203">
        <f>80872159*0.00001</f>
        <v>808.72159000000011</v>
      </c>
      <c r="B4203">
        <v>3515</v>
      </c>
      <c r="C4203">
        <v>163</v>
      </c>
      <c r="D4203">
        <v>251.22399999999999</v>
      </c>
      <c r="E4203">
        <v>5258</v>
      </c>
      <c r="F4203">
        <v>1618</v>
      </c>
      <c r="G4203">
        <v>1</v>
      </c>
      <c r="H4203">
        <v>0.2</v>
      </c>
      <c r="I4203">
        <v>0</v>
      </c>
      <c r="J4203">
        <v>48.7729</v>
      </c>
      <c r="K4203" s="1">
        <f>542.437</f>
        <v>542.43700000000001</v>
      </c>
      <c r="L4203">
        <v>0</v>
      </c>
    </row>
    <row r="4204" spans="1:12" x14ac:dyDescent="0.25">
      <c r="A4204">
        <f>80872291*0.00001</f>
        <v>808.72291000000007</v>
      </c>
      <c r="B4204">
        <v>3515</v>
      </c>
      <c r="C4204">
        <v>164</v>
      </c>
      <c r="D4204" s="1">
        <f>251.231</f>
        <v>251.23099999999999</v>
      </c>
      <c r="E4204">
        <v>5258</v>
      </c>
      <c r="F4204">
        <v>1618</v>
      </c>
      <c r="G4204">
        <v>1</v>
      </c>
      <c r="H4204">
        <v>0.2</v>
      </c>
      <c r="I4204">
        <v>0</v>
      </c>
      <c r="J4204">
        <v>48.7729</v>
      </c>
      <c r="K4204">
        <v>542.43700000000001</v>
      </c>
      <c r="L4204">
        <v>0</v>
      </c>
    </row>
    <row r="4205" spans="1:12" x14ac:dyDescent="0.25">
      <c r="A4205">
        <f>80872423*0.00001</f>
        <v>808.72423000000003</v>
      </c>
      <c r="B4205">
        <v>3515</v>
      </c>
      <c r="C4205">
        <v>165</v>
      </c>
      <c r="D4205">
        <v>251.23099999999999</v>
      </c>
      <c r="E4205">
        <v>5258</v>
      </c>
      <c r="F4205" s="1">
        <f>1619</f>
        <v>1619</v>
      </c>
      <c r="G4205">
        <v>1</v>
      </c>
      <c r="H4205">
        <v>0.2</v>
      </c>
      <c r="I4205">
        <v>0</v>
      </c>
      <c r="J4205">
        <v>48.7729</v>
      </c>
      <c r="K4205">
        <v>542.43700000000001</v>
      </c>
      <c r="L4205">
        <v>0</v>
      </c>
    </row>
    <row r="4206" spans="1:12" x14ac:dyDescent="0.25">
      <c r="A4206">
        <f>80872555*0.00001</f>
        <v>808.72555000000011</v>
      </c>
      <c r="B4206">
        <v>3515</v>
      </c>
      <c r="C4206">
        <v>166</v>
      </c>
      <c r="D4206">
        <v>251.23099999999999</v>
      </c>
      <c r="E4206">
        <v>5258</v>
      </c>
      <c r="F4206">
        <v>1619</v>
      </c>
      <c r="G4206">
        <v>1</v>
      </c>
      <c r="H4206" s="1">
        <f>0.2</f>
        <v>0.2</v>
      </c>
      <c r="I4206">
        <v>0</v>
      </c>
      <c r="J4206">
        <v>48.7729</v>
      </c>
      <c r="K4206">
        <v>542.43700000000001</v>
      </c>
      <c r="L4206">
        <v>0</v>
      </c>
    </row>
    <row r="4207" spans="1:12" x14ac:dyDescent="0.25">
      <c r="A4207">
        <f>80872687*0.00001</f>
        <v>808.72687000000008</v>
      </c>
      <c r="B4207">
        <v>3515</v>
      </c>
      <c r="C4207">
        <v>167</v>
      </c>
      <c r="D4207">
        <v>251.23099999999999</v>
      </c>
      <c r="E4207">
        <v>5258</v>
      </c>
      <c r="F4207">
        <v>1619</v>
      </c>
      <c r="G4207">
        <v>1</v>
      </c>
      <c r="H4207">
        <v>0.2</v>
      </c>
      <c r="I4207">
        <v>0</v>
      </c>
      <c r="J4207" s="1">
        <f>48.7674</f>
        <v>48.767400000000002</v>
      </c>
      <c r="K4207">
        <v>542.43700000000001</v>
      </c>
      <c r="L4207">
        <v>0</v>
      </c>
    </row>
    <row r="4208" spans="1:12" x14ac:dyDescent="0.25">
      <c r="A4208">
        <f>80872820*0.00001</f>
        <v>808.72820000000002</v>
      </c>
      <c r="B4208">
        <v>3515</v>
      </c>
      <c r="C4208">
        <v>168</v>
      </c>
      <c r="D4208">
        <v>251.23099999999999</v>
      </c>
      <c r="E4208">
        <v>5258</v>
      </c>
      <c r="F4208">
        <v>1619</v>
      </c>
      <c r="G4208">
        <v>1</v>
      </c>
      <c r="H4208">
        <v>0.2</v>
      </c>
      <c r="I4208">
        <v>0</v>
      </c>
      <c r="J4208">
        <v>48.767400000000002</v>
      </c>
      <c r="K4208">
        <v>542.43700000000001</v>
      </c>
      <c r="L4208" s="1">
        <f>0</f>
        <v>0</v>
      </c>
    </row>
    <row r="4209" spans="1:12" x14ac:dyDescent="0.25">
      <c r="A4209">
        <f>80872952*0.00001</f>
        <v>808.72952000000009</v>
      </c>
      <c r="B4209">
        <v>3515</v>
      </c>
      <c r="C4209">
        <v>169</v>
      </c>
      <c r="D4209">
        <v>251.23099999999999</v>
      </c>
      <c r="E4209" s="1">
        <f>5258</f>
        <v>5258</v>
      </c>
      <c r="F4209">
        <v>1619</v>
      </c>
      <c r="G4209">
        <v>1</v>
      </c>
      <c r="H4209">
        <v>0.2</v>
      </c>
      <c r="I4209">
        <v>0</v>
      </c>
      <c r="J4209">
        <v>48.767400000000002</v>
      </c>
      <c r="K4209">
        <v>542.43700000000001</v>
      </c>
      <c r="L4209">
        <v>0</v>
      </c>
    </row>
    <row r="4210" spans="1:12" x14ac:dyDescent="0.25">
      <c r="A4210">
        <f>80873084*0.00001</f>
        <v>808.73084000000006</v>
      </c>
      <c r="B4210">
        <v>3515</v>
      </c>
      <c r="C4210">
        <v>170</v>
      </c>
      <c r="D4210">
        <v>251.23099999999999</v>
      </c>
      <c r="E4210">
        <v>5258</v>
      </c>
      <c r="F4210">
        <v>1619</v>
      </c>
      <c r="G4210" s="1">
        <f>1</f>
        <v>1</v>
      </c>
      <c r="H4210">
        <v>0.2</v>
      </c>
      <c r="I4210">
        <v>0</v>
      </c>
      <c r="J4210">
        <v>48.767400000000002</v>
      </c>
      <c r="K4210">
        <v>542.43700000000001</v>
      </c>
      <c r="L4210">
        <v>0</v>
      </c>
    </row>
    <row r="4211" spans="1:12" x14ac:dyDescent="0.25">
      <c r="A4211">
        <f>80873216*0.00001</f>
        <v>808.73216000000002</v>
      </c>
      <c r="B4211">
        <v>3515</v>
      </c>
      <c r="C4211">
        <v>171</v>
      </c>
      <c r="D4211">
        <v>251.23099999999999</v>
      </c>
      <c r="E4211">
        <v>5258</v>
      </c>
      <c r="F4211">
        <v>1619</v>
      </c>
      <c r="G4211">
        <v>1</v>
      </c>
      <c r="H4211">
        <v>0.2</v>
      </c>
      <c r="I4211" s="1">
        <f>0</f>
        <v>0</v>
      </c>
      <c r="J4211">
        <v>48.767400000000002</v>
      </c>
      <c r="K4211">
        <v>542.43700000000001</v>
      </c>
      <c r="L4211">
        <v>0</v>
      </c>
    </row>
    <row r="4212" spans="1:12" x14ac:dyDescent="0.25">
      <c r="A4212">
        <f>80873348*0.00001</f>
        <v>808.7334800000001</v>
      </c>
      <c r="B4212">
        <v>3515</v>
      </c>
      <c r="C4212">
        <v>172</v>
      </c>
      <c r="D4212">
        <v>251.23099999999999</v>
      </c>
      <c r="E4212">
        <v>5258</v>
      </c>
      <c r="F4212">
        <v>1619</v>
      </c>
      <c r="G4212">
        <v>1</v>
      </c>
      <c r="H4212">
        <v>0.2</v>
      </c>
      <c r="I4212">
        <v>0</v>
      </c>
      <c r="J4212">
        <v>48.767400000000002</v>
      </c>
      <c r="K4212" s="1">
        <f>542.553</f>
        <v>542.553</v>
      </c>
      <c r="L4212">
        <v>0</v>
      </c>
    </row>
    <row r="4213" spans="1:12" x14ac:dyDescent="0.25">
      <c r="A4213">
        <f>80873480*0.00001</f>
        <v>808.73480000000006</v>
      </c>
      <c r="B4213">
        <v>3515</v>
      </c>
      <c r="C4213">
        <v>173</v>
      </c>
      <c r="D4213" s="1">
        <f>251.313</f>
        <v>251.31299999999999</v>
      </c>
      <c r="E4213">
        <v>5258</v>
      </c>
      <c r="F4213">
        <v>1619</v>
      </c>
      <c r="G4213">
        <v>1</v>
      </c>
      <c r="H4213">
        <v>0.2</v>
      </c>
      <c r="I4213">
        <v>0</v>
      </c>
      <c r="J4213">
        <v>48.767400000000002</v>
      </c>
      <c r="K4213">
        <v>542.553</v>
      </c>
      <c r="L4213">
        <v>0</v>
      </c>
    </row>
    <row r="4214" spans="1:12" x14ac:dyDescent="0.25">
      <c r="A4214">
        <f>80873612*0.00001</f>
        <v>808.73612000000003</v>
      </c>
      <c r="B4214">
        <v>3515</v>
      </c>
      <c r="C4214">
        <v>174</v>
      </c>
      <c r="D4214">
        <v>251.31299999999999</v>
      </c>
      <c r="E4214">
        <v>5258</v>
      </c>
      <c r="F4214" s="1">
        <f>1619</f>
        <v>1619</v>
      </c>
      <c r="G4214">
        <v>1</v>
      </c>
      <c r="H4214">
        <v>0.2</v>
      </c>
      <c r="I4214">
        <v>0</v>
      </c>
      <c r="J4214">
        <v>48.767400000000002</v>
      </c>
      <c r="K4214">
        <v>542.553</v>
      </c>
      <c r="L4214">
        <v>0</v>
      </c>
    </row>
    <row r="4215" spans="1:12" x14ac:dyDescent="0.25">
      <c r="A4215">
        <f>80873744*0.00001</f>
        <v>808.73744000000011</v>
      </c>
      <c r="B4215">
        <v>3515</v>
      </c>
      <c r="C4215">
        <v>175</v>
      </c>
      <c r="D4215">
        <v>251.31299999999999</v>
      </c>
      <c r="E4215">
        <v>5258</v>
      </c>
      <c r="F4215">
        <v>1619</v>
      </c>
      <c r="G4215">
        <v>1</v>
      </c>
      <c r="H4215" s="1">
        <f>0.2</f>
        <v>0.2</v>
      </c>
      <c r="I4215">
        <v>0</v>
      </c>
      <c r="J4215">
        <v>48.767400000000002</v>
      </c>
      <c r="K4215">
        <v>542.553</v>
      </c>
      <c r="L4215">
        <v>0</v>
      </c>
    </row>
    <row r="4216" spans="1:12" x14ac:dyDescent="0.25">
      <c r="A4216">
        <f>80873876*0.00001</f>
        <v>808.73876000000007</v>
      </c>
      <c r="B4216">
        <v>3515</v>
      </c>
      <c r="C4216">
        <v>176</v>
      </c>
      <c r="D4216">
        <v>251.31299999999999</v>
      </c>
      <c r="E4216">
        <v>5258</v>
      </c>
      <c r="F4216">
        <v>1619</v>
      </c>
      <c r="G4216">
        <v>1</v>
      </c>
      <c r="H4216">
        <v>0.2</v>
      </c>
      <c r="I4216">
        <v>0</v>
      </c>
      <c r="J4216" s="1">
        <f>48.6425</f>
        <v>48.642499999999998</v>
      </c>
      <c r="K4216">
        <v>542.553</v>
      </c>
      <c r="L4216">
        <v>0</v>
      </c>
    </row>
    <row r="4217" spans="1:12" x14ac:dyDescent="0.25">
      <c r="A4217">
        <f>80874008*0.00001</f>
        <v>808.74008000000003</v>
      </c>
      <c r="B4217">
        <v>3515</v>
      </c>
      <c r="C4217">
        <v>177</v>
      </c>
      <c r="D4217">
        <v>251.31299999999999</v>
      </c>
      <c r="E4217">
        <v>5258</v>
      </c>
      <c r="F4217">
        <v>1619</v>
      </c>
      <c r="G4217">
        <v>1</v>
      </c>
      <c r="H4217">
        <v>0.2</v>
      </c>
      <c r="I4217">
        <v>0</v>
      </c>
      <c r="J4217">
        <v>48.642499999999998</v>
      </c>
      <c r="K4217">
        <v>542.553</v>
      </c>
      <c r="L4217" s="1">
        <f>0</f>
        <v>0</v>
      </c>
    </row>
    <row r="4218" spans="1:12" x14ac:dyDescent="0.25">
      <c r="A4218">
        <f>80874140*0.00001</f>
        <v>808.74140000000011</v>
      </c>
      <c r="B4218">
        <v>3515</v>
      </c>
      <c r="C4218">
        <v>178</v>
      </c>
      <c r="D4218">
        <v>251.31299999999999</v>
      </c>
      <c r="E4218" s="1">
        <f>5255</f>
        <v>5255</v>
      </c>
      <c r="F4218" s="1">
        <f>1619</f>
        <v>1619</v>
      </c>
      <c r="G4218" s="1">
        <f>1</f>
        <v>1</v>
      </c>
      <c r="H4218">
        <v>0.2</v>
      </c>
      <c r="I4218">
        <v>0</v>
      </c>
      <c r="J4218">
        <v>48.642499999999998</v>
      </c>
      <c r="K4218">
        <v>542.553</v>
      </c>
      <c r="L4218">
        <v>0</v>
      </c>
    </row>
    <row r="4219" spans="1:12" s="2" customFormat="1" x14ac:dyDescent="0.25">
      <c r="A4219" s="2">
        <f>80874404*0.00001</f>
        <v>808.74404000000004</v>
      </c>
      <c r="B4219" s="2">
        <v>3516</v>
      </c>
      <c r="C4219" s="2">
        <v>0</v>
      </c>
      <c r="D4219" s="2">
        <v>251.31299999999999</v>
      </c>
      <c r="E4219" s="2">
        <v>5255</v>
      </c>
      <c r="F4219" s="2">
        <v>1619</v>
      </c>
      <c r="G4219" s="2">
        <v>1</v>
      </c>
      <c r="H4219" s="2">
        <v>0.2</v>
      </c>
      <c r="I4219" s="1">
        <f>0</f>
        <v>0</v>
      </c>
      <c r="J4219" s="2">
        <v>48.642499999999998</v>
      </c>
      <c r="K4219" s="2">
        <v>542.553</v>
      </c>
      <c r="L4219" s="2">
        <v>0</v>
      </c>
    </row>
    <row r="4220" spans="1:12" x14ac:dyDescent="0.25">
      <c r="A4220">
        <f>80874537*0.00001</f>
        <v>808.74537000000009</v>
      </c>
      <c r="B4220">
        <v>3516</v>
      </c>
      <c r="C4220">
        <v>1</v>
      </c>
      <c r="D4220">
        <v>251.31299999999999</v>
      </c>
      <c r="E4220">
        <v>5255</v>
      </c>
      <c r="F4220">
        <v>1619</v>
      </c>
      <c r="G4220">
        <v>1</v>
      </c>
      <c r="H4220">
        <v>0.2</v>
      </c>
      <c r="I4220">
        <v>0</v>
      </c>
      <c r="J4220">
        <v>48.642499999999998</v>
      </c>
      <c r="K4220" s="1">
        <f>542.643</f>
        <v>542.64300000000003</v>
      </c>
      <c r="L4220">
        <v>0</v>
      </c>
    </row>
    <row r="4221" spans="1:12" x14ac:dyDescent="0.25">
      <c r="A4221">
        <f>80874669*0.00001</f>
        <v>808.74669000000006</v>
      </c>
      <c r="B4221">
        <v>3516</v>
      </c>
      <c r="C4221">
        <v>2</v>
      </c>
      <c r="D4221" s="1">
        <f>251.406</f>
        <v>251.40600000000001</v>
      </c>
      <c r="E4221">
        <v>5255</v>
      </c>
      <c r="F4221">
        <v>1619</v>
      </c>
      <c r="G4221">
        <v>1</v>
      </c>
      <c r="H4221">
        <v>0.2</v>
      </c>
      <c r="I4221">
        <v>0</v>
      </c>
      <c r="J4221">
        <v>48.642499999999998</v>
      </c>
      <c r="K4221">
        <v>542.64300000000003</v>
      </c>
      <c r="L4221">
        <v>0</v>
      </c>
    </row>
    <row r="4222" spans="1:12" x14ac:dyDescent="0.25">
      <c r="A4222">
        <f>80874801*0.00001</f>
        <v>808.74801000000002</v>
      </c>
      <c r="B4222">
        <v>3516</v>
      </c>
      <c r="C4222">
        <v>3</v>
      </c>
      <c r="D4222">
        <v>251.40600000000001</v>
      </c>
      <c r="E4222">
        <v>5255</v>
      </c>
      <c r="F4222" s="1">
        <f>1619</f>
        <v>1619</v>
      </c>
      <c r="G4222">
        <v>1</v>
      </c>
      <c r="H4222">
        <v>0.2</v>
      </c>
      <c r="I4222">
        <v>0</v>
      </c>
      <c r="J4222">
        <v>48.642499999999998</v>
      </c>
      <c r="K4222">
        <v>542.64300000000003</v>
      </c>
      <c r="L4222">
        <v>0</v>
      </c>
    </row>
    <row r="4223" spans="1:12" x14ac:dyDescent="0.25">
      <c r="A4223">
        <f>80874933*0.00001</f>
        <v>808.7493300000001</v>
      </c>
      <c r="B4223">
        <v>3516</v>
      </c>
      <c r="C4223">
        <v>4</v>
      </c>
      <c r="D4223">
        <v>251.40600000000001</v>
      </c>
      <c r="E4223">
        <v>5255</v>
      </c>
      <c r="F4223">
        <v>1619</v>
      </c>
      <c r="G4223">
        <v>1</v>
      </c>
      <c r="H4223" s="1">
        <f>0.2</f>
        <v>0.2</v>
      </c>
      <c r="I4223">
        <v>0</v>
      </c>
      <c r="J4223">
        <v>48.642499999999998</v>
      </c>
      <c r="K4223">
        <v>542.64300000000003</v>
      </c>
      <c r="L4223">
        <v>0</v>
      </c>
    </row>
    <row r="4224" spans="1:12" x14ac:dyDescent="0.25">
      <c r="A4224">
        <f>80875065*0.00001</f>
        <v>808.75065000000006</v>
      </c>
      <c r="B4224">
        <v>3516</v>
      </c>
      <c r="C4224">
        <v>5</v>
      </c>
      <c r="D4224">
        <v>251.40600000000001</v>
      </c>
      <c r="E4224">
        <v>5255</v>
      </c>
      <c r="F4224">
        <v>1619</v>
      </c>
      <c r="G4224">
        <v>1</v>
      </c>
      <c r="H4224">
        <v>0.2</v>
      </c>
      <c r="I4224">
        <v>0</v>
      </c>
      <c r="J4224" s="1">
        <f>48.5629</f>
        <v>48.562899999999999</v>
      </c>
      <c r="K4224">
        <v>542.64300000000003</v>
      </c>
      <c r="L4224">
        <v>0</v>
      </c>
    </row>
    <row r="4225" spans="1:12" x14ac:dyDescent="0.25">
      <c r="A4225">
        <f>80875197*0.00001</f>
        <v>808.75197000000003</v>
      </c>
      <c r="B4225">
        <v>3516</v>
      </c>
      <c r="C4225">
        <v>6</v>
      </c>
      <c r="D4225">
        <v>251.40600000000001</v>
      </c>
      <c r="E4225">
        <v>5255</v>
      </c>
      <c r="F4225">
        <v>1619</v>
      </c>
      <c r="G4225">
        <v>1</v>
      </c>
      <c r="H4225">
        <v>0.2</v>
      </c>
      <c r="I4225">
        <v>0</v>
      </c>
      <c r="J4225">
        <v>48.562899999999999</v>
      </c>
      <c r="K4225">
        <v>542.64300000000003</v>
      </c>
      <c r="L4225" s="1">
        <f>0</f>
        <v>0</v>
      </c>
    </row>
    <row r="4226" spans="1:12" x14ac:dyDescent="0.25">
      <c r="A4226">
        <f>80875329*0.00001</f>
        <v>808.75329000000011</v>
      </c>
      <c r="B4226">
        <v>3516</v>
      </c>
      <c r="C4226">
        <v>7</v>
      </c>
      <c r="D4226">
        <v>251.40600000000001</v>
      </c>
      <c r="E4226" s="1">
        <f>5254</f>
        <v>5254</v>
      </c>
      <c r="F4226">
        <v>1619</v>
      </c>
      <c r="G4226">
        <v>1</v>
      </c>
      <c r="H4226">
        <v>0.2</v>
      </c>
      <c r="I4226">
        <v>0</v>
      </c>
      <c r="J4226">
        <v>48.562899999999999</v>
      </c>
      <c r="K4226">
        <v>542.64300000000003</v>
      </c>
      <c r="L4226">
        <v>0</v>
      </c>
    </row>
    <row r="4227" spans="1:12" x14ac:dyDescent="0.25">
      <c r="A4227">
        <f>80875460*0.00001</f>
        <v>808.7546000000001</v>
      </c>
      <c r="B4227">
        <v>3516</v>
      </c>
      <c r="C4227">
        <v>8</v>
      </c>
      <c r="D4227">
        <v>251.40600000000001</v>
      </c>
      <c r="E4227">
        <v>5254</v>
      </c>
      <c r="F4227">
        <v>1619</v>
      </c>
      <c r="G4227" s="1">
        <f>1</f>
        <v>1</v>
      </c>
      <c r="H4227">
        <v>0.2</v>
      </c>
      <c r="I4227">
        <v>0</v>
      </c>
      <c r="J4227">
        <v>48.562899999999999</v>
      </c>
      <c r="K4227">
        <v>542.64300000000003</v>
      </c>
      <c r="L4227">
        <v>0</v>
      </c>
    </row>
    <row r="4228" spans="1:12" x14ac:dyDescent="0.25">
      <c r="A4228">
        <f>80875592*0.00001</f>
        <v>808.75592000000006</v>
      </c>
      <c r="B4228">
        <v>3516</v>
      </c>
      <c r="C4228">
        <v>9</v>
      </c>
      <c r="D4228">
        <v>251.40600000000001</v>
      </c>
      <c r="E4228">
        <v>5254</v>
      </c>
      <c r="F4228">
        <v>1619</v>
      </c>
      <c r="G4228">
        <v>1</v>
      </c>
      <c r="H4228">
        <v>0.2</v>
      </c>
      <c r="I4228" s="1">
        <f>0</f>
        <v>0</v>
      </c>
      <c r="J4228">
        <v>48.562899999999999</v>
      </c>
      <c r="K4228">
        <v>542.64300000000003</v>
      </c>
      <c r="L4228">
        <v>0</v>
      </c>
    </row>
    <row r="4229" spans="1:12" x14ac:dyDescent="0.25">
      <c r="A4229">
        <f>80875724*0.00001</f>
        <v>808.75724000000002</v>
      </c>
      <c r="B4229">
        <v>3516</v>
      </c>
      <c r="C4229">
        <v>10</v>
      </c>
      <c r="D4229">
        <v>251.40600000000001</v>
      </c>
      <c r="E4229">
        <v>5254</v>
      </c>
      <c r="F4229">
        <v>1619</v>
      </c>
      <c r="G4229">
        <v>1</v>
      </c>
      <c r="H4229">
        <v>0.2</v>
      </c>
      <c r="I4229">
        <v>0</v>
      </c>
      <c r="J4229">
        <v>48.562899999999999</v>
      </c>
      <c r="K4229" s="1">
        <f>542.759</f>
        <v>542.75900000000001</v>
      </c>
      <c r="L4229">
        <v>0</v>
      </c>
    </row>
    <row r="4230" spans="1:12" x14ac:dyDescent="0.25">
      <c r="A4230">
        <f>80875856*0.00001</f>
        <v>808.7585600000001</v>
      </c>
      <c r="B4230">
        <v>3516</v>
      </c>
      <c r="C4230">
        <v>11</v>
      </c>
      <c r="D4230" s="1">
        <f>251.486</f>
        <v>251.48599999999999</v>
      </c>
      <c r="E4230">
        <v>5254</v>
      </c>
      <c r="F4230">
        <v>1619</v>
      </c>
      <c r="G4230">
        <v>1</v>
      </c>
      <c r="H4230">
        <v>0.2</v>
      </c>
      <c r="I4230">
        <v>0</v>
      </c>
      <c r="J4230">
        <v>48.562899999999999</v>
      </c>
      <c r="K4230">
        <v>542.75900000000001</v>
      </c>
      <c r="L4230">
        <v>0</v>
      </c>
    </row>
    <row r="4231" spans="1:12" x14ac:dyDescent="0.25">
      <c r="A4231">
        <f>80875988*0.00001</f>
        <v>808.75988000000007</v>
      </c>
      <c r="B4231">
        <v>3516</v>
      </c>
      <c r="C4231">
        <v>12</v>
      </c>
      <c r="D4231">
        <v>251.48599999999999</v>
      </c>
      <c r="E4231">
        <v>5254</v>
      </c>
      <c r="F4231" s="1">
        <f>1619</f>
        <v>1619</v>
      </c>
      <c r="G4231">
        <v>1</v>
      </c>
      <c r="H4231">
        <v>0.2</v>
      </c>
      <c r="I4231">
        <v>0</v>
      </c>
      <c r="J4231">
        <v>48.562899999999999</v>
      </c>
      <c r="K4231">
        <v>542.75900000000001</v>
      </c>
      <c r="L4231">
        <v>0</v>
      </c>
    </row>
    <row r="4232" spans="1:12" x14ac:dyDescent="0.25">
      <c r="A4232">
        <f>80876120*0.00001</f>
        <v>808.76120000000003</v>
      </c>
      <c r="B4232">
        <v>3516</v>
      </c>
      <c r="C4232">
        <v>13</v>
      </c>
      <c r="D4232">
        <v>251.48599999999999</v>
      </c>
      <c r="E4232">
        <v>5254</v>
      </c>
      <c r="F4232">
        <v>1619</v>
      </c>
      <c r="G4232">
        <v>1</v>
      </c>
      <c r="H4232" s="1">
        <f>0.2</f>
        <v>0.2</v>
      </c>
      <c r="I4232">
        <v>0</v>
      </c>
      <c r="J4232">
        <v>48.562899999999999</v>
      </c>
      <c r="K4232">
        <v>542.75900000000001</v>
      </c>
      <c r="L4232">
        <v>0</v>
      </c>
    </row>
    <row r="4233" spans="1:12" x14ac:dyDescent="0.25">
      <c r="A4233">
        <f>80876252*0.00001</f>
        <v>808.76252000000011</v>
      </c>
      <c r="B4233">
        <v>3516</v>
      </c>
      <c r="C4233">
        <v>14</v>
      </c>
      <c r="D4233">
        <v>251.48599999999999</v>
      </c>
      <c r="E4233">
        <v>5254</v>
      </c>
      <c r="F4233">
        <v>1619</v>
      </c>
      <c r="G4233">
        <v>1</v>
      </c>
      <c r="H4233">
        <v>0.2</v>
      </c>
      <c r="I4233">
        <v>0</v>
      </c>
      <c r="J4233" s="1">
        <f>48.4945</f>
        <v>48.494500000000002</v>
      </c>
      <c r="K4233">
        <v>542.75900000000001</v>
      </c>
      <c r="L4233">
        <v>0</v>
      </c>
    </row>
    <row r="4234" spans="1:12" x14ac:dyDescent="0.25">
      <c r="A4234">
        <f>80876384*0.00001</f>
        <v>808.76384000000007</v>
      </c>
      <c r="B4234">
        <v>3516</v>
      </c>
      <c r="C4234">
        <v>15</v>
      </c>
      <c r="D4234">
        <v>251.48599999999999</v>
      </c>
      <c r="E4234">
        <v>5254</v>
      </c>
      <c r="F4234">
        <v>1619</v>
      </c>
      <c r="G4234">
        <v>1</v>
      </c>
      <c r="H4234">
        <v>0.2</v>
      </c>
      <c r="I4234">
        <v>0</v>
      </c>
      <c r="J4234">
        <v>48.494500000000002</v>
      </c>
      <c r="K4234">
        <v>542.75900000000001</v>
      </c>
      <c r="L4234" s="1">
        <f>0</f>
        <v>0</v>
      </c>
    </row>
    <row r="4235" spans="1:12" x14ac:dyDescent="0.25">
      <c r="A4235">
        <f>80876516*0.00001</f>
        <v>808.76516000000004</v>
      </c>
      <c r="B4235">
        <v>3516</v>
      </c>
      <c r="C4235">
        <v>16</v>
      </c>
      <c r="D4235" s="1">
        <f>251.517</f>
        <v>251.517</v>
      </c>
      <c r="E4235" s="1">
        <f>5253</f>
        <v>5253</v>
      </c>
      <c r="F4235">
        <v>1619</v>
      </c>
      <c r="G4235">
        <v>1</v>
      </c>
      <c r="H4235">
        <v>0.2</v>
      </c>
      <c r="I4235">
        <v>0</v>
      </c>
      <c r="J4235">
        <v>48.494500000000002</v>
      </c>
      <c r="K4235">
        <v>542.75900000000001</v>
      </c>
      <c r="L4235">
        <v>0</v>
      </c>
    </row>
    <row r="4236" spans="1:12" x14ac:dyDescent="0.25">
      <c r="A4236">
        <f>80876648*0.00001</f>
        <v>808.76648000000012</v>
      </c>
      <c r="B4236">
        <v>3516</v>
      </c>
      <c r="C4236">
        <v>17</v>
      </c>
      <c r="D4236">
        <v>251.517</v>
      </c>
      <c r="E4236">
        <v>5253</v>
      </c>
      <c r="F4236" s="1">
        <f>1619</f>
        <v>1619</v>
      </c>
      <c r="G4236" s="1">
        <f>1</f>
        <v>1</v>
      </c>
      <c r="H4236">
        <v>0.2</v>
      </c>
      <c r="I4236">
        <v>0</v>
      </c>
      <c r="J4236">
        <v>48.494500000000002</v>
      </c>
      <c r="K4236">
        <v>542.75900000000001</v>
      </c>
      <c r="L4236">
        <v>0</v>
      </c>
    </row>
    <row r="4237" spans="1:12" x14ac:dyDescent="0.25">
      <c r="A4237">
        <f>80876780*0.00001</f>
        <v>808.76780000000008</v>
      </c>
      <c r="B4237">
        <v>3516</v>
      </c>
      <c r="C4237">
        <v>18</v>
      </c>
      <c r="D4237">
        <v>251.517</v>
      </c>
      <c r="E4237">
        <v>5253</v>
      </c>
      <c r="F4237">
        <v>1619</v>
      </c>
      <c r="G4237">
        <v>1</v>
      </c>
      <c r="H4237" s="1">
        <f>0.2</f>
        <v>0.2</v>
      </c>
      <c r="I4237" s="1">
        <f>0</f>
        <v>0</v>
      </c>
      <c r="J4237">
        <v>48.494500000000002</v>
      </c>
      <c r="K4237">
        <v>542.75900000000001</v>
      </c>
      <c r="L4237">
        <v>0</v>
      </c>
    </row>
    <row r="4238" spans="1:12" x14ac:dyDescent="0.25">
      <c r="A4238">
        <f>80876912*0.00001</f>
        <v>808.76912000000004</v>
      </c>
      <c r="B4238">
        <v>3516</v>
      </c>
      <c r="C4238">
        <v>19</v>
      </c>
      <c r="D4238">
        <v>251.517</v>
      </c>
      <c r="E4238">
        <v>5253</v>
      </c>
      <c r="F4238">
        <v>1619</v>
      </c>
      <c r="G4238">
        <v>1</v>
      </c>
      <c r="H4238">
        <v>0.2</v>
      </c>
      <c r="I4238">
        <v>0</v>
      </c>
      <c r="J4238" s="1">
        <f>48.4682</f>
        <v>48.468200000000003</v>
      </c>
      <c r="K4238" s="1">
        <f>542.874</f>
        <v>542.87400000000002</v>
      </c>
      <c r="L4238">
        <v>0</v>
      </c>
    </row>
    <row r="4239" spans="1:12" x14ac:dyDescent="0.25">
      <c r="A4239">
        <f>80877044*0.00001</f>
        <v>808.77044000000012</v>
      </c>
      <c r="B4239">
        <v>3516</v>
      </c>
      <c r="C4239">
        <v>20</v>
      </c>
      <c r="D4239" s="1">
        <f>251.536</f>
        <v>251.536</v>
      </c>
      <c r="E4239">
        <v>5253</v>
      </c>
      <c r="F4239">
        <v>1619</v>
      </c>
      <c r="G4239">
        <v>1</v>
      </c>
      <c r="H4239">
        <v>0.2</v>
      </c>
      <c r="I4239">
        <v>0</v>
      </c>
      <c r="J4239">
        <v>48.468200000000003</v>
      </c>
      <c r="K4239">
        <v>542.87400000000002</v>
      </c>
      <c r="L4239" s="1">
        <f>0</f>
        <v>0</v>
      </c>
    </row>
    <row r="4240" spans="1:12" x14ac:dyDescent="0.25">
      <c r="A4240">
        <f>80877176*0.00001</f>
        <v>808.77176000000009</v>
      </c>
      <c r="B4240">
        <v>3516</v>
      </c>
      <c r="C4240">
        <v>21</v>
      </c>
      <c r="D4240">
        <v>251.536</v>
      </c>
      <c r="E4240" s="1">
        <f>5253</f>
        <v>5253</v>
      </c>
      <c r="F4240" s="1">
        <f>1619</f>
        <v>1619</v>
      </c>
      <c r="G4240">
        <v>1</v>
      </c>
      <c r="H4240">
        <v>0.2</v>
      </c>
      <c r="I4240">
        <v>0</v>
      </c>
      <c r="J4240">
        <v>48.468200000000003</v>
      </c>
      <c r="K4240">
        <v>542.87400000000002</v>
      </c>
      <c r="L4240">
        <v>0</v>
      </c>
    </row>
    <row r="4241" spans="1:12" x14ac:dyDescent="0.25">
      <c r="A4241">
        <f>80877308*0.00001</f>
        <v>808.77308000000005</v>
      </c>
      <c r="B4241">
        <v>3516</v>
      </c>
      <c r="C4241">
        <v>22</v>
      </c>
      <c r="D4241">
        <v>251.536</v>
      </c>
      <c r="E4241">
        <v>5253</v>
      </c>
      <c r="F4241">
        <v>1619</v>
      </c>
      <c r="G4241" s="1">
        <f>1</f>
        <v>1</v>
      </c>
      <c r="H4241" s="1">
        <f>0.2</f>
        <v>0.2</v>
      </c>
      <c r="I4241">
        <v>0</v>
      </c>
      <c r="J4241">
        <v>48.468200000000003</v>
      </c>
      <c r="K4241">
        <v>542.87400000000002</v>
      </c>
      <c r="L4241">
        <v>0</v>
      </c>
    </row>
    <row r="4242" spans="1:12" x14ac:dyDescent="0.25">
      <c r="A4242">
        <f>80877439*0.00001</f>
        <v>808.77439000000004</v>
      </c>
      <c r="B4242">
        <v>3516</v>
      </c>
      <c r="C4242">
        <v>23</v>
      </c>
      <c r="D4242">
        <v>251.536</v>
      </c>
      <c r="E4242">
        <v>5253</v>
      </c>
      <c r="F4242">
        <v>1619</v>
      </c>
      <c r="G4242">
        <v>1</v>
      </c>
      <c r="H4242">
        <v>0.2</v>
      </c>
      <c r="I4242" s="1">
        <f>0</f>
        <v>0</v>
      </c>
      <c r="J4242" s="1">
        <f>48.4516</f>
        <v>48.451599999999999</v>
      </c>
      <c r="K4242">
        <v>542.87400000000002</v>
      </c>
      <c r="L4242">
        <v>0</v>
      </c>
    </row>
    <row r="4243" spans="1:12" x14ac:dyDescent="0.25">
      <c r="A4243">
        <f>80877571*0.00001</f>
        <v>808.77571000000012</v>
      </c>
      <c r="B4243">
        <v>3516</v>
      </c>
      <c r="C4243">
        <v>24</v>
      </c>
      <c r="D4243">
        <v>251.536</v>
      </c>
      <c r="E4243">
        <v>5253</v>
      </c>
      <c r="F4243">
        <v>1619</v>
      </c>
      <c r="G4243">
        <v>1</v>
      </c>
      <c r="H4243">
        <v>0.2</v>
      </c>
      <c r="I4243">
        <v>0</v>
      </c>
      <c r="J4243">
        <v>48.451599999999999</v>
      </c>
      <c r="K4243" s="1">
        <f>542.939</f>
        <v>542.93899999999996</v>
      </c>
      <c r="L4243" s="1">
        <f>0</f>
        <v>0</v>
      </c>
    </row>
    <row r="4244" spans="1:12" x14ac:dyDescent="0.25">
      <c r="A4244">
        <f>80877703*0.00001</f>
        <v>808.77703000000008</v>
      </c>
      <c r="B4244">
        <v>3516</v>
      </c>
      <c r="C4244">
        <v>25</v>
      </c>
      <c r="D4244" s="1">
        <f>251.555</f>
        <v>251.55500000000001</v>
      </c>
      <c r="E4244" s="1">
        <f>5252</f>
        <v>5252</v>
      </c>
      <c r="F4244">
        <v>1619</v>
      </c>
      <c r="G4244">
        <v>1</v>
      </c>
      <c r="H4244">
        <v>0.2</v>
      </c>
      <c r="I4244">
        <v>0</v>
      </c>
      <c r="J4244">
        <v>48.451599999999999</v>
      </c>
      <c r="K4244">
        <v>542.93899999999996</v>
      </c>
      <c r="L4244">
        <v>0</v>
      </c>
    </row>
    <row r="4245" spans="1:12" x14ac:dyDescent="0.25">
      <c r="A4245">
        <f>80877835*0.00001</f>
        <v>808.77835000000005</v>
      </c>
      <c r="B4245">
        <v>3516</v>
      </c>
      <c r="C4245">
        <v>26</v>
      </c>
      <c r="D4245">
        <v>251.55500000000001</v>
      </c>
      <c r="E4245">
        <v>5252</v>
      </c>
      <c r="F4245" s="1">
        <f>1619</f>
        <v>1619</v>
      </c>
      <c r="G4245" s="1">
        <f>1</f>
        <v>1</v>
      </c>
      <c r="H4245">
        <v>0.2</v>
      </c>
      <c r="I4245">
        <v>0</v>
      </c>
      <c r="J4245">
        <v>48.451599999999999</v>
      </c>
      <c r="K4245">
        <v>542.93899999999996</v>
      </c>
      <c r="L4245">
        <v>0</v>
      </c>
    </row>
    <row r="4246" spans="1:12" x14ac:dyDescent="0.25">
      <c r="A4246">
        <f>80877967*0.00001</f>
        <v>808.77967000000001</v>
      </c>
      <c r="B4246">
        <v>3516</v>
      </c>
      <c r="C4246">
        <v>27</v>
      </c>
      <c r="D4246">
        <v>251.55500000000001</v>
      </c>
      <c r="E4246">
        <v>5252</v>
      </c>
      <c r="F4246">
        <v>1619</v>
      </c>
      <c r="G4246">
        <v>1</v>
      </c>
      <c r="H4246" s="1">
        <f>0.2</f>
        <v>0.2</v>
      </c>
      <c r="I4246" s="1">
        <f>0</f>
        <v>0</v>
      </c>
      <c r="J4246">
        <v>48.451599999999999</v>
      </c>
      <c r="K4246">
        <v>542.93899999999996</v>
      </c>
      <c r="L4246">
        <v>0</v>
      </c>
    </row>
    <row r="4247" spans="1:12" x14ac:dyDescent="0.25">
      <c r="A4247">
        <f>80878099*0.00001</f>
        <v>808.78099000000009</v>
      </c>
      <c r="B4247">
        <v>3516</v>
      </c>
      <c r="C4247">
        <v>28</v>
      </c>
      <c r="D4247">
        <v>251.55500000000001</v>
      </c>
      <c r="E4247">
        <v>5252</v>
      </c>
      <c r="F4247">
        <v>1619</v>
      </c>
      <c r="G4247">
        <v>1</v>
      </c>
      <c r="H4247">
        <v>0.2</v>
      </c>
      <c r="I4247">
        <v>0</v>
      </c>
      <c r="J4247" s="1">
        <f>48.435</f>
        <v>48.435000000000002</v>
      </c>
      <c r="K4247" s="1">
        <f>542.99</f>
        <v>542.99</v>
      </c>
      <c r="L4247">
        <v>0</v>
      </c>
    </row>
    <row r="4248" spans="1:12" x14ac:dyDescent="0.25">
      <c r="A4248">
        <f>80878231*0.00001</f>
        <v>808.78231000000005</v>
      </c>
      <c r="B4248">
        <v>3516</v>
      </c>
      <c r="C4248">
        <v>29</v>
      </c>
      <c r="D4248" s="1">
        <f>251.568</f>
        <v>251.56800000000001</v>
      </c>
      <c r="E4248">
        <v>5252</v>
      </c>
      <c r="F4248">
        <v>1619</v>
      </c>
      <c r="G4248">
        <v>1</v>
      </c>
      <c r="H4248">
        <v>0.2</v>
      </c>
      <c r="I4248">
        <v>0</v>
      </c>
      <c r="J4248">
        <v>48.435000000000002</v>
      </c>
      <c r="K4248">
        <v>542.99</v>
      </c>
      <c r="L4248" s="1">
        <f>0</f>
        <v>0</v>
      </c>
    </row>
    <row r="4249" spans="1:12" x14ac:dyDescent="0.25">
      <c r="A4249">
        <f>80878363*0.00001</f>
        <v>808.78363000000002</v>
      </c>
      <c r="B4249">
        <v>3516</v>
      </c>
      <c r="C4249">
        <v>30</v>
      </c>
      <c r="D4249">
        <v>251.56800000000001</v>
      </c>
      <c r="E4249" s="1">
        <f>5252</f>
        <v>5252</v>
      </c>
      <c r="F4249" s="1">
        <f>1619</f>
        <v>1619</v>
      </c>
      <c r="G4249">
        <v>1</v>
      </c>
      <c r="H4249">
        <v>0.2</v>
      </c>
      <c r="I4249">
        <v>0</v>
      </c>
      <c r="J4249">
        <v>48.435000000000002</v>
      </c>
      <c r="K4249">
        <v>542.99</v>
      </c>
      <c r="L4249">
        <v>0</v>
      </c>
    </row>
    <row r="4250" spans="1:12" x14ac:dyDescent="0.25">
      <c r="A4250">
        <f>80878495*0.00001</f>
        <v>808.78495000000009</v>
      </c>
      <c r="B4250">
        <v>3516</v>
      </c>
      <c r="C4250">
        <v>31</v>
      </c>
      <c r="D4250">
        <v>251.56800000000001</v>
      </c>
      <c r="E4250">
        <v>5252</v>
      </c>
      <c r="F4250">
        <v>1619</v>
      </c>
      <c r="G4250" s="1">
        <f>1</f>
        <v>1</v>
      </c>
      <c r="H4250" s="1">
        <f>0.2</f>
        <v>0.2</v>
      </c>
      <c r="I4250">
        <v>0</v>
      </c>
      <c r="J4250">
        <v>48.435000000000002</v>
      </c>
      <c r="K4250">
        <v>542.99</v>
      </c>
      <c r="L4250">
        <v>0</v>
      </c>
    </row>
    <row r="4251" spans="1:12" x14ac:dyDescent="0.25">
      <c r="A4251">
        <f>80878627*0.00001</f>
        <v>808.78627000000006</v>
      </c>
      <c r="B4251">
        <v>3516</v>
      </c>
      <c r="C4251">
        <v>32</v>
      </c>
      <c r="D4251">
        <v>251.56800000000001</v>
      </c>
      <c r="E4251">
        <v>5252</v>
      </c>
      <c r="F4251">
        <v>1619</v>
      </c>
      <c r="G4251">
        <v>1</v>
      </c>
      <c r="H4251">
        <v>0.2</v>
      </c>
      <c r="I4251" s="1">
        <f>0</f>
        <v>0</v>
      </c>
      <c r="J4251" s="1">
        <f>48.4245</f>
        <v>48.424500000000002</v>
      </c>
      <c r="K4251">
        <v>542.99</v>
      </c>
      <c r="L4251">
        <v>0</v>
      </c>
    </row>
    <row r="4252" spans="1:12" x14ac:dyDescent="0.25">
      <c r="A4252">
        <f>80878759*0.00001</f>
        <v>808.78759000000002</v>
      </c>
      <c r="B4252">
        <v>3516</v>
      </c>
      <c r="C4252">
        <v>33</v>
      </c>
      <c r="D4252">
        <v>251.56800000000001</v>
      </c>
      <c r="E4252">
        <v>5252</v>
      </c>
      <c r="F4252">
        <v>1619</v>
      </c>
      <c r="G4252">
        <v>1</v>
      </c>
      <c r="H4252">
        <v>0.2</v>
      </c>
      <c r="I4252">
        <v>0</v>
      </c>
      <c r="J4252">
        <v>48.424500000000002</v>
      </c>
      <c r="K4252" s="1">
        <f>543.054</f>
        <v>543.05399999999997</v>
      </c>
      <c r="L4252" s="1">
        <f>0</f>
        <v>0</v>
      </c>
    </row>
    <row r="4253" spans="1:12" x14ac:dyDescent="0.25">
      <c r="A4253">
        <f>80878891*0.00001</f>
        <v>808.7889100000001</v>
      </c>
      <c r="B4253">
        <v>3516</v>
      </c>
      <c r="C4253">
        <v>34</v>
      </c>
      <c r="D4253" s="1">
        <f>251.58</f>
        <v>251.58</v>
      </c>
      <c r="E4253" s="1">
        <f>5252</f>
        <v>5252</v>
      </c>
      <c r="F4253">
        <v>1619</v>
      </c>
      <c r="G4253">
        <v>1</v>
      </c>
      <c r="H4253">
        <v>0.2</v>
      </c>
      <c r="I4253">
        <v>0</v>
      </c>
      <c r="J4253">
        <v>48.424500000000002</v>
      </c>
      <c r="K4253">
        <v>543.05399999999997</v>
      </c>
      <c r="L4253">
        <v>0</v>
      </c>
    </row>
    <row r="4254" spans="1:12" x14ac:dyDescent="0.25">
      <c r="A4254">
        <f>80879023*0.00001</f>
        <v>808.79023000000007</v>
      </c>
      <c r="B4254">
        <v>3516</v>
      </c>
      <c r="C4254">
        <v>35</v>
      </c>
      <c r="D4254">
        <v>251.58</v>
      </c>
      <c r="E4254">
        <v>5252</v>
      </c>
      <c r="F4254" s="1">
        <f>1619</f>
        <v>1619</v>
      </c>
      <c r="G4254" s="1">
        <f>1</f>
        <v>1</v>
      </c>
      <c r="H4254">
        <v>0.2</v>
      </c>
      <c r="I4254">
        <v>0</v>
      </c>
      <c r="J4254">
        <v>48.424500000000002</v>
      </c>
      <c r="K4254">
        <v>543.05399999999997</v>
      </c>
      <c r="L4254">
        <v>0</v>
      </c>
    </row>
    <row r="4255" spans="1:12" x14ac:dyDescent="0.25">
      <c r="A4255">
        <f>80879155*0.00001</f>
        <v>808.79155000000003</v>
      </c>
      <c r="B4255">
        <v>3516</v>
      </c>
      <c r="C4255">
        <v>36</v>
      </c>
      <c r="D4255">
        <v>251.58</v>
      </c>
      <c r="E4255">
        <v>5252</v>
      </c>
      <c r="F4255">
        <v>1619</v>
      </c>
      <c r="G4255">
        <v>1</v>
      </c>
      <c r="H4255" s="1">
        <f>0.2</f>
        <v>0.2</v>
      </c>
      <c r="I4255" s="1">
        <f>0</f>
        <v>0</v>
      </c>
      <c r="J4255">
        <v>48.424500000000002</v>
      </c>
      <c r="K4255">
        <v>543.05399999999997</v>
      </c>
      <c r="L4255">
        <v>0</v>
      </c>
    </row>
    <row r="4256" spans="1:12" x14ac:dyDescent="0.25">
      <c r="A4256">
        <f>80879287*0.00001</f>
        <v>808.79287000000011</v>
      </c>
      <c r="B4256">
        <v>3516</v>
      </c>
      <c r="C4256">
        <v>37</v>
      </c>
      <c r="D4256">
        <v>251.58</v>
      </c>
      <c r="E4256">
        <v>5252</v>
      </c>
      <c r="F4256">
        <v>1619</v>
      </c>
      <c r="G4256">
        <v>1</v>
      </c>
      <c r="H4256">
        <v>0.2</v>
      </c>
      <c r="I4256">
        <v>0</v>
      </c>
      <c r="J4256" s="1">
        <f>48.4141</f>
        <v>48.414099999999998</v>
      </c>
      <c r="K4256" s="1">
        <f>543.106</f>
        <v>543.10599999999999</v>
      </c>
      <c r="L4256">
        <v>0</v>
      </c>
    </row>
    <row r="4257" spans="1:12" x14ac:dyDescent="0.25">
      <c r="A4257">
        <f>80879419*0.00001</f>
        <v>808.79419000000007</v>
      </c>
      <c r="B4257">
        <v>3516</v>
      </c>
      <c r="C4257">
        <v>38</v>
      </c>
      <c r="D4257" s="1">
        <f>251.588</f>
        <v>251.58799999999999</v>
      </c>
      <c r="E4257">
        <v>5252</v>
      </c>
      <c r="F4257">
        <v>1619</v>
      </c>
      <c r="G4257">
        <v>1</v>
      </c>
      <c r="H4257">
        <v>0.2</v>
      </c>
      <c r="I4257">
        <v>0</v>
      </c>
      <c r="J4257">
        <v>48.414099999999998</v>
      </c>
      <c r="K4257">
        <v>543.10599999999999</v>
      </c>
      <c r="L4257" s="1">
        <f>0</f>
        <v>0</v>
      </c>
    </row>
    <row r="4258" spans="1:12" x14ac:dyDescent="0.25">
      <c r="A4258">
        <f>80879551*0.00001</f>
        <v>808.79551000000004</v>
      </c>
      <c r="B4258">
        <v>3516</v>
      </c>
      <c r="C4258">
        <v>39</v>
      </c>
      <c r="D4258">
        <v>251.58799999999999</v>
      </c>
      <c r="E4258" s="1">
        <f>5252</f>
        <v>5252</v>
      </c>
      <c r="F4258" s="1">
        <f>1619</f>
        <v>1619</v>
      </c>
      <c r="G4258">
        <v>1</v>
      </c>
      <c r="H4258">
        <v>0.2</v>
      </c>
      <c r="I4258">
        <v>0</v>
      </c>
      <c r="J4258">
        <v>48.414099999999998</v>
      </c>
      <c r="K4258">
        <v>543.10599999999999</v>
      </c>
      <c r="L4258">
        <v>0</v>
      </c>
    </row>
    <row r="4259" spans="1:12" x14ac:dyDescent="0.25">
      <c r="A4259">
        <f>80879683*0.00001</f>
        <v>808.79683000000011</v>
      </c>
      <c r="B4259">
        <v>3516</v>
      </c>
      <c r="C4259">
        <v>40</v>
      </c>
      <c r="D4259">
        <v>251.58799999999999</v>
      </c>
      <c r="E4259">
        <v>5252</v>
      </c>
      <c r="F4259">
        <v>1619</v>
      </c>
      <c r="G4259" s="1">
        <f>1</f>
        <v>1</v>
      </c>
      <c r="H4259" s="1">
        <f>0.2</f>
        <v>0.2</v>
      </c>
      <c r="I4259">
        <v>0</v>
      </c>
      <c r="J4259">
        <v>48.414099999999998</v>
      </c>
      <c r="K4259">
        <v>543.10599999999999</v>
      </c>
      <c r="L4259">
        <v>0</v>
      </c>
    </row>
    <row r="4260" spans="1:12" x14ac:dyDescent="0.25">
      <c r="A4260">
        <f>80879815*0.00001</f>
        <v>808.79815000000008</v>
      </c>
      <c r="B4260">
        <v>3516</v>
      </c>
      <c r="C4260">
        <v>41</v>
      </c>
      <c r="D4260">
        <v>251.58799999999999</v>
      </c>
      <c r="E4260">
        <v>5252</v>
      </c>
      <c r="F4260">
        <v>1619</v>
      </c>
      <c r="G4260">
        <v>1</v>
      </c>
      <c r="H4260">
        <v>0.2</v>
      </c>
      <c r="I4260" s="1">
        <f>0</f>
        <v>0</v>
      </c>
      <c r="J4260" s="1">
        <f>48.4075</f>
        <v>48.407499999999999</v>
      </c>
      <c r="K4260">
        <v>543.10599999999999</v>
      </c>
      <c r="L4260">
        <v>0</v>
      </c>
    </row>
    <row r="4261" spans="1:12" x14ac:dyDescent="0.25">
      <c r="A4261">
        <f>80879947*0.00001</f>
        <v>808.79947000000004</v>
      </c>
      <c r="B4261">
        <v>3516</v>
      </c>
      <c r="C4261">
        <v>42</v>
      </c>
      <c r="D4261" s="1">
        <f>251.608</f>
        <v>251.608</v>
      </c>
      <c r="E4261" s="1">
        <f>5253</f>
        <v>5253</v>
      </c>
      <c r="F4261" s="1">
        <f>1619</f>
        <v>1619</v>
      </c>
      <c r="G4261" s="1">
        <f>1</f>
        <v>1</v>
      </c>
      <c r="H4261" s="1">
        <f>0.2</f>
        <v>0.2</v>
      </c>
      <c r="I4261" s="1">
        <f>0</f>
        <v>0</v>
      </c>
      <c r="J4261" s="1">
        <f>48.3899</f>
        <v>48.389899999999997</v>
      </c>
      <c r="K4261" s="1">
        <f>543.401</f>
        <v>543.40099999999995</v>
      </c>
      <c r="L4261" s="1">
        <f>0</f>
        <v>0</v>
      </c>
    </row>
    <row r="4262" spans="1:12" x14ac:dyDescent="0.25">
      <c r="A4262">
        <f>80882456*0.00001</f>
        <v>808.82456000000002</v>
      </c>
      <c r="B4262">
        <v>3516</v>
      </c>
      <c r="C4262">
        <v>61</v>
      </c>
      <c r="D4262" s="1">
        <f>251.611</f>
        <v>251.61099999999999</v>
      </c>
      <c r="E4262">
        <v>5253</v>
      </c>
      <c r="F4262">
        <v>1619</v>
      </c>
      <c r="G4262">
        <v>1</v>
      </c>
      <c r="H4262">
        <v>0.2</v>
      </c>
      <c r="I4262">
        <v>0</v>
      </c>
      <c r="J4262">
        <v>48.389899999999997</v>
      </c>
      <c r="K4262">
        <v>543.40099999999995</v>
      </c>
      <c r="L4262">
        <v>0</v>
      </c>
    </row>
    <row r="4263" spans="1:12" x14ac:dyDescent="0.25">
      <c r="A4263">
        <f>80882588*0.00001</f>
        <v>808.8258800000001</v>
      </c>
      <c r="B4263">
        <v>3516</v>
      </c>
      <c r="C4263">
        <v>62</v>
      </c>
      <c r="D4263">
        <v>251.61099999999999</v>
      </c>
      <c r="E4263">
        <v>5253</v>
      </c>
      <c r="F4263" s="1">
        <f>1619</f>
        <v>1619</v>
      </c>
      <c r="G4263">
        <v>1</v>
      </c>
      <c r="H4263">
        <v>0.2</v>
      </c>
      <c r="I4263">
        <v>0</v>
      </c>
      <c r="J4263">
        <v>48.389899999999997</v>
      </c>
      <c r="K4263">
        <v>543.40099999999995</v>
      </c>
      <c r="L4263">
        <v>0</v>
      </c>
    </row>
    <row r="4264" spans="1:12" x14ac:dyDescent="0.25">
      <c r="A4264">
        <f>80882720*0.00001</f>
        <v>808.82720000000006</v>
      </c>
      <c r="B4264">
        <v>3516</v>
      </c>
      <c r="C4264">
        <v>63</v>
      </c>
      <c r="D4264">
        <v>251.61099999999999</v>
      </c>
      <c r="E4264">
        <v>5253</v>
      </c>
      <c r="F4264">
        <v>1619</v>
      </c>
      <c r="G4264">
        <v>1</v>
      </c>
      <c r="H4264" s="1">
        <f>0.2</f>
        <v>0.2</v>
      </c>
      <c r="I4264">
        <v>0</v>
      </c>
      <c r="J4264">
        <v>48.389899999999997</v>
      </c>
      <c r="K4264">
        <v>543.40099999999995</v>
      </c>
      <c r="L4264">
        <v>0</v>
      </c>
    </row>
    <row r="4265" spans="1:12" x14ac:dyDescent="0.25">
      <c r="A4265">
        <f>80882852*0.00001</f>
        <v>808.82852000000003</v>
      </c>
      <c r="B4265">
        <v>3516</v>
      </c>
      <c r="C4265">
        <v>64</v>
      </c>
      <c r="D4265">
        <v>251.61099999999999</v>
      </c>
      <c r="E4265">
        <v>5253</v>
      </c>
      <c r="F4265">
        <v>1619</v>
      </c>
      <c r="G4265">
        <v>1</v>
      </c>
      <c r="H4265">
        <v>0.2</v>
      </c>
      <c r="I4265">
        <v>0</v>
      </c>
      <c r="J4265" s="1">
        <f>48.3873</f>
        <v>48.387300000000003</v>
      </c>
      <c r="K4265">
        <v>543.40099999999995</v>
      </c>
      <c r="L4265">
        <v>0</v>
      </c>
    </row>
    <row r="4266" spans="1:12" x14ac:dyDescent="0.25">
      <c r="A4266">
        <f>80882984*0.00001</f>
        <v>808.8298400000001</v>
      </c>
      <c r="B4266">
        <v>3516</v>
      </c>
      <c r="C4266">
        <v>65</v>
      </c>
      <c r="D4266">
        <v>251.61099999999999</v>
      </c>
      <c r="E4266">
        <v>5253</v>
      </c>
      <c r="F4266">
        <v>1619</v>
      </c>
      <c r="G4266">
        <v>1</v>
      </c>
      <c r="H4266">
        <v>0.2</v>
      </c>
      <c r="I4266">
        <v>0</v>
      </c>
      <c r="J4266">
        <v>48.387300000000003</v>
      </c>
      <c r="K4266">
        <v>543.40099999999995</v>
      </c>
      <c r="L4266" s="1">
        <f>0</f>
        <v>0</v>
      </c>
    </row>
    <row r="4267" spans="1:12" x14ac:dyDescent="0.25">
      <c r="A4267">
        <f>80883116*0.00001</f>
        <v>808.83116000000007</v>
      </c>
      <c r="B4267">
        <v>3516</v>
      </c>
      <c r="C4267">
        <v>66</v>
      </c>
      <c r="D4267">
        <v>251.61099999999999</v>
      </c>
      <c r="E4267" s="1">
        <f>5253</f>
        <v>5253</v>
      </c>
      <c r="F4267">
        <v>1619</v>
      </c>
      <c r="G4267">
        <v>1</v>
      </c>
      <c r="H4267">
        <v>0.2</v>
      </c>
      <c r="I4267">
        <v>0</v>
      </c>
      <c r="J4267">
        <v>48.387300000000003</v>
      </c>
      <c r="K4267">
        <v>543.40099999999995</v>
      </c>
      <c r="L4267">
        <v>0</v>
      </c>
    </row>
    <row r="4268" spans="1:12" x14ac:dyDescent="0.25">
      <c r="A4268">
        <f>80883247*0.00001</f>
        <v>808.83247000000006</v>
      </c>
      <c r="B4268">
        <v>3516</v>
      </c>
      <c r="C4268">
        <v>67</v>
      </c>
      <c r="D4268">
        <v>251.61099999999999</v>
      </c>
      <c r="E4268">
        <v>5253</v>
      </c>
      <c r="F4268">
        <v>1619</v>
      </c>
      <c r="G4268" s="1">
        <f>1</f>
        <v>1</v>
      </c>
      <c r="H4268">
        <v>0.2</v>
      </c>
      <c r="I4268">
        <v>0</v>
      </c>
      <c r="J4268">
        <v>48.387300000000003</v>
      </c>
      <c r="K4268">
        <v>543.40099999999995</v>
      </c>
      <c r="L4268">
        <v>0</v>
      </c>
    </row>
    <row r="4269" spans="1:12" x14ac:dyDescent="0.25">
      <c r="A4269">
        <f>80883379*0.00001</f>
        <v>808.83379000000002</v>
      </c>
      <c r="B4269">
        <v>3516</v>
      </c>
      <c r="C4269">
        <v>68</v>
      </c>
      <c r="D4269">
        <v>251.61099999999999</v>
      </c>
      <c r="E4269">
        <v>5253</v>
      </c>
      <c r="F4269">
        <v>1619</v>
      </c>
      <c r="G4269">
        <v>1</v>
      </c>
      <c r="H4269">
        <v>0.2</v>
      </c>
      <c r="I4269" s="1">
        <f>0</f>
        <v>0</v>
      </c>
      <c r="J4269">
        <v>48.387300000000003</v>
      </c>
      <c r="K4269">
        <v>543.40099999999995</v>
      </c>
      <c r="L4269">
        <v>0</v>
      </c>
    </row>
    <row r="4270" spans="1:12" x14ac:dyDescent="0.25">
      <c r="A4270">
        <f>80883511*0.00001</f>
        <v>808.8351100000001</v>
      </c>
      <c r="B4270">
        <v>3516</v>
      </c>
      <c r="C4270">
        <v>69</v>
      </c>
      <c r="D4270">
        <v>251.61099999999999</v>
      </c>
      <c r="E4270">
        <v>5253</v>
      </c>
      <c r="F4270">
        <v>1619</v>
      </c>
      <c r="G4270">
        <v>1</v>
      </c>
      <c r="H4270">
        <v>0.2</v>
      </c>
      <c r="I4270">
        <v>0</v>
      </c>
      <c r="J4270">
        <v>48.387300000000003</v>
      </c>
      <c r="K4270" s="1">
        <f>543.516</f>
        <v>543.51599999999996</v>
      </c>
      <c r="L4270">
        <v>0</v>
      </c>
    </row>
    <row r="4271" spans="1:12" x14ac:dyDescent="0.25">
      <c r="A4271">
        <f>80883642*0.00001</f>
        <v>808.83642000000009</v>
      </c>
      <c r="B4271">
        <v>3516</v>
      </c>
      <c r="C4271">
        <v>70</v>
      </c>
      <c r="D4271" s="1">
        <f>251.701</f>
        <v>251.70099999999999</v>
      </c>
      <c r="E4271">
        <v>5253</v>
      </c>
      <c r="F4271">
        <v>1619</v>
      </c>
      <c r="G4271">
        <v>1</v>
      </c>
      <c r="H4271">
        <v>0.2</v>
      </c>
      <c r="I4271">
        <v>0</v>
      </c>
      <c r="J4271">
        <v>48.387300000000003</v>
      </c>
      <c r="K4271">
        <v>543.51599999999996</v>
      </c>
      <c r="L4271">
        <v>0</v>
      </c>
    </row>
    <row r="4272" spans="1:12" x14ac:dyDescent="0.25">
      <c r="A4272">
        <f>80883774*0.00001</f>
        <v>808.83774000000005</v>
      </c>
      <c r="B4272">
        <v>3516</v>
      </c>
      <c r="C4272">
        <v>71</v>
      </c>
      <c r="D4272">
        <v>251.70099999999999</v>
      </c>
      <c r="E4272">
        <v>5253</v>
      </c>
      <c r="F4272" s="1">
        <f>1619</f>
        <v>1619</v>
      </c>
      <c r="G4272">
        <v>1</v>
      </c>
      <c r="H4272">
        <v>0.2</v>
      </c>
      <c r="I4272">
        <v>0</v>
      </c>
      <c r="J4272">
        <v>48.387300000000003</v>
      </c>
      <c r="K4272">
        <v>543.51599999999996</v>
      </c>
      <c r="L4272">
        <v>0</v>
      </c>
    </row>
    <row r="4273" spans="1:12" x14ac:dyDescent="0.25">
      <c r="A4273">
        <f>80883906*0.00001</f>
        <v>808.83906000000002</v>
      </c>
      <c r="B4273">
        <v>3516</v>
      </c>
      <c r="C4273">
        <v>72</v>
      </c>
      <c r="D4273">
        <v>251.70099999999999</v>
      </c>
      <c r="E4273">
        <v>5253</v>
      </c>
      <c r="F4273">
        <v>1619</v>
      </c>
      <c r="G4273">
        <v>1</v>
      </c>
      <c r="H4273" s="1">
        <f>0.2</f>
        <v>0.2</v>
      </c>
      <c r="I4273">
        <v>0</v>
      </c>
      <c r="J4273">
        <v>48.387300000000003</v>
      </c>
      <c r="K4273">
        <v>543.51599999999996</v>
      </c>
      <c r="L4273">
        <v>0</v>
      </c>
    </row>
    <row r="4274" spans="1:12" x14ac:dyDescent="0.25">
      <c r="A4274">
        <f>80884037*0.00001</f>
        <v>808.84037000000012</v>
      </c>
      <c r="B4274">
        <v>3516</v>
      </c>
      <c r="C4274">
        <v>73</v>
      </c>
      <c r="D4274">
        <v>251.70099999999999</v>
      </c>
      <c r="E4274">
        <v>5253</v>
      </c>
      <c r="F4274">
        <v>1619</v>
      </c>
      <c r="G4274">
        <v>1</v>
      </c>
      <c r="H4274">
        <v>0.2</v>
      </c>
      <c r="I4274">
        <v>0</v>
      </c>
      <c r="J4274" s="1">
        <f>48.256</f>
        <v>48.256</v>
      </c>
      <c r="K4274">
        <v>543.51599999999996</v>
      </c>
      <c r="L4274">
        <v>0</v>
      </c>
    </row>
    <row r="4275" spans="1:12" x14ac:dyDescent="0.25">
      <c r="A4275">
        <f>80884169*0.00001</f>
        <v>808.84169000000009</v>
      </c>
      <c r="B4275">
        <v>3516</v>
      </c>
      <c r="C4275">
        <v>74</v>
      </c>
      <c r="D4275">
        <v>251.70099999999999</v>
      </c>
      <c r="E4275">
        <v>5253</v>
      </c>
      <c r="F4275">
        <v>1619</v>
      </c>
      <c r="G4275">
        <v>1</v>
      </c>
      <c r="H4275">
        <v>0.2</v>
      </c>
      <c r="I4275">
        <v>0</v>
      </c>
      <c r="J4275">
        <v>48.256</v>
      </c>
      <c r="K4275">
        <v>543.51599999999996</v>
      </c>
      <c r="L4275" s="1">
        <f>0</f>
        <v>0</v>
      </c>
    </row>
    <row r="4276" spans="1:12" x14ac:dyDescent="0.25">
      <c r="A4276">
        <f>80884301*0.00001</f>
        <v>808.84301000000005</v>
      </c>
      <c r="B4276">
        <v>3516</v>
      </c>
      <c r="C4276">
        <v>75</v>
      </c>
      <c r="D4276">
        <v>251.70099999999999</v>
      </c>
      <c r="E4276" s="1">
        <f>5250</f>
        <v>5250</v>
      </c>
      <c r="F4276">
        <v>1619</v>
      </c>
      <c r="G4276">
        <v>1</v>
      </c>
      <c r="H4276">
        <v>0.2</v>
      </c>
      <c r="I4276">
        <v>0</v>
      </c>
      <c r="J4276">
        <v>48.256</v>
      </c>
      <c r="K4276">
        <v>543.51599999999996</v>
      </c>
      <c r="L4276">
        <v>0</v>
      </c>
    </row>
    <row r="4277" spans="1:12" x14ac:dyDescent="0.25">
      <c r="A4277">
        <f>80884432*0.00001</f>
        <v>808.84432000000004</v>
      </c>
      <c r="B4277">
        <v>3516</v>
      </c>
      <c r="C4277">
        <v>76</v>
      </c>
      <c r="D4277">
        <v>251.70099999999999</v>
      </c>
      <c r="E4277">
        <v>5250</v>
      </c>
      <c r="F4277">
        <v>1619</v>
      </c>
      <c r="G4277" s="1">
        <f>1</f>
        <v>1</v>
      </c>
      <c r="H4277">
        <v>0.2</v>
      </c>
      <c r="I4277">
        <v>0</v>
      </c>
      <c r="J4277">
        <v>48.256</v>
      </c>
      <c r="K4277">
        <v>543.51599999999996</v>
      </c>
      <c r="L4277">
        <v>0</v>
      </c>
    </row>
    <row r="4278" spans="1:12" x14ac:dyDescent="0.25">
      <c r="A4278">
        <f>80884564*0.00001</f>
        <v>808.84564000000012</v>
      </c>
      <c r="B4278">
        <v>3516</v>
      </c>
      <c r="C4278">
        <v>77</v>
      </c>
      <c r="D4278">
        <v>251.70099999999999</v>
      </c>
      <c r="E4278">
        <v>5250</v>
      </c>
      <c r="F4278">
        <v>1619</v>
      </c>
      <c r="G4278">
        <v>1</v>
      </c>
      <c r="H4278">
        <v>0.2</v>
      </c>
      <c r="I4278" s="1">
        <f>0</f>
        <v>0</v>
      </c>
      <c r="J4278">
        <v>48.256</v>
      </c>
      <c r="K4278">
        <v>543.51599999999996</v>
      </c>
      <c r="L4278">
        <v>0</v>
      </c>
    </row>
    <row r="4279" spans="1:12" x14ac:dyDescent="0.25">
      <c r="A4279">
        <f>80884695*0.00001</f>
        <v>808.84695000000011</v>
      </c>
      <c r="B4279">
        <v>3516</v>
      </c>
      <c r="C4279">
        <v>78</v>
      </c>
      <c r="D4279">
        <v>251.70099999999999</v>
      </c>
      <c r="E4279">
        <v>5250</v>
      </c>
      <c r="F4279">
        <v>1619</v>
      </c>
      <c r="G4279">
        <v>1</v>
      </c>
      <c r="H4279">
        <v>0.2</v>
      </c>
      <c r="I4279">
        <v>0</v>
      </c>
      <c r="J4279">
        <v>48.256</v>
      </c>
      <c r="K4279" s="1">
        <f>543.631</f>
        <v>543.63099999999997</v>
      </c>
      <c r="L4279">
        <v>0</v>
      </c>
    </row>
    <row r="4280" spans="1:12" x14ac:dyDescent="0.25">
      <c r="A4280">
        <f>80884826*0.00001</f>
        <v>808.8482600000001</v>
      </c>
      <c r="B4280">
        <v>3516</v>
      </c>
      <c r="C4280">
        <v>79</v>
      </c>
      <c r="D4280" s="1">
        <f>251.812</f>
        <v>251.81200000000001</v>
      </c>
      <c r="E4280">
        <v>5250</v>
      </c>
      <c r="F4280">
        <v>1619</v>
      </c>
      <c r="G4280">
        <v>1</v>
      </c>
      <c r="H4280">
        <v>0.2</v>
      </c>
      <c r="I4280">
        <v>0</v>
      </c>
      <c r="J4280">
        <v>48.256</v>
      </c>
      <c r="K4280">
        <v>543.63099999999997</v>
      </c>
      <c r="L4280">
        <v>0</v>
      </c>
    </row>
    <row r="4281" spans="1:12" x14ac:dyDescent="0.25">
      <c r="A4281">
        <f>80884958*0.00001</f>
        <v>808.84958000000006</v>
      </c>
      <c r="B4281">
        <v>3516</v>
      </c>
      <c r="C4281">
        <v>80</v>
      </c>
      <c r="D4281">
        <v>251.81200000000001</v>
      </c>
      <c r="E4281">
        <v>5250</v>
      </c>
      <c r="F4281" s="1">
        <f>1619</f>
        <v>1619</v>
      </c>
      <c r="G4281">
        <v>1</v>
      </c>
      <c r="H4281">
        <v>0.2</v>
      </c>
      <c r="I4281">
        <v>0</v>
      </c>
      <c r="J4281">
        <v>48.256</v>
      </c>
      <c r="K4281">
        <v>543.63099999999997</v>
      </c>
      <c r="L4281">
        <v>0</v>
      </c>
    </row>
    <row r="4282" spans="1:12" x14ac:dyDescent="0.25">
      <c r="A4282">
        <f>80885090*0.00001</f>
        <v>808.85090000000002</v>
      </c>
      <c r="B4282">
        <v>3516</v>
      </c>
      <c r="C4282">
        <v>81</v>
      </c>
      <c r="D4282">
        <v>251.81200000000001</v>
      </c>
      <c r="E4282">
        <v>5250</v>
      </c>
      <c r="F4282">
        <v>1619</v>
      </c>
      <c r="G4282">
        <v>1</v>
      </c>
      <c r="H4282" s="1">
        <f>0.2</f>
        <v>0.2</v>
      </c>
      <c r="I4282">
        <v>0</v>
      </c>
      <c r="J4282">
        <v>48.256</v>
      </c>
      <c r="K4282">
        <v>543.63099999999997</v>
      </c>
      <c r="L4282">
        <v>0</v>
      </c>
    </row>
    <row r="4283" spans="1:12" x14ac:dyDescent="0.25">
      <c r="A4283">
        <f>80885221*0.00001</f>
        <v>808.85221000000001</v>
      </c>
      <c r="B4283">
        <v>3516</v>
      </c>
      <c r="C4283">
        <v>82</v>
      </c>
      <c r="D4283">
        <v>251.81200000000001</v>
      </c>
      <c r="E4283">
        <v>5250</v>
      </c>
      <c r="F4283">
        <v>1619</v>
      </c>
      <c r="G4283">
        <v>1</v>
      </c>
      <c r="H4283">
        <v>0.2</v>
      </c>
      <c r="I4283">
        <v>0</v>
      </c>
      <c r="J4283" s="1">
        <f>48.1608</f>
        <v>48.160800000000002</v>
      </c>
      <c r="K4283">
        <v>543.63099999999997</v>
      </c>
      <c r="L4283">
        <v>0</v>
      </c>
    </row>
    <row r="4284" spans="1:12" x14ac:dyDescent="0.25">
      <c r="A4284">
        <f>80885353*0.00001</f>
        <v>808.85353000000009</v>
      </c>
      <c r="B4284">
        <v>3516</v>
      </c>
      <c r="C4284">
        <v>83</v>
      </c>
      <c r="D4284">
        <v>251.81200000000001</v>
      </c>
      <c r="E4284">
        <v>5250</v>
      </c>
      <c r="F4284">
        <v>1619</v>
      </c>
      <c r="G4284">
        <v>1</v>
      </c>
      <c r="H4284">
        <v>0.2</v>
      </c>
      <c r="I4284">
        <v>0</v>
      </c>
      <c r="J4284">
        <v>48.160800000000002</v>
      </c>
      <c r="K4284">
        <v>543.63099999999997</v>
      </c>
      <c r="L4284" s="1">
        <f>0</f>
        <v>0</v>
      </c>
    </row>
    <row r="4285" spans="1:12" x14ac:dyDescent="0.25">
      <c r="A4285">
        <f>80885485*0.00001</f>
        <v>808.85485000000006</v>
      </c>
      <c r="B4285">
        <v>3516</v>
      </c>
      <c r="C4285">
        <v>84</v>
      </c>
      <c r="D4285" s="1">
        <f>251.855</f>
        <v>251.85499999999999</v>
      </c>
      <c r="E4285" s="1">
        <f>5249</f>
        <v>5249</v>
      </c>
      <c r="F4285">
        <v>1619</v>
      </c>
      <c r="G4285">
        <v>1</v>
      </c>
      <c r="H4285">
        <v>0.2</v>
      </c>
      <c r="I4285">
        <v>0</v>
      </c>
      <c r="J4285">
        <v>48.160800000000002</v>
      </c>
      <c r="K4285">
        <v>543.63099999999997</v>
      </c>
      <c r="L4285">
        <v>0</v>
      </c>
    </row>
    <row r="4286" spans="1:12" x14ac:dyDescent="0.25">
      <c r="A4286">
        <f>80885616*0.00001</f>
        <v>808.85616000000005</v>
      </c>
      <c r="B4286">
        <v>3516</v>
      </c>
      <c r="C4286">
        <v>85</v>
      </c>
      <c r="D4286">
        <v>251.85499999999999</v>
      </c>
      <c r="E4286">
        <v>5249</v>
      </c>
      <c r="F4286" s="1">
        <f>1619</f>
        <v>1619</v>
      </c>
      <c r="G4286" s="1">
        <f>1</f>
        <v>1</v>
      </c>
      <c r="H4286">
        <v>0.2</v>
      </c>
      <c r="I4286">
        <v>0</v>
      </c>
      <c r="J4286">
        <v>48.160800000000002</v>
      </c>
      <c r="K4286">
        <v>543.63099999999997</v>
      </c>
      <c r="L4286">
        <v>0</v>
      </c>
    </row>
    <row r="4287" spans="1:12" x14ac:dyDescent="0.25">
      <c r="A4287">
        <f>80885748*0.00001</f>
        <v>808.85748000000001</v>
      </c>
      <c r="B4287">
        <v>3516</v>
      </c>
      <c r="C4287">
        <v>86</v>
      </c>
      <c r="D4287">
        <v>251.85499999999999</v>
      </c>
      <c r="E4287">
        <v>5249</v>
      </c>
      <c r="F4287">
        <v>1619</v>
      </c>
      <c r="G4287">
        <v>1</v>
      </c>
      <c r="H4287" s="1">
        <f>0.2</f>
        <v>0.2</v>
      </c>
      <c r="I4287" s="1">
        <f>0</f>
        <v>0</v>
      </c>
      <c r="J4287">
        <v>48.160800000000002</v>
      </c>
      <c r="K4287">
        <v>543.63099999999997</v>
      </c>
      <c r="L4287">
        <v>0</v>
      </c>
    </row>
    <row r="4288" spans="1:12" x14ac:dyDescent="0.25">
      <c r="A4288">
        <f>80885880*0.00001</f>
        <v>808.85880000000009</v>
      </c>
      <c r="B4288">
        <v>3516</v>
      </c>
      <c r="C4288">
        <v>87</v>
      </c>
      <c r="D4288">
        <v>251.85499999999999</v>
      </c>
      <c r="E4288">
        <v>5249</v>
      </c>
      <c r="F4288">
        <v>1619</v>
      </c>
      <c r="G4288">
        <v>1</v>
      </c>
      <c r="H4288">
        <v>0.2</v>
      </c>
      <c r="I4288">
        <v>0</v>
      </c>
      <c r="J4288" s="1">
        <f>48.1238</f>
        <v>48.123800000000003</v>
      </c>
      <c r="K4288" s="1">
        <f>543.746</f>
        <v>543.74599999999998</v>
      </c>
      <c r="L4288">
        <v>0</v>
      </c>
    </row>
    <row r="4289" spans="1:12" x14ac:dyDescent="0.25">
      <c r="A4289">
        <f>80886011*0.00001</f>
        <v>808.86011000000008</v>
      </c>
      <c r="B4289">
        <v>3516</v>
      </c>
      <c r="C4289">
        <v>88</v>
      </c>
      <c r="D4289" s="1">
        <f>251.882</f>
        <v>251.88200000000001</v>
      </c>
      <c r="E4289">
        <v>5249</v>
      </c>
      <c r="F4289">
        <v>1619</v>
      </c>
      <c r="G4289">
        <v>1</v>
      </c>
      <c r="H4289">
        <v>0.2</v>
      </c>
      <c r="I4289">
        <v>0</v>
      </c>
      <c r="J4289">
        <v>48.123800000000003</v>
      </c>
      <c r="K4289">
        <v>543.74599999999998</v>
      </c>
      <c r="L4289" s="1">
        <f>0</f>
        <v>0</v>
      </c>
    </row>
    <row r="4290" spans="1:12" x14ac:dyDescent="0.25">
      <c r="A4290">
        <f>80886143*0.00001</f>
        <v>808.86143000000004</v>
      </c>
      <c r="B4290">
        <v>3516</v>
      </c>
      <c r="C4290">
        <v>89</v>
      </c>
      <c r="D4290">
        <v>251.88200000000001</v>
      </c>
      <c r="E4290" s="1">
        <f>5248</f>
        <v>5248</v>
      </c>
      <c r="F4290" s="1">
        <f>1619</f>
        <v>1619</v>
      </c>
      <c r="G4290">
        <v>1</v>
      </c>
      <c r="H4290">
        <v>0.2</v>
      </c>
      <c r="I4290">
        <v>0</v>
      </c>
      <c r="J4290">
        <v>48.123800000000003</v>
      </c>
      <c r="K4290">
        <v>543.74599999999998</v>
      </c>
      <c r="L4290">
        <v>0</v>
      </c>
    </row>
    <row r="4291" spans="1:12" x14ac:dyDescent="0.25">
      <c r="A4291">
        <f>80886275*0.00001</f>
        <v>808.86275000000012</v>
      </c>
      <c r="B4291">
        <v>3516</v>
      </c>
      <c r="C4291">
        <v>90</v>
      </c>
      <c r="D4291">
        <v>251.88200000000001</v>
      </c>
      <c r="E4291">
        <v>5248</v>
      </c>
      <c r="F4291">
        <v>1619</v>
      </c>
      <c r="G4291" s="1">
        <f>1</f>
        <v>1</v>
      </c>
      <c r="H4291" s="1">
        <f>0.2</f>
        <v>0.2</v>
      </c>
      <c r="I4291">
        <v>0</v>
      </c>
      <c r="J4291">
        <v>48.123800000000003</v>
      </c>
      <c r="K4291">
        <v>543.74599999999998</v>
      </c>
      <c r="L4291">
        <v>0</v>
      </c>
    </row>
    <row r="4292" spans="1:12" x14ac:dyDescent="0.25">
      <c r="A4292">
        <f>80886406*0.00001</f>
        <v>808.86406000000011</v>
      </c>
      <c r="B4292">
        <v>3516</v>
      </c>
      <c r="C4292">
        <v>91</v>
      </c>
      <c r="D4292">
        <v>251.88200000000001</v>
      </c>
      <c r="E4292">
        <v>5248</v>
      </c>
      <c r="F4292">
        <v>1619</v>
      </c>
      <c r="G4292">
        <v>1</v>
      </c>
      <c r="H4292">
        <v>0.2</v>
      </c>
      <c r="I4292" s="1">
        <f>0</f>
        <v>0</v>
      </c>
      <c r="J4292" s="1">
        <f>48.1</f>
        <v>48.1</v>
      </c>
      <c r="K4292">
        <v>543.74599999999998</v>
      </c>
      <c r="L4292">
        <v>0</v>
      </c>
    </row>
    <row r="4293" spans="1:12" x14ac:dyDescent="0.25">
      <c r="A4293">
        <f>80886538*0.00001</f>
        <v>808.86538000000007</v>
      </c>
      <c r="B4293">
        <v>3516</v>
      </c>
      <c r="C4293">
        <v>92</v>
      </c>
      <c r="D4293">
        <v>251.88200000000001</v>
      </c>
      <c r="E4293">
        <v>5248</v>
      </c>
      <c r="F4293">
        <v>1619</v>
      </c>
      <c r="G4293">
        <v>1</v>
      </c>
      <c r="H4293">
        <v>0.2</v>
      </c>
      <c r="I4293">
        <v>0</v>
      </c>
      <c r="J4293">
        <v>48.1</v>
      </c>
      <c r="K4293" s="1">
        <f>543.81</f>
        <v>543.80999999999995</v>
      </c>
      <c r="L4293" s="1">
        <f>0</f>
        <v>0</v>
      </c>
    </row>
    <row r="4294" spans="1:12" x14ac:dyDescent="0.25">
      <c r="A4294">
        <f>80886670*0.00001</f>
        <v>808.86670000000004</v>
      </c>
      <c r="B4294">
        <v>3516</v>
      </c>
      <c r="C4294">
        <v>93</v>
      </c>
      <c r="D4294" s="1">
        <f>251.91</f>
        <v>251.91</v>
      </c>
      <c r="E4294" s="1">
        <f>5248</f>
        <v>5248</v>
      </c>
      <c r="F4294">
        <v>1619</v>
      </c>
      <c r="G4294">
        <v>1</v>
      </c>
      <c r="H4294">
        <v>0.2</v>
      </c>
      <c r="I4294">
        <v>0</v>
      </c>
      <c r="J4294">
        <v>48.1</v>
      </c>
      <c r="K4294">
        <v>543.80999999999995</v>
      </c>
      <c r="L4294">
        <v>0</v>
      </c>
    </row>
    <row r="4295" spans="1:12" x14ac:dyDescent="0.25">
      <c r="A4295">
        <f>80886801*0.00001</f>
        <v>808.86801000000003</v>
      </c>
      <c r="B4295">
        <v>3516</v>
      </c>
      <c r="C4295">
        <v>94</v>
      </c>
      <c r="D4295">
        <v>251.91</v>
      </c>
      <c r="E4295">
        <v>5248</v>
      </c>
      <c r="F4295" s="1">
        <f>1619</f>
        <v>1619</v>
      </c>
      <c r="G4295" s="1">
        <f>1</f>
        <v>1</v>
      </c>
      <c r="H4295">
        <v>0.2</v>
      </c>
      <c r="I4295">
        <v>0</v>
      </c>
      <c r="J4295">
        <v>48.1</v>
      </c>
      <c r="K4295">
        <v>543.80999999999995</v>
      </c>
      <c r="L4295">
        <v>0</v>
      </c>
    </row>
    <row r="4296" spans="1:12" x14ac:dyDescent="0.25">
      <c r="A4296">
        <f>80886933*0.00001</f>
        <v>808.8693300000001</v>
      </c>
      <c r="B4296">
        <v>3516</v>
      </c>
      <c r="C4296">
        <v>95</v>
      </c>
      <c r="D4296">
        <v>251.91</v>
      </c>
      <c r="E4296">
        <v>5248</v>
      </c>
      <c r="F4296">
        <v>1619</v>
      </c>
      <c r="G4296">
        <v>1</v>
      </c>
      <c r="H4296" s="1">
        <f>0.2</f>
        <v>0.2</v>
      </c>
      <c r="I4296" s="1">
        <f>0</f>
        <v>0</v>
      </c>
      <c r="J4296">
        <v>48.1</v>
      </c>
      <c r="K4296">
        <v>543.80999999999995</v>
      </c>
      <c r="L4296">
        <v>0</v>
      </c>
    </row>
    <row r="4297" spans="1:12" x14ac:dyDescent="0.25">
      <c r="A4297">
        <f>80887065*0.00001</f>
        <v>808.87065000000007</v>
      </c>
      <c r="B4297">
        <v>3516</v>
      </c>
      <c r="C4297">
        <v>96</v>
      </c>
      <c r="D4297">
        <v>251.91</v>
      </c>
      <c r="E4297">
        <v>5248</v>
      </c>
      <c r="F4297">
        <v>1619</v>
      </c>
      <c r="G4297">
        <v>1</v>
      </c>
      <c r="H4297">
        <v>0.2</v>
      </c>
      <c r="I4297">
        <v>0</v>
      </c>
      <c r="J4297" s="1">
        <f>48.0768</f>
        <v>48.076799999999999</v>
      </c>
      <c r="K4297" s="1">
        <f>543.86</f>
        <v>543.86</v>
      </c>
      <c r="L4297">
        <v>0</v>
      </c>
    </row>
    <row r="4298" spans="1:12" x14ac:dyDescent="0.25">
      <c r="A4298">
        <f>80887196*0.00001</f>
        <v>808.87196000000006</v>
      </c>
      <c r="B4298">
        <v>3516</v>
      </c>
      <c r="C4298">
        <v>97</v>
      </c>
      <c r="D4298" s="1">
        <f>251.927</f>
        <v>251.92699999999999</v>
      </c>
      <c r="E4298">
        <v>5248</v>
      </c>
      <c r="F4298">
        <v>1619</v>
      </c>
      <c r="G4298">
        <v>1</v>
      </c>
      <c r="H4298">
        <v>0.2</v>
      </c>
      <c r="I4298">
        <v>0</v>
      </c>
      <c r="J4298">
        <v>48.076799999999999</v>
      </c>
      <c r="K4298">
        <v>543.86</v>
      </c>
      <c r="L4298" s="1">
        <f>0</f>
        <v>0</v>
      </c>
    </row>
    <row r="4299" spans="1:12" x14ac:dyDescent="0.25">
      <c r="A4299">
        <f>80887328*0.00001</f>
        <v>808.87328000000002</v>
      </c>
      <c r="B4299">
        <v>3516</v>
      </c>
      <c r="C4299">
        <v>98</v>
      </c>
      <c r="D4299">
        <v>251.92699999999999</v>
      </c>
      <c r="E4299" s="1">
        <f>5248</f>
        <v>5248</v>
      </c>
      <c r="F4299" s="1">
        <f>1619</f>
        <v>1619</v>
      </c>
      <c r="G4299">
        <v>1</v>
      </c>
      <c r="H4299">
        <v>0.2</v>
      </c>
      <c r="I4299">
        <v>0</v>
      </c>
      <c r="J4299">
        <v>48.076799999999999</v>
      </c>
      <c r="K4299">
        <v>543.86</v>
      </c>
      <c r="L4299">
        <v>0</v>
      </c>
    </row>
    <row r="4300" spans="1:12" x14ac:dyDescent="0.25">
      <c r="A4300">
        <f>80887459*0.00001</f>
        <v>808.87459000000001</v>
      </c>
      <c r="B4300">
        <v>3516</v>
      </c>
      <c r="C4300">
        <v>99</v>
      </c>
      <c r="D4300">
        <v>251.92699999999999</v>
      </c>
      <c r="E4300">
        <v>5248</v>
      </c>
      <c r="F4300">
        <v>1619</v>
      </c>
      <c r="G4300" s="1">
        <f>1</f>
        <v>1</v>
      </c>
      <c r="H4300" s="1">
        <f>0.2</f>
        <v>0.2</v>
      </c>
      <c r="I4300">
        <v>0</v>
      </c>
      <c r="J4300">
        <v>48.076799999999999</v>
      </c>
      <c r="K4300">
        <v>543.86</v>
      </c>
      <c r="L4300">
        <v>0</v>
      </c>
    </row>
    <row r="4301" spans="1:12" x14ac:dyDescent="0.25">
      <c r="A4301">
        <f>80887590*0.00001</f>
        <v>808.87590000000012</v>
      </c>
      <c r="B4301">
        <v>3516</v>
      </c>
      <c r="C4301">
        <v>100</v>
      </c>
      <c r="D4301">
        <v>251.92699999999999</v>
      </c>
      <c r="E4301">
        <v>5248</v>
      </c>
      <c r="F4301">
        <v>1619</v>
      </c>
      <c r="G4301">
        <v>1</v>
      </c>
      <c r="H4301">
        <v>0.2</v>
      </c>
      <c r="I4301" s="1">
        <f>0</f>
        <v>0</v>
      </c>
      <c r="J4301" s="1">
        <f>48.0623</f>
        <v>48.0623</v>
      </c>
      <c r="K4301">
        <v>543.86</v>
      </c>
      <c r="L4301">
        <v>0</v>
      </c>
    </row>
    <row r="4302" spans="1:12" x14ac:dyDescent="0.25">
      <c r="A4302">
        <f>80887722*0.00001</f>
        <v>808.87722000000008</v>
      </c>
      <c r="B4302">
        <v>3516</v>
      </c>
      <c r="C4302">
        <v>101</v>
      </c>
      <c r="D4302">
        <v>251.92699999999999</v>
      </c>
      <c r="E4302">
        <v>5248</v>
      </c>
      <c r="F4302">
        <v>1619</v>
      </c>
      <c r="G4302">
        <v>1</v>
      </c>
      <c r="H4302">
        <v>0.2</v>
      </c>
      <c r="I4302">
        <v>0</v>
      </c>
      <c r="J4302">
        <v>48.0623</v>
      </c>
      <c r="K4302" s="1">
        <f>543.924</f>
        <v>543.92399999999998</v>
      </c>
      <c r="L4302" s="1">
        <f>0</f>
        <v>0</v>
      </c>
    </row>
    <row r="4303" spans="1:12" x14ac:dyDescent="0.25">
      <c r="A4303">
        <f>80887854*0.00001</f>
        <v>808.87854000000004</v>
      </c>
      <c r="B4303">
        <v>3516</v>
      </c>
      <c r="C4303">
        <v>102</v>
      </c>
      <c r="D4303" s="1">
        <f>251.944</f>
        <v>251.94399999999999</v>
      </c>
      <c r="E4303" s="1">
        <f>5248</f>
        <v>5248</v>
      </c>
      <c r="F4303">
        <v>1619</v>
      </c>
      <c r="G4303">
        <v>1</v>
      </c>
      <c r="H4303">
        <v>0.2</v>
      </c>
      <c r="I4303">
        <v>0</v>
      </c>
      <c r="J4303">
        <v>48.0623</v>
      </c>
      <c r="K4303">
        <v>543.92399999999998</v>
      </c>
      <c r="L4303">
        <v>0</v>
      </c>
    </row>
    <row r="4304" spans="1:12" x14ac:dyDescent="0.25">
      <c r="A4304">
        <f>80887985*0.00001</f>
        <v>808.87985000000003</v>
      </c>
      <c r="B4304">
        <v>3516</v>
      </c>
      <c r="C4304">
        <v>103</v>
      </c>
      <c r="D4304" s="1">
        <f>251.972</f>
        <v>251.97200000000001</v>
      </c>
      <c r="E4304" s="1">
        <f>5248</f>
        <v>5248</v>
      </c>
      <c r="F4304" s="1">
        <f>1619</f>
        <v>1619</v>
      </c>
      <c r="G4304" s="1">
        <f>1</f>
        <v>1</v>
      </c>
      <c r="H4304" s="1">
        <f>0.2</f>
        <v>0.2</v>
      </c>
      <c r="I4304" s="1">
        <f>0</f>
        <v>0</v>
      </c>
      <c r="J4304" s="1">
        <f>48.0293</f>
        <v>48.029299999999999</v>
      </c>
      <c r="K4304" s="1">
        <f>544.089</f>
        <v>544.08900000000006</v>
      </c>
      <c r="L4304" s="1">
        <f>0</f>
        <v>0</v>
      </c>
    </row>
    <row r="4305" spans="1:12" x14ac:dyDescent="0.25">
      <c r="A4305">
        <f>80889961*0.00001</f>
        <v>808.89961000000005</v>
      </c>
      <c r="B4305">
        <v>3516</v>
      </c>
      <c r="C4305">
        <v>118</v>
      </c>
      <c r="D4305">
        <v>251.97200000000001</v>
      </c>
      <c r="E4305">
        <v>5248</v>
      </c>
      <c r="F4305">
        <v>1619</v>
      </c>
      <c r="G4305">
        <v>1</v>
      </c>
      <c r="H4305">
        <v>0.2</v>
      </c>
      <c r="I4305" s="1">
        <f>0</f>
        <v>0</v>
      </c>
      <c r="J4305">
        <v>48.029299999999999</v>
      </c>
      <c r="K4305">
        <v>544.08900000000006</v>
      </c>
      <c r="L4305">
        <v>0</v>
      </c>
    </row>
    <row r="4306" spans="1:12" x14ac:dyDescent="0.25">
      <c r="A4306">
        <f>80890093*0.00001</f>
        <v>808.90093000000002</v>
      </c>
      <c r="B4306">
        <v>3516</v>
      </c>
      <c r="C4306">
        <v>119</v>
      </c>
      <c r="D4306">
        <v>251.97200000000001</v>
      </c>
      <c r="E4306">
        <v>5248</v>
      </c>
      <c r="F4306">
        <v>1619</v>
      </c>
      <c r="G4306">
        <v>1</v>
      </c>
      <c r="H4306">
        <v>0.2</v>
      </c>
      <c r="I4306">
        <v>0</v>
      </c>
      <c r="J4306">
        <v>48.029299999999999</v>
      </c>
      <c r="K4306" s="1">
        <f>544.152</f>
        <v>544.15200000000004</v>
      </c>
      <c r="L4306">
        <v>0</v>
      </c>
    </row>
    <row r="4307" spans="1:12" x14ac:dyDescent="0.25">
      <c r="A4307">
        <f>80890225*0.00001</f>
        <v>808.90225000000009</v>
      </c>
      <c r="B4307">
        <v>3516</v>
      </c>
      <c r="C4307">
        <v>120</v>
      </c>
      <c r="D4307" s="1">
        <f>251.979</f>
        <v>251.97900000000001</v>
      </c>
      <c r="E4307">
        <v>5248</v>
      </c>
      <c r="F4307">
        <v>1619</v>
      </c>
      <c r="G4307">
        <v>1</v>
      </c>
      <c r="H4307">
        <v>0.2</v>
      </c>
      <c r="I4307">
        <v>0</v>
      </c>
      <c r="J4307">
        <v>48.029299999999999</v>
      </c>
      <c r="K4307">
        <v>544.15200000000004</v>
      </c>
      <c r="L4307">
        <v>0</v>
      </c>
    </row>
    <row r="4308" spans="1:12" x14ac:dyDescent="0.25">
      <c r="A4308">
        <f>80890356*0.00001</f>
        <v>808.90356000000008</v>
      </c>
      <c r="B4308">
        <v>3516</v>
      </c>
      <c r="C4308">
        <v>121</v>
      </c>
      <c r="D4308">
        <v>251.97900000000001</v>
      </c>
      <c r="E4308">
        <v>5248</v>
      </c>
      <c r="F4308" s="1">
        <f>1619</f>
        <v>1619</v>
      </c>
      <c r="G4308">
        <v>1</v>
      </c>
      <c r="H4308">
        <v>0.2</v>
      </c>
      <c r="I4308">
        <v>0</v>
      </c>
      <c r="J4308">
        <v>48.029299999999999</v>
      </c>
      <c r="K4308">
        <v>544.15200000000004</v>
      </c>
      <c r="L4308">
        <v>0</v>
      </c>
    </row>
    <row r="4309" spans="1:12" x14ac:dyDescent="0.25">
      <c r="A4309">
        <f>80890488*0.00001</f>
        <v>808.90488000000005</v>
      </c>
      <c r="B4309">
        <v>3516</v>
      </c>
      <c r="C4309">
        <v>122</v>
      </c>
      <c r="D4309">
        <v>251.97900000000001</v>
      </c>
      <c r="E4309">
        <v>5248</v>
      </c>
      <c r="F4309">
        <v>1619</v>
      </c>
      <c r="G4309">
        <v>1</v>
      </c>
      <c r="H4309" s="1">
        <f>0.2</f>
        <v>0.2</v>
      </c>
      <c r="I4309">
        <v>0</v>
      </c>
      <c r="J4309">
        <v>48.029299999999999</v>
      </c>
      <c r="K4309">
        <v>544.15200000000004</v>
      </c>
      <c r="L4309">
        <v>0</v>
      </c>
    </row>
    <row r="4310" spans="1:12" x14ac:dyDescent="0.25">
      <c r="A4310">
        <f>80890620*0.00001</f>
        <v>808.90620000000001</v>
      </c>
      <c r="B4310">
        <v>3516</v>
      </c>
      <c r="C4310">
        <v>123</v>
      </c>
      <c r="D4310">
        <v>251.97900000000001</v>
      </c>
      <c r="E4310">
        <v>5248</v>
      </c>
      <c r="F4310">
        <v>1619</v>
      </c>
      <c r="G4310">
        <v>1</v>
      </c>
      <c r="H4310">
        <v>0.2</v>
      </c>
      <c r="I4310">
        <v>0</v>
      </c>
      <c r="J4310" s="1">
        <f>48.0178</f>
        <v>48.017800000000001</v>
      </c>
      <c r="K4310">
        <v>544.15200000000004</v>
      </c>
      <c r="L4310">
        <v>0</v>
      </c>
    </row>
    <row r="4311" spans="1:12" x14ac:dyDescent="0.25">
      <c r="A4311">
        <f>80890751*0.00001</f>
        <v>808.90751000000012</v>
      </c>
      <c r="B4311">
        <v>3516</v>
      </c>
      <c r="C4311">
        <v>124</v>
      </c>
      <c r="D4311">
        <v>251.97900000000001</v>
      </c>
      <c r="E4311">
        <v>5248</v>
      </c>
      <c r="F4311">
        <v>1619</v>
      </c>
      <c r="G4311">
        <v>1</v>
      </c>
      <c r="H4311">
        <v>0.2</v>
      </c>
      <c r="I4311">
        <v>0</v>
      </c>
      <c r="J4311">
        <v>48.017800000000001</v>
      </c>
      <c r="K4311">
        <v>544.15200000000004</v>
      </c>
      <c r="L4311" s="1">
        <f>0</f>
        <v>0</v>
      </c>
    </row>
    <row r="4312" spans="1:12" x14ac:dyDescent="0.25">
      <c r="A4312">
        <f>80890883*0.00001</f>
        <v>808.90883000000008</v>
      </c>
      <c r="B4312">
        <v>3516</v>
      </c>
      <c r="C4312">
        <v>125</v>
      </c>
      <c r="D4312">
        <v>251.97900000000001</v>
      </c>
      <c r="E4312" s="1">
        <f>5248</f>
        <v>5248</v>
      </c>
      <c r="F4312">
        <v>1619</v>
      </c>
      <c r="G4312">
        <v>1</v>
      </c>
      <c r="H4312">
        <v>0.2</v>
      </c>
      <c r="I4312">
        <v>0</v>
      </c>
      <c r="J4312">
        <v>48.017800000000001</v>
      </c>
      <c r="K4312">
        <v>544.15200000000004</v>
      </c>
      <c r="L4312">
        <v>0</v>
      </c>
    </row>
    <row r="4313" spans="1:12" x14ac:dyDescent="0.25">
      <c r="A4313">
        <f>80891015*0.00001</f>
        <v>808.91015000000004</v>
      </c>
      <c r="B4313">
        <v>3516</v>
      </c>
      <c r="C4313">
        <v>126</v>
      </c>
      <c r="D4313">
        <v>251.97900000000001</v>
      </c>
      <c r="E4313">
        <v>5248</v>
      </c>
      <c r="F4313">
        <v>1619</v>
      </c>
      <c r="G4313" s="1">
        <f>1</f>
        <v>1</v>
      </c>
      <c r="H4313">
        <v>0.2</v>
      </c>
      <c r="I4313">
        <v>0</v>
      </c>
      <c r="J4313">
        <v>48.017800000000001</v>
      </c>
      <c r="K4313">
        <v>544.15200000000004</v>
      </c>
      <c r="L4313">
        <v>0</v>
      </c>
    </row>
    <row r="4314" spans="1:12" x14ac:dyDescent="0.25">
      <c r="A4314">
        <f>80891146*0.00001</f>
        <v>808.91146000000003</v>
      </c>
      <c r="B4314">
        <v>3516</v>
      </c>
      <c r="C4314">
        <v>127</v>
      </c>
      <c r="D4314">
        <v>251.97900000000001</v>
      </c>
      <c r="E4314">
        <v>5248</v>
      </c>
      <c r="F4314">
        <v>1619</v>
      </c>
      <c r="G4314">
        <v>1</v>
      </c>
      <c r="H4314">
        <v>0.2</v>
      </c>
      <c r="I4314" s="1">
        <f>0</f>
        <v>0</v>
      </c>
      <c r="J4314">
        <v>48.017800000000001</v>
      </c>
      <c r="K4314">
        <v>544.15200000000004</v>
      </c>
      <c r="L4314">
        <v>0</v>
      </c>
    </row>
    <row r="4315" spans="1:12" x14ac:dyDescent="0.25">
      <c r="A4315">
        <f>80891278*0.00001</f>
        <v>808.91278000000011</v>
      </c>
      <c r="B4315">
        <v>3516</v>
      </c>
      <c r="C4315">
        <v>128</v>
      </c>
      <c r="D4315">
        <v>251.97900000000001</v>
      </c>
      <c r="E4315">
        <v>5248</v>
      </c>
      <c r="F4315">
        <v>1619</v>
      </c>
      <c r="G4315">
        <v>1</v>
      </c>
      <c r="H4315">
        <v>0.2</v>
      </c>
      <c r="I4315">
        <v>0</v>
      </c>
      <c r="J4315">
        <v>48.017800000000001</v>
      </c>
      <c r="K4315" s="1">
        <f>544.267</f>
        <v>544.26700000000005</v>
      </c>
      <c r="L4315">
        <v>0</v>
      </c>
    </row>
    <row r="4316" spans="1:12" x14ac:dyDescent="0.25">
      <c r="A4316">
        <f>80891410*0.00001</f>
        <v>808.91410000000008</v>
      </c>
      <c r="B4316">
        <v>3516</v>
      </c>
      <c r="C4316">
        <v>129</v>
      </c>
      <c r="D4316" s="1">
        <f>251.987</f>
        <v>251.98699999999999</v>
      </c>
      <c r="E4316">
        <v>5248</v>
      </c>
      <c r="F4316">
        <v>1619</v>
      </c>
      <c r="G4316">
        <v>1</v>
      </c>
      <c r="H4316">
        <v>0.2</v>
      </c>
      <c r="I4316">
        <v>0</v>
      </c>
      <c r="J4316">
        <v>48.017800000000001</v>
      </c>
      <c r="K4316">
        <v>544.26700000000005</v>
      </c>
      <c r="L4316">
        <v>0</v>
      </c>
    </row>
    <row r="4317" spans="1:12" x14ac:dyDescent="0.25">
      <c r="A4317">
        <f>80891541*0.00001</f>
        <v>808.91541000000007</v>
      </c>
      <c r="B4317">
        <v>3516</v>
      </c>
      <c r="C4317">
        <v>130</v>
      </c>
      <c r="D4317">
        <v>251.98699999999999</v>
      </c>
      <c r="E4317">
        <v>5248</v>
      </c>
      <c r="F4317" s="1">
        <f>1619</f>
        <v>1619</v>
      </c>
      <c r="G4317">
        <v>1</v>
      </c>
      <c r="H4317">
        <v>0.2</v>
      </c>
      <c r="I4317">
        <v>0</v>
      </c>
      <c r="J4317">
        <v>48.017800000000001</v>
      </c>
      <c r="K4317">
        <v>544.26700000000005</v>
      </c>
      <c r="L4317">
        <v>0</v>
      </c>
    </row>
    <row r="4318" spans="1:12" x14ac:dyDescent="0.25">
      <c r="A4318">
        <f>80891673*0.00001</f>
        <v>808.91673000000003</v>
      </c>
      <c r="B4318">
        <v>3516</v>
      </c>
      <c r="C4318">
        <v>131</v>
      </c>
      <c r="D4318">
        <v>251.98699999999999</v>
      </c>
      <c r="E4318">
        <v>5248</v>
      </c>
      <c r="F4318">
        <v>1619</v>
      </c>
      <c r="G4318">
        <v>1</v>
      </c>
      <c r="H4318" s="1">
        <f>0.2</f>
        <v>0.2</v>
      </c>
      <c r="I4318">
        <v>0</v>
      </c>
      <c r="J4318">
        <v>48.017800000000001</v>
      </c>
      <c r="K4318">
        <v>544.26700000000005</v>
      </c>
      <c r="L4318">
        <v>0</v>
      </c>
    </row>
    <row r="4319" spans="1:12" x14ac:dyDescent="0.25">
      <c r="A4319">
        <f>80891805*0.00001</f>
        <v>808.91805000000011</v>
      </c>
      <c r="B4319">
        <v>3516</v>
      </c>
      <c r="C4319">
        <v>132</v>
      </c>
      <c r="D4319">
        <v>251.98699999999999</v>
      </c>
      <c r="E4319">
        <v>5248</v>
      </c>
      <c r="F4319">
        <v>1619</v>
      </c>
      <c r="G4319">
        <v>1</v>
      </c>
      <c r="H4319">
        <v>0.2</v>
      </c>
      <c r="I4319">
        <v>0</v>
      </c>
      <c r="J4319" s="1">
        <f>48.0106</f>
        <v>48.010599999999997</v>
      </c>
      <c r="K4319">
        <v>544.26700000000005</v>
      </c>
      <c r="L4319">
        <v>0</v>
      </c>
    </row>
    <row r="4320" spans="1:12" x14ac:dyDescent="0.25">
      <c r="A4320">
        <f>80891936*0.00001</f>
        <v>808.9193600000001</v>
      </c>
      <c r="B4320">
        <v>3516</v>
      </c>
      <c r="C4320">
        <v>133</v>
      </c>
      <c r="D4320">
        <v>251.98699999999999</v>
      </c>
      <c r="E4320">
        <v>5248</v>
      </c>
      <c r="F4320">
        <v>1619</v>
      </c>
      <c r="G4320">
        <v>1</v>
      </c>
      <c r="H4320">
        <v>0.2</v>
      </c>
      <c r="I4320">
        <v>0</v>
      </c>
      <c r="J4320">
        <v>48.010599999999997</v>
      </c>
      <c r="K4320">
        <v>544.26700000000005</v>
      </c>
      <c r="L4320" s="1">
        <f>0</f>
        <v>0</v>
      </c>
    </row>
    <row r="4321" spans="1:12" x14ac:dyDescent="0.25">
      <c r="A4321">
        <f>80892068*0.00001</f>
        <v>808.92068000000006</v>
      </c>
      <c r="B4321">
        <v>3516</v>
      </c>
      <c r="C4321">
        <v>134</v>
      </c>
      <c r="D4321">
        <v>251.98699999999999</v>
      </c>
      <c r="E4321" s="1">
        <f>5249</f>
        <v>5249</v>
      </c>
      <c r="F4321">
        <v>1619</v>
      </c>
      <c r="G4321">
        <v>1</v>
      </c>
      <c r="H4321">
        <v>0.2</v>
      </c>
      <c r="I4321">
        <v>0</v>
      </c>
      <c r="J4321">
        <v>48.010599999999997</v>
      </c>
      <c r="K4321">
        <v>544.26700000000005</v>
      </c>
      <c r="L4321">
        <v>0</v>
      </c>
    </row>
    <row r="4322" spans="1:12" x14ac:dyDescent="0.25">
      <c r="A4322">
        <f>80892200*0.00001</f>
        <v>808.92200000000003</v>
      </c>
      <c r="B4322">
        <v>3516</v>
      </c>
      <c r="C4322">
        <v>135</v>
      </c>
      <c r="D4322">
        <v>251.98699999999999</v>
      </c>
      <c r="E4322">
        <v>5249</v>
      </c>
      <c r="F4322">
        <v>1619</v>
      </c>
      <c r="G4322" s="1">
        <f>1</f>
        <v>1</v>
      </c>
      <c r="H4322">
        <v>0.2</v>
      </c>
      <c r="I4322">
        <v>0</v>
      </c>
      <c r="J4322">
        <v>48.010599999999997</v>
      </c>
      <c r="K4322">
        <v>544.26700000000005</v>
      </c>
      <c r="L4322">
        <v>0</v>
      </c>
    </row>
    <row r="4323" spans="1:12" x14ac:dyDescent="0.25">
      <c r="A4323">
        <f>80892331*0.00001</f>
        <v>808.92331000000001</v>
      </c>
      <c r="B4323">
        <v>3516</v>
      </c>
      <c r="C4323">
        <v>136</v>
      </c>
      <c r="D4323">
        <v>251.98699999999999</v>
      </c>
      <c r="E4323">
        <v>5249</v>
      </c>
      <c r="F4323">
        <v>1619</v>
      </c>
      <c r="G4323">
        <v>1</v>
      </c>
      <c r="H4323">
        <v>0.2</v>
      </c>
      <c r="I4323" s="1">
        <f>0</f>
        <v>0</v>
      </c>
      <c r="J4323">
        <v>48.010599999999997</v>
      </c>
      <c r="K4323">
        <v>544.26700000000005</v>
      </c>
      <c r="L4323">
        <v>0</v>
      </c>
    </row>
    <row r="4324" spans="1:12" x14ac:dyDescent="0.25">
      <c r="A4324">
        <f>80892463*0.00001</f>
        <v>808.92463000000009</v>
      </c>
      <c r="B4324">
        <v>3516</v>
      </c>
      <c r="C4324">
        <v>137</v>
      </c>
      <c r="D4324">
        <v>251.98699999999999</v>
      </c>
      <c r="E4324">
        <v>5249</v>
      </c>
      <c r="F4324">
        <v>1619</v>
      </c>
      <c r="G4324">
        <v>1</v>
      </c>
      <c r="H4324">
        <v>0.2</v>
      </c>
      <c r="I4324">
        <v>0</v>
      </c>
      <c r="J4324">
        <v>48.010599999999997</v>
      </c>
      <c r="K4324" s="1">
        <f>544.381</f>
        <v>544.38099999999997</v>
      </c>
      <c r="L4324">
        <v>0</v>
      </c>
    </row>
    <row r="4325" spans="1:12" x14ac:dyDescent="0.25">
      <c r="A4325">
        <f>80892595*0.00001</f>
        <v>808.92595000000006</v>
      </c>
      <c r="B4325">
        <v>3516</v>
      </c>
      <c r="C4325">
        <v>138</v>
      </c>
      <c r="D4325" s="1">
        <f>251.993</f>
        <v>251.99299999999999</v>
      </c>
      <c r="E4325">
        <v>5249</v>
      </c>
      <c r="F4325">
        <v>1619</v>
      </c>
      <c r="G4325">
        <v>1</v>
      </c>
      <c r="H4325">
        <v>0.2</v>
      </c>
      <c r="I4325">
        <v>0</v>
      </c>
      <c r="J4325">
        <v>48.010599999999997</v>
      </c>
      <c r="K4325">
        <v>544.38099999999997</v>
      </c>
      <c r="L4325">
        <v>0</v>
      </c>
    </row>
    <row r="4326" spans="1:12" x14ac:dyDescent="0.25">
      <c r="A4326">
        <f>80892726*0.00001</f>
        <v>808.92726000000005</v>
      </c>
      <c r="B4326">
        <v>3516</v>
      </c>
      <c r="C4326">
        <v>139</v>
      </c>
      <c r="D4326">
        <v>251.99299999999999</v>
      </c>
      <c r="E4326">
        <v>5249</v>
      </c>
      <c r="F4326" s="1">
        <f>1619</f>
        <v>1619</v>
      </c>
      <c r="G4326">
        <v>1</v>
      </c>
      <c r="H4326">
        <v>0.2</v>
      </c>
      <c r="I4326">
        <v>0</v>
      </c>
      <c r="J4326">
        <v>48.010599999999997</v>
      </c>
      <c r="K4326">
        <v>544.38099999999997</v>
      </c>
      <c r="L4326">
        <v>0</v>
      </c>
    </row>
    <row r="4327" spans="1:12" x14ac:dyDescent="0.25">
      <c r="A4327">
        <f>80892858*0.00001</f>
        <v>808.92858000000001</v>
      </c>
      <c r="B4327">
        <v>3516</v>
      </c>
      <c r="C4327">
        <v>140</v>
      </c>
      <c r="D4327">
        <v>251.99299999999999</v>
      </c>
      <c r="E4327">
        <v>5249</v>
      </c>
      <c r="F4327">
        <v>1619</v>
      </c>
      <c r="G4327">
        <v>1</v>
      </c>
      <c r="H4327" s="1">
        <f>0.2</f>
        <v>0.2</v>
      </c>
      <c r="I4327">
        <v>0</v>
      </c>
      <c r="J4327">
        <v>48.010599999999997</v>
      </c>
      <c r="K4327">
        <v>544.38099999999997</v>
      </c>
      <c r="L4327">
        <v>0</v>
      </c>
    </row>
    <row r="4328" spans="1:12" x14ac:dyDescent="0.25">
      <c r="A4328">
        <f>80892990*0.00001</f>
        <v>808.92990000000009</v>
      </c>
      <c r="B4328">
        <v>3516</v>
      </c>
      <c r="C4328">
        <v>141</v>
      </c>
      <c r="D4328">
        <v>251.99299999999999</v>
      </c>
      <c r="E4328">
        <v>5249</v>
      </c>
      <c r="F4328">
        <v>1619</v>
      </c>
      <c r="G4328">
        <v>1</v>
      </c>
      <c r="H4328">
        <v>0.2</v>
      </c>
      <c r="I4328">
        <v>0</v>
      </c>
      <c r="J4328" s="1">
        <f>48.0057</f>
        <v>48.005699999999997</v>
      </c>
      <c r="K4328">
        <v>544.38099999999997</v>
      </c>
      <c r="L4328">
        <v>0</v>
      </c>
    </row>
    <row r="4329" spans="1:12" x14ac:dyDescent="0.25">
      <c r="A4329">
        <f>80893121*0.00001</f>
        <v>808.93121000000008</v>
      </c>
      <c r="B4329">
        <v>3516</v>
      </c>
      <c r="C4329">
        <v>142</v>
      </c>
      <c r="D4329">
        <v>251.99299999999999</v>
      </c>
      <c r="E4329">
        <v>5249</v>
      </c>
      <c r="F4329">
        <v>1619</v>
      </c>
      <c r="G4329">
        <v>1</v>
      </c>
      <c r="H4329">
        <v>0.2</v>
      </c>
      <c r="I4329">
        <v>0</v>
      </c>
      <c r="J4329">
        <v>48.005699999999997</v>
      </c>
      <c r="K4329">
        <v>544.38099999999997</v>
      </c>
      <c r="L4329" s="1">
        <f>0</f>
        <v>0</v>
      </c>
    </row>
    <row r="4330" spans="1:12" x14ac:dyDescent="0.25">
      <c r="A4330">
        <f>80893253*0.00001</f>
        <v>808.93253000000004</v>
      </c>
      <c r="B4330">
        <v>3516</v>
      </c>
      <c r="C4330">
        <v>143</v>
      </c>
      <c r="D4330">
        <v>251.99299999999999</v>
      </c>
      <c r="E4330" s="1">
        <f>5249</f>
        <v>5249</v>
      </c>
      <c r="F4330">
        <v>1619</v>
      </c>
      <c r="G4330">
        <v>1</v>
      </c>
      <c r="H4330">
        <v>0.2</v>
      </c>
      <c r="I4330">
        <v>0</v>
      </c>
      <c r="J4330">
        <v>48.005699999999997</v>
      </c>
      <c r="K4330">
        <v>544.38099999999997</v>
      </c>
      <c r="L4330">
        <v>0</v>
      </c>
    </row>
    <row r="4331" spans="1:12" x14ac:dyDescent="0.25">
      <c r="A4331">
        <f>80893385*0.00001</f>
        <v>808.93385000000012</v>
      </c>
      <c r="B4331">
        <v>3516</v>
      </c>
      <c r="C4331">
        <v>144</v>
      </c>
      <c r="D4331">
        <v>251.99299999999999</v>
      </c>
      <c r="E4331">
        <v>5249</v>
      </c>
      <c r="F4331">
        <v>1619</v>
      </c>
      <c r="G4331" s="1">
        <f>1</f>
        <v>1</v>
      </c>
      <c r="H4331">
        <v>0.2</v>
      </c>
      <c r="I4331">
        <v>0</v>
      </c>
      <c r="J4331">
        <v>48.005699999999997</v>
      </c>
      <c r="K4331">
        <v>544.38099999999997</v>
      </c>
      <c r="L4331">
        <v>0</v>
      </c>
    </row>
    <row r="4332" spans="1:12" x14ac:dyDescent="0.25">
      <c r="A4332">
        <f>80893516*0.00001</f>
        <v>808.93516000000011</v>
      </c>
      <c r="B4332">
        <v>3516</v>
      </c>
      <c r="C4332">
        <v>145</v>
      </c>
      <c r="D4332">
        <v>251.99299999999999</v>
      </c>
      <c r="E4332">
        <v>5249</v>
      </c>
      <c r="F4332">
        <v>1619</v>
      </c>
      <c r="G4332">
        <v>1</v>
      </c>
      <c r="H4332">
        <v>0.2</v>
      </c>
      <c r="I4332" s="1">
        <f>0</f>
        <v>0</v>
      </c>
      <c r="J4332">
        <v>48.005699999999997</v>
      </c>
      <c r="K4332">
        <v>544.38099999999997</v>
      </c>
      <c r="L4332">
        <v>0</v>
      </c>
    </row>
    <row r="4333" spans="1:12" x14ac:dyDescent="0.25">
      <c r="A4333">
        <f>80893648*0.00001</f>
        <v>808.93648000000007</v>
      </c>
      <c r="B4333">
        <v>3516</v>
      </c>
      <c r="C4333">
        <v>146</v>
      </c>
      <c r="D4333">
        <v>251.99299999999999</v>
      </c>
      <c r="E4333">
        <v>5249</v>
      </c>
      <c r="F4333">
        <v>1619</v>
      </c>
      <c r="G4333">
        <v>1</v>
      </c>
      <c r="H4333">
        <v>0.2</v>
      </c>
      <c r="I4333">
        <v>0</v>
      </c>
      <c r="J4333">
        <v>48.005699999999997</v>
      </c>
      <c r="K4333" s="1">
        <f>544.495</f>
        <v>544.495</v>
      </c>
      <c r="L4333">
        <v>0</v>
      </c>
    </row>
    <row r="4334" spans="1:12" x14ac:dyDescent="0.25">
      <c r="A4334">
        <f>80893780*0.00001</f>
        <v>808.93780000000004</v>
      </c>
      <c r="B4334">
        <v>3516</v>
      </c>
      <c r="C4334">
        <v>147</v>
      </c>
      <c r="D4334" s="1">
        <f>252.034</f>
        <v>252.03399999999999</v>
      </c>
      <c r="E4334">
        <v>5249</v>
      </c>
      <c r="F4334">
        <v>1619</v>
      </c>
      <c r="G4334">
        <v>1</v>
      </c>
      <c r="H4334">
        <v>0.2</v>
      </c>
      <c r="I4334">
        <v>0</v>
      </c>
      <c r="J4334">
        <v>48.005699999999997</v>
      </c>
      <c r="K4334">
        <v>544.495</v>
      </c>
      <c r="L4334" s="1">
        <f>0</f>
        <v>0</v>
      </c>
    </row>
    <row r="4335" spans="1:12" x14ac:dyDescent="0.25">
      <c r="A4335">
        <f>80893912*0.00001</f>
        <v>808.93912000000012</v>
      </c>
      <c r="B4335">
        <v>3516</v>
      </c>
      <c r="C4335">
        <v>148</v>
      </c>
      <c r="D4335">
        <v>252.03399999999999</v>
      </c>
      <c r="E4335" s="1">
        <f>5248</f>
        <v>5248</v>
      </c>
      <c r="F4335" s="1">
        <f>1619</f>
        <v>1619</v>
      </c>
      <c r="G4335">
        <v>1</v>
      </c>
      <c r="H4335">
        <v>0.2</v>
      </c>
      <c r="I4335">
        <v>0</v>
      </c>
      <c r="J4335">
        <v>48.005699999999997</v>
      </c>
      <c r="K4335">
        <v>544.495</v>
      </c>
      <c r="L4335">
        <v>0</v>
      </c>
    </row>
    <row r="4336" spans="1:12" x14ac:dyDescent="0.25">
      <c r="A4336">
        <f>80894044*0.00001</f>
        <v>808.94044000000008</v>
      </c>
      <c r="B4336">
        <v>3516</v>
      </c>
      <c r="C4336">
        <v>149</v>
      </c>
      <c r="D4336">
        <v>252.03399999999999</v>
      </c>
      <c r="E4336">
        <v>5248</v>
      </c>
      <c r="F4336">
        <v>1619</v>
      </c>
      <c r="G4336" s="1">
        <f>1</f>
        <v>1</v>
      </c>
      <c r="H4336" s="1">
        <f>0.2</f>
        <v>0.2</v>
      </c>
      <c r="I4336">
        <v>0</v>
      </c>
      <c r="J4336">
        <v>48.005699999999997</v>
      </c>
      <c r="K4336">
        <v>544.495</v>
      </c>
      <c r="L4336">
        <v>0</v>
      </c>
    </row>
    <row r="4337" spans="1:12" x14ac:dyDescent="0.25">
      <c r="A4337">
        <f>80894175*0.00001</f>
        <v>808.94175000000007</v>
      </c>
      <c r="B4337">
        <v>3516</v>
      </c>
      <c r="C4337">
        <v>150</v>
      </c>
      <c r="D4337">
        <v>252.03399999999999</v>
      </c>
      <c r="E4337">
        <v>5248</v>
      </c>
      <c r="F4337">
        <v>1619</v>
      </c>
      <c r="G4337">
        <v>1</v>
      </c>
      <c r="H4337">
        <v>0.2</v>
      </c>
      <c r="I4337" s="1">
        <f>0</f>
        <v>0</v>
      </c>
      <c r="J4337" s="1">
        <f>47.9164</f>
        <v>47.916400000000003</v>
      </c>
      <c r="K4337">
        <v>544.495</v>
      </c>
      <c r="L4337">
        <v>0</v>
      </c>
    </row>
    <row r="4338" spans="1:12" x14ac:dyDescent="0.25">
      <c r="A4338">
        <f>80894306*0.00001</f>
        <v>808.94306000000006</v>
      </c>
      <c r="B4338">
        <v>3516</v>
      </c>
      <c r="C4338">
        <v>151</v>
      </c>
      <c r="D4338">
        <v>252.03399999999999</v>
      </c>
      <c r="E4338">
        <v>5248</v>
      </c>
      <c r="F4338">
        <v>1619</v>
      </c>
      <c r="G4338">
        <v>1</v>
      </c>
      <c r="H4338">
        <v>0.2</v>
      </c>
      <c r="I4338">
        <v>0</v>
      </c>
      <c r="J4338">
        <v>47.916400000000003</v>
      </c>
      <c r="K4338" s="1">
        <f>544.558</f>
        <v>544.55799999999999</v>
      </c>
      <c r="L4338" s="1">
        <f>0</f>
        <v>0</v>
      </c>
    </row>
    <row r="4339" spans="1:12" x14ac:dyDescent="0.25">
      <c r="A4339">
        <f>80894437*0.00001</f>
        <v>808.94437000000005</v>
      </c>
      <c r="B4339">
        <v>3516</v>
      </c>
      <c r="C4339">
        <v>152</v>
      </c>
      <c r="D4339" s="1">
        <f>252.113</f>
        <v>252.113</v>
      </c>
      <c r="E4339" s="1">
        <f>5247</f>
        <v>5247</v>
      </c>
      <c r="F4339">
        <v>1619</v>
      </c>
      <c r="G4339">
        <v>1</v>
      </c>
      <c r="H4339">
        <v>0.2</v>
      </c>
      <c r="I4339">
        <v>0</v>
      </c>
      <c r="J4339">
        <v>47.916400000000003</v>
      </c>
      <c r="K4339">
        <v>544.55799999999999</v>
      </c>
      <c r="L4339">
        <v>0</v>
      </c>
    </row>
    <row r="4340" spans="1:12" x14ac:dyDescent="0.25">
      <c r="A4340">
        <f>80894569*0.00001</f>
        <v>808.94569000000001</v>
      </c>
      <c r="B4340">
        <v>3516</v>
      </c>
      <c r="C4340">
        <v>153</v>
      </c>
      <c r="D4340">
        <v>252.113</v>
      </c>
      <c r="E4340">
        <v>5247</v>
      </c>
      <c r="F4340" s="1">
        <f>1619</f>
        <v>1619</v>
      </c>
      <c r="G4340" s="1">
        <f>1</f>
        <v>1</v>
      </c>
      <c r="H4340">
        <v>0.2</v>
      </c>
      <c r="I4340">
        <v>0</v>
      </c>
      <c r="J4340">
        <v>47.916400000000003</v>
      </c>
      <c r="K4340">
        <v>544.55799999999999</v>
      </c>
      <c r="L4340">
        <v>0</v>
      </c>
    </row>
    <row r="4341" spans="1:12" x14ac:dyDescent="0.25">
      <c r="A4341">
        <f>80894701*0.00001</f>
        <v>808.94701000000009</v>
      </c>
      <c r="B4341">
        <v>3516</v>
      </c>
      <c r="C4341">
        <v>154</v>
      </c>
      <c r="D4341">
        <v>252.113</v>
      </c>
      <c r="E4341">
        <v>5247</v>
      </c>
      <c r="F4341">
        <v>1619</v>
      </c>
      <c r="G4341">
        <v>1</v>
      </c>
      <c r="H4341" s="1">
        <f>0.2</f>
        <v>0.2</v>
      </c>
      <c r="I4341" s="1">
        <f>0</f>
        <v>0</v>
      </c>
      <c r="J4341">
        <v>47.916400000000003</v>
      </c>
      <c r="K4341">
        <v>544.55799999999999</v>
      </c>
      <c r="L4341">
        <v>0</v>
      </c>
    </row>
    <row r="4342" spans="1:12" x14ac:dyDescent="0.25">
      <c r="A4342">
        <f>80894833*0.00001</f>
        <v>808.94833000000006</v>
      </c>
      <c r="B4342">
        <v>3516</v>
      </c>
      <c r="C4342">
        <v>155</v>
      </c>
      <c r="D4342">
        <v>252.113</v>
      </c>
      <c r="E4342">
        <v>5247</v>
      </c>
      <c r="F4342">
        <v>1619</v>
      </c>
      <c r="G4342">
        <v>1</v>
      </c>
      <c r="H4342">
        <v>0.2</v>
      </c>
      <c r="I4342">
        <v>0</v>
      </c>
      <c r="J4342" s="1">
        <f>47.8483</f>
        <v>47.848300000000002</v>
      </c>
      <c r="K4342" s="1">
        <f>544.609</f>
        <v>544.60900000000004</v>
      </c>
      <c r="L4342">
        <v>0</v>
      </c>
    </row>
    <row r="4343" spans="1:12" x14ac:dyDescent="0.25">
      <c r="A4343">
        <f>80894965*0.00001</f>
        <v>808.94965000000002</v>
      </c>
      <c r="B4343">
        <v>3516</v>
      </c>
      <c r="C4343">
        <v>156</v>
      </c>
      <c r="D4343" s="1">
        <f>252.163</f>
        <v>252.16300000000001</v>
      </c>
      <c r="E4343">
        <v>5247</v>
      </c>
      <c r="F4343">
        <v>1619</v>
      </c>
      <c r="G4343">
        <v>1</v>
      </c>
      <c r="H4343">
        <v>0.2</v>
      </c>
      <c r="I4343">
        <v>0</v>
      </c>
      <c r="J4343">
        <v>47.848300000000002</v>
      </c>
      <c r="K4343">
        <v>544.60900000000004</v>
      </c>
      <c r="L4343" s="1">
        <f>0</f>
        <v>0</v>
      </c>
    </row>
    <row r="4344" spans="1:12" x14ac:dyDescent="0.25">
      <c r="A4344">
        <f>80895097*0.00001</f>
        <v>808.9509700000001</v>
      </c>
      <c r="B4344">
        <v>3516</v>
      </c>
      <c r="C4344">
        <v>157</v>
      </c>
      <c r="D4344">
        <v>252.16300000000001</v>
      </c>
      <c r="E4344" s="1">
        <f>5246</f>
        <v>5246</v>
      </c>
      <c r="F4344" s="1">
        <f>1619</f>
        <v>1619</v>
      </c>
      <c r="G4344">
        <v>1</v>
      </c>
      <c r="H4344">
        <v>0.2</v>
      </c>
      <c r="I4344">
        <v>0</v>
      </c>
      <c r="J4344">
        <v>47.848300000000002</v>
      </c>
      <c r="K4344">
        <v>544.60900000000004</v>
      </c>
      <c r="L4344">
        <v>0</v>
      </c>
    </row>
    <row r="4345" spans="1:12" x14ac:dyDescent="0.25">
      <c r="A4345">
        <f>80895228*0.00001</f>
        <v>808.95228000000009</v>
      </c>
      <c r="B4345">
        <v>3516</v>
      </c>
      <c r="C4345">
        <v>158</v>
      </c>
      <c r="D4345">
        <v>252.16300000000001</v>
      </c>
      <c r="E4345">
        <v>5246</v>
      </c>
      <c r="F4345">
        <v>1619</v>
      </c>
      <c r="G4345" s="1">
        <f>1</f>
        <v>1</v>
      </c>
      <c r="H4345" s="1">
        <f>0.2</f>
        <v>0.2</v>
      </c>
      <c r="I4345">
        <v>0</v>
      </c>
      <c r="J4345">
        <v>47.848300000000002</v>
      </c>
      <c r="K4345">
        <v>544.60900000000004</v>
      </c>
      <c r="L4345">
        <v>0</v>
      </c>
    </row>
    <row r="4346" spans="1:12" x14ac:dyDescent="0.25">
      <c r="A4346">
        <f>80895359*0.00001</f>
        <v>808.95359000000008</v>
      </c>
      <c r="B4346">
        <v>3516</v>
      </c>
      <c r="C4346">
        <v>159</v>
      </c>
      <c r="D4346">
        <v>252.16300000000001</v>
      </c>
      <c r="E4346">
        <v>5246</v>
      </c>
      <c r="F4346">
        <v>1619</v>
      </c>
      <c r="G4346">
        <v>1</v>
      </c>
      <c r="H4346">
        <v>0.2</v>
      </c>
      <c r="I4346" s="1">
        <f>0</f>
        <v>0</v>
      </c>
      <c r="J4346" s="1">
        <f>47.8049</f>
        <v>47.804900000000004</v>
      </c>
      <c r="K4346">
        <v>544.60900000000004</v>
      </c>
      <c r="L4346">
        <v>0</v>
      </c>
    </row>
    <row r="4347" spans="1:12" x14ac:dyDescent="0.25">
      <c r="A4347">
        <f>80895490*0.00001</f>
        <v>808.95490000000007</v>
      </c>
      <c r="B4347">
        <v>3516</v>
      </c>
      <c r="C4347">
        <v>160</v>
      </c>
      <c r="D4347">
        <v>252.16300000000001</v>
      </c>
      <c r="E4347">
        <v>5246</v>
      </c>
      <c r="F4347">
        <v>1619</v>
      </c>
      <c r="G4347">
        <v>1</v>
      </c>
      <c r="H4347">
        <v>0.2</v>
      </c>
      <c r="I4347">
        <v>0</v>
      </c>
      <c r="J4347">
        <v>47.804900000000004</v>
      </c>
      <c r="K4347" s="1">
        <f>544.672</f>
        <v>544.67200000000003</v>
      </c>
      <c r="L4347" s="1">
        <f>0</f>
        <v>0</v>
      </c>
    </row>
    <row r="4348" spans="1:12" x14ac:dyDescent="0.25">
      <c r="A4348">
        <f>80895622*0.00001</f>
        <v>808.95622000000003</v>
      </c>
      <c r="B4348">
        <v>3516</v>
      </c>
      <c r="C4348">
        <v>161</v>
      </c>
      <c r="D4348" s="1">
        <f>252.277</f>
        <v>252.27699999999999</v>
      </c>
      <c r="E4348" s="1">
        <f>5244</f>
        <v>5244</v>
      </c>
      <c r="F4348" s="1">
        <f>1619</f>
        <v>1619</v>
      </c>
      <c r="G4348" s="1">
        <f>1</f>
        <v>1</v>
      </c>
      <c r="H4348" s="1">
        <f>0.2</f>
        <v>0.2</v>
      </c>
      <c r="I4348" s="1">
        <f>0</f>
        <v>0</v>
      </c>
      <c r="J4348" s="1">
        <f>47.7081</f>
        <v>47.708100000000002</v>
      </c>
      <c r="K4348" s="1">
        <f>544.836</f>
        <v>544.83600000000001</v>
      </c>
      <c r="L4348" s="1">
        <f>0</f>
        <v>0</v>
      </c>
    </row>
    <row r="4349" spans="1:12" x14ac:dyDescent="0.25">
      <c r="A4349">
        <f>80897464*0.00001</f>
        <v>808.97464000000002</v>
      </c>
      <c r="B4349">
        <v>3516</v>
      </c>
      <c r="C4349">
        <v>175</v>
      </c>
      <c r="D4349" s="1">
        <f>252.301</f>
        <v>252.30099999999999</v>
      </c>
      <c r="E4349">
        <v>5244</v>
      </c>
      <c r="F4349">
        <v>1619</v>
      </c>
      <c r="G4349">
        <v>1</v>
      </c>
      <c r="H4349">
        <v>0.2</v>
      </c>
      <c r="I4349">
        <v>0</v>
      </c>
      <c r="J4349">
        <v>47.708100000000002</v>
      </c>
      <c r="K4349">
        <v>544.83600000000001</v>
      </c>
      <c r="L4349">
        <v>0</v>
      </c>
    </row>
    <row r="4350" spans="1:12" x14ac:dyDescent="0.25">
      <c r="A4350">
        <f>80897596*0.00001</f>
        <v>808.9759600000001</v>
      </c>
      <c r="B4350">
        <v>3516</v>
      </c>
      <c r="C4350">
        <v>176</v>
      </c>
      <c r="D4350">
        <v>252.30099999999999</v>
      </c>
      <c r="E4350">
        <v>5244</v>
      </c>
      <c r="F4350" s="1">
        <f>1619</f>
        <v>1619</v>
      </c>
      <c r="G4350">
        <v>1</v>
      </c>
      <c r="H4350">
        <v>0.2</v>
      </c>
      <c r="I4350">
        <v>0</v>
      </c>
      <c r="J4350">
        <v>47.708100000000002</v>
      </c>
      <c r="K4350">
        <v>544.83600000000001</v>
      </c>
      <c r="L4350">
        <v>0</v>
      </c>
    </row>
    <row r="4351" spans="1:12" x14ac:dyDescent="0.25">
      <c r="A4351">
        <f>80897728*0.00001</f>
        <v>808.97728000000006</v>
      </c>
      <c r="B4351">
        <v>3516</v>
      </c>
      <c r="C4351">
        <v>177</v>
      </c>
      <c r="D4351">
        <v>252.30099999999999</v>
      </c>
      <c r="E4351">
        <v>5244</v>
      </c>
      <c r="F4351">
        <v>1619</v>
      </c>
      <c r="G4351">
        <v>1</v>
      </c>
      <c r="H4351" s="1">
        <f>0.2</f>
        <v>0.2</v>
      </c>
      <c r="I4351">
        <v>0</v>
      </c>
      <c r="J4351">
        <v>47.708100000000002</v>
      </c>
      <c r="K4351">
        <v>544.83600000000001</v>
      </c>
      <c r="L4351">
        <v>0</v>
      </c>
    </row>
    <row r="4352" spans="1:12" x14ac:dyDescent="0.25">
      <c r="A4352">
        <f>80897860*0.00001</f>
        <v>808.97860000000003</v>
      </c>
      <c r="B4352">
        <v>3516</v>
      </c>
      <c r="C4352">
        <v>178</v>
      </c>
      <c r="D4352">
        <v>252.30099999999999</v>
      </c>
      <c r="E4352">
        <v>5244</v>
      </c>
      <c r="F4352">
        <v>1619</v>
      </c>
      <c r="G4352">
        <v>1</v>
      </c>
      <c r="H4352">
        <v>0.2</v>
      </c>
      <c r="I4352">
        <v>0</v>
      </c>
      <c r="J4352" s="1">
        <f>47.6874</f>
        <v>47.687399999999997</v>
      </c>
      <c r="K4352" s="1">
        <f>544.899</f>
        <v>544.899</v>
      </c>
      <c r="L4352" s="1">
        <f>0</f>
        <v>0</v>
      </c>
    </row>
    <row r="4353" spans="1:12" s="2" customFormat="1" x14ac:dyDescent="0.25">
      <c r="A4353" s="2">
        <f>80898124*0.00001</f>
        <v>808.98124000000007</v>
      </c>
      <c r="B4353" s="2">
        <v>3517</v>
      </c>
      <c r="C4353" s="2">
        <v>0</v>
      </c>
      <c r="D4353" s="2">
        <v>252.30099999999999</v>
      </c>
      <c r="E4353" s="1">
        <f>5243</f>
        <v>5243</v>
      </c>
      <c r="F4353" s="2">
        <v>1619</v>
      </c>
      <c r="G4353" s="2">
        <v>1</v>
      </c>
      <c r="H4353" s="2">
        <v>0.2</v>
      </c>
      <c r="I4353" s="2">
        <v>0</v>
      </c>
      <c r="J4353" s="2">
        <v>47.687399999999997</v>
      </c>
      <c r="K4353" s="2">
        <v>544.899</v>
      </c>
      <c r="L4353" s="2">
        <v>0</v>
      </c>
    </row>
    <row r="4354" spans="1:12" x14ac:dyDescent="0.25">
      <c r="A4354">
        <f>80898256*0.00001</f>
        <v>808.98256000000003</v>
      </c>
      <c r="B4354">
        <v>3517</v>
      </c>
      <c r="C4354">
        <v>1</v>
      </c>
      <c r="D4354">
        <v>252.30099999999999</v>
      </c>
      <c r="E4354">
        <v>5243</v>
      </c>
      <c r="F4354">
        <v>1619</v>
      </c>
      <c r="G4354" s="1">
        <f>1</f>
        <v>1</v>
      </c>
      <c r="H4354">
        <v>0.2</v>
      </c>
      <c r="I4354">
        <v>0</v>
      </c>
      <c r="J4354">
        <v>47.687399999999997</v>
      </c>
      <c r="K4354">
        <v>544.899</v>
      </c>
      <c r="L4354">
        <v>0</v>
      </c>
    </row>
    <row r="4355" spans="1:12" x14ac:dyDescent="0.25">
      <c r="A4355">
        <f>80898387*0.00001</f>
        <v>808.98387000000002</v>
      </c>
      <c r="B4355">
        <v>3517</v>
      </c>
      <c r="C4355">
        <v>2</v>
      </c>
      <c r="D4355">
        <v>252.30099999999999</v>
      </c>
      <c r="E4355">
        <v>5243</v>
      </c>
      <c r="F4355">
        <v>1619</v>
      </c>
      <c r="G4355">
        <v>1</v>
      </c>
      <c r="H4355">
        <v>0.2</v>
      </c>
      <c r="I4355" s="1">
        <f>0</f>
        <v>0</v>
      </c>
      <c r="J4355">
        <v>47.687399999999997</v>
      </c>
      <c r="K4355">
        <v>544.899</v>
      </c>
      <c r="L4355">
        <v>0</v>
      </c>
    </row>
    <row r="4356" spans="1:12" x14ac:dyDescent="0.25">
      <c r="A4356">
        <f>80898519*0.00001</f>
        <v>808.9851900000001</v>
      </c>
      <c r="B4356">
        <v>3517</v>
      </c>
      <c r="C4356">
        <v>3</v>
      </c>
      <c r="D4356">
        <v>252.30099999999999</v>
      </c>
      <c r="E4356">
        <v>5243</v>
      </c>
      <c r="F4356">
        <v>1619</v>
      </c>
      <c r="G4356">
        <v>1</v>
      </c>
      <c r="H4356">
        <v>0.2</v>
      </c>
      <c r="I4356">
        <v>0</v>
      </c>
      <c r="J4356">
        <v>47.687399999999997</v>
      </c>
      <c r="K4356" s="1">
        <f>544.937</f>
        <v>544.93700000000001</v>
      </c>
      <c r="L4356">
        <v>0</v>
      </c>
    </row>
    <row r="4357" spans="1:12" x14ac:dyDescent="0.25">
      <c r="A4357">
        <f>80898651*0.00001</f>
        <v>808.98651000000007</v>
      </c>
      <c r="B4357">
        <v>3517</v>
      </c>
      <c r="C4357">
        <v>4</v>
      </c>
      <c r="D4357" s="1">
        <f>252.326</f>
        <v>252.32599999999999</v>
      </c>
      <c r="E4357">
        <v>5243</v>
      </c>
      <c r="F4357">
        <v>1619</v>
      </c>
      <c r="G4357">
        <v>1</v>
      </c>
      <c r="H4357">
        <v>0.2</v>
      </c>
      <c r="I4357">
        <v>0</v>
      </c>
      <c r="J4357">
        <v>47.687399999999997</v>
      </c>
      <c r="K4357">
        <v>544.93700000000001</v>
      </c>
      <c r="L4357">
        <v>0</v>
      </c>
    </row>
    <row r="4358" spans="1:12" x14ac:dyDescent="0.25">
      <c r="A4358">
        <f>80898783*0.00001</f>
        <v>808.98783000000003</v>
      </c>
      <c r="B4358">
        <v>3517</v>
      </c>
      <c r="C4358">
        <v>5</v>
      </c>
      <c r="D4358">
        <v>252.32599999999999</v>
      </c>
      <c r="E4358">
        <v>5243</v>
      </c>
      <c r="F4358" s="1">
        <f>1619</f>
        <v>1619</v>
      </c>
      <c r="G4358">
        <v>1</v>
      </c>
      <c r="H4358">
        <v>0.2</v>
      </c>
      <c r="I4358">
        <v>0</v>
      </c>
      <c r="J4358">
        <v>47.687399999999997</v>
      </c>
      <c r="K4358">
        <v>544.93700000000001</v>
      </c>
      <c r="L4358">
        <v>0</v>
      </c>
    </row>
    <row r="4359" spans="1:12" x14ac:dyDescent="0.25">
      <c r="A4359">
        <f>80898915*0.00001</f>
        <v>808.98915000000011</v>
      </c>
      <c r="B4359">
        <v>3517</v>
      </c>
      <c r="C4359">
        <v>6</v>
      </c>
      <c r="D4359">
        <v>252.32599999999999</v>
      </c>
      <c r="E4359">
        <v>5243</v>
      </c>
      <c r="F4359">
        <v>1619</v>
      </c>
      <c r="G4359">
        <v>1</v>
      </c>
      <c r="H4359" s="1">
        <f>0.2</f>
        <v>0.2</v>
      </c>
      <c r="I4359">
        <v>0</v>
      </c>
      <c r="J4359">
        <v>47.687399999999997</v>
      </c>
      <c r="K4359">
        <v>544.93700000000001</v>
      </c>
      <c r="L4359">
        <v>0</v>
      </c>
    </row>
    <row r="4360" spans="1:12" x14ac:dyDescent="0.25">
      <c r="A4360">
        <f>80899047*0.00001</f>
        <v>808.99047000000007</v>
      </c>
      <c r="B4360">
        <v>3517</v>
      </c>
      <c r="C4360">
        <v>7</v>
      </c>
      <c r="D4360">
        <v>252.32599999999999</v>
      </c>
      <c r="E4360">
        <v>5243</v>
      </c>
      <c r="F4360">
        <v>1619</v>
      </c>
      <c r="G4360">
        <v>1</v>
      </c>
      <c r="H4360">
        <v>0.2</v>
      </c>
      <c r="I4360">
        <v>0</v>
      </c>
      <c r="J4360" s="1">
        <f>47.6658</f>
        <v>47.665799999999997</v>
      </c>
      <c r="K4360">
        <v>544.93700000000001</v>
      </c>
      <c r="L4360">
        <v>0</v>
      </c>
    </row>
    <row r="4361" spans="1:12" x14ac:dyDescent="0.25">
      <c r="A4361">
        <f>80899178*0.00001</f>
        <v>808.99178000000006</v>
      </c>
      <c r="B4361">
        <v>3517</v>
      </c>
      <c r="C4361">
        <v>8</v>
      </c>
      <c r="D4361">
        <v>252.32599999999999</v>
      </c>
      <c r="E4361">
        <v>5243</v>
      </c>
      <c r="F4361">
        <v>1619</v>
      </c>
      <c r="G4361">
        <v>1</v>
      </c>
      <c r="H4361">
        <v>0.2</v>
      </c>
      <c r="I4361">
        <v>0</v>
      </c>
      <c r="J4361">
        <v>47.665799999999997</v>
      </c>
      <c r="K4361">
        <v>544.93700000000001</v>
      </c>
      <c r="L4361" s="1">
        <f>0</f>
        <v>0</v>
      </c>
    </row>
    <row r="4362" spans="1:12" x14ac:dyDescent="0.25">
      <c r="A4362">
        <f>80899309*0.00001</f>
        <v>808.99309000000005</v>
      </c>
      <c r="B4362">
        <v>3517</v>
      </c>
      <c r="C4362">
        <v>9</v>
      </c>
      <c r="D4362">
        <v>252.32599999999999</v>
      </c>
      <c r="E4362" s="1">
        <f>5243</f>
        <v>5243</v>
      </c>
      <c r="F4362">
        <v>1619</v>
      </c>
      <c r="G4362">
        <v>1</v>
      </c>
      <c r="H4362">
        <v>0.2</v>
      </c>
      <c r="I4362">
        <v>0</v>
      </c>
      <c r="J4362">
        <v>47.665799999999997</v>
      </c>
      <c r="K4362">
        <v>544.93700000000001</v>
      </c>
      <c r="L4362">
        <v>0</v>
      </c>
    </row>
    <row r="4363" spans="1:12" x14ac:dyDescent="0.25">
      <c r="A4363">
        <f>80899440*0.00001</f>
        <v>808.99440000000004</v>
      </c>
      <c r="B4363">
        <v>3517</v>
      </c>
      <c r="C4363">
        <v>10</v>
      </c>
      <c r="D4363">
        <v>252.32599999999999</v>
      </c>
      <c r="E4363">
        <v>5243</v>
      </c>
      <c r="F4363">
        <v>1619</v>
      </c>
      <c r="G4363" s="1">
        <f>1</f>
        <v>1</v>
      </c>
      <c r="H4363">
        <v>0.2</v>
      </c>
      <c r="I4363">
        <v>0</v>
      </c>
      <c r="J4363">
        <v>47.665799999999997</v>
      </c>
      <c r="K4363">
        <v>544.93700000000001</v>
      </c>
      <c r="L4363">
        <v>0</v>
      </c>
    </row>
    <row r="4364" spans="1:12" x14ac:dyDescent="0.25">
      <c r="A4364">
        <f>80899572*0.00001</f>
        <v>808.99572000000012</v>
      </c>
      <c r="B4364">
        <v>3517</v>
      </c>
      <c r="C4364">
        <v>11</v>
      </c>
      <c r="D4364">
        <v>252.32599999999999</v>
      </c>
      <c r="E4364">
        <v>5243</v>
      </c>
      <c r="F4364">
        <v>1619</v>
      </c>
      <c r="G4364">
        <v>1</v>
      </c>
      <c r="H4364">
        <v>0.2</v>
      </c>
      <c r="I4364" s="1">
        <f>0</f>
        <v>0</v>
      </c>
      <c r="J4364">
        <v>47.665799999999997</v>
      </c>
      <c r="K4364">
        <v>544.93700000000001</v>
      </c>
      <c r="L4364">
        <v>0</v>
      </c>
    </row>
    <row r="4365" spans="1:12" x14ac:dyDescent="0.25">
      <c r="A4365">
        <f>80899704*0.00001</f>
        <v>808.99704000000008</v>
      </c>
      <c r="B4365">
        <v>3517</v>
      </c>
      <c r="C4365">
        <v>12</v>
      </c>
      <c r="D4365">
        <v>252.32599999999999</v>
      </c>
      <c r="E4365">
        <v>5243</v>
      </c>
      <c r="F4365">
        <v>1619</v>
      </c>
      <c r="G4365">
        <v>1</v>
      </c>
      <c r="H4365">
        <v>0.2</v>
      </c>
      <c r="I4365">
        <v>0</v>
      </c>
      <c r="J4365">
        <v>47.665799999999997</v>
      </c>
      <c r="K4365" s="1">
        <f>545.05</f>
        <v>545.04999999999995</v>
      </c>
      <c r="L4365">
        <v>0</v>
      </c>
    </row>
    <row r="4366" spans="1:12" x14ac:dyDescent="0.25">
      <c r="A4366">
        <f>80899836*0.00001</f>
        <v>808.99836000000005</v>
      </c>
      <c r="B4366">
        <v>3517</v>
      </c>
      <c r="C4366">
        <v>13</v>
      </c>
      <c r="D4366" s="1">
        <f>252.347</f>
        <v>252.34700000000001</v>
      </c>
      <c r="E4366">
        <v>5243</v>
      </c>
      <c r="F4366">
        <v>1619</v>
      </c>
      <c r="G4366">
        <v>1</v>
      </c>
      <c r="H4366">
        <v>0.2</v>
      </c>
      <c r="I4366">
        <v>0</v>
      </c>
      <c r="J4366">
        <v>47.665799999999997</v>
      </c>
      <c r="K4366">
        <v>545.04999999999995</v>
      </c>
      <c r="L4366">
        <v>0</v>
      </c>
    </row>
    <row r="4367" spans="1:12" x14ac:dyDescent="0.25">
      <c r="A4367">
        <f>80899968*0.00001</f>
        <v>808.99968000000001</v>
      </c>
      <c r="B4367">
        <v>3517</v>
      </c>
      <c r="C4367">
        <v>14</v>
      </c>
      <c r="D4367">
        <v>252.34700000000001</v>
      </c>
      <c r="E4367" s="1">
        <f>5243</f>
        <v>5243</v>
      </c>
      <c r="F4367" s="1">
        <f>1619</f>
        <v>1619</v>
      </c>
      <c r="G4367">
        <v>1</v>
      </c>
      <c r="H4367">
        <v>0.2</v>
      </c>
      <c r="I4367">
        <v>0</v>
      </c>
      <c r="J4367">
        <v>47.665799999999997</v>
      </c>
      <c r="K4367">
        <v>545.04999999999995</v>
      </c>
      <c r="L4367">
        <v>0</v>
      </c>
    </row>
    <row r="4368" spans="1:12" x14ac:dyDescent="0.25">
      <c r="A4368">
        <f>80900099*0.00001</f>
        <v>809.00099000000012</v>
      </c>
      <c r="B4368">
        <v>3517</v>
      </c>
      <c r="C4368">
        <v>15</v>
      </c>
      <c r="D4368">
        <v>252.34700000000001</v>
      </c>
      <c r="E4368">
        <v>5243</v>
      </c>
      <c r="F4368">
        <v>1619</v>
      </c>
      <c r="G4368" s="1">
        <f>1</f>
        <v>1</v>
      </c>
      <c r="H4368" s="1">
        <f>0.2</f>
        <v>0.2</v>
      </c>
      <c r="I4368">
        <v>0</v>
      </c>
      <c r="J4368">
        <v>47.665799999999997</v>
      </c>
      <c r="K4368">
        <v>545.04999999999995</v>
      </c>
      <c r="L4368">
        <v>0</v>
      </c>
    </row>
    <row r="4369" spans="1:12" x14ac:dyDescent="0.25">
      <c r="A4369">
        <f>80900230*0.00001</f>
        <v>809.0023000000001</v>
      </c>
      <c r="B4369">
        <v>3517</v>
      </c>
      <c r="C4369">
        <v>16</v>
      </c>
      <c r="D4369">
        <v>252.34700000000001</v>
      </c>
      <c r="E4369">
        <v>5243</v>
      </c>
      <c r="F4369">
        <v>1619</v>
      </c>
      <c r="G4369">
        <v>1</v>
      </c>
      <c r="H4369">
        <v>0.2</v>
      </c>
      <c r="I4369" s="1">
        <f>0</f>
        <v>0</v>
      </c>
      <c r="J4369" s="1">
        <f>47.6474</f>
        <v>47.647399999999998</v>
      </c>
      <c r="K4369">
        <v>545.04999999999995</v>
      </c>
      <c r="L4369">
        <v>0</v>
      </c>
    </row>
    <row r="4370" spans="1:12" x14ac:dyDescent="0.25">
      <c r="A4370">
        <f>80900361*0.00001</f>
        <v>809.00361000000009</v>
      </c>
      <c r="B4370">
        <v>3517</v>
      </c>
      <c r="C4370">
        <v>17</v>
      </c>
      <c r="D4370">
        <v>252.34700000000001</v>
      </c>
      <c r="E4370">
        <v>5243</v>
      </c>
      <c r="F4370">
        <v>1619</v>
      </c>
      <c r="G4370">
        <v>1</v>
      </c>
      <c r="H4370">
        <v>0.2</v>
      </c>
      <c r="I4370">
        <v>0</v>
      </c>
      <c r="J4370">
        <v>47.647399999999998</v>
      </c>
      <c r="K4370" s="1">
        <f>545.113</f>
        <v>545.11300000000006</v>
      </c>
      <c r="L4370" s="1">
        <f>0</f>
        <v>0</v>
      </c>
    </row>
    <row r="4371" spans="1:12" x14ac:dyDescent="0.25">
      <c r="A4371">
        <f>80900492*0.00001</f>
        <v>809.00492000000008</v>
      </c>
      <c r="B4371">
        <v>3517</v>
      </c>
      <c r="C4371">
        <v>18</v>
      </c>
      <c r="D4371" s="1">
        <f>252.356</f>
        <v>252.35599999999999</v>
      </c>
      <c r="E4371" s="1">
        <f>5243</f>
        <v>5243</v>
      </c>
      <c r="F4371">
        <v>1619</v>
      </c>
      <c r="G4371">
        <v>1</v>
      </c>
      <c r="H4371">
        <v>0.2</v>
      </c>
      <c r="I4371">
        <v>0</v>
      </c>
      <c r="J4371">
        <v>47.647399999999998</v>
      </c>
      <c r="K4371">
        <v>545.11300000000006</v>
      </c>
      <c r="L4371">
        <v>0</v>
      </c>
    </row>
    <row r="4372" spans="1:12" x14ac:dyDescent="0.25">
      <c r="A4372">
        <f>80900624*0.00001</f>
        <v>809.00624000000005</v>
      </c>
      <c r="B4372">
        <v>3517</v>
      </c>
      <c r="C4372">
        <v>19</v>
      </c>
      <c r="D4372">
        <v>252.35599999999999</v>
      </c>
      <c r="E4372">
        <v>5243</v>
      </c>
      <c r="F4372" s="1">
        <f>1619</f>
        <v>1619</v>
      </c>
      <c r="G4372" s="1">
        <f>1</f>
        <v>1</v>
      </c>
      <c r="H4372">
        <v>0.2</v>
      </c>
      <c r="I4372">
        <v>0</v>
      </c>
      <c r="J4372">
        <v>47.647399999999998</v>
      </c>
      <c r="K4372">
        <v>545.11300000000006</v>
      </c>
      <c r="L4372">
        <v>0</v>
      </c>
    </row>
    <row r="4373" spans="1:12" x14ac:dyDescent="0.25">
      <c r="A4373">
        <f>80900756*0.00001</f>
        <v>809.00756000000001</v>
      </c>
      <c r="B4373">
        <v>3517</v>
      </c>
      <c r="C4373">
        <v>20</v>
      </c>
      <c r="D4373">
        <v>252.35599999999999</v>
      </c>
      <c r="E4373">
        <v>5243</v>
      </c>
      <c r="F4373">
        <v>1619</v>
      </c>
      <c r="G4373">
        <v>1</v>
      </c>
      <c r="H4373" s="1">
        <f>0.2</f>
        <v>0.2</v>
      </c>
      <c r="I4373" s="1">
        <f>0</f>
        <v>0</v>
      </c>
      <c r="J4373">
        <v>47.647399999999998</v>
      </c>
      <c r="K4373">
        <v>545.11300000000006</v>
      </c>
      <c r="L4373">
        <v>0</v>
      </c>
    </row>
    <row r="4374" spans="1:12" x14ac:dyDescent="0.25">
      <c r="A4374">
        <f>80900888*0.00001</f>
        <v>809.00888000000009</v>
      </c>
      <c r="B4374">
        <v>3517</v>
      </c>
      <c r="C4374">
        <v>21</v>
      </c>
      <c r="D4374">
        <v>252.35599999999999</v>
      </c>
      <c r="E4374">
        <v>5243</v>
      </c>
      <c r="F4374">
        <v>1619</v>
      </c>
      <c r="G4374">
        <v>1</v>
      </c>
      <c r="H4374">
        <v>0.2</v>
      </c>
      <c r="I4374">
        <v>0</v>
      </c>
      <c r="J4374" s="1">
        <f>47.6398</f>
        <v>47.639800000000001</v>
      </c>
      <c r="K4374" s="1">
        <f>545.164</f>
        <v>545.16399999999999</v>
      </c>
      <c r="L4374">
        <v>0</v>
      </c>
    </row>
    <row r="4375" spans="1:12" x14ac:dyDescent="0.25">
      <c r="A4375">
        <f>80901020*0.00001</f>
        <v>809.01020000000005</v>
      </c>
      <c r="B4375">
        <v>3517</v>
      </c>
      <c r="C4375">
        <v>22</v>
      </c>
      <c r="D4375" s="1">
        <f>252.361</f>
        <v>252.36099999999999</v>
      </c>
      <c r="E4375">
        <v>5243</v>
      </c>
      <c r="F4375">
        <v>1619</v>
      </c>
      <c r="G4375">
        <v>1</v>
      </c>
      <c r="H4375">
        <v>0.2</v>
      </c>
      <c r="I4375">
        <v>0</v>
      </c>
      <c r="J4375">
        <v>47.639800000000001</v>
      </c>
      <c r="K4375">
        <v>545.16399999999999</v>
      </c>
      <c r="L4375" s="1">
        <f>0</f>
        <v>0</v>
      </c>
    </row>
    <row r="4376" spans="1:12" x14ac:dyDescent="0.25">
      <c r="A4376">
        <f>80901151*0.00001</f>
        <v>809.01151000000004</v>
      </c>
      <c r="B4376">
        <v>3517</v>
      </c>
      <c r="C4376">
        <v>23</v>
      </c>
      <c r="D4376">
        <v>252.36099999999999</v>
      </c>
      <c r="E4376" s="1">
        <f>5243</f>
        <v>5243</v>
      </c>
      <c r="F4376" s="1">
        <f>1619</f>
        <v>1619</v>
      </c>
      <c r="G4376">
        <v>1</v>
      </c>
      <c r="H4376">
        <v>0.2</v>
      </c>
      <c r="I4376">
        <v>0</v>
      </c>
      <c r="J4376">
        <v>47.639800000000001</v>
      </c>
      <c r="K4376">
        <v>545.16399999999999</v>
      </c>
      <c r="L4376">
        <v>0</v>
      </c>
    </row>
    <row r="4377" spans="1:12" x14ac:dyDescent="0.25">
      <c r="A4377">
        <f>80901282*0.00001</f>
        <v>809.01282000000003</v>
      </c>
      <c r="B4377">
        <v>3517</v>
      </c>
      <c r="C4377">
        <v>24</v>
      </c>
      <c r="D4377">
        <v>252.36099999999999</v>
      </c>
      <c r="E4377">
        <v>5243</v>
      </c>
      <c r="F4377">
        <v>1619</v>
      </c>
      <c r="G4377" s="1">
        <f>1</f>
        <v>1</v>
      </c>
      <c r="H4377" s="1">
        <f>0.2</f>
        <v>0.2</v>
      </c>
      <c r="I4377">
        <v>0</v>
      </c>
      <c r="J4377">
        <v>47.639800000000001</v>
      </c>
      <c r="K4377">
        <v>545.16399999999999</v>
      </c>
      <c r="L4377">
        <v>0</v>
      </c>
    </row>
    <row r="4378" spans="1:12" x14ac:dyDescent="0.25">
      <c r="A4378">
        <f>80901413*0.00001</f>
        <v>809.01413000000002</v>
      </c>
      <c r="B4378">
        <v>3517</v>
      </c>
      <c r="C4378">
        <v>25</v>
      </c>
      <c r="D4378">
        <v>252.36099999999999</v>
      </c>
      <c r="E4378">
        <v>5243</v>
      </c>
      <c r="F4378">
        <v>1619</v>
      </c>
      <c r="G4378">
        <v>1</v>
      </c>
      <c r="H4378">
        <v>0.2</v>
      </c>
      <c r="I4378" s="1">
        <f>0</f>
        <v>0</v>
      </c>
      <c r="J4378" s="1">
        <f>47.6355</f>
        <v>47.6355</v>
      </c>
      <c r="K4378">
        <v>545.16399999999999</v>
      </c>
      <c r="L4378">
        <v>0</v>
      </c>
    </row>
    <row r="4379" spans="1:12" x14ac:dyDescent="0.25">
      <c r="A4379">
        <f>80901545*0.00001</f>
        <v>809.0154500000001</v>
      </c>
      <c r="B4379">
        <v>3517</v>
      </c>
      <c r="C4379">
        <v>26</v>
      </c>
      <c r="D4379">
        <v>252.36099999999999</v>
      </c>
      <c r="E4379">
        <v>5243</v>
      </c>
      <c r="F4379">
        <v>1619</v>
      </c>
      <c r="G4379">
        <v>1</v>
      </c>
      <c r="H4379">
        <v>0.2</v>
      </c>
      <c r="I4379">
        <v>0</v>
      </c>
      <c r="J4379">
        <v>47.6355</v>
      </c>
      <c r="K4379" s="1">
        <f>545.227</f>
        <v>545.22699999999998</v>
      </c>
      <c r="L4379" s="1">
        <f>0</f>
        <v>0</v>
      </c>
    </row>
    <row r="4380" spans="1:12" x14ac:dyDescent="0.25">
      <c r="A4380">
        <f>80901677*0.00001</f>
        <v>809.01677000000007</v>
      </c>
      <c r="B4380">
        <v>3517</v>
      </c>
      <c r="C4380">
        <v>27</v>
      </c>
      <c r="D4380" s="1">
        <f>252.373</f>
        <v>252.37299999999999</v>
      </c>
      <c r="E4380" s="1">
        <f>5244</f>
        <v>5244</v>
      </c>
      <c r="F4380" s="1">
        <f>1619</f>
        <v>1619</v>
      </c>
      <c r="G4380" s="1">
        <f>1</f>
        <v>1</v>
      </c>
      <c r="H4380" s="1">
        <f>0.2</f>
        <v>0.2</v>
      </c>
      <c r="I4380" s="1">
        <f>0</f>
        <v>0</v>
      </c>
      <c r="J4380" s="1">
        <f>47.6258</f>
        <v>47.625799999999998</v>
      </c>
      <c r="K4380" s="1">
        <f>545.39</f>
        <v>545.39</v>
      </c>
      <c r="L4380" s="1">
        <f>0</f>
        <v>0</v>
      </c>
    </row>
    <row r="4381" spans="1:12" x14ac:dyDescent="0.25">
      <c r="A4381">
        <f>80903519*0.00001</f>
        <v>809.03519000000006</v>
      </c>
      <c r="B4381">
        <v>3517</v>
      </c>
      <c r="C4381">
        <v>41</v>
      </c>
      <c r="D4381">
        <v>252.37299999999999</v>
      </c>
      <c r="E4381" s="1">
        <f>5244</f>
        <v>5244</v>
      </c>
      <c r="F4381">
        <v>1619</v>
      </c>
      <c r="G4381">
        <v>1</v>
      </c>
      <c r="H4381">
        <v>0.2</v>
      </c>
      <c r="I4381">
        <v>0</v>
      </c>
      <c r="J4381">
        <v>47.625799999999998</v>
      </c>
      <c r="K4381">
        <v>545.39</v>
      </c>
      <c r="L4381">
        <v>0</v>
      </c>
    </row>
    <row r="4382" spans="1:12" x14ac:dyDescent="0.25">
      <c r="A4382">
        <f>80903651*0.00001</f>
        <v>809.03651000000002</v>
      </c>
      <c r="B4382">
        <v>3517</v>
      </c>
      <c r="C4382">
        <v>42</v>
      </c>
      <c r="D4382">
        <v>252.37299999999999</v>
      </c>
      <c r="E4382">
        <v>5244</v>
      </c>
      <c r="F4382">
        <v>1619</v>
      </c>
      <c r="G4382" s="1">
        <f>1</f>
        <v>1</v>
      </c>
      <c r="H4382">
        <v>0.2</v>
      </c>
      <c r="I4382">
        <v>0</v>
      </c>
      <c r="J4382">
        <v>47.625799999999998</v>
      </c>
      <c r="K4382">
        <v>545.39</v>
      </c>
      <c r="L4382">
        <v>0</v>
      </c>
    </row>
    <row r="4383" spans="1:12" x14ac:dyDescent="0.25">
      <c r="A4383">
        <f>80903783*0.00001</f>
        <v>809.0378300000001</v>
      </c>
      <c r="B4383">
        <v>3517</v>
      </c>
      <c r="C4383">
        <v>43</v>
      </c>
      <c r="D4383">
        <v>252.37299999999999</v>
      </c>
      <c r="E4383">
        <v>5244</v>
      </c>
      <c r="F4383">
        <v>1619</v>
      </c>
      <c r="G4383">
        <v>1</v>
      </c>
      <c r="H4383">
        <v>0.2</v>
      </c>
      <c r="I4383" s="1">
        <f>0</f>
        <v>0</v>
      </c>
      <c r="J4383">
        <v>47.625799999999998</v>
      </c>
      <c r="K4383">
        <v>545.39</v>
      </c>
      <c r="L4383">
        <v>0</v>
      </c>
    </row>
    <row r="4384" spans="1:12" x14ac:dyDescent="0.25">
      <c r="A4384">
        <f>80903915*0.00001</f>
        <v>809.03915000000006</v>
      </c>
      <c r="B4384">
        <v>3517</v>
      </c>
      <c r="C4384">
        <v>44</v>
      </c>
      <c r="D4384">
        <v>252.37299999999999</v>
      </c>
      <c r="E4384">
        <v>5244</v>
      </c>
      <c r="F4384">
        <v>1619</v>
      </c>
      <c r="G4384">
        <v>1</v>
      </c>
      <c r="H4384">
        <v>0.2</v>
      </c>
      <c r="I4384">
        <v>0</v>
      </c>
      <c r="J4384">
        <v>47.625799999999998</v>
      </c>
      <c r="K4384" s="1">
        <f>545.453</f>
        <v>545.45299999999997</v>
      </c>
      <c r="L4384">
        <v>0</v>
      </c>
    </row>
    <row r="4385" spans="1:12" x14ac:dyDescent="0.25">
      <c r="A4385">
        <f>80904047*0.00001</f>
        <v>809.04047000000003</v>
      </c>
      <c r="B4385">
        <v>3517</v>
      </c>
      <c r="C4385">
        <v>45</v>
      </c>
      <c r="D4385" s="1">
        <f>252.377</f>
        <v>252.37700000000001</v>
      </c>
      <c r="E4385">
        <v>5244</v>
      </c>
      <c r="F4385">
        <v>1619</v>
      </c>
      <c r="G4385">
        <v>1</v>
      </c>
      <c r="H4385">
        <v>0.2</v>
      </c>
      <c r="I4385">
        <v>0</v>
      </c>
      <c r="J4385">
        <v>47.625799999999998</v>
      </c>
      <c r="K4385">
        <v>545.45299999999997</v>
      </c>
      <c r="L4385">
        <v>0</v>
      </c>
    </row>
    <row r="4386" spans="1:12" x14ac:dyDescent="0.25">
      <c r="A4386">
        <f>80904178*0.00001</f>
        <v>809.04178000000002</v>
      </c>
      <c r="B4386">
        <v>3517</v>
      </c>
      <c r="C4386">
        <v>46</v>
      </c>
      <c r="D4386">
        <v>252.37700000000001</v>
      </c>
      <c r="E4386">
        <v>5244</v>
      </c>
      <c r="F4386" s="1">
        <f>1619</f>
        <v>1619</v>
      </c>
      <c r="G4386">
        <v>1</v>
      </c>
      <c r="H4386">
        <v>0.2</v>
      </c>
      <c r="I4386">
        <v>0</v>
      </c>
      <c r="J4386">
        <v>47.625799999999998</v>
      </c>
      <c r="K4386">
        <v>545.45299999999997</v>
      </c>
      <c r="L4386">
        <v>0</v>
      </c>
    </row>
    <row r="4387" spans="1:12" x14ac:dyDescent="0.25">
      <c r="A4387">
        <f>80904309*0.00001</f>
        <v>809.04309000000012</v>
      </c>
      <c r="B4387">
        <v>3517</v>
      </c>
      <c r="C4387">
        <v>47</v>
      </c>
      <c r="D4387">
        <v>252.37700000000001</v>
      </c>
      <c r="E4387">
        <v>5244</v>
      </c>
      <c r="F4387">
        <v>1619</v>
      </c>
      <c r="G4387">
        <v>1</v>
      </c>
      <c r="H4387" s="1">
        <f>0.2</f>
        <v>0.2</v>
      </c>
      <c r="I4387">
        <v>0</v>
      </c>
      <c r="J4387">
        <v>47.625799999999998</v>
      </c>
      <c r="K4387">
        <v>545.45299999999997</v>
      </c>
      <c r="L4387">
        <v>0</v>
      </c>
    </row>
    <row r="4388" spans="1:12" x14ac:dyDescent="0.25">
      <c r="A4388">
        <f>80904440*0.00001</f>
        <v>809.04440000000011</v>
      </c>
      <c r="B4388">
        <v>3517</v>
      </c>
      <c r="C4388">
        <v>48</v>
      </c>
      <c r="D4388">
        <v>252.37700000000001</v>
      </c>
      <c r="E4388">
        <v>5244</v>
      </c>
      <c r="F4388">
        <v>1619</v>
      </c>
      <c r="G4388">
        <v>1</v>
      </c>
      <c r="H4388">
        <v>0.2</v>
      </c>
      <c r="I4388">
        <v>0</v>
      </c>
      <c r="J4388" s="1">
        <f>47.6222</f>
        <v>47.622199999999999</v>
      </c>
      <c r="K4388">
        <v>545.45299999999997</v>
      </c>
      <c r="L4388">
        <v>0</v>
      </c>
    </row>
    <row r="4389" spans="1:12" x14ac:dyDescent="0.25">
      <c r="A4389">
        <f>80904572*0.00001</f>
        <v>809.04572000000007</v>
      </c>
      <c r="B4389">
        <v>3517</v>
      </c>
      <c r="C4389">
        <v>49</v>
      </c>
      <c r="D4389">
        <v>252.37700000000001</v>
      </c>
      <c r="E4389">
        <v>5244</v>
      </c>
      <c r="F4389">
        <v>1619</v>
      </c>
      <c r="G4389">
        <v>1</v>
      </c>
      <c r="H4389">
        <v>0.2</v>
      </c>
      <c r="I4389">
        <v>0</v>
      </c>
      <c r="J4389">
        <v>47.622199999999999</v>
      </c>
      <c r="K4389">
        <v>545.45299999999997</v>
      </c>
      <c r="L4389" s="1">
        <f>0</f>
        <v>0</v>
      </c>
    </row>
    <row r="4390" spans="1:12" x14ac:dyDescent="0.25">
      <c r="A4390">
        <f>80904703*0.00001</f>
        <v>809.04703000000006</v>
      </c>
      <c r="B4390">
        <v>3517</v>
      </c>
      <c r="C4390">
        <v>50</v>
      </c>
      <c r="D4390">
        <v>252.37700000000001</v>
      </c>
      <c r="E4390" s="1">
        <f>5244</f>
        <v>5244</v>
      </c>
      <c r="F4390">
        <v>1619</v>
      </c>
      <c r="G4390">
        <v>1</v>
      </c>
      <c r="H4390">
        <v>0.2</v>
      </c>
      <c r="I4390">
        <v>0</v>
      </c>
      <c r="J4390">
        <v>47.622199999999999</v>
      </c>
      <c r="K4390">
        <v>545.45299999999997</v>
      </c>
      <c r="L4390">
        <v>0</v>
      </c>
    </row>
    <row r="4391" spans="1:12" x14ac:dyDescent="0.25">
      <c r="A4391">
        <f>80904834*0.00001</f>
        <v>809.04834000000005</v>
      </c>
      <c r="B4391">
        <v>3517</v>
      </c>
      <c r="C4391">
        <v>51</v>
      </c>
      <c r="D4391">
        <v>252.37700000000001</v>
      </c>
      <c r="E4391">
        <v>5244</v>
      </c>
      <c r="F4391">
        <v>1619</v>
      </c>
      <c r="G4391" s="1">
        <f>1</f>
        <v>1</v>
      </c>
      <c r="H4391">
        <v>0.2</v>
      </c>
      <c r="I4391">
        <v>0</v>
      </c>
      <c r="J4391">
        <v>47.622199999999999</v>
      </c>
      <c r="K4391">
        <v>545.45299999999997</v>
      </c>
      <c r="L4391">
        <v>0</v>
      </c>
    </row>
    <row r="4392" spans="1:12" x14ac:dyDescent="0.25">
      <c r="A4392">
        <f>80904965*0.00001</f>
        <v>809.04965000000004</v>
      </c>
      <c r="B4392">
        <v>3517</v>
      </c>
      <c r="C4392">
        <v>52</v>
      </c>
      <c r="D4392">
        <v>252.37700000000001</v>
      </c>
      <c r="E4392">
        <v>5244</v>
      </c>
      <c r="F4392">
        <v>1619</v>
      </c>
      <c r="G4392">
        <v>1</v>
      </c>
      <c r="H4392">
        <v>0.2</v>
      </c>
      <c r="I4392" s="1">
        <f>0</f>
        <v>0</v>
      </c>
      <c r="J4392">
        <v>47.622199999999999</v>
      </c>
      <c r="K4392">
        <v>545.45299999999997</v>
      </c>
      <c r="L4392">
        <v>0</v>
      </c>
    </row>
    <row r="4393" spans="1:12" x14ac:dyDescent="0.25">
      <c r="A4393">
        <f>80905096*0.00001</f>
        <v>809.05096000000003</v>
      </c>
      <c r="B4393">
        <v>3517</v>
      </c>
      <c r="C4393">
        <v>53</v>
      </c>
      <c r="D4393">
        <v>252.37700000000001</v>
      </c>
      <c r="E4393">
        <v>5244</v>
      </c>
      <c r="F4393">
        <v>1619</v>
      </c>
      <c r="G4393">
        <v>1</v>
      </c>
      <c r="H4393">
        <v>0.2</v>
      </c>
      <c r="I4393">
        <v>0</v>
      </c>
      <c r="J4393">
        <v>47.622199999999999</v>
      </c>
      <c r="K4393" s="1">
        <f>545.566</f>
        <v>545.56600000000003</v>
      </c>
      <c r="L4393">
        <v>0</v>
      </c>
    </row>
    <row r="4394" spans="1:12" x14ac:dyDescent="0.25">
      <c r="A4394">
        <f>80905227*0.00001</f>
        <v>809.05227000000002</v>
      </c>
      <c r="B4394">
        <v>3517</v>
      </c>
      <c r="C4394">
        <v>54</v>
      </c>
      <c r="D4394" s="1">
        <f>252.473</f>
        <v>252.47300000000001</v>
      </c>
      <c r="E4394">
        <v>5244</v>
      </c>
      <c r="F4394">
        <v>1619</v>
      </c>
      <c r="G4394">
        <v>1</v>
      </c>
      <c r="H4394">
        <v>0.2</v>
      </c>
      <c r="I4394">
        <v>0</v>
      </c>
      <c r="J4394">
        <v>47.622199999999999</v>
      </c>
      <c r="K4394">
        <v>545.56600000000003</v>
      </c>
      <c r="L4394">
        <v>0</v>
      </c>
    </row>
    <row r="4395" spans="1:12" x14ac:dyDescent="0.25">
      <c r="A4395">
        <f>80905358*0.00001</f>
        <v>809.05358000000001</v>
      </c>
      <c r="B4395">
        <v>3517</v>
      </c>
      <c r="C4395">
        <v>55</v>
      </c>
      <c r="D4395">
        <v>252.47300000000001</v>
      </c>
      <c r="E4395" s="1">
        <f>5243</f>
        <v>5243</v>
      </c>
      <c r="F4395" s="1">
        <f>1619</f>
        <v>1619</v>
      </c>
      <c r="G4395">
        <v>1</v>
      </c>
      <c r="H4395">
        <v>0.2</v>
      </c>
      <c r="I4395">
        <v>0</v>
      </c>
      <c r="J4395">
        <v>47.622199999999999</v>
      </c>
      <c r="K4395">
        <v>545.56600000000003</v>
      </c>
      <c r="L4395">
        <v>0</v>
      </c>
    </row>
    <row r="4396" spans="1:12" x14ac:dyDescent="0.25">
      <c r="A4396">
        <f>80905489*0.00001</f>
        <v>809.05489000000011</v>
      </c>
      <c r="B4396">
        <v>3517</v>
      </c>
      <c r="C4396">
        <v>56</v>
      </c>
      <c r="D4396">
        <v>252.47300000000001</v>
      </c>
      <c r="E4396">
        <v>5243</v>
      </c>
      <c r="F4396">
        <v>1619</v>
      </c>
      <c r="G4396" s="1">
        <f>1</f>
        <v>1</v>
      </c>
      <c r="H4396" s="1">
        <f>0.2</f>
        <v>0.2</v>
      </c>
      <c r="I4396">
        <v>0</v>
      </c>
      <c r="J4396">
        <v>47.622199999999999</v>
      </c>
      <c r="K4396">
        <v>545.56600000000003</v>
      </c>
      <c r="L4396">
        <v>0</v>
      </c>
    </row>
    <row r="4397" spans="1:12" x14ac:dyDescent="0.25">
      <c r="A4397">
        <f>80905620*0.00001</f>
        <v>809.0562000000001</v>
      </c>
      <c r="B4397">
        <v>3517</v>
      </c>
      <c r="C4397">
        <v>57</v>
      </c>
      <c r="D4397">
        <v>252.47300000000001</v>
      </c>
      <c r="E4397">
        <v>5243</v>
      </c>
      <c r="F4397">
        <v>1619</v>
      </c>
      <c r="G4397">
        <v>1</v>
      </c>
      <c r="H4397">
        <v>0.2</v>
      </c>
      <c r="I4397" s="1">
        <f>0</f>
        <v>0</v>
      </c>
      <c r="J4397" s="1">
        <f>47.4849</f>
        <v>47.484900000000003</v>
      </c>
      <c r="K4397">
        <v>545.56600000000003</v>
      </c>
      <c r="L4397">
        <v>0</v>
      </c>
    </row>
    <row r="4398" spans="1:12" x14ac:dyDescent="0.25">
      <c r="A4398">
        <f>80905751*0.00001</f>
        <v>809.05751000000009</v>
      </c>
      <c r="B4398">
        <v>3517</v>
      </c>
      <c r="C4398">
        <v>58</v>
      </c>
      <c r="D4398">
        <v>252.47300000000001</v>
      </c>
      <c r="E4398">
        <v>5243</v>
      </c>
      <c r="F4398">
        <v>1619</v>
      </c>
      <c r="G4398">
        <v>1</v>
      </c>
      <c r="H4398">
        <v>0.2</v>
      </c>
      <c r="I4398">
        <v>0</v>
      </c>
      <c r="J4398">
        <v>47.484900000000003</v>
      </c>
      <c r="K4398" s="1">
        <f>545.629</f>
        <v>545.62900000000002</v>
      </c>
      <c r="L4398" s="1">
        <f>0</f>
        <v>0</v>
      </c>
    </row>
    <row r="4399" spans="1:12" x14ac:dyDescent="0.25">
      <c r="A4399">
        <f>80905883*0.00001</f>
        <v>809.05883000000006</v>
      </c>
      <c r="B4399">
        <v>3517</v>
      </c>
      <c r="C4399">
        <v>59</v>
      </c>
      <c r="D4399" s="1">
        <f>252.54</f>
        <v>252.54</v>
      </c>
      <c r="E4399" s="1">
        <f>5241</f>
        <v>5241</v>
      </c>
      <c r="F4399">
        <v>1619</v>
      </c>
      <c r="G4399">
        <v>1</v>
      </c>
      <c r="H4399">
        <v>0.2</v>
      </c>
      <c r="I4399">
        <v>0</v>
      </c>
      <c r="J4399">
        <v>47.484900000000003</v>
      </c>
      <c r="K4399">
        <v>545.62900000000002</v>
      </c>
      <c r="L4399">
        <v>0</v>
      </c>
    </row>
    <row r="4400" spans="1:12" x14ac:dyDescent="0.25">
      <c r="A4400">
        <f>80906015*0.00001</f>
        <v>809.06015000000002</v>
      </c>
      <c r="B4400">
        <v>3517</v>
      </c>
      <c r="C4400">
        <v>60</v>
      </c>
      <c r="D4400">
        <v>252.54</v>
      </c>
      <c r="E4400">
        <v>5241</v>
      </c>
      <c r="F4400" s="1">
        <f>1619</f>
        <v>1619</v>
      </c>
      <c r="G4400" s="1">
        <f>1</f>
        <v>1</v>
      </c>
      <c r="H4400">
        <v>0.2</v>
      </c>
      <c r="I4400">
        <v>0</v>
      </c>
      <c r="J4400">
        <v>47.484900000000003</v>
      </c>
      <c r="K4400">
        <v>545.62900000000002</v>
      </c>
      <c r="L4400">
        <v>0</v>
      </c>
    </row>
    <row r="4401" spans="1:12" x14ac:dyDescent="0.25">
      <c r="A4401">
        <f>80906147*0.00001</f>
        <v>809.0614700000001</v>
      </c>
      <c r="B4401">
        <v>3517</v>
      </c>
      <c r="C4401">
        <v>61</v>
      </c>
      <c r="D4401">
        <v>252.54</v>
      </c>
      <c r="E4401">
        <v>5241</v>
      </c>
      <c r="F4401">
        <v>1619</v>
      </c>
      <c r="G4401">
        <v>1</v>
      </c>
      <c r="H4401" s="1">
        <f>0.2</f>
        <v>0.2</v>
      </c>
      <c r="I4401" s="1">
        <f>0</f>
        <v>0</v>
      </c>
      <c r="J4401">
        <v>47.484900000000003</v>
      </c>
      <c r="K4401">
        <v>545.62900000000002</v>
      </c>
      <c r="L4401">
        <v>0</v>
      </c>
    </row>
    <row r="4402" spans="1:12" x14ac:dyDescent="0.25">
      <c r="A4402">
        <f>80906279*0.00001</f>
        <v>809.06279000000006</v>
      </c>
      <c r="B4402">
        <v>3517</v>
      </c>
      <c r="C4402">
        <v>62</v>
      </c>
      <c r="D4402">
        <v>252.54</v>
      </c>
      <c r="E4402">
        <v>5241</v>
      </c>
      <c r="F4402">
        <v>1619</v>
      </c>
      <c r="G4402">
        <v>1</v>
      </c>
      <c r="H4402">
        <v>0.2</v>
      </c>
      <c r="I4402">
        <v>0</v>
      </c>
      <c r="J4402" s="1">
        <f>47.428</f>
        <v>47.427999999999997</v>
      </c>
      <c r="K4402" s="1">
        <f>545.679</f>
        <v>545.67899999999997</v>
      </c>
      <c r="L4402">
        <v>0</v>
      </c>
    </row>
    <row r="4403" spans="1:12" x14ac:dyDescent="0.25">
      <c r="A4403">
        <f>80906411*0.00001</f>
        <v>809.06411000000003</v>
      </c>
      <c r="B4403">
        <v>3517</v>
      </c>
      <c r="C4403">
        <v>63</v>
      </c>
      <c r="D4403" s="1">
        <f>252.582</f>
        <v>252.58199999999999</v>
      </c>
      <c r="E4403">
        <v>5241</v>
      </c>
      <c r="F4403">
        <v>1619</v>
      </c>
      <c r="G4403">
        <v>1</v>
      </c>
      <c r="H4403">
        <v>0.2</v>
      </c>
      <c r="I4403">
        <v>0</v>
      </c>
      <c r="J4403">
        <v>47.427999999999997</v>
      </c>
      <c r="K4403">
        <v>545.67899999999997</v>
      </c>
      <c r="L4403" s="1">
        <f>0</f>
        <v>0</v>
      </c>
    </row>
    <row r="4404" spans="1:12" x14ac:dyDescent="0.25">
      <c r="A4404">
        <f>80906543*0.00001</f>
        <v>809.06543000000011</v>
      </c>
      <c r="B4404">
        <v>3517</v>
      </c>
      <c r="C4404">
        <v>64</v>
      </c>
      <c r="D4404">
        <v>252.58199999999999</v>
      </c>
      <c r="E4404" s="1">
        <f>5240</f>
        <v>5240</v>
      </c>
      <c r="F4404" s="1">
        <f>1619</f>
        <v>1619</v>
      </c>
      <c r="G4404">
        <v>1</v>
      </c>
      <c r="H4404">
        <v>0.2</v>
      </c>
      <c r="I4404">
        <v>0</v>
      </c>
      <c r="J4404">
        <v>47.427999999999997</v>
      </c>
      <c r="K4404">
        <v>545.67899999999997</v>
      </c>
      <c r="L4404">
        <v>0</v>
      </c>
    </row>
    <row r="4405" spans="1:12" x14ac:dyDescent="0.25">
      <c r="A4405">
        <f>80906674*0.00001</f>
        <v>809.0667400000001</v>
      </c>
      <c r="B4405">
        <v>3517</v>
      </c>
      <c r="C4405">
        <v>65</v>
      </c>
      <c r="D4405">
        <v>252.58199999999999</v>
      </c>
      <c r="E4405">
        <v>5240</v>
      </c>
      <c r="F4405">
        <v>1619</v>
      </c>
      <c r="G4405" s="1">
        <f>1</f>
        <v>1</v>
      </c>
      <c r="H4405" s="1">
        <f>0.2</f>
        <v>0.2</v>
      </c>
      <c r="I4405">
        <v>0</v>
      </c>
      <c r="J4405">
        <v>47.427999999999997</v>
      </c>
      <c r="K4405">
        <v>545.67899999999997</v>
      </c>
      <c r="L4405">
        <v>0</v>
      </c>
    </row>
    <row r="4406" spans="1:12" x14ac:dyDescent="0.25">
      <c r="A4406">
        <f>80906805*0.00001</f>
        <v>809.06805000000008</v>
      </c>
      <c r="B4406">
        <v>3517</v>
      </c>
      <c r="C4406">
        <v>66</v>
      </c>
      <c r="D4406" s="1">
        <f>252.676</f>
        <v>252.67599999999999</v>
      </c>
      <c r="E4406" s="1">
        <f>5239</f>
        <v>5239</v>
      </c>
      <c r="F4406" s="1">
        <f>1619</f>
        <v>1619</v>
      </c>
      <c r="G4406" s="1">
        <f>1</f>
        <v>1</v>
      </c>
      <c r="H4406" s="1">
        <f>0.2</f>
        <v>0.2</v>
      </c>
      <c r="I4406" s="1">
        <f>0</f>
        <v>0</v>
      </c>
      <c r="J4406" s="1">
        <f>47.3334</f>
        <v>47.333399999999997</v>
      </c>
      <c r="K4406" s="1">
        <f>545.854</f>
        <v>545.85400000000004</v>
      </c>
      <c r="L4406" s="1">
        <f>0</f>
        <v>0</v>
      </c>
    </row>
    <row r="4407" spans="1:12" x14ac:dyDescent="0.25">
      <c r="A4407">
        <f>80908382*0.00001</f>
        <v>809.08382000000006</v>
      </c>
      <c r="B4407">
        <v>3517</v>
      </c>
      <c r="C4407">
        <v>78</v>
      </c>
      <c r="D4407">
        <v>252.67599999999999</v>
      </c>
      <c r="E4407" s="1">
        <f>5239</f>
        <v>5239</v>
      </c>
      <c r="F4407">
        <v>1619</v>
      </c>
      <c r="G4407">
        <v>1</v>
      </c>
      <c r="H4407">
        <v>0.2</v>
      </c>
      <c r="I4407">
        <v>0</v>
      </c>
      <c r="J4407">
        <v>47.333399999999997</v>
      </c>
      <c r="K4407">
        <v>545.85400000000004</v>
      </c>
      <c r="L4407">
        <v>0</v>
      </c>
    </row>
    <row r="4408" spans="1:12" x14ac:dyDescent="0.25">
      <c r="A4408">
        <f>80908514*0.00001</f>
        <v>809.08514000000002</v>
      </c>
      <c r="B4408">
        <v>3517</v>
      </c>
      <c r="C4408">
        <v>79</v>
      </c>
      <c r="D4408">
        <v>252.67599999999999</v>
      </c>
      <c r="E4408">
        <v>5239</v>
      </c>
      <c r="F4408">
        <v>1619</v>
      </c>
      <c r="G4408" s="1">
        <f>1</f>
        <v>1</v>
      </c>
      <c r="H4408">
        <v>0.2</v>
      </c>
      <c r="I4408">
        <v>0</v>
      </c>
      <c r="J4408">
        <v>47.333399999999997</v>
      </c>
      <c r="K4408">
        <v>545.85400000000004</v>
      </c>
      <c r="L4408">
        <v>0</v>
      </c>
    </row>
    <row r="4409" spans="1:12" x14ac:dyDescent="0.25">
      <c r="A4409">
        <f>80908645*0.00001</f>
        <v>809.08645000000001</v>
      </c>
      <c r="B4409">
        <v>3517</v>
      </c>
      <c r="C4409">
        <v>80</v>
      </c>
      <c r="D4409">
        <v>252.67599999999999</v>
      </c>
      <c r="E4409">
        <v>5239</v>
      </c>
      <c r="F4409">
        <v>1619</v>
      </c>
      <c r="G4409">
        <v>1</v>
      </c>
      <c r="H4409">
        <v>0.2</v>
      </c>
      <c r="I4409" s="1">
        <f>0</f>
        <v>0</v>
      </c>
      <c r="J4409">
        <v>47.333399999999997</v>
      </c>
      <c r="K4409">
        <v>545.85400000000004</v>
      </c>
      <c r="L4409">
        <v>0</v>
      </c>
    </row>
    <row r="4410" spans="1:12" x14ac:dyDescent="0.25">
      <c r="A4410">
        <f>80908776*0.00001</f>
        <v>809.08776000000012</v>
      </c>
      <c r="B4410">
        <v>3517</v>
      </c>
      <c r="C4410">
        <v>81</v>
      </c>
      <c r="D4410">
        <v>252.67599999999999</v>
      </c>
      <c r="E4410">
        <v>5239</v>
      </c>
      <c r="F4410">
        <v>1619</v>
      </c>
      <c r="G4410">
        <v>1</v>
      </c>
      <c r="H4410">
        <v>0.2</v>
      </c>
      <c r="I4410">
        <v>0</v>
      </c>
      <c r="J4410">
        <v>47.333399999999997</v>
      </c>
      <c r="K4410" s="1">
        <f>545.916</f>
        <v>545.91600000000005</v>
      </c>
      <c r="L4410">
        <v>0</v>
      </c>
    </row>
    <row r="4411" spans="1:12" x14ac:dyDescent="0.25">
      <c r="A4411">
        <f>80908907*0.00001</f>
        <v>809.08907000000011</v>
      </c>
      <c r="B4411">
        <v>3517</v>
      </c>
      <c r="C4411">
        <v>82</v>
      </c>
      <c r="D4411" s="1">
        <f>252.697</f>
        <v>252.697</v>
      </c>
      <c r="E4411">
        <v>5239</v>
      </c>
      <c r="F4411">
        <v>1619</v>
      </c>
      <c r="G4411">
        <v>1</v>
      </c>
      <c r="H4411">
        <v>0.2</v>
      </c>
      <c r="I4411">
        <v>0</v>
      </c>
      <c r="J4411">
        <v>47.333399999999997</v>
      </c>
      <c r="K4411">
        <v>545.91600000000005</v>
      </c>
      <c r="L4411">
        <v>0</v>
      </c>
    </row>
    <row r="4412" spans="1:12" x14ac:dyDescent="0.25">
      <c r="A4412">
        <f>80909038*0.00001</f>
        <v>809.0903800000001</v>
      </c>
      <c r="B4412">
        <v>3517</v>
      </c>
      <c r="C4412">
        <v>83</v>
      </c>
      <c r="D4412">
        <v>252.697</v>
      </c>
      <c r="E4412">
        <v>5239</v>
      </c>
      <c r="F4412" s="1">
        <f>1619</f>
        <v>1619</v>
      </c>
      <c r="G4412">
        <v>1</v>
      </c>
      <c r="H4412">
        <v>0.2</v>
      </c>
      <c r="I4412">
        <v>0</v>
      </c>
      <c r="J4412">
        <v>47.333399999999997</v>
      </c>
      <c r="K4412">
        <v>545.91600000000005</v>
      </c>
      <c r="L4412">
        <v>0</v>
      </c>
    </row>
    <row r="4413" spans="1:12" x14ac:dyDescent="0.25">
      <c r="A4413">
        <f>80909169*0.00001</f>
        <v>809.09169000000009</v>
      </c>
      <c r="B4413">
        <v>3517</v>
      </c>
      <c r="C4413">
        <v>84</v>
      </c>
      <c r="D4413">
        <v>252.697</v>
      </c>
      <c r="E4413">
        <v>5239</v>
      </c>
      <c r="F4413">
        <v>1619</v>
      </c>
      <c r="G4413">
        <v>1</v>
      </c>
      <c r="H4413" s="1">
        <f>0.2</f>
        <v>0.2</v>
      </c>
      <c r="I4413">
        <v>0</v>
      </c>
      <c r="J4413">
        <v>47.333399999999997</v>
      </c>
      <c r="K4413">
        <v>545.91600000000005</v>
      </c>
      <c r="L4413">
        <v>0</v>
      </c>
    </row>
    <row r="4414" spans="1:12" x14ac:dyDescent="0.25">
      <c r="A4414">
        <f>80909300*0.00001</f>
        <v>809.09300000000007</v>
      </c>
      <c r="B4414">
        <v>3517</v>
      </c>
      <c r="C4414">
        <v>85</v>
      </c>
      <c r="D4414">
        <v>252.697</v>
      </c>
      <c r="E4414">
        <v>5239</v>
      </c>
      <c r="F4414">
        <v>1619</v>
      </c>
      <c r="G4414">
        <v>1</v>
      </c>
      <c r="H4414">
        <v>0.2</v>
      </c>
      <c r="I4414">
        <v>0</v>
      </c>
      <c r="J4414" s="1">
        <f>47.2933</f>
        <v>47.293300000000002</v>
      </c>
      <c r="K4414">
        <v>545.91600000000005</v>
      </c>
      <c r="L4414">
        <v>0</v>
      </c>
    </row>
    <row r="4415" spans="1:12" x14ac:dyDescent="0.25">
      <c r="A4415">
        <f>80909431*0.00001</f>
        <v>809.09431000000006</v>
      </c>
      <c r="B4415">
        <v>3517</v>
      </c>
      <c r="C4415">
        <v>86</v>
      </c>
      <c r="D4415">
        <v>252.697</v>
      </c>
      <c r="E4415">
        <v>5239</v>
      </c>
      <c r="F4415">
        <v>1619</v>
      </c>
      <c r="G4415">
        <v>1</v>
      </c>
      <c r="H4415">
        <v>0.2</v>
      </c>
      <c r="I4415">
        <v>0</v>
      </c>
      <c r="J4415">
        <v>47.293300000000002</v>
      </c>
      <c r="K4415">
        <v>545.91600000000005</v>
      </c>
      <c r="L4415" s="1">
        <f>0</f>
        <v>0</v>
      </c>
    </row>
    <row r="4416" spans="1:12" x14ac:dyDescent="0.25">
      <c r="A4416">
        <f>80909562*0.00001</f>
        <v>809.09562000000005</v>
      </c>
      <c r="B4416">
        <v>3517</v>
      </c>
      <c r="C4416">
        <v>87</v>
      </c>
      <c r="D4416">
        <v>252.697</v>
      </c>
      <c r="E4416" s="1">
        <f>5239</f>
        <v>5239</v>
      </c>
      <c r="F4416">
        <v>1619</v>
      </c>
      <c r="G4416">
        <v>1</v>
      </c>
      <c r="H4416">
        <v>0.2</v>
      </c>
      <c r="I4416">
        <v>0</v>
      </c>
      <c r="J4416">
        <v>47.293300000000002</v>
      </c>
      <c r="K4416">
        <v>545.91600000000005</v>
      </c>
      <c r="L4416">
        <v>0</v>
      </c>
    </row>
    <row r="4417" spans="1:12" x14ac:dyDescent="0.25">
      <c r="A4417">
        <f>80909693*0.00001</f>
        <v>809.09693000000004</v>
      </c>
      <c r="B4417">
        <v>3517</v>
      </c>
      <c r="C4417">
        <v>88</v>
      </c>
      <c r="D4417">
        <v>252.697</v>
      </c>
      <c r="E4417">
        <v>5239</v>
      </c>
      <c r="F4417">
        <v>1619</v>
      </c>
      <c r="G4417" s="1">
        <f>1</f>
        <v>1</v>
      </c>
      <c r="H4417">
        <v>0.2</v>
      </c>
      <c r="I4417">
        <v>0</v>
      </c>
      <c r="J4417">
        <v>47.293300000000002</v>
      </c>
      <c r="K4417">
        <v>545.91600000000005</v>
      </c>
      <c r="L4417">
        <v>0</v>
      </c>
    </row>
    <row r="4418" spans="1:12" x14ac:dyDescent="0.25">
      <c r="A4418">
        <f>80909825*0.00001</f>
        <v>809.09825000000012</v>
      </c>
      <c r="B4418">
        <v>3517</v>
      </c>
      <c r="C4418">
        <v>89</v>
      </c>
      <c r="D4418">
        <v>252.697</v>
      </c>
      <c r="E4418">
        <v>5239</v>
      </c>
      <c r="F4418">
        <v>1619</v>
      </c>
      <c r="G4418">
        <v>1</v>
      </c>
      <c r="H4418">
        <v>0.2</v>
      </c>
      <c r="I4418" s="1">
        <f>0</f>
        <v>0</v>
      </c>
      <c r="J4418">
        <v>47.293300000000002</v>
      </c>
      <c r="K4418">
        <v>545.91600000000005</v>
      </c>
      <c r="L4418">
        <v>0</v>
      </c>
    </row>
    <row r="4419" spans="1:12" x14ac:dyDescent="0.25">
      <c r="A4419">
        <f>80909957*0.00001</f>
        <v>809.09957000000009</v>
      </c>
      <c r="B4419">
        <v>3517</v>
      </c>
      <c r="C4419">
        <v>90</v>
      </c>
      <c r="D4419">
        <v>252.697</v>
      </c>
      <c r="E4419">
        <v>5239</v>
      </c>
      <c r="F4419">
        <v>1619</v>
      </c>
      <c r="G4419">
        <v>1</v>
      </c>
      <c r="H4419">
        <v>0.2</v>
      </c>
      <c r="I4419">
        <v>0</v>
      </c>
      <c r="J4419" s="1">
        <f>47.2795</f>
        <v>47.279499999999999</v>
      </c>
      <c r="K4419" s="1">
        <f>546.029</f>
        <v>546.029</v>
      </c>
      <c r="L4419">
        <v>0</v>
      </c>
    </row>
    <row r="4420" spans="1:12" x14ac:dyDescent="0.25">
      <c r="A4420">
        <f>80910089*0.00001</f>
        <v>809.10089000000005</v>
      </c>
      <c r="B4420">
        <v>3517</v>
      </c>
      <c r="C4420">
        <v>91</v>
      </c>
      <c r="D4420" s="1">
        <f>252.723</f>
        <v>252.72300000000001</v>
      </c>
      <c r="E4420">
        <v>5239</v>
      </c>
      <c r="F4420">
        <v>1619</v>
      </c>
      <c r="G4420">
        <v>1</v>
      </c>
      <c r="H4420">
        <v>0.2</v>
      </c>
      <c r="I4420">
        <v>0</v>
      </c>
      <c r="J4420">
        <v>47.279499999999999</v>
      </c>
      <c r="K4420">
        <v>546.029</v>
      </c>
      <c r="L4420" s="1">
        <f>0</f>
        <v>0</v>
      </c>
    </row>
    <row r="4421" spans="1:12" x14ac:dyDescent="0.25">
      <c r="A4421">
        <f>80910221*0.00001</f>
        <v>809.10221000000001</v>
      </c>
      <c r="B4421">
        <v>3517</v>
      </c>
      <c r="C4421">
        <v>92</v>
      </c>
      <c r="D4421">
        <v>252.72300000000001</v>
      </c>
      <c r="E4421" s="1">
        <f>5239</f>
        <v>5239</v>
      </c>
      <c r="F4421" s="1">
        <f>1619</f>
        <v>1619</v>
      </c>
      <c r="G4421">
        <v>1</v>
      </c>
      <c r="H4421">
        <v>0.2</v>
      </c>
      <c r="I4421">
        <v>0</v>
      </c>
      <c r="J4421">
        <v>47.279499999999999</v>
      </c>
      <c r="K4421">
        <v>546.029</v>
      </c>
      <c r="L4421">
        <v>0</v>
      </c>
    </row>
    <row r="4422" spans="1:12" x14ac:dyDescent="0.25">
      <c r="A4422">
        <f>80910353*0.00001</f>
        <v>809.10353000000009</v>
      </c>
      <c r="B4422">
        <v>3517</v>
      </c>
      <c r="C4422">
        <v>93</v>
      </c>
      <c r="D4422">
        <v>252.72300000000001</v>
      </c>
      <c r="E4422">
        <v>5239</v>
      </c>
      <c r="F4422">
        <v>1619</v>
      </c>
      <c r="G4422" s="1">
        <f>1</f>
        <v>1</v>
      </c>
      <c r="H4422" s="1">
        <f>0.2</f>
        <v>0.2</v>
      </c>
      <c r="I4422">
        <v>0</v>
      </c>
      <c r="J4422">
        <v>47.279499999999999</v>
      </c>
      <c r="K4422">
        <v>546.029</v>
      </c>
      <c r="L4422">
        <v>0</v>
      </c>
    </row>
    <row r="4423" spans="1:12" x14ac:dyDescent="0.25">
      <c r="A4423">
        <f>80910485*0.00001</f>
        <v>809.10485000000006</v>
      </c>
      <c r="B4423">
        <v>3517</v>
      </c>
      <c r="C4423">
        <v>94</v>
      </c>
      <c r="D4423">
        <v>252.72300000000001</v>
      </c>
      <c r="E4423">
        <v>5239</v>
      </c>
      <c r="F4423">
        <v>1619</v>
      </c>
      <c r="G4423">
        <v>1</v>
      </c>
      <c r="H4423">
        <v>0.2</v>
      </c>
      <c r="I4423" s="1">
        <f>0</f>
        <v>0</v>
      </c>
      <c r="J4423" s="1">
        <f>47.2749</f>
        <v>47.274900000000002</v>
      </c>
      <c r="K4423">
        <v>546.029</v>
      </c>
      <c r="L4423">
        <v>0</v>
      </c>
    </row>
    <row r="4424" spans="1:12" x14ac:dyDescent="0.25">
      <c r="A4424">
        <f>80910616*0.00001</f>
        <v>809.10616000000005</v>
      </c>
      <c r="B4424">
        <v>3517</v>
      </c>
      <c r="C4424">
        <v>95</v>
      </c>
      <c r="D4424">
        <v>252.72300000000001</v>
      </c>
      <c r="E4424">
        <v>5239</v>
      </c>
      <c r="F4424">
        <v>1619</v>
      </c>
      <c r="G4424">
        <v>1</v>
      </c>
      <c r="H4424">
        <v>0.2</v>
      </c>
      <c r="I4424">
        <v>0</v>
      </c>
      <c r="J4424">
        <v>47.274900000000002</v>
      </c>
      <c r="K4424" s="1">
        <f>546.091</f>
        <v>546.09100000000001</v>
      </c>
      <c r="L4424" s="1">
        <f>0</f>
        <v>0</v>
      </c>
    </row>
    <row r="4425" spans="1:12" x14ac:dyDescent="0.25">
      <c r="A4425">
        <f>80910747*0.00001</f>
        <v>809.10747000000003</v>
      </c>
      <c r="B4425">
        <v>3517</v>
      </c>
      <c r="C4425">
        <v>96</v>
      </c>
      <c r="D4425" s="1">
        <f>252.733</f>
        <v>252.733</v>
      </c>
      <c r="E4425" s="1">
        <f>5239</f>
        <v>5239</v>
      </c>
      <c r="F4425">
        <v>1619</v>
      </c>
      <c r="G4425">
        <v>1</v>
      </c>
      <c r="H4425">
        <v>0.2</v>
      </c>
      <c r="I4425">
        <v>0</v>
      </c>
      <c r="J4425">
        <v>47.274900000000002</v>
      </c>
      <c r="K4425">
        <v>546.09100000000001</v>
      </c>
      <c r="L4425">
        <v>0</v>
      </c>
    </row>
    <row r="4426" spans="1:12" x14ac:dyDescent="0.25">
      <c r="A4426">
        <f>80910878*0.00001</f>
        <v>809.10878000000002</v>
      </c>
      <c r="B4426">
        <v>3517</v>
      </c>
      <c r="C4426">
        <v>97</v>
      </c>
      <c r="D4426">
        <v>252.733</v>
      </c>
      <c r="E4426">
        <v>5239</v>
      </c>
      <c r="F4426" s="1">
        <f>1619</f>
        <v>1619</v>
      </c>
      <c r="G4426" s="1">
        <f>1</f>
        <v>1</v>
      </c>
      <c r="H4426">
        <v>0.2</v>
      </c>
      <c r="I4426">
        <v>0</v>
      </c>
      <c r="J4426">
        <v>47.274900000000002</v>
      </c>
      <c r="K4426">
        <v>546.09100000000001</v>
      </c>
      <c r="L4426">
        <v>0</v>
      </c>
    </row>
    <row r="4427" spans="1:12" x14ac:dyDescent="0.25">
      <c r="A4427">
        <f>80911009*0.00001</f>
        <v>809.11009000000001</v>
      </c>
      <c r="B4427">
        <v>3517</v>
      </c>
      <c r="C4427">
        <v>98</v>
      </c>
      <c r="D4427">
        <v>252.733</v>
      </c>
      <c r="E4427">
        <v>5239</v>
      </c>
      <c r="F4427">
        <v>1619</v>
      </c>
      <c r="G4427">
        <v>1</v>
      </c>
      <c r="H4427" s="1">
        <f>0.2</f>
        <v>0.2</v>
      </c>
      <c r="I4427" s="1">
        <f>0</f>
        <v>0</v>
      </c>
      <c r="J4427">
        <v>47.274900000000002</v>
      </c>
      <c r="K4427">
        <v>546.09100000000001</v>
      </c>
      <c r="L4427">
        <v>0</v>
      </c>
    </row>
    <row r="4428" spans="1:12" x14ac:dyDescent="0.25">
      <c r="A4428">
        <f>80911140*0.00001</f>
        <v>809.11140000000012</v>
      </c>
      <c r="B4428">
        <v>3517</v>
      </c>
      <c r="C4428">
        <v>99</v>
      </c>
      <c r="D4428">
        <v>252.733</v>
      </c>
      <c r="E4428">
        <v>5239</v>
      </c>
      <c r="F4428">
        <v>1619</v>
      </c>
      <c r="G4428">
        <v>1</v>
      </c>
      <c r="H4428">
        <v>0.2</v>
      </c>
      <c r="I4428">
        <v>0</v>
      </c>
      <c r="J4428" s="1">
        <f>47.2618</f>
        <v>47.261800000000001</v>
      </c>
      <c r="K4428" s="1">
        <f>546.141</f>
        <v>546.14099999999996</v>
      </c>
      <c r="L4428">
        <v>0</v>
      </c>
    </row>
    <row r="4429" spans="1:12" x14ac:dyDescent="0.25">
      <c r="A4429">
        <f>80911271*0.00001</f>
        <v>809.11271000000011</v>
      </c>
      <c r="B4429">
        <v>3517</v>
      </c>
      <c r="C4429">
        <v>100</v>
      </c>
      <c r="D4429" s="1">
        <f>252.745</f>
        <v>252.745</v>
      </c>
      <c r="E4429" s="1">
        <f>5239</f>
        <v>5239</v>
      </c>
      <c r="F4429" s="1">
        <f>1619</f>
        <v>1619</v>
      </c>
      <c r="G4429" s="1">
        <f>1</f>
        <v>1</v>
      </c>
      <c r="H4429" s="1">
        <f>0.2</f>
        <v>0.2</v>
      </c>
      <c r="I4429" s="1">
        <f>0</f>
        <v>0</v>
      </c>
      <c r="J4429" s="1">
        <f>47.2514</f>
        <v>47.251399999999997</v>
      </c>
      <c r="K4429" s="1">
        <f>546.253</f>
        <v>546.25300000000004</v>
      </c>
      <c r="L4429" s="1">
        <f>0</f>
        <v>0</v>
      </c>
    </row>
    <row r="4430" spans="1:12" x14ac:dyDescent="0.25">
      <c r="A4430">
        <f>80912981*0.00001</f>
        <v>809.12981000000002</v>
      </c>
      <c r="B4430">
        <v>3517</v>
      </c>
      <c r="C4430">
        <v>113</v>
      </c>
      <c r="D4430">
        <v>252.745</v>
      </c>
      <c r="E4430">
        <v>5239</v>
      </c>
      <c r="F4430">
        <v>1619</v>
      </c>
      <c r="G4430">
        <v>1</v>
      </c>
      <c r="H4430">
        <v>0.2</v>
      </c>
      <c r="I4430">
        <v>0</v>
      </c>
      <c r="J4430">
        <v>47.251399999999997</v>
      </c>
      <c r="K4430" s="1">
        <f>546.315</f>
        <v>546.31500000000005</v>
      </c>
      <c r="L4430">
        <v>0</v>
      </c>
    </row>
    <row r="4431" spans="1:12" x14ac:dyDescent="0.25">
      <c r="A4431">
        <f>80913112*0.00001</f>
        <v>809.13112000000001</v>
      </c>
      <c r="B4431">
        <v>3517</v>
      </c>
      <c r="C4431">
        <v>114</v>
      </c>
      <c r="D4431" s="1">
        <f>252.754</f>
        <v>252.75399999999999</v>
      </c>
      <c r="E4431">
        <v>5239</v>
      </c>
      <c r="F4431">
        <v>1619</v>
      </c>
      <c r="G4431">
        <v>1</v>
      </c>
      <c r="H4431">
        <v>0.2</v>
      </c>
      <c r="I4431">
        <v>0</v>
      </c>
      <c r="J4431">
        <v>47.251399999999997</v>
      </c>
      <c r="K4431">
        <v>546.31500000000005</v>
      </c>
      <c r="L4431">
        <v>0</v>
      </c>
    </row>
    <row r="4432" spans="1:12" x14ac:dyDescent="0.25">
      <c r="A4432">
        <f>80913243*0.00001</f>
        <v>809.13243000000011</v>
      </c>
      <c r="B4432">
        <v>3517</v>
      </c>
      <c r="C4432">
        <v>115</v>
      </c>
      <c r="D4432">
        <v>252.75399999999999</v>
      </c>
      <c r="E4432">
        <v>5239</v>
      </c>
      <c r="F4432" s="1">
        <f>1619</f>
        <v>1619</v>
      </c>
      <c r="G4432">
        <v>1</v>
      </c>
      <c r="H4432">
        <v>0.2</v>
      </c>
      <c r="I4432">
        <v>0</v>
      </c>
      <c r="J4432">
        <v>47.251399999999997</v>
      </c>
      <c r="K4432">
        <v>546.31500000000005</v>
      </c>
      <c r="L4432">
        <v>0</v>
      </c>
    </row>
    <row r="4433" spans="1:12" x14ac:dyDescent="0.25">
      <c r="A4433">
        <f>80913374*0.00001</f>
        <v>809.1337400000001</v>
      </c>
      <c r="B4433">
        <v>3517</v>
      </c>
      <c r="C4433">
        <v>116</v>
      </c>
      <c r="D4433">
        <v>252.75399999999999</v>
      </c>
      <c r="E4433">
        <v>5239</v>
      </c>
      <c r="F4433">
        <v>1619</v>
      </c>
      <c r="G4433">
        <v>1</v>
      </c>
      <c r="H4433" s="1">
        <f>0.2</f>
        <v>0.2</v>
      </c>
      <c r="I4433">
        <v>0</v>
      </c>
      <c r="J4433">
        <v>47.251399999999997</v>
      </c>
      <c r="K4433">
        <v>546.31500000000005</v>
      </c>
      <c r="L4433">
        <v>0</v>
      </c>
    </row>
    <row r="4434" spans="1:12" x14ac:dyDescent="0.25">
      <c r="A4434">
        <f>80913505*0.00001</f>
        <v>809.13505000000009</v>
      </c>
      <c r="B4434">
        <v>3517</v>
      </c>
      <c r="C4434">
        <v>117</v>
      </c>
      <c r="D4434">
        <v>252.75399999999999</v>
      </c>
      <c r="E4434">
        <v>5239</v>
      </c>
      <c r="F4434">
        <v>1619</v>
      </c>
      <c r="G4434">
        <v>1</v>
      </c>
      <c r="H4434">
        <v>0.2</v>
      </c>
      <c r="I4434">
        <v>0</v>
      </c>
      <c r="J4434" s="1">
        <f>47.2447</f>
        <v>47.244700000000002</v>
      </c>
      <c r="K4434">
        <v>546.31500000000005</v>
      </c>
      <c r="L4434">
        <v>0</v>
      </c>
    </row>
    <row r="4435" spans="1:12" x14ac:dyDescent="0.25">
      <c r="A4435">
        <f>80913636*0.00001</f>
        <v>809.13636000000008</v>
      </c>
      <c r="B4435">
        <v>3517</v>
      </c>
      <c r="C4435">
        <v>118</v>
      </c>
      <c r="D4435">
        <v>252.75399999999999</v>
      </c>
      <c r="E4435">
        <v>5239</v>
      </c>
      <c r="F4435">
        <v>1619</v>
      </c>
      <c r="G4435">
        <v>1</v>
      </c>
      <c r="H4435">
        <v>0.2</v>
      </c>
      <c r="I4435">
        <v>0</v>
      </c>
      <c r="J4435">
        <v>47.244700000000002</v>
      </c>
      <c r="K4435">
        <v>546.31500000000005</v>
      </c>
      <c r="L4435" s="1">
        <f>0</f>
        <v>0</v>
      </c>
    </row>
    <row r="4436" spans="1:12" x14ac:dyDescent="0.25">
      <c r="A4436">
        <f>80913768*0.00001</f>
        <v>809.13768000000005</v>
      </c>
      <c r="B4436">
        <v>3517</v>
      </c>
      <c r="C4436">
        <v>119</v>
      </c>
      <c r="D4436">
        <v>252.75399999999999</v>
      </c>
      <c r="E4436" s="1">
        <f>5240</f>
        <v>5240</v>
      </c>
      <c r="F4436">
        <v>1619</v>
      </c>
      <c r="G4436">
        <v>1</v>
      </c>
      <c r="H4436">
        <v>0.2</v>
      </c>
      <c r="I4436">
        <v>0</v>
      </c>
      <c r="J4436">
        <v>47.244700000000002</v>
      </c>
      <c r="K4436">
        <v>546.31500000000005</v>
      </c>
      <c r="L4436">
        <v>0</v>
      </c>
    </row>
    <row r="4437" spans="1:12" x14ac:dyDescent="0.25">
      <c r="A4437">
        <f>80913900*0.00001</f>
        <v>809.13900000000001</v>
      </c>
      <c r="B4437">
        <v>3517</v>
      </c>
      <c r="C4437">
        <v>120</v>
      </c>
      <c r="D4437">
        <v>252.75399999999999</v>
      </c>
      <c r="E4437">
        <v>5240</v>
      </c>
      <c r="F4437">
        <v>1619</v>
      </c>
      <c r="G4437" s="1">
        <f>1</f>
        <v>1</v>
      </c>
      <c r="H4437">
        <v>0.2</v>
      </c>
      <c r="I4437">
        <v>0</v>
      </c>
      <c r="J4437">
        <v>47.244700000000002</v>
      </c>
      <c r="K4437">
        <v>546.31500000000005</v>
      </c>
      <c r="L4437">
        <v>0</v>
      </c>
    </row>
    <row r="4438" spans="1:12" x14ac:dyDescent="0.25">
      <c r="A4438">
        <f>80914032*0.00001</f>
        <v>809.14032000000009</v>
      </c>
      <c r="B4438">
        <v>3517</v>
      </c>
      <c r="C4438">
        <v>121</v>
      </c>
      <c r="D4438">
        <v>252.75399999999999</v>
      </c>
      <c r="E4438">
        <v>5240</v>
      </c>
      <c r="F4438">
        <v>1619</v>
      </c>
      <c r="G4438">
        <v>1</v>
      </c>
      <c r="H4438">
        <v>0.2</v>
      </c>
      <c r="I4438" s="1">
        <f>0</f>
        <v>0</v>
      </c>
      <c r="J4438">
        <v>47.244700000000002</v>
      </c>
      <c r="K4438">
        <v>546.31500000000005</v>
      </c>
      <c r="L4438">
        <v>0</v>
      </c>
    </row>
    <row r="4439" spans="1:12" x14ac:dyDescent="0.25">
      <c r="A4439">
        <f>80914164*0.00001</f>
        <v>809.14164000000005</v>
      </c>
      <c r="B4439">
        <v>3517</v>
      </c>
      <c r="C4439">
        <v>122</v>
      </c>
      <c r="D4439">
        <v>252.75399999999999</v>
      </c>
      <c r="E4439">
        <v>5240</v>
      </c>
      <c r="F4439">
        <v>1619</v>
      </c>
      <c r="G4439">
        <v>1</v>
      </c>
      <c r="H4439">
        <v>0.2</v>
      </c>
      <c r="I4439">
        <v>0</v>
      </c>
      <c r="J4439">
        <v>47.244700000000002</v>
      </c>
      <c r="K4439" s="1">
        <f>546.427</f>
        <v>546.42700000000002</v>
      </c>
      <c r="L4439">
        <v>0</v>
      </c>
    </row>
    <row r="4440" spans="1:12" x14ac:dyDescent="0.25">
      <c r="A4440">
        <f>80914296*0.00001</f>
        <v>809.14296000000002</v>
      </c>
      <c r="B4440">
        <v>3517</v>
      </c>
      <c r="C4440">
        <v>123</v>
      </c>
      <c r="D4440" s="1">
        <f>252.758</f>
        <v>252.75800000000001</v>
      </c>
      <c r="E4440">
        <v>5240</v>
      </c>
      <c r="F4440">
        <v>1619</v>
      </c>
      <c r="G4440">
        <v>1</v>
      </c>
      <c r="H4440">
        <v>0.2</v>
      </c>
      <c r="I4440">
        <v>0</v>
      </c>
      <c r="J4440">
        <v>47.244700000000002</v>
      </c>
      <c r="K4440">
        <v>546.42700000000002</v>
      </c>
      <c r="L4440">
        <v>0</v>
      </c>
    </row>
    <row r="4441" spans="1:12" x14ac:dyDescent="0.25">
      <c r="A4441">
        <f>80914428*0.00001</f>
        <v>809.14428000000009</v>
      </c>
      <c r="B4441">
        <v>3517</v>
      </c>
      <c r="C4441">
        <v>124</v>
      </c>
      <c r="D4441">
        <v>252.75800000000001</v>
      </c>
      <c r="E4441">
        <v>5240</v>
      </c>
      <c r="F4441" s="1">
        <f>1619</f>
        <v>1619</v>
      </c>
      <c r="G4441">
        <v>1</v>
      </c>
      <c r="H4441">
        <v>0.2</v>
      </c>
      <c r="I4441">
        <v>0</v>
      </c>
      <c r="J4441">
        <v>47.244700000000002</v>
      </c>
      <c r="K4441">
        <v>546.42700000000002</v>
      </c>
      <c r="L4441">
        <v>0</v>
      </c>
    </row>
    <row r="4442" spans="1:12" x14ac:dyDescent="0.25">
      <c r="A4442">
        <f>80914559*0.00001</f>
        <v>809.14559000000008</v>
      </c>
      <c r="B4442">
        <v>3517</v>
      </c>
      <c r="C4442">
        <v>125</v>
      </c>
      <c r="D4442">
        <v>252.75800000000001</v>
      </c>
      <c r="E4442">
        <v>5240</v>
      </c>
      <c r="F4442">
        <v>1619</v>
      </c>
      <c r="G4442" s="1">
        <f>1</f>
        <v>1</v>
      </c>
      <c r="H4442" s="1">
        <f>0.2</f>
        <v>0.2</v>
      </c>
      <c r="I4442">
        <v>0</v>
      </c>
      <c r="J4442">
        <v>47.244700000000002</v>
      </c>
      <c r="K4442">
        <v>546.42700000000002</v>
      </c>
      <c r="L4442">
        <v>0</v>
      </c>
    </row>
    <row r="4443" spans="1:12" x14ac:dyDescent="0.25">
      <c r="A4443">
        <f>80914690*0.00001</f>
        <v>809.14690000000007</v>
      </c>
      <c r="B4443">
        <v>3517</v>
      </c>
      <c r="C4443">
        <v>126</v>
      </c>
      <c r="D4443">
        <v>252.75800000000001</v>
      </c>
      <c r="E4443">
        <v>5240</v>
      </c>
      <c r="F4443">
        <v>1619</v>
      </c>
      <c r="G4443">
        <v>1</v>
      </c>
      <c r="H4443">
        <v>0.2</v>
      </c>
      <c r="I4443" s="1">
        <f>0</f>
        <v>0</v>
      </c>
      <c r="J4443" s="1">
        <f>47.2403</f>
        <v>47.240299999999998</v>
      </c>
      <c r="K4443">
        <v>546.42700000000002</v>
      </c>
      <c r="L4443">
        <v>0</v>
      </c>
    </row>
    <row r="4444" spans="1:12" x14ac:dyDescent="0.25">
      <c r="A4444">
        <f>80914821*0.00001</f>
        <v>809.14821000000006</v>
      </c>
      <c r="B4444">
        <v>3517</v>
      </c>
      <c r="C4444">
        <v>127</v>
      </c>
      <c r="D4444">
        <v>252.75800000000001</v>
      </c>
      <c r="E4444">
        <v>5240</v>
      </c>
      <c r="F4444">
        <v>1619</v>
      </c>
      <c r="G4444">
        <v>1</v>
      </c>
      <c r="H4444">
        <v>0.2</v>
      </c>
      <c r="I4444">
        <v>0</v>
      </c>
      <c r="J4444">
        <v>47.240299999999998</v>
      </c>
      <c r="K4444" s="1">
        <f>546.489</f>
        <v>546.48900000000003</v>
      </c>
      <c r="L4444" s="1">
        <f>0</f>
        <v>0</v>
      </c>
    </row>
    <row r="4445" spans="1:12" x14ac:dyDescent="0.25">
      <c r="A4445">
        <f>80914952*0.00001</f>
        <v>809.14952000000005</v>
      </c>
      <c r="B4445">
        <v>3517</v>
      </c>
      <c r="C4445">
        <v>128</v>
      </c>
      <c r="D4445" s="1">
        <f>252.76</f>
        <v>252.76</v>
      </c>
      <c r="E4445" s="1">
        <f>5240</f>
        <v>5240</v>
      </c>
      <c r="F4445">
        <v>1619</v>
      </c>
      <c r="G4445">
        <v>1</v>
      </c>
      <c r="H4445">
        <v>0.2</v>
      </c>
      <c r="I4445">
        <v>0</v>
      </c>
      <c r="J4445">
        <v>47.240299999999998</v>
      </c>
      <c r="K4445">
        <v>546.48900000000003</v>
      </c>
      <c r="L4445">
        <v>0</v>
      </c>
    </row>
    <row r="4446" spans="1:12" x14ac:dyDescent="0.25">
      <c r="A4446">
        <f>80915083*0.00001</f>
        <v>809.15083000000004</v>
      </c>
      <c r="B4446">
        <v>3517</v>
      </c>
      <c r="C4446">
        <v>129</v>
      </c>
      <c r="D4446">
        <v>252.76</v>
      </c>
      <c r="E4446">
        <v>5240</v>
      </c>
      <c r="F4446" s="1">
        <f>1619</f>
        <v>1619</v>
      </c>
      <c r="G4446" s="1">
        <f>1</f>
        <v>1</v>
      </c>
      <c r="H4446">
        <v>0.2</v>
      </c>
      <c r="I4446">
        <v>0</v>
      </c>
      <c r="J4446">
        <v>47.240299999999998</v>
      </c>
      <c r="K4446">
        <v>546.48900000000003</v>
      </c>
      <c r="L4446">
        <v>0</v>
      </c>
    </row>
    <row r="4447" spans="1:12" x14ac:dyDescent="0.25">
      <c r="A4447">
        <f>80915214*0.00001</f>
        <v>809.15214000000003</v>
      </c>
      <c r="B4447">
        <v>3517</v>
      </c>
      <c r="C4447">
        <v>130</v>
      </c>
      <c r="D4447">
        <v>252.76</v>
      </c>
      <c r="E4447">
        <v>5240</v>
      </c>
      <c r="F4447">
        <v>1619</v>
      </c>
      <c r="G4447">
        <v>1</v>
      </c>
      <c r="H4447" s="1">
        <f>0.2</f>
        <v>0.2</v>
      </c>
      <c r="I4447" s="1">
        <f>0</f>
        <v>0</v>
      </c>
      <c r="J4447">
        <v>47.240299999999998</v>
      </c>
      <c r="K4447">
        <v>546.48900000000003</v>
      </c>
      <c r="L4447">
        <v>0</v>
      </c>
    </row>
    <row r="4448" spans="1:12" x14ac:dyDescent="0.25">
      <c r="A4448">
        <f>80915345*0.00001</f>
        <v>809.15345000000002</v>
      </c>
      <c r="B4448">
        <v>3517</v>
      </c>
      <c r="C4448">
        <v>131</v>
      </c>
      <c r="D4448">
        <v>252.76</v>
      </c>
      <c r="E4448">
        <v>5240</v>
      </c>
      <c r="F4448">
        <v>1619</v>
      </c>
      <c r="G4448">
        <v>1</v>
      </c>
      <c r="H4448">
        <v>0.2</v>
      </c>
      <c r="I4448">
        <v>0</v>
      </c>
      <c r="J4448" s="1">
        <f>47.2388</f>
        <v>47.238799999999998</v>
      </c>
      <c r="K4448" s="1">
        <f>546.539</f>
        <v>546.53899999999999</v>
      </c>
      <c r="L4448">
        <v>0</v>
      </c>
    </row>
    <row r="4449" spans="1:12" x14ac:dyDescent="0.25">
      <c r="A4449">
        <f>80915476*0.00001</f>
        <v>809.15476000000001</v>
      </c>
      <c r="B4449">
        <v>3517</v>
      </c>
      <c r="C4449">
        <v>132</v>
      </c>
      <c r="D4449" s="1">
        <f>252.761</f>
        <v>252.761</v>
      </c>
      <c r="E4449">
        <v>5240</v>
      </c>
      <c r="F4449">
        <v>1619</v>
      </c>
      <c r="G4449">
        <v>1</v>
      </c>
      <c r="H4449">
        <v>0.2</v>
      </c>
      <c r="I4449">
        <v>0</v>
      </c>
      <c r="J4449">
        <v>47.238799999999998</v>
      </c>
      <c r="K4449">
        <v>546.53899999999999</v>
      </c>
      <c r="L4449" s="1">
        <f>0</f>
        <v>0</v>
      </c>
    </row>
    <row r="4450" spans="1:12" x14ac:dyDescent="0.25">
      <c r="A4450">
        <f>80915607*0.00001</f>
        <v>809.15607000000011</v>
      </c>
      <c r="B4450">
        <v>3517</v>
      </c>
      <c r="C4450">
        <v>133</v>
      </c>
      <c r="D4450">
        <v>252.761</v>
      </c>
      <c r="E4450" s="1">
        <f>5240</f>
        <v>5240</v>
      </c>
      <c r="F4450" s="1">
        <f>1619</f>
        <v>1619</v>
      </c>
      <c r="G4450">
        <v>1</v>
      </c>
      <c r="H4450">
        <v>0.2</v>
      </c>
      <c r="I4450">
        <v>0</v>
      </c>
      <c r="J4450">
        <v>47.238799999999998</v>
      </c>
      <c r="K4450">
        <v>546.53899999999999</v>
      </c>
      <c r="L4450">
        <v>0</v>
      </c>
    </row>
    <row r="4451" spans="1:12" x14ac:dyDescent="0.25">
      <c r="A4451">
        <f>80915739*0.00001</f>
        <v>809.15739000000008</v>
      </c>
      <c r="B4451">
        <v>3517</v>
      </c>
      <c r="C4451">
        <v>134</v>
      </c>
      <c r="D4451">
        <v>252.761</v>
      </c>
      <c r="E4451">
        <v>5240</v>
      </c>
      <c r="F4451">
        <v>1619</v>
      </c>
      <c r="G4451" s="1">
        <f>1</f>
        <v>1</v>
      </c>
      <c r="H4451" s="1">
        <f>0.2</f>
        <v>0.2</v>
      </c>
      <c r="I4451">
        <v>0</v>
      </c>
      <c r="J4451">
        <v>47.238799999999998</v>
      </c>
      <c r="K4451">
        <v>546.53899999999999</v>
      </c>
      <c r="L4451">
        <v>0</v>
      </c>
    </row>
    <row r="4452" spans="1:12" x14ac:dyDescent="0.25">
      <c r="A4452">
        <f>80915871*0.00001</f>
        <v>809.15871000000004</v>
      </c>
      <c r="B4452">
        <v>3517</v>
      </c>
      <c r="C4452">
        <v>135</v>
      </c>
      <c r="D4452" s="1">
        <f>252.842</f>
        <v>252.84200000000001</v>
      </c>
      <c r="E4452" s="1">
        <f>5239</f>
        <v>5239</v>
      </c>
      <c r="F4452" s="1">
        <f>1619</f>
        <v>1619</v>
      </c>
      <c r="G4452" s="1">
        <f>1</f>
        <v>1</v>
      </c>
      <c r="H4452" s="1">
        <f>0.2</f>
        <v>0.2</v>
      </c>
      <c r="I4452" s="1">
        <f>0</f>
        <v>0</v>
      </c>
      <c r="J4452" s="1">
        <f>47.1137</f>
        <v>47.113700000000001</v>
      </c>
      <c r="K4452" s="1">
        <f>546.713</f>
        <v>546.71299999999997</v>
      </c>
      <c r="L4452" s="1">
        <f>0</f>
        <v>0</v>
      </c>
    </row>
    <row r="4453" spans="1:12" x14ac:dyDescent="0.25">
      <c r="A4453">
        <f>80917316*0.00001</f>
        <v>809.17316000000005</v>
      </c>
      <c r="B4453">
        <v>3517</v>
      </c>
      <c r="C4453">
        <v>146</v>
      </c>
      <c r="D4453" s="1">
        <f>252.912</f>
        <v>252.91200000000001</v>
      </c>
      <c r="E4453">
        <v>5239</v>
      </c>
      <c r="F4453">
        <v>1619</v>
      </c>
      <c r="G4453">
        <v>1</v>
      </c>
      <c r="H4453">
        <v>0.2</v>
      </c>
      <c r="I4453">
        <v>0</v>
      </c>
      <c r="J4453">
        <v>47.113700000000001</v>
      </c>
      <c r="K4453">
        <v>546.71299999999997</v>
      </c>
      <c r="L4453">
        <v>0</v>
      </c>
    </row>
    <row r="4454" spans="1:12" x14ac:dyDescent="0.25">
      <c r="A4454">
        <f>80917447*0.00001</f>
        <v>809.17447000000004</v>
      </c>
      <c r="B4454">
        <v>3517</v>
      </c>
      <c r="C4454">
        <v>147</v>
      </c>
      <c r="D4454">
        <v>252.91200000000001</v>
      </c>
      <c r="E4454">
        <v>5239</v>
      </c>
      <c r="F4454" s="1">
        <f>1619</f>
        <v>1619</v>
      </c>
      <c r="G4454">
        <v>1</v>
      </c>
      <c r="H4454">
        <v>0.2</v>
      </c>
      <c r="I4454">
        <v>0</v>
      </c>
      <c r="J4454">
        <v>47.113700000000001</v>
      </c>
      <c r="K4454">
        <v>546.71299999999997</v>
      </c>
      <c r="L4454">
        <v>0</v>
      </c>
    </row>
    <row r="4455" spans="1:12" x14ac:dyDescent="0.25">
      <c r="A4455">
        <f>80917578*0.00001</f>
        <v>809.17578000000003</v>
      </c>
      <c r="B4455">
        <v>3517</v>
      </c>
      <c r="C4455">
        <v>148</v>
      </c>
      <c r="D4455">
        <v>252.91200000000001</v>
      </c>
      <c r="E4455">
        <v>5239</v>
      </c>
      <c r="F4455">
        <v>1619</v>
      </c>
      <c r="G4455">
        <v>1</v>
      </c>
      <c r="H4455" s="1">
        <f>0.2</f>
        <v>0.2</v>
      </c>
      <c r="I4455">
        <v>0</v>
      </c>
      <c r="J4455">
        <v>47.113700000000001</v>
      </c>
      <c r="K4455">
        <v>546.71299999999997</v>
      </c>
      <c r="L4455">
        <v>0</v>
      </c>
    </row>
    <row r="4456" spans="1:12" x14ac:dyDescent="0.25">
      <c r="A4456">
        <f>80917709*0.00001</f>
        <v>809.17709000000002</v>
      </c>
      <c r="B4456">
        <v>3517</v>
      </c>
      <c r="C4456">
        <v>149</v>
      </c>
      <c r="D4456">
        <v>252.91200000000001</v>
      </c>
      <c r="E4456">
        <v>5239</v>
      </c>
      <c r="F4456">
        <v>1619</v>
      </c>
      <c r="G4456">
        <v>1</v>
      </c>
      <c r="H4456">
        <v>0.2</v>
      </c>
      <c r="I4456">
        <v>0</v>
      </c>
      <c r="J4456" s="1">
        <f>47.054</f>
        <v>47.054000000000002</v>
      </c>
      <c r="K4456">
        <v>546.71299999999997</v>
      </c>
      <c r="L4456">
        <v>0</v>
      </c>
    </row>
    <row r="4457" spans="1:12" x14ac:dyDescent="0.25">
      <c r="A4457">
        <f>80917840*0.00001</f>
        <v>809.17840000000001</v>
      </c>
      <c r="B4457">
        <v>3517</v>
      </c>
      <c r="C4457">
        <v>150</v>
      </c>
      <c r="D4457">
        <v>252.91200000000001</v>
      </c>
      <c r="E4457">
        <v>5239</v>
      </c>
      <c r="F4457">
        <v>1619</v>
      </c>
      <c r="G4457">
        <v>1</v>
      </c>
      <c r="H4457">
        <v>0.2</v>
      </c>
      <c r="I4457">
        <v>0</v>
      </c>
      <c r="J4457">
        <v>47.054000000000002</v>
      </c>
      <c r="K4457">
        <v>546.71299999999997</v>
      </c>
      <c r="L4457" s="1">
        <f>0</f>
        <v>0</v>
      </c>
    </row>
    <row r="4458" spans="1:12" x14ac:dyDescent="0.25">
      <c r="A4458">
        <f>80917971*0.00001</f>
        <v>809.17971000000011</v>
      </c>
      <c r="B4458">
        <v>3517</v>
      </c>
      <c r="C4458">
        <v>151</v>
      </c>
      <c r="D4458">
        <v>252.91200000000001</v>
      </c>
      <c r="E4458" s="1">
        <f>5236</f>
        <v>5236</v>
      </c>
      <c r="F4458">
        <v>1619</v>
      </c>
      <c r="G4458">
        <v>1</v>
      </c>
      <c r="H4458">
        <v>0.2</v>
      </c>
      <c r="I4458">
        <v>0</v>
      </c>
      <c r="J4458">
        <v>47.054000000000002</v>
      </c>
      <c r="K4458">
        <v>546.71299999999997</v>
      </c>
      <c r="L4458">
        <v>0</v>
      </c>
    </row>
    <row r="4459" spans="1:12" x14ac:dyDescent="0.25">
      <c r="A4459">
        <f>80918103*0.00001</f>
        <v>809.18103000000008</v>
      </c>
      <c r="B4459">
        <v>3517</v>
      </c>
      <c r="C4459">
        <v>152</v>
      </c>
      <c r="D4459">
        <v>252.91200000000001</v>
      </c>
      <c r="E4459">
        <v>5236</v>
      </c>
      <c r="F4459">
        <v>1619</v>
      </c>
      <c r="G4459" s="1">
        <f>1</f>
        <v>1</v>
      </c>
      <c r="H4459">
        <v>0.2</v>
      </c>
      <c r="I4459">
        <v>0</v>
      </c>
      <c r="J4459">
        <v>47.054000000000002</v>
      </c>
      <c r="K4459">
        <v>546.71299999999997</v>
      </c>
      <c r="L4459">
        <v>0</v>
      </c>
    </row>
    <row r="4460" spans="1:12" x14ac:dyDescent="0.25">
      <c r="A4460">
        <f>80918234*0.00001</f>
        <v>809.18234000000007</v>
      </c>
      <c r="B4460">
        <v>3517</v>
      </c>
      <c r="C4460">
        <v>153</v>
      </c>
      <c r="D4460">
        <v>252.91200000000001</v>
      </c>
      <c r="E4460">
        <v>5236</v>
      </c>
      <c r="F4460">
        <v>1619</v>
      </c>
      <c r="G4460">
        <v>1</v>
      </c>
      <c r="H4460">
        <v>0.2</v>
      </c>
      <c r="I4460" s="1">
        <f>0</f>
        <v>0</v>
      </c>
      <c r="J4460">
        <v>47.054000000000002</v>
      </c>
      <c r="K4460">
        <v>546.71299999999997</v>
      </c>
      <c r="L4460">
        <v>0</v>
      </c>
    </row>
    <row r="4461" spans="1:12" x14ac:dyDescent="0.25">
      <c r="A4461">
        <f>80918365*0.00001</f>
        <v>809.18365000000006</v>
      </c>
      <c r="B4461">
        <v>3517</v>
      </c>
      <c r="C4461">
        <v>154</v>
      </c>
      <c r="D4461">
        <v>252.91200000000001</v>
      </c>
      <c r="E4461">
        <v>5236</v>
      </c>
      <c r="F4461">
        <v>1619</v>
      </c>
      <c r="G4461">
        <v>1</v>
      </c>
      <c r="H4461">
        <v>0.2</v>
      </c>
      <c r="I4461">
        <v>0</v>
      </c>
      <c r="J4461">
        <v>47.054000000000002</v>
      </c>
      <c r="K4461" s="1">
        <f>546.825</f>
        <v>546.82500000000005</v>
      </c>
      <c r="L4461">
        <v>0</v>
      </c>
    </row>
    <row r="4462" spans="1:12" x14ac:dyDescent="0.25">
      <c r="A4462">
        <f>80918496*0.00001</f>
        <v>809.18496000000005</v>
      </c>
      <c r="B4462">
        <v>3517</v>
      </c>
      <c r="C4462">
        <v>155</v>
      </c>
      <c r="D4462" s="1">
        <f>253</f>
        <v>253</v>
      </c>
      <c r="E4462">
        <v>5236</v>
      </c>
      <c r="F4462">
        <v>1619</v>
      </c>
      <c r="G4462">
        <v>1</v>
      </c>
      <c r="H4462">
        <v>0.2</v>
      </c>
      <c r="I4462">
        <v>0</v>
      </c>
      <c r="J4462">
        <v>47.054000000000002</v>
      </c>
      <c r="K4462">
        <v>546.82500000000005</v>
      </c>
      <c r="L4462">
        <v>0</v>
      </c>
    </row>
    <row r="4463" spans="1:12" x14ac:dyDescent="0.25">
      <c r="A4463">
        <f>80918627*0.00001</f>
        <v>809.18627000000004</v>
      </c>
      <c r="B4463">
        <v>3517</v>
      </c>
      <c r="C4463">
        <v>156</v>
      </c>
      <c r="D4463">
        <v>253</v>
      </c>
      <c r="E4463">
        <v>5236</v>
      </c>
      <c r="F4463" s="1">
        <f>1619</f>
        <v>1619</v>
      </c>
      <c r="G4463">
        <v>1</v>
      </c>
      <c r="H4463">
        <v>0.2</v>
      </c>
      <c r="I4463">
        <v>0</v>
      </c>
      <c r="J4463">
        <v>47.054000000000002</v>
      </c>
      <c r="K4463">
        <v>546.82500000000005</v>
      </c>
      <c r="L4463">
        <v>0</v>
      </c>
    </row>
    <row r="4464" spans="1:12" x14ac:dyDescent="0.25">
      <c r="A4464">
        <f>80918758*0.00001</f>
        <v>809.18758000000003</v>
      </c>
      <c r="B4464">
        <v>3517</v>
      </c>
      <c r="C4464">
        <v>157</v>
      </c>
      <c r="D4464">
        <v>253</v>
      </c>
      <c r="E4464">
        <v>5236</v>
      </c>
      <c r="F4464">
        <v>1619</v>
      </c>
      <c r="G4464">
        <v>1</v>
      </c>
      <c r="H4464" s="1">
        <f>0.2</f>
        <v>0.2</v>
      </c>
      <c r="I4464">
        <v>0</v>
      </c>
      <c r="J4464">
        <v>47.054000000000002</v>
      </c>
      <c r="K4464">
        <v>546.82500000000005</v>
      </c>
      <c r="L4464">
        <v>0</v>
      </c>
    </row>
    <row r="4465" spans="1:12" x14ac:dyDescent="0.25">
      <c r="A4465">
        <f>80918889*0.00001</f>
        <v>809.18889000000001</v>
      </c>
      <c r="B4465">
        <v>3517</v>
      </c>
      <c r="C4465">
        <v>158</v>
      </c>
      <c r="D4465">
        <v>253</v>
      </c>
      <c r="E4465">
        <v>5236</v>
      </c>
      <c r="F4465">
        <v>1619</v>
      </c>
      <c r="G4465">
        <v>1</v>
      </c>
      <c r="H4465">
        <v>0.2</v>
      </c>
      <c r="I4465" s="1">
        <f>0</f>
        <v>0</v>
      </c>
      <c r="J4465" s="1">
        <f>46.9784</f>
        <v>46.978400000000001</v>
      </c>
      <c r="K4465">
        <v>546.82500000000005</v>
      </c>
      <c r="L4465">
        <v>0</v>
      </c>
    </row>
    <row r="4466" spans="1:12" x14ac:dyDescent="0.25">
      <c r="A4466">
        <f>80919009*0.00001</f>
        <v>809.19009000000005</v>
      </c>
      <c r="B4466">
        <v>3517</v>
      </c>
      <c r="C4466">
        <v>158</v>
      </c>
      <c r="D4466">
        <v>253</v>
      </c>
      <c r="E4466">
        <v>5236</v>
      </c>
      <c r="F4466">
        <v>1619</v>
      </c>
      <c r="G4466">
        <v>1</v>
      </c>
      <c r="H4466">
        <v>0.2</v>
      </c>
      <c r="I4466">
        <v>0</v>
      </c>
      <c r="J4466">
        <v>46.978400000000001</v>
      </c>
      <c r="K4466" s="1">
        <f>546.887</f>
        <v>546.88699999999994</v>
      </c>
      <c r="L4466" s="1">
        <f>0</f>
        <v>0</v>
      </c>
    </row>
    <row r="4467" spans="1:12" x14ac:dyDescent="0.25">
      <c r="A4467">
        <f>80919151*0.00001</f>
        <v>809.19151000000011</v>
      </c>
      <c r="B4467">
        <v>3517</v>
      </c>
      <c r="C4467">
        <v>160</v>
      </c>
      <c r="D4467" s="1">
        <f>253.034</f>
        <v>253.03399999999999</v>
      </c>
      <c r="E4467" s="1">
        <f>5235</f>
        <v>5235</v>
      </c>
      <c r="F4467">
        <v>1619</v>
      </c>
      <c r="G4467">
        <v>1</v>
      </c>
      <c r="H4467">
        <v>0.2</v>
      </c>
      <c r="I4467">
        <v>0</v>
      </c>
      <c r="J4467">
        <v>46.978400000000001</v>
      </c>
      <c r="K4467">
        <v>546.88699999999994</v>
      </c>
      <c r="L4467">
        <v>0</v>
      </c>
    </row>
    <row r="4468" spans="1:12" x14ac:dyDescent="0.25">
      <c r="A4468">
        <f>80919282*0.00001</f>
        <v>809.1928200000001</v>
      </c>
      <c r="B4468">
        <v>3517</v>
      </c>
      <c r="C4468">
        <v>161</v>
      </c>
      <c r="D4468">
        <v>253.03399999999999</v>
      </c>
      <c r="E4468">
        <v>5235</v>
      </c>
      <c r="F4468" s="1">
        <f>1620</f>
        <v>1620</v>
      </c>
      <c r="G4468" s="1">
        <f>1</f>
        <v>1</v>
      </c>
      <c r="H4468">
        <v>0.2</v>
      </c>
      <c r="I4468">
        <v>0</v>
      </c>
      <c r="J4468">
        <v>46.978400000000001</v>
      </c>
      <c r="K4468">
        <v>546.88699999999994</v>
      </c>
      <c r="L4468">
        <v>0</v>
      </c>
    </row>
    <row r="4469" spans="1:12" x14ac:dyDescent="0.25">
      <c r="A4469">
        <f>80919413*0.00001</f>
        <v>809.19413000000009</v>
      </c>
      <c r="B4469">
        <v>3517</v>
      </c>
      <c r="C4469">
        <v>162</v>
      </c>
      <c r="D4469">
        <v>253.03399999999999</v>
      </c>
      <c r="E4469">
        <v>5235</v>
      </c>
      <c r="F4469">
        <v>1620</v>
      </c>
      <c r="G4469">
        <v>1</v>
      </c>
      <c r="H4469" s="1">
        <f>0.2</f>
        <v>0.2</v>
      </c>
      <c r="I4469" s="1">
        <f>0</f>
        <v>0</v>
      </c>
      <c r="J4469">
        <v>46.978400000000001</v>
      </c>
      <c r="K4469">
        <v>546.88699999999994</v>
      </c>
      <c r="L4469">
        <v>0</v>
      </c>
    </row>
    <row r="4470" spans="1:12" x14ac:dyDescent="0.25">
      <c r="A4470">
        <f>80919545*0.00001</f>
        <v>809.19545000000005</v>
      </c>
      <c r="B4470">
        <v>3517</v>
      </c>
      <c r="C4470">
        <v>163</v>
      </c>
      <c r="D4470">
        <v>253.03399999999999</v>
      </c>
      <c r="E4470">
        <v>5235</v>
      </c>
      <c r="F4470">
        <v>1620</v>
      </c>
      <c r="G4470">
        <v>1</v>
      </c>
      <c r="H4470">
        <v>0.2</v>
      </c>
      <c r="I4470">
        <v>0</v>
      </c>
      <c r="J4470" s="1">
        <f>46.9479</f>
        <v>46.947899999999997</v>
      </c>
      <c r="K4470" s="1">
        <f>546.936</f>
        <v>546.93600000000004</v>
      </c>
      <c r="L4470">
        <v>0</v>
      </c>
    </row>
    <row r="4471" spans="1:12" x14ac:dyDescent="0.25">
      <c r="A4471">
        <f>80919676*0.00001</f>
        <v>809.19676000000004</v>
      </c>
      <c r="B4471">
        <v>3517</v>
      </c>
      <c r="C4471">
        <v>164</v>
      </c>
      <c r="D4471" s="1">
        <f>253.057</f>
        <v>253.05699999999999</v>
      </c>
      <c r="E4471">
        <v>5235</v>
      </c>
      <c r="F4471">
        <v>1620</v>
      </c>
      <c r="G4471">
        <v>1</v>
      </c>
      <c r="H4471">
        <v>0.2</v>
      </c>
      <c r="I4471">
        <v>0</v>
      </c>
      <c r="J4471">
        <v>46.947899999999997</v>
      </c>
      <c r="K4471">
        <v>546.93600000000004</v>
      </c>
      <c r="L4471" s="1">
        <f>0</f>
        <v>0</v>
      </c>
    </row>
    <row r="4472" spans="1:12" x14ac:dyDescent="0.25">
      <c r="A4472">
        <f>80919807*0.00001</f>
        <v>809.19807000000003</v>
      </c>
      <c r="B4472">
        <v>3517</v>
      </c>
      <c r="C4472">
        <v>165</v>
      </c>
      <c r="D4472">
        <v>253.05699999999999</v>
      </c>
      <c r="E4472" s="1">
        <f>5235</f>
        <v>5235</v>
      </c>
      <c r="F4472" s="1">
        <f>1620</f>
        <v>1620</v>
      </c>
      <c r="G4472">
        <v>1</v>
      </c>
      <c r="H4472">
        <v>0.2</v>
      </c>
      <c r="I4472">
        <v>0</v>
      </c>
      <c r="J4472">
        <v>46.947899999999997</v>
      </c>
      <c r="K4472">
        <v>546.93600000000004</v>
      </c>
      <c r="L4472">
        <v>0</v>
      </c>
    </row>
    <row r="4473" spans="1:12" x14ac:dyDescent="0.25">
      <c r="A4473">
        <f>80919938*0.00001</f>
        <v>809.19938000000002</v>
      </c>
      <c r="B4473">
        <v>3517</v>
      </c>
      <c r="C4473">
        <v>166</v>
      </c>
      <c r="D4473">
        <v>253.05699999999999</v>
      </c>
      <c r="E4473">
        <v>5235</v>
      </c>
      <c r="F4473">
        <v>1620</v>
      </c>
      <c r="G4473" s="1">
        <f>1</f>
        <v>1</v>
      </c>
      <c r="H4473" s="1">
        <f>0.2</f>
        <v>0.2</v>
      </c>
      <c r="I4473">
        <v>0</v>
      </c>
      <c r="J4473">
        <v>46.947899999999997</v>
      </c>
      <c r="K4473">
        <v>546.93600000000004</v>
      </c>
      <c r="L4473">
        <v>0</v>
      </c>
    </row>
    <row r="4474" spans="1:12" x14ac:dyDescent="0.25">
      <c r="A4474">
        <f>80920070*0.00001</f>
        <v>809.2007000000001</v>
      </c>
      <c r="B4474">
        <v>3517</v>
      </c>
      <c r="C4474">
        <v>167</v>
      </c>
      <c r="D4474" s="1">
        <f>253.092</f>
        <v>253.09200000000001</v>
      </c>
      <c r="E4474" s="1">
        <f>5235</f>
        <v>5235</v>
      </c>
      <c r="F4474" s="1">
        <f>1620</f>
        <v>1620</v>
      </c>
      <c r="G4474" s="1">
        <f>1</f>
        <v>1</v>
      </c>
      <c r="H4474" s="1">
        <f>0.2</f>
        <v>0.2</v>
      </c>
      <c r="I4474" s="1">
        <f>0</f>
        <v>0</v>
      </c>
      <c r="J4474" s="1">
        <f>46.9112</f>
        <v>46.911200000000001</v>
      </c>
      <c r="K4474" s="1">
        <f>547.047</f>
        <v>547.04700000000003</v>
      </c>
      <c r="L4474" s="1">
        <f>0</f>
        <v>0</v>
      </c>
    </row>
    <row r="4475" spans="1:12" x14ac:dyDescent="0.25">
      <c r="A4475">
        <f>80921382*0.00001</f>
        <v>809.21382000000006</v>
      </c>
      <c r="B4475">
        <v>3517</v>
      </c>
      <c r="C4475">
        <v>177</v>
      </c>
      <c r="D4475">
        <v>253.09200000000001</v>
      </c>
      <c r="E4475">
        <v>5235</v>
      </c>
      <c r="F4475">
        <v>1620</v>
      </c>
      <c r="G4475">
        <v>1</v>
      </c>
      <c r="H4475">
        <v>0.2</v>
      </c>
      <c r="I4475">
        <v>0</v>
      </c>
      <c r="J4475">
        <v>46.911200000000001</v>
      </c>
      <c r="K4475" s="1">
        <f>547.109</f>
        <v>547.10900000000004</v>
      </c>
      <c r="L4475">
        <v>0</v>
      </c>
    </row>
    <row r="4476" spans="1:12" x14ac:dyDescent="0.25">
      <c r="A4476">
        <f>80921514*0.00001</f>
        <v>809.21514000000002</v>
      </c>
      <c r="B4476">
        <v>3517</v>
      </c>
      <c r="C4476">
        <v>178</v>
      </c>
      <c r="D4476" s="1">
        <f>253.105</f>
        <v>253.10499999999999</v>
      </c>
      <c r="E4476" s="1">
        <f>5235</f>
        <v>5235</v>
      </c>
      <c r="F4476" s="1">
        <f>1620</f>
        <v>1620</v>
      </c>
      <c r="G4476">
        <v>1</v>
      </c>
      <c r="H4476">
        <v>0.2</v>
      </c>
      <c r="I4476">
        <v>0</v>
      </c>
      <c r="J4476">
        <v>46.911200000000001</v>
      </c>
      <c r="K4476">
        <v>547.10900000000004</v>
      </c>
      <c r="L4476">
        <v>0</v>
      </c>
    </row>
    <row r="4477" spans="1:12" s="2" customFormat="1" x14ac:dyDescent="0.25">
      <c r="A4477" s="2">
        <f>80921777*0.00001</f>
        <v>809.21777000000009</v>
      </c>
      <c r="B4477" s="2">
        <v>3518</v>
      </c>
      <c r="C4477" s="2">
        <v>0</v>
      </c>
      <c r="D4477" s="2">
        <v>253.10499999999999</v>
      </c>
      <c r="E4477" s="2">
        <v>5235</v>
      </c>
      <c r="F4477" s="2">
        <v>1620</v>
      </c>
      <c r="G4477" s="2">
        <v>1</v>
      </c>
      <c r="H4477" s="1">
        <f>0.2</f>
        <v>0.2</v>
      </c>
      <c r="I4477" s="2">
        <v>0</v>
      </c>
      <c r="J4477" s="2">
        <v>46.911200000000001</v>
      </c>
      <c r="K4477" s="2">
        <v>547.10900000000004</v>
      </c>
      <c r="L4477" s="2">
        <v>0</v>
      </c>
    </row>
    <row r="4478" spans="1:12" x14ac:dyDescent="0.25">
      <c r="A4478">
        <f>80921909*0.00001</f>
        <v>809.21909000000005</v>
      </c>
      <c r="B4478">
        <v>3518</v>
      </c>
      <c r="C4478">
        <v>1</v>
      </c>
      <c r="D4478">
        <v>253.10499999999999</v>
      </c>
      <c r="E4478">
        <v>5235</v>
      </c>
      <c r="F4478">
        <v>1620</v>
      </c>
      <c r="G4478">
        <v>1</v>
      </c>
      <c r="H4478">
        <v>0.2</v>
      </c>
      <c r="I4478">
        <v>0</v>
      </c>
      <c r="J4478" s="1">
        <f>46.8928</f>
        <v>46.892800000000001</v>
      </c>
      <c r="K4478">
        <v>547.10900000000004</v>
      </c>
      <c r="L4478">
        <v>0</v>
      </c>
    </row>
    <row r="4479" spans="1:12" x14ac:dyDescent="0.25">
      <c r="A4479">
        <f>80922040*0.00001</f>
        <v>809.22040000000004</v>
      </c>
      <c r="B4479">
        <v>3518</v>
      </c>
      <c r="C4479">
        <v>2</v>
      </c>
      <c r="D4479">
        <v>253.10499999999999</v>
      </c>
      <c r="E4479">
        <v>5235</v>
      </c>
      <c r="F4479">
        <v>1620</v>
      </c>
      <c r="G4479">
        <v>1</v>
      </c>
      <c r="H4479">
        <v>0.2</v>
      </c>
      <c r="I4479">
        <v>0</v>
      </c>
      <c r="J4479">
        <v>46.892800000000001</v>
      </c>
      <c r="K4479">
        <v>547.10900000000004</v>
      </c>
      <c r="L4479" s="1">
        <f>0</f>
        <v>0</v>
      </c>
    </row>
    <row r="4480" spans="1:12" x14ac:dyDescent="0.25">
      <c r="A4480">
        <f>80922171*0.00001</f>
        <v>809.22171000000003</v>
      </c>
      <c r="B4480">
        <v>3518</v>
      </c>
      <c r="C4480">
        <v>3</v>
      </c>
      <c r="D4480">
        <v>253.10499999999999</v>
      </c>
      <c r="E4480" s="1">
        <f>5235</f>
        <v>5235</v>
      </c>
      <c r="F4480">
        <v>1620</v>
      </c>
      <c r="G4480">
        <v>1</v>
      </c>
      <c r="H4480">
        <v>0.2</v>
      </c>
      <c r="I4480">
        <v>0</v>
      </c>
      <c r="J4480">
        <v>46.892800000000001</v>
      </c>
      <c r="K4480">
        <v>547.10900000000004</v>
      </c>
      <c r="L4480">
        <v>0</v>
      </c>
    </row>
    <row r="4481" spans="1:12" x14ac:dyDescent="0.25">
      <c r="A4481">
        <f>80922302*0.00001</f>
        <v>809.22302000000002</v>
      </c>
      <c r="B4481">
        <v>3518</v>
      </c>
      <c r="C4481">
        <v>4</v>
      </c>
      <c r="D4481">
        <v>253.10499999999999</v>
      </c>
      <c r="E4481">
        <v>5235</v>
      </c>
      <c r="F4481">
        <v>1620</v>
      </c>
      <c r="G4481" s="1">
        <f>1</f>
        <v>1</v>
      </c>
      <c r="H4481">
        <v>0.2</v>
      </c>
      <c r="I4481">
        <v>0</v>
      </c>
      <c r="J4481">
        <v>46.892800000000001</v>
      </c>
      <c r="K4481">
        <v>547.10900000000004</v>
      </c>
      <c r="L4481">
        <v>0</v>
      </c>
    </row>
    <row r="4482" spans="1:12" x14ac:dyDescent="0.25">
      <c r="A4482">
        <f>80922433*0.00001</f>
        <v>809.22433000000012</v>
      </c>
      <c r="B4482">
        <v>3518</v>
      </c>
      <c r="C4482">
        <v>5</v>
      </c>
      <c r="D4482">
        <v>253.10499999999999</v>
      </c>
      <c r="E4482">
        <v>5235</v>
      </c>
      <c r="F4482">
        <v>1620</v>
      </c>
      <c r="G4482">
        <v>1</v>
      </c>
      <c r="H4482">
        <v>0.2</v>
      </c>
      <c r="I4482" s="1">
        <f>0</f>
        <v>0</v>
      </c>
      <c r="J4482">
        <v>46.892800000000001</v>
      </c>
      <c r="K4482">
        <v>547.10900000000004</v>
      </c>
      <c r="L4482">
        <v>0</v>
      </c>
    </row>
    <row r="4483" spans="1:12" x14ac:dyDescent="0.25">
      <c r="A4483">
        <f>80922564*0.00001</f>
        <v>809.22564000000011</v>
      </c>
      <c r="B4483">
        <v>3518</v>
      </c>
      <c r="C4483">
        <v>6</v>
      </c>
      <c r="D4483">
        <v>253.10499999999999</v>
      </c>
      <c r="E4483">
        <v>5235</v>
      </c>
      <c r="F4483">
        <v>1620</v>
      </c>
      <c r="G4483">
        <v>1</v>
      </c>
      <c r="H4483">
        <v>0.2</v>
      </c>
      <c r="I4483">
        <v>0</v>
      </c>
      <c r="J4483">
        <v>46.892800000000001</v>
      </c>
      <c r="K4483" s="1">
        <f>547.195</f>
        <v>547.19500000000005</v>
      </c>
      <c r="L4483">
        <v>0</v>
      </c>
    </row>
    <row r="4484" spans="1:12" x14ac:dyDescent="0.25">
      <c r="A4484">
        <f>80922695*0.00001</f>
        <v>809.2269500000001</v>
      </c>
      <c r="B4484">
        <v>3518</v>
      </c>
      <c r="C4484">
        <v>7</v>
      </c>
      <c r="D4484" s="1">
        <f>253.119</f>
        <v>253.119</v>
      </c>
      <c r="E4484">
        <v>5235</v>
      </c>
      <c r="F4484">
        <v>1620</v>
      </c>
      <c r="G4484">
        <v>1</v>
      </c>
      <c r="H4484">
        <v>0.2</v>
      </c>
      <c r="I4484">
        <v>0</v>
      </c>
      <c r="J4484">
        <v>46.892800000000001</v>
      </c>
      <c r="K4484">
        <v>547.19500000000005</v>
      </c>
      <c r="L4484">
        <v>0</v>
      </c>
    </row>
    <row r="4485" spans="1:12" x14ac:dyDescent="0.25">
      <c r="A4485">
        <f>80922826*0.00001</f>
        <v>809.22826000000009</v>
      </c>
      <c r="B4485">
        <v>3518</v>
      </c>
      <c r="C4485">
        <v>8</v>
      </c>
      <c r="D4485">
        <v>253.119</v>
      </c>
      <c r="E4485">
        <v>5235</v>
      </c>
      <c r="F4485" s="1">
        <f>1620</f>
        <v>1620</v>
      </c>
      <c r="G4485">
        <v>1</v>
      </c>
      <c r="H4485">
        <v>0.2</v>
      </c>
      <c r="I4485">
        <v>0</v>
      </c>
      <c r="J4485">
        <v>46.892800000000001</v>
      </c>
      <c r="K4485">
        <v>547.19500000000005</v>
      </c>
      <c r="L4485">
        <v>0</v>
      </c>
    </row>
    <row r="4486" spans="1:12" x14ac:dyDescent="0.25">
      <c r="A4486">
        <f>80922958*0.00001</f>
        <v>809.22958000000006</v>
      </c>
      <c r="B4486">
        <v>3518</v>
      </c>
      <c r="C4486">
        <v>9</v>
      </c>
      <c r="D4486">
        <v>253.119</v>
      </c>
      <c r="E4486">
        <v>5235</v>
      </c>
      <c r="F4486">
        <v>1620</v>
      </c>
      <c r="G4486">
        <v>1</v>
      </c>
      <c r="H4486" s="1">
        <f>0.2</f>
        <v>0.2</v>
      </c>
      <c r="I4486">
        <v>0</v>
      </c>
      <c r="J4486">
        <v>46.892800000000001</v>
      </c>
      <c r="K4486">
        <v>547.19500000000005</v>
      </c>
      <c r="L4486">
        <v>0</v>
      </c>
    </row>
    <row r="4487" spans="1:12" x14ac:dyDescent="0.25">
      <c r="A4487">
        <f>80923089*0.00001</f>
        <v>809.23089000000004</v>
      </c>
      <c r="B4487">
        <v>3518</v>
      </c>
      <c r="C4487">
        <v>10</v>
      </c>
      <c r="D4487">
        <v>253.119</v>
      </c>
      <c r="E4487">
        <v>5235</v>
      </c>
      <c r="F4487">
        <v>1620</v>
      </c>
      <c r="G4487">
        <v>1</v>
      </c>
      <c r="H4487">
        <v>0.2</v>
      </c>
      <c r="I4487" s="1">
        <f>0</f>
        <v>0</v>
      </c>
      <c r="J4487" s="1">
        <f>46.8767</f>
        <v>46.8767</v>
      </c>
      <c r="K4487">
        <v>547.19500000000005</v>
      </c>
      <c r="L4487">
        <v>0</v>
      </c>
    </row>
    <row r="4488" spans="1:12" x14ac:dyDescent="0.25">
      <c r="A4488">
        <f>80923220*0.00001</f>
        <v>809.23220000000003</v>
      </c>
      <c r="B4488">
        <v>3518</v>
      </c>
      <c r="C4488">
        <v>11</v>
      </c>
      <c r="D4488">
        <v>253.119</v>
      </c>
      <c r="E4488">
        <v>5235</v>
      </c>
      <c r="F4488">
        <v>1620</v>
      </c>
      <c r="G4488">
        <v>1</v>
      </c>
      <c r="H4488">
        <v>0.2</v>
      </c>
      <c r="I4488">
        <v>0</v>
      </c>
      <c r="J4488">
        <v>46.8767</v>
      </c>
      <c r="K4488" s="1">
        <f>547.257</f>
        <v>547.25699999999995</v>
      </c>
      <c r="L4488" s="1">
        <f>0</f>
        <v>0</v>
      </c>
    </row>
    <row r="4489" spans="1:12" x14ac:dyDescent="0.25">
      <c r="A4489">
        <f>80923351*0.00001</f>
        <v>809.23351000000002</v>
      </c>
      <c r="B4489">
        <v>3518</v>
      </c>
      <c r="C4489">
        <v>12</v>
      </c>
      <c r="D4489" s="1">
        <f>253.126</f>
        <v>253.126</v>
      </c>
      <c r="E4489" s="1">
        <f>5235</f>
        <v>5235</v>
      </c>
      <c r="F4489">
        <v>1620</v>
      </c>
      <c r="G4489">
        <v>1</v>
      </c>
      <c r="H4489">
        <v>0.2</v>
      </c>
      <c r="I4489">
        <v>0</v>
      </c>
      <c r="J4489">
        <v>46.8767</v>
      </c>
      <c r="K4489">
        <v>547.25699999999995</v>
      </c>
      <c r="L4489">
        <v>0</v>
      </c>
    </row>
    <row r="4490" spans="1:12" x14ac:dyDescent="0.25">
      <c r="A4490">
        <f>80923482*0.00001</f>
        <v>809.23482000000001</v>
      </c>
      <c r="B4490">
        <v>3518</v>
      </c>
      <c r="C4490">
        <v>13</v>
      </c>
      <c r="D4490">
        <v>253.126</v>
      </c>
      <c r="E4490">
        <v>5235</v>
      </c>
      <c r="F4490" s="1">
        <f>1620</f>
        <v>1620</v>
      </c>
      <c r="G4490" s="1">
        <f>1</f>
        <v>1</v>
      </c>
      <c r="H4490">
        <v>0.2</v>
      </c>
      <c r="I4490">
        <v>0</v>
      </c>
      <c r="J4490">
        <v>46.8767</v>
      </c>
      <c r="K4490">
        <v>547.25699999999995</v>
      </c>
      <c r="L4490">
        <v>0</v>
      </c>
    </row>
    <row r="4491" spans="1:12" x14ac:dyDescent="0.25">
      <c r="A4491">
        <f>80923613*0.00001</f>
        <v>809.23613000000012</v>
      </c>
      <c r="B4491">
        <v>3518</v>
      </c>
      <c r="C4491">
        <v>14</v>
      </c>
      <c r="D4491">
        <v>253.126</v>
      </c>
      <c r="E4491">
        <v>5235</v>
      </c>
      <c r="F4491">
        <v>1620</v>
      </c>
      <c r="G4491">
        <v>1</v>
      </c>
      <c r="H4491" s="1">
        <f>0.2</f>
        <v>0.2</v>
      </c>
      <c r="I4491" s="1">
        <f>0</f>
        <v>0</v>
      </c>
      <c r="J4491">
        <v>46.8767</v>
      </c>
      <c r="K4491">
        <v>547.25699999999995</v>
      </c>
      <c r="L4491">
        <v>0</v>
      </c>
    </row>
    <row r="4492" spans="1:12" x14ac:dyDescent="0.25">
      <c r="A4492">
        <f>80923744*0.00001</f>
        <v>809.23744000000011</v>
      </c>
      <c r="B4492">
        <v>3518</v>
      </c>
      <c r="C4492">
        <v>15</v>
      </c>
      <c r="D4492">
        <v>253.126</v>
      </c>
      <c r="E4492">
        <v>5235</v>
      </c>
      <c r="F4492">
        <v>1620</v>
      </c>
      <c r="G4492">
        <v>1</v>
      </c>
      <c r="H4492">
        <v>0.2</v>
      </c>
      <c r="I4492">
        <v>0</v>
      </c>
      <c r="J4492" s="1">
        <f>46.8707</f>
        <v>46.870699999999999</v>
      </c>
      <c r="K4492" s="1">
        <f>547.307</f>
        <v>547.30700000000002</v>
      </c>
      <c r="L4492">
        <v>0</v>
      </c>
    </row>
    <row r="4493" spans="1:12" x14ac:dyDescent="0.25">
      <c r="A4493">
        <f>80923875*0.00001</f>
        <v>809.2387500000001</v>
      </c>
      <c r="B4493">
        <v>3518</v>
      </c>
      <c r="C4493">
        <v>16</v>
      </c>
      <c r="D4493" s="1">
        <f>253.13</f>
        <v>253.13</v>
      </c>
      <c r="E4493">
        <v>5235</v>
      </c>
      <c r="F4493">
        <v>1620</v>
      </c>
      <c r="G4493">
        <v>1</v>
      </c>
      <c r="H4493">
        <v>0.2</v>
      </c>
      <c r="I4493">
        <v>0</v>
      </c>
      <c r="J4493">
        <v>46.870699999999999</v>
      </c>
      <c r="K4493">
        <v>547.30700000000002</v>
      </c>
      <c r="L4493" s="1">
        <f>0</f>
        <v>0</v>
      </c>
    </row>
    <row r="4494" spans="1:12" x14ac:dyDescent="0.25">
      <c r="A4494">
        <f>80924007*0.00001</f>
        <v>809.24007000000006</v>
      </c>
      <c r="B4494">
        <v>3518</v>
      </c>
      <c r="C4494">
        <v>17</v>
      </c>
      <c r="D4494">
        <v>253.13</v>
      </c>
      <c r="E4494" s="1">
        <f>5235</f>
        <v>5235</v>
      </c>
      <c r="F4494" s="1">
        <f>1620</f>
        <v>1620</v>
      </c>
      <c r="G4494">
        <v>1</v>
      </c>
      <c r="H4494">
        <v>0.2</v>
      </c>
      <c r="I4494">
        <v>0</v>
      </c>
      <c r="J4494">
        <v>46.870699999999999</v>
      </c>
      <c r="K4494">
        <v>547.30700000000002</v>
      </c>
      <c r="L4494">
        <v>0</v>
      </c>
    </row>
    <row r="4495" spans="1:12" x14ac:dyDescent="0.25">
      <c r="A4495">
        <f>80924138*0.00001</f>
        <v>809.24138000000005</v>
      </c>
      <c r="B4495">
        <v>3518</v>
      </c>
      <c r="C4495">
        <v>18</v>
      </c>
      <c r="D4495">
        <v>253.13</v>
      </c>
      <c r="E4495">
        <v>5235</v>
      </c>
      <c r="F4495">
        <v>1620</v>
      </c>
      <c r="G4495" s="1">
        <f>1</f>
        <v>1</v>
      </c>
      <c r="H4495" s="1">
        <f>0.2</f>
        <v>0.2</v>
      </c>
      <c r="I4495">
        <v>0</v>
      </c>
      <c r="J4495">
        <v>46.870699999999999</v>
      </c>
      <c r="K4495">
        <v>547.30700000000002</v>
      </c>
      <c r="L4495">
        <v>0</v>
      </c>
    </row>
    <row r="4496" spans="1:12" x14ac:dyDescent="0.25">
      <c r="A4496">
        <f>80924269*0.00001</f>
        <v>809.24269000000004</v>
      </c>
      <c r="B4496">
        <v>3518</v>
      </c>
      <c r="C4496">
        <v>19</v>
      </c>
      <c r="D4496">
        <v>253.13</v>
      </c>
      <c r="E4496">
        <v>5235</v>
      </c>
      <c r="F4496">
        <v>1620</v>
      </c>
      <c r="G4496">
        <v>1</v>
      </c>
      <c r="H4496">
        <v>0.2</v>
      </c>
      <c r="I4496" s="1">
        <f>0</f>
        <v>0</v>
      </c>
      <c r="J4496" s="1">
        <f>46.8667</f>
        <v>46.866700000000002</v>
      </c>
      <c r="K4496">
        <v>547.30700000000002</v>
      </c>
      <c r="L4496">
        <v>0</v>
      </c>
    </row>
    <row r="4497" spans="1:12" x14ac:dyDescent="0.25">
      <c r="A4497">
        <f>80924400*0.00001</f>
        <v>809.24400000000003</v>
      </c>
      <c r="B4497">
        <v>3518</v>
      </c>
      <c r="C4497">
        <v>20</v>
      </c>
      <c r="D4497" s="1">
        <f>253.141</f>
        <v>253.14099999999999</v>
      </c>
      <c r="E4497" s="1">
        <f>5235</f>
        <v>5235</v>
      </c>
      <c r="F4497" s="1">
        <f>1620</f>
        <v>1620</v>
      </c>
      <c r="G4497" s="1">
        <f>1</f>
        <v>1</v>
      </c>
      <c r="H4497" s="1">
        <f>0.2</f>
        <v>0.2</v>
      </c>
      <c r="I4497" s="1">
        <f>0</f>
        <v>0</v>
      </c>
      <c r="J4497" s="1">
        <f>46.8603</f>
        <v>46.860300000000002</v>
      </c>
      <c r="K4497" s="1">
        <f>547.48</f>
        <v>547.48</v>
      </c>
      <c r="L4497" s="1">
        <f>0</f>
        <v>0</v>
      </c>
    </row>
    <row r="4498" spans="1:12" x14ac:dyDescent="0.25">
      <c r="A4498">
        <f>80925843*0.00001</f>
        <v>809.25843000000009</v>
      </c>
      <c r="B4498">
        <v>3518</v>
      </c>
      <c r="C4498">
        <v>31</v>
      </c>
      <c r="D4498">
        <v>253.14099999999999</v>
      </c>
      <c r="E4498">
        <v>5235</v>
      </c>
      <c r="F4498" s="1">
        <f>1620</f>
        <v>1620</v>
      </c>
      <c r="G4498">
        <v>1</v>
      </c>
      <c r="H4498">
        <v>0.2</v>
      </c>
      <c r="I4498">
        <v>0</v>
      </c>
      <c r="J4498">
        <v>46.860300000000002</v>
      </c>
      <c r="K4498">
        <v>547.48</v>
      </c>
      <c r="L4498">
        <v>0</v>
      </c>
    </row>
    <row r="4499" spans="1:12" x14ac:dyDescent="0.25">
      <c r="A4499">
        <f>80925975*0.00001</f>
        <v>809.25975000000005</v>
      </c>
      <c r="B4499">
        <v>3518</v>
      </c>
      <c r="C4499">
        <v>32</v>
      </c>
      <c r="D4499">
        <v>253.14099999999999</v>
      </c>
      <c r="E4499">
        <v>5235</v>
      </c>
      <c r="F4499">
        <v>1620</v>
      </c>
      <c r="G4499">
        <v>1</v>
      </c>
      <c r="H4499" s="1">
        <f>0.2</f>
        <v>0.2</v>
      </c>
      <c r="I4499">
        <v>0</v>
      </c>
      <c r="J4499">
        <v>46.860300000000002</v>
      </c>
      <c r="K4499">
        <v>547.48</v>
      </c>
      <c r="L4499">
        <v>0</v>
      </c>
    </row>
    <row r="4500" spans="1:12" x14ac:dyDescent="0.25">
      <c r="A4500">
        <f>80926106*0.00001</f>
        <v>809.26106000000004</v>
      </c>
      <c r="B4500">
        <v>3518</v>
      </c>
      <c r="C4500">
        <v>33</v>
      </c>
      <c r="D4500">
        <v>253.14099999999999</v>
      </c>
      <c r="E4500">
        <v>5235</v>
      </c>
      <c r="F4500">
        <v>1620</v>
      </c>
      <c r="G4500">
        <v>1</v>
      </c>
      <c r="H4500">
        <v>0.2</v>
      </c>
      <c r="I4500">
        <v>0</v>
      </c>
      <c r="J4500" s="1">
        <f>46.8571</f>
        <v>46.857100000000003</v>
      </c>
      <c r="K4500">
        <v>547.48</v>
      </c>
      <c r="L4500">
        <v>0</v>
      </c>
    </row>
    <row r="4501" spans="1:12" x14ac:dyDescent="0.25">
      <c r="A4501">
        <f>80926237*0.00001</f>
        <v>809.26237000000003</v>
      </c>
      <c r="B4501">
        <v>3518</v>
      </c>
      <c r="C4501">
        <v>34</v>
      </c>
      <c r="D4501">
        <v>253.14099999999999</v>
      </c>
      <c r="E4501">
        <v>5235</v>
      </c>
      <c r="F4501">
        <v>1620</v>
      </c>
      <c r="G4501">
        <v>1</v>
      </c>
      <c r="H4501">
        <v>0.2</v>
      </c>
      <c r="I4501">
        <v>0</v>
      </c>
      <c r="J4501">
        <v>46.857100000000003</v>
      </c>
      <c r="K4501">
        <v>547.48</v>
      </c>
      <c r="L4501" s="1">
        <f>0</f>
        <v>0</v>
      </c>
    </row>
    <row r="4502" spans="1:12" x14ac:dyDescent="0.25">
      <c r="A4502">
        <f>80926368*0.00001</f>
        <v>809.26368000000002</v>
      </c>
      <c r="B4502">
        <v>3518</v>
      </c>
      <c r="C4502">
        <v>35</v>
      </c>
      <c r="D4502">
        <v>253.14099999999999</v>
      </c>
      <c r="E4502" s="1">
        <f>5236</f>
        <v>5236</v>
      </c>
      <c r="F4502">
        <v>1620</v>
      </c>
      <c r="G4502">
        <v>1</v>
      </c>
      <c r="H4502">
        <v>0.2</v>
      </c>
      <c r="I4502">
        <v>0</v>
      </c>
      <c r="J4502">
        <v>46.857100000000003</v>
      </c>
      <c r="K4502">
        <v>547.48</v>
      </c>
      <c r="L4502">
        <v>0</v>
      </c>
    </row>
    <row r="4503" spans="1:12" x14ac:dyDescent="0.25">
      <c r="A4503">
        <f>80926499*0.00001</f>
        <v>809.26499000000001</v>
      </c>
      <c r="B4503">
        <v>3518</v>
      </c>
      <c r="C4503">
        <v>36</v>
      </c>
      <c r="D4503">
        <v>253.14099999999999</v>
      </c>
      <c r="E4503">
        <v>5236</v>
      </c>
      <c r="F4503">
        <v>1620</v>
      </c>
      <c r="G4503" s="1">
        <f>1</f>
        <v>1</v>
      </c>
      <c r="H4503">
        <v>0.2</v>
      </c>
      <c r="I4503">
        <v>0</v>
      </c>
      <c r="J4503">
        <v>46.857100000000003</v>
      </c>
      <c r="K4503">
        <v>547.48</v>
      </c>
      <c r="L4503">
        <v>0</v>
      </c>
    </row>
    <row r="4504" spans="1:12" x14ac:dyDescent="0.25">
      <c r="A4504">
        <f>80926630*0.00001</f>
        <v>809.26630000000011</v>
      </c>
      <c r="B4504">
        <v>3518</v>
      </c>
      <c r="C4504">
        <v>37</v>
      </c>
      <c r="D4504">
        <v>253.14099999999999</v>
      </c>
      <c r="E4504">
        <v>5236</v>
      </c>
      <c r="F4504">
        <v>1620</v>
      </c>
      <c r="G4504">
        <v>1</v>
      </c>
      <c r="H4504">
        <v>0.2</v>
      </c>
      <c r="I4504" s="1">
        <f>0</f>
        <v>0</v>
      </c>
      <c r="J4504">
        <v>46.857100000000003</v>
      </c>
      <c r="K4504">
        <v>547.48</v>
      </c>
      <c r="L4504">
        <v>0</v>
      </c>
    </row>
    <row r="4505" spans="1:12" x14ac:dyDescent="0.25">
      <c r="A4505">
        <f>80926761*0.00001</f>
        <v>809.2676100000001</v>
      </c>
      <c r="B4505">
        <v>3518</v>
      </c>
      <c r="C4505">
        <v>38</v>
      </c>
      <c r="D4505">
        <v>253.14099999999999</v>
      </c>
      <c r="E4505">
        <v>5236</v>
      </c>
      <c r="F4505">
        <v>1620</v>
      </c>
      <c r="G4505">
        <v>1</v>
      </c>
      <c r="H4505">
        <v>0.2</v>
      </c>
      <c r="I4505">
        <v>0</v>
      </c>
      <c r="J4505">
        <v>46.857100000000003</v>
      </c>
      <c r="K4505" s="1">
        <f>547.591</f>
        <v>547.59100000000001</v>
      </c>
      <c r="L4505">
        <v>0</v>
      </c>
    </row>
    <row r="4506" spans="1:12" x14ac:dyDescent="0.25">
      <c r="A4506">
        <f>80926893*0.00001</f>
        <v>809.26893000000007</v>
      </c>
      <c r="B4506">
        <v>3518</v>
      </c>
      <c r="C4506">
        <v>39</v>
      </c>
      <c r="D4506" s="1">
        <f>253.145</f>
        <v>253.14500000000001</v>
      </c>
      <c r="E4506">
        <v>5236</v>
      </c>
      <c r="F4506">
        <v>1620</v>
      </c>
      <c r="G4506">
        <v>1</v>
      </c>
      <c r="H4506">
        <v>0.2</v>
      </c>
      <c r="I4506">
        <v>0</v>
      </c>
      <c r="J4506">
        <v>46.857100000000003</v>
      </c>
      <c r="K4506">
        <v>547.59100000000001</v>
      </c>
      <c r="L4506">
        <v>0</v>
      </c>
    </row>
    <row r="4507" spans="1:12" x14ac:dyDescent="0.25">
      <c r="A4507">
        <f>80927024*0.00001</f>
        <v>809.27024000000006</v>
      </c>
      <c r="B4507">
        <v>3518</v>
      </c>
      <c r="C4507">
        <v>40</v>
      </c>
      <c r="D4507">
        <v>253.14500000000001</v>
      </c>
      <c r="E4507">
        <v>5236</v>
      </c>
      <c r="F4507" s="1">
        <f>1620</f>
        <v>1620</v>
      </c>
      <c r="G4507">
        <v>1</v>
      </c>
      <c r="H4507">
        <v>0.2</v>
      </c>
      <c r="I4507">
        <v>0</v>
      </c>
      <c r="J4507">
        <v>46.857100000000003</v>
      </c>
      <c r="K4507">
        <v>547.59100000000001</v>
      </c>
      <c r="L4507">
        <v>0</v>
      </c>
    </row>
    <row r="4508" spans="1:12" x14ac:dyDescent="0.25">
      <c r="A4508">
        <f>80927155*0.00001</f>
        <v>809.27155000000005</v>
      </c>
      <c r="B4508">
        <v>3518</v>
      </c>
      <c r="C4508">
        <v>41</v>
      </c>
      <c r="D4508">
        <v>253.14500000000001</v>
      </c>
      <c r="E4508">
        <v>5236</v>
      </c>
      <c r="F4508">
        <v>1620</v>
      </c>
      <c r="G4508">
        <v>1</v>
      </c>
      <c r="H4508" s="1">
        <f>0.2</f>
        <v>0.2</v>
      </c>
      <c r="I4508">
        <v>0</v>
      </c>
      <c r="J4508">
        <v>46.857100000000003</v>
      </c>
      <c r="K4508">
        <v>547.59100000000001</v>
      </c>
      <c r="L4508">
        <v>0</v>
      </c>
    </row>
    <row r="4509" spans="1:12" x14ac:dyDescent="0.25">
      <c r="A4509">
        <f>80927286*0.00001</f>
        <v>809.27286000000004</v>
      </c>
      <c r="B4509">
        <v>3518</v>
      </c>
      <c r="C4509">
        <v>42</v>
      </c>
      <c r="D4509">
        <v>253.14500000000001</v>
      </c>
      <c r="E4509">
        <v>5236</v>
      </c>
      <c r="F4509">
        <v>1620</v>
      </c>
      <c r="G4509">
        <v>1</v>
      </c>
      <c r="H4509">
        <v>0.2</v>
      </c>
      <c r="I4509" s="1">
        <f>0</f>
        <v>0</v>
      </c>
      <c r="J4509" s="1">
        <f>46.7995</f>
        <v>46.799500000000002</v>
      </c>
      <c r="K4509">
        <v>547.59100000000001</v>
      </c>
      <c r="L4509">
        <v>0</v>
      </c>
    </row>
    <row r="4510" spans="1:12" x14ac:dyDescent="0.25">
      <c r="A4510">
        <f>80927417*0.00001</f>
        <v>809.27417000000003</v>
      </c>
      <c r="B4510">
        <v>3518</v>
      </c>
      <c r="C4510">
        <v>43</v>
      </c>
      <c r="D4510">
        <v>253.14500000000001</v>
      </c>
      <c r="E4510">
        <v>5236</v>
      </c>
      <c r="F4510">
        <v>1620</v>
      </c>
      <c r="G4510">
        <v>1</v>
      </c>
      <c r="H4510">
        <v>0.2</v>
      </c>
      <c r="I4510">
        <v>0</v>
      </c>
      <c r="J4510">
        <v>46.799500000000002</v>
      </c>
      <c r="K4510" s="1">
        <f>547.652</f>
        <v>547.65200000000004</v>
      </c>
      <c r="L4510" s="1">
        <f>0</f>
        <v>0</v>
      </c>
    </row>
    <row r="4511" spans="1:12" x14ac:dyDescent="0.25">
      <c r="A4511">
        <f>80927548*0.00001</f>
        <v>809.27548000000002</v>
      </c>
      <c r="B4511">
        <v>3518</v>
      </c>
      <c r="C4511">
        <v>44</v>
      </c>
      <c r="D4511" s="1">
        <f>253.233</f>
        <v>253.233</v>
      </c>
      <c r="E4511" s="1">
        <f>5234</f>
        <v>5234</v>
      </c>
      <c r="F4511">
        <v>1620</v>
      </c>
      <c r="G4511">
        <v>1</v>
      </c>
      <c r="H4511">
        <v>0.2</v>
      </c>
      <c r="I4511">
        <v>0</v>
      </c>
      <c r="J4511">
        <v>46.799500000000002</v>
      </c>
      <c r="K4511">
        <v>547.65200000000004</v>
      </c>
      <c r="L4511">
        <v>0</v>
      </c>
    </row>
    <row r="4512" spans="1:12" x14ac:dyDescent="0.25">
      <c r="A4512">
        <f>80927679*0.00001</f>
        <v>809.27679000000012</v>
      </c>
      <c r="B4512">
        <v>3518</v>
      </c>
      <c r="C4512">
        <v>45</v>
      </c>
      <c r="D4512">
        <v>253.233</v>
      </c>
      <c r="E4512">
        <v>5234</v>
      </c>
      <c r="F4512" s="1">
        <f>1620</f>
        <v>1620</v>
      </c>
      <c r="G4512" s="1">
        <f>1</f>
        <v>1</v>
      </c>
      <c r="H4512">
        <v>0.2</v>
      </c>
      <c r="I4512">
        <v>0</v>
      </c>
      <c r="J4512">
        <v>46.799500000000002</v>
      </c>
      <c r="K4512">
        <v>547.65200000000004</v>
      </c>
      <c r="L4512">
        <v>0</v>
      </c>
    </row>
    <row r="4513" spans="1:12" x14ac:dyDescent="0.25">
      <c r="A4513">
        <f>80927810*0.00001</f>
        <v>809.27810000000011</v>
      </c>
      <c r="B4513">
        <v>3518</v>
      </c>
      <c r="C4513">
        <v>46</v>
      </c>
      <c r="D4513">
        <v>253.233</v>
      </c>
      <c r="E4513">
        <v>5234</v>
      </c>
      <c r="F4513">
        <v>1620</v>
      </c>
      <c r="G4513">
        <v>1</v>
      </c>
      <c r="H4513" s="1">
        <f>0.2</f>
        <v>0.2</v>
      </c>
      <c r="I4513" s="1">
        <f>0</f>
        <v>0</v>
      </c>
      <c r="J4513">
        <v>46.799500000000002</v>
      </c>
      <c r="K4513">
        <v>547.65200000000004</v>
      </c>
      <c r="L4513">
        <v>0</v>
      </c>
    </row>
    <row r="4514" spans="1:12" x14ac:dyDescent="0.25">
      <c r="A4514">
        <f>80927941*0.00001</f>
        <v>809.2794100000001</v>
      </c>
      <c r="B4514">
        <v>3518</v>
      </c>
      <c r="C4514">
        <v>47</v>
      </c>
      <c r="D4514">
        <v>253.233</v>
      </c>
      <c r="E4514">
        <v>5234</v>
      </c>
      <c r="F4514">
        <v>1620</v>
      </c>
      <c r="G4514">
        <v>1</v>
      </c>
      <c r="H4514">
        <v>0.2</v>
      </c>
      <c r="I4514">
        <v>0</v>
      </c>
      <c r="J4514" s="1">
        <f>46.7236</f>
        <v>46.723599999999998</v>
      </c>
      <c r="K4514" s="1">
        <f>547.702</f>
        <v>547.702</v>
      </c>
      <c r="L4514">
        <v>0</v>
      </c>
    </row>
    <row r="4515" spans="1:12" x14ac:dyDescent="0.25">
      <c r="A4515">
        <f>80928072*0.00001</f>
        <v>809.28072000000009</v>
      </c>
      <c r="B4515">
        <v>3518</v>
      </c>
      <c r="C4515">
        <v>48</v>
      </c>
      <c r="D4515" s="1">
        <f>253.289</f>
        <v>253.28899999999999</v>
      </c>
      <c r="E4515">
        <v>5234</v>
      </c>
      <c r="F4515">
        <v>1620</v>
      </c>
      <c r="G4515">
        <v>1</v>
      </c>
      <c r="H4515">
        <v>0.2</v>
      </c>
      <c r="I4515">
        <v>0</v>
      </c>
      <c r="J4515">
        <v>46.723599999999998</v>
      </c>
      <c r="K4515">
        <v>547.702</v>
      </c>
      <c r="L4515" s="1">
        <f>0</f>
        <v>0</v>
      </c>
    </row>
    <row r="4516" spans="1:12" x14ac:dyDescent="0.25">
      <c r="A4516">
        <f>80928203*0.00001</f>
        <v>809.28203000000008</v>
      </c>
      <c r="B4516">
        <v>3518</v>
      </c>
      <c r="C4516">
        <v>49</v>
      </c>
      <c r="D4516" s="1">
        <f>253.38</f>
        <v>253.38</v>
      </c>
      <c r="E4516" s="1">
        <f>5231</f>
        <v>5231</v>
      </c>
      <c r="F4516" s="1">
        <f>1620</f>
        <v>1620</v>
      </c>
      <c r="G4516" s="1">
        <f>1</f>
        <v>1</v>
      </c>
      <c r="H4516" s="1">
        <f>0.2</f>
        <v>0.2</v>
      </c>
      <c r="I4516" s="1">
        <f>0</f>
        <v>0</v>
      </c>
      <c r="J4516" s="1">
        <f>46.6278</f>
        <v>46.627800000000001</v>
      </c>
      <c r="K4516" s="1">
        <f>547.812</f>
        <v>547.81200000000001</v>
      </c>
      <c r="L4516" s="1">
        <f>0</f>
        <v>0</v>
      </c>
    </row>
    <row r="4517" spans="1:12" x14ac:dyDescent="0.25">
      <c r="A4517">
        <f>80929513*0.00001</f>
        <v>809.29513000000009</v>
      </c>
      <c r="B4517">
        <v>3518</v>
      </c>
      <c r="C4517">
        <v>59</v>
      </c>
      <c r="D4517">
        <v>253.38</v>
      </c>
      <c r="E4517">
        <v>5231</v>
      </c>
      <c r="F4517" s="1">
        <f>1620</f>
        <v>1620</v>
      </c>
      <c r="G4517">
        <v>1</v>
      </c>
      <c r="H4517">
        <v>0.2</v>
      </c>
      <c r="I4517">
        <v>0</v>
      </c>
      <c r="J4517">
        <v>46.627800000000001</v>
      </c>
      <c r="K4517">
        <v>547.81200000000001</v>
      </c>
      <c r="L4517">
        <v>0</v>
      </c>
    </row>
    <row r="4518" spans="1:12" x14ac:dyDescent="0.25">
      <c r="A4518">
        <f>80929644*0.00001</f>
        <v>809.29644000000008</v>
      </c>
      <c r="B4518">
        <v>3518</v>
      </c>
      <c r="C4518">
        <v>60</v>
      </c>
      <c r="D4518">
        <v>253.38</v>
      </c>
      <c r="E4518">
        <v>5231</v>
      </c>
      <c r="F4518">
        <v>1620</v>
      </c>
      <c r="G4518">
        <v>1</v>
      </c>
      <c r="H4518" s="1">
        <f>0.2</f>
        <v>0.2</v>
      </c>
      <c r="I4518">
        <v>0</v>
      </c>
      <c r="J4518">
        <v>46.627800000000001</v>
      </c>
      <c r="K4518">
        <v>547.81200000000001</v>
      </c>
      <c r="L4518">
        <v>0</v>
      </c>
    </row>
    <row r="4519" spans="1:12" x14ac:dyDescent="0.25">
      <c r="A4519">
        <f>80929775*0.00001</f>
        <v>809.29775000000006</v>
      </c>
      <c r="B4519">
        <v>3518</v>
      </c>
      <c r="C4519">
        <v>61</v>
      </c>
      <c r="D4519">
        <v>253.38</v>
      </c>
      <c r="E4519">
        <v>5231</v>
      </c>
      <c r="F4519">
        <v>1620</v>
      </c>
      <c r="G4519">
        <v>1</v>
      </c>
      <c r="H4519">
        <v>0.2</v>
      </c>
      <c r="I4519">
        <v>0</v>
      </c>
      <c r="J4519" s="1">
        <f>46.5909</f>
        <v>46.590899999999998</v>
      </c>
      <c r="K4519">
        <v>547.81200000000001</v>
      </c>
      <c r="L4519">
        <v>0</v>
      </c>
    </row>
    <row r="4520" spans="1:12" x14ac:dyDescent="0.25">
      <c r="A4520">
        <f>80929906*0.00001</f>
        <v>809.29906000000005</v>
      </c>
      <c r="B4520">
        <v>3518</v>
      </c>
      <c r="C4520">
        <v>62</v>
      </c>
      <c r="D4520">
        <v>253.38</v>
      </c>
      <c r="E4520">
        <v>5231</v>
      </c>
      <c r="F4520">
        <v>1620</v>
      </c>
      <c r="G4520">
        <v>1</v>
      </c>
      <c r="H4520">
        <v>0.2</v>
      </c>
      <c r="I4520">
        <v>0</v>
      </c>
      <c r="J4520">
        <v>46.590899999999998</v>
      </c>
      <c r="K4520">
        <v>547.81200000000001</v>
      </c>
      <c r="L4520" s="1">
        <f>0</f>
        <v>0</v>
      </c>
    </row>
    <row r="4521" spans="1:12" x14ac:dyDescent="0.25">
      <c r="A4521">
        <f>80930037*0.00001</f>
        <v>809.30037000000004</v>
      </c>
      <c r="B4521">
        <v>3518</v>
      </c>
      <c r="C4521">
        <v>63</v>
      </c>
      <c r="D4521">
        <v>253.38</v>
      </c>
      <c r="E4521" s="1">
        <f>5231</f>
        <v>5231</v>
      </c>
      <c r="F4521">
        <v>1620</v>
      </c>
      <c r="G4521">
        <v>1</v>
      </c>
      <c r="H4521">
        <v>0.2</v>
      </c>
      <c r="I4521">
        <v>0</v>
      </c>
      <c r="J4521">
        <v>46.590899999999998</v>
      </c>
      <c r="K4521">
        <v>547.81200000000001</v>
      </c>
      <c r="L4521">
        <v>0</v>
      </c>
    </row>
    <row r="4522" spans="1:12" x14ac:dyDescent="0.25">
      <c r="A4522">
        <f>80930168*0.00001</f>
        <v>809.30168000000003</v>
      </c>
      <c r="B4522">
        <v>3518</v>
      </c>
      <c r="C4522">
        <v>64</v>
      </c>
      <c r="D4522">
        <v>253.38</v>
      </c>
      <c r="E4522">
        <v>5231</v>
      </c>
      <c r="F4522">
        <v>1620</v>
      </c>
      <c r="G4522" s="1">
        <f>1</f>
        <v>1</v>
      </c>
      <c r="H4522">
        <v>0.2</v>
      </c>
      <c r="I4522">
        <v>0</v>
      </c>
      <c r="J4522">
        <v>46.590899999999998</v>
      </c>
      <c r="K4522">
        <v>547.81200000000001</v>
      </c>
      <c r="L4522">
        <v>0</v>
      </c>
    </row>
    <row r="4523" spans="1:12" x14ac:dyDescent="0.25">
      <c r="A4523">
        <f>80930299*0.00001</f>
        <v>809.30299000000002</v>
      </c>
      <c r="B4523">
        <v>3518</v>
      </c>
      <c r="C4523">
        <v>65</v>
      </c>
      <c r="D4523">
        <v>253.38</v>
      </c>
      <c r="E4523">
        <v>5231</v>
      </c>
      <c r="F4523">
        <v>1620</v>
      </c>
      <c r="G4523">
        <v>1</v>
      </c>
      <c r="H4523">
        <v>0.2</v>
      </c>
      <c r="I4523" s="1">
        <f>0</f>
        <v>0</v>
      </c>
      <c r="J4523">
        <v>46.590899999999998</v>
      </c>
      <c r="K4523">
        <v>547.81200000000001</v>
      </c>
      <c r="L4523">
        <v>0</v>
      </c>
    </row>
    <row r="4524" spans="1:12" x14ac:dyDescent="0.25">
      <c r="A4524">
        <f>80930430*0.00001</f>
        <v>809.30430000000001</v>
      </c>
      <c r="B4524">
        <v>3518</v>
      </c>
      <c r="C4524">
        <v>66</v>
      </c>
      <c r="D4524">
        <v>253.38</v>
      </c>
      <c r="E4524">
        <v>5231</v>
      </c>
      <c r="F4524">
        <v>1620</v>
      </c>
      <c r="G4524">
        <v>1</v>
      </c>
      <c r="H4524">
        <v>0.2</v>
      </c>
      <c r="I4524">
        <v>0</v>
      </c>
      <c r="J4524">
        <v>46.590899999999998</v>
      </c>
      <c r="K4524" s="1">
        <f>547.934</f>
        <v>547.93399999999997</v>
      </c>
      <c r="L4524">
        <v>0</v>
      </c>
    </row>
    <row r="4525" spans="1:12" x14ac:dyDescent="0.25">
      <c r="A4525">
        <f>80930561*0.00001</f>
        <v>809.30561000000012</v>
      </c>
      <c r="B4525">
        <v>3518</v>
      </c>
      <c r="C4525">
        <v>67</v>
      </c>
      <c r="D4525" s="1">
        <f>253.443</f>
        <v>253.44300000000001</v>
      </c>
      <c r="E4525">
        <v>5231</v>
      </c>
      <c r="F4525">
        <v>1620</v>
      </c>
      <c r="G4525">
        <v>1</v>
      </c>
      <c r="H4525">
        <v>0.2</v>
      </c>
      <c r="I4525">
        <v>0</v>
      </c>
      <c r="J4525">
        <v>46.590899999999998</v>
      </c>
      <c r="K4525">
        <v>547.93399999999997</v>
      </c>
      <c r="L4525">
        <v>0</v>
      </c>
    </row>
    <row r="4526" spans="1:12" x14ac:dyDescent="0.25">
      <c r="A4526">
        <f>80930692*0.00001</f>
        <v>809.3069200000001</v>
      </c>
      <c r="B4526">
        <v>3518</v>
      </c>
      <c r="C4526">
        <v>68</v>
      </c>
      <c r="D4526">
        <v>253.44300000000001</v>
      </c>
      <c r="E4526">
        <v>5231</v>
      </c>
      <c r="F4526" s="1">
        <f>1620</f>
        <v>1620</v>
      </c>
      <c r="G4526">
        <v>1</v>
      </c>
      <c r="H4526">
        <v>0.2</v>
      </c>
      <c r="I4526">
        <v>0</v>
      </c>
      <c r="J4526">
        <v>46.590899999999998</v>
      </c>
      <c r="K4526">
        <v>547.93399999999997</v>
      </c>
      <c r="L4526">
        <v>0</v>
      </c>
    </row>
    <row r="4527" spans="1:12" x14ac:dyDescent="0.25">
      <c r="A4527">
        <f>80930823*0.00001</f>
        <v>809.30823000000009</v>
      </c>
      <c r="B4527">
        <v>3518</v>
      </c>
      <c r="C4527">
        <v>69</v>
      </c>
      <c r="D4527">
        <v>253.44300000000001</v>
      </c>
      <c r="E4527">
        <v>5231</v>
      </c>
      <c r="F4527">
        <v>1620</v>
      </c>
      <c r="G4527" s="1">
        <f>1</f>
        <v>1</v>
      </c>
      <c r="H4527" s="1">
        <f>0.2</f>
        <v>0.2</v>
      </c>
      <c r="I4527">
        <v>0</v>
      </c>
      <c r="J4527">
        <v>46.590899999999998</v>
      </c>
      <c r="K4527">
        <v>547.93399999999997</v>
      </c>
      <c r="L4527">
        <v>0</v>
      </c>
    </row>
    <row r="4528" spans="1:12" x14ac:dyDescent="0.25">
      <c r="A4528">
        <f>80930954*0.00001</f>
        <v>809.30954000000008</v>
      </c>
      <c r="B4528">
        <v>3518</v>
      </c>
      <c r="C4528">
        <v>70</v>
      </c>
      <c r="D4528">
        <v>253.44300000000001</v>
      </c>
      <c r="E4528">
        <v>5231</v>
      </c>
      <c r="F4528">
        <v>1620</v>
      </c>
      <c r="G4528">
        <v>1</v>
      </c>
      <c r="H4528">
        <v>0.2</v>
      </c>
      <c r="I4528" s="1">
        <f>0</f>
        <v>0</v>
      </c>
      <c r="J4528" s="1">
        <f>46.544</f>
        <v>46.543999999999997</v>
      </c>
      <c r="K4528">
        <v>547.93399999999997</v>
      </c>
      <c r="L4528">
        <v>0</v>
      </c>
    </row>
    <row r="4529" spans="1:12" x14ac:dyDescent="0.25">
      <c r="A4529">
        <f>80931085*0.00001</f>
        <v>809.31085000000007</v>
      </c>
      <c r="B4529">
        <v>3518</v>
      </c>
      <c r="C4529">
        <v>71</v>
      </c>
      <c r="D4529">
        <v>253.44300000000001</v>
      </c>
      <c r="E4529">
        <v>5231</v>
      </c>
      <c r="F4529">
        <v>1620</v>
      </c>
      <c r="G4529">
        <v>1</v>
      </c>
      <c r="H4529">
        <v>0.2</v>
      </c>
      <c r="I4529">
        <v>0</v>
      </c>
      <c r="J4529">
        <v>46.543999999999997</v>
      </c>
      <c r="K4529" s="1">
        <f>547.996</f>
        <v>547.99599999999998</v>
      </c>
      <c r="L4529" s="1">
        <f>0</f>
        <v>0</v>
      </c>
    </row>
    <row r="4530" spans="1:12" x14ac:dyDescent="0.25">
      <c r="A4530">
        <f>80931216*0.00001</f>
        <v>809.31216000000006</v>
      </c>
      <c r="B4530">
        <v>3518</v>
      </c>
      <c r="C4530">
        <v>72</v>
      </c>
      <c r="D4530" s="1">
        <f>253.464</f>
        <v>253.464</v>
      </c>
      <c r="E4530" s="1">
        <f>5230</f>
        <v>5230</v>
      </c>
      <c r="F4530">
        <v>1620</v>
      </c>
      <c r="G4530">
        <v>1</v>
      </c>
      <c r="H4530">
        <v>0.2</v>
      </c>
      <c r="I4530">
        <v>0</v>
      </c>
      <c r="J4530">
        <v>46.543999999999997</v>
      </c>
      <c r="K4530">
        <v>547.99599999999998</v>
      </c>
      <c r="L4530">
        <v>0</v>
      </c>
    </row>
    <row r="4531" spans="1:12" x14ac:dyDescent="0.25">
      <c r="A4531">
        <f>80931347*0.00001</f>
        <v>809.31347000000005</v>
      </c>
      <c r="B4531">
        <v>3518</v>
      </c>
      <c r="C4531">
        <v>73</v>
      </c>
      <c r="D4531">
        <v>253.464</v>
      </c>
      <c r="E4531">
        <v>5230</v>
      </c>
      <c r="F4531" s="1">
        <f>1620</f>
        <v>1620</v>
      </c>
      <c r="G4531" s="1">
        <f>1</f>
        <v>1</v>
      </c>
      <c r="H4531">
        <v>0.2</v>
      </c>
      <c r="I4531">
        <v>0</v>
      </c>
      <c r="J4531">
        <v>46.543999999999997</v>
      </c>
      <c r="K4531">
        <v>547.99599999999998</v>
      </c>
      <c r="L4531">
        <v>0</v>
      </c>
    </row>
    <row r="4532" spans="1:12" x14ac:dyDescent="0.25">
      <c r="A4532">
        <f>80931478*0.00001</f>
        <v>809.31478000000004</v>
      </c>
      <c r="B4532">
        <v>3518</v>
      </c>
      <c r="C4532">
        <v>74</v>
      </c>
      <c r="D4532">
        <v>253.464</v>
      </c>
      <c r="E4532">
        <v>5230</v>
      </c>
      <c r="F4532">
        <v>1620</v>
      </c>
      <c r="G4532">
        <v>1</v>
      </c>
      <c r="H4532" s="1">
        <f>0.2</f>
        <v>0.2</v>
      </c>
      <c r="I4532" s="1">
        <f>0</f>
        <v>0</v>
      </c>
      <c r="J4532">
        <v>46.543999999999997</v>
      </c>
      <c r="K4532">
        <v>547.99599999999998</v>
      </c>
      <c r="L4532">
        <v>0</v>
      </c>
    </row>
    <row r="4533" spans="1:12" x14ac:dyDescent="0.25">
      <c r="A4533">
        <f>80931609*0.00001</f>
        <v>809.31609000000003</v>
      </c>
      <c r="B4533">
        <v>3518</v>
      </c>
      <c r="C4533">
        <v>75</v>
      </c>
      <c r="D4533">
        <v>253.464</v>
      </c>
      <c r="E4533">
        <v>5230</v>
      </c>
      <c r="F4533">
        <v>1620</v>
      </c>
      <c r="G4533">
        <v>1</v>
      </c>
      <c r="H4533">
        <v>0.2</v>
      </c>
      <c r="I4533">
        <v>0</v>
      </c>
      <c r="J4533" s="1">
        <f>46.5263</f>
        <v>46.526299999999999</v>
      </c>
      <c r="K4533" s="1">
        <f>548.045</f>
        <v>548.04499999999996</v>
      </c>
      <c r="L4533">
        <v>0</v>
      </c>
    </row>
    <row r="4534" spans="1:12" x14ac:dyDescent="0.25">
      <c r="A4534">
        <f>80931740*0.00001</f>
        <v>809.31740000000002</v>
      </c>
      <c r="B4534">
        <v>3518</v>
      </c>
      <c r="C4534">
        <v>76</v>
      </c>
      <c r="D4534" s="1">
        <f>253.477</f>
        <v>253.477</v>
      </c>
      <c r="E4534">
        <v>5230</v>
      </c>
      <c r="F4534">
        <v>1620</v>
      </c>
      <c r="G4534">
        <v>1</v>
      </c>
      <c r="H4534">
        <v>0.2</v>
      </c>
      <c r="I4534">
        <v>0</v>
      </c>
      <c r="J4534">
        <v>46.526299999999999</v>
      </c>
      <c r="K4534">
        <v>548.04499999999996</v>
      </c>
      <c r="L4534" s="1">
        <f>0</f>
        <v>0</v>
      </c>
    </row>
    <row r="4535" spans="1:12" x14ac:dyDescent="0.25">
      <c r="A4535">
        <f>80931871*0.00001</f>
        <v>809.31871000000001</v>
      </c>
      <c r="B4535">
        <v>3518</v>
      </c>
      <c r="C4535">
        <v>77</v>
      </c>
      <c r="D4535" s="1">
        <f>253.499</f>
        <v>253.499</v>
      </c>
      <c r="E4535" s="1">
        <f>5230</f>
        <v>5230</v>
      </c>
      <c r="F4535" s="1">
        <f>1620</f>
        <v>1620</v>
      </c>
      <c r="G4535" s="1">
        <f>1</f>
        <v>1</v>
      </c>
      <c r="H4535" s="1">
        <f>0.2</f>
        <v>0.2</v>
      </c>
      <c r="I4535" s="1">
        <f>0</f>
        <v>0</v>
      </c>
      <c r="J4535" s="1">
        <f>46.5026</f>
        <v>46.502600000000001</v>
      </c>
      <c r="K4535" s="1">
        <f>548.155</f>
        <v>548.15499999999997</v>
      </c>
      <c r="L4535" s="1">
        <f>0</f>
        <v>0</v>
      </c>
    </row>
    <row r="4536" spans="1:12" x14ac:dyDescent="0.25">
      <c r="A4536">
        <f>80933181*0.00001</f>
        <v>809.33181000000002</v>
      </c>
      <c r="B4536">
        <v>3518</v>
      </c>
      <c r="C4536">
        <v>87</v>
      </c>
      <c r="D4536">
        <v>253.499</v>
      </c>
      <c r="E4536">
        <v>5230</v>
      </c>
      <c r="F4536">
        <v>1620</v>
      </c>
      <c r="G4536" s="1">
        <f>1</f>
        <v>1</v>
      </c>
      <c r="H4536">
        <v>0.2</v>
      </c>
      <c r="I4536">
        <v>0</v>
      </c>
      <c r="J4536">
        <v>46.502600000000001</v>
      </c>
      <c r="K4536">
        <v>548.15499999999997</v>
      </c>
      <c r="L4536">
        <v>0</v>
      </c>
    </row>
    <row r="4537" spans="1:12" x14ac:dyDescent="0.25">
      <c r="A4537">
        <f>80933312*0.00001</f>
        <v>809.33312000000012</v>
      </c>
      <c r="B4537">
        <v>3518</v>
      </c>
      <c r="C4537">
        <v>88</v>
      </c>
      <c r="D4537">
        <v>253.499</v>
      </c>
      <c r="E4537">
        <v>5230</v>
      </c>
      <c r="F4537">
        <v>1620</v>
      </c>
      <c r="G4537">
        <v>1</v>
      </c>
      <c r="H4537">
        <v>0.2</v>
      </c>
      <c r="I4537" s="1">
        <f>0</f>
        <v>0</v>
      </c>
      <c r="J4537">
        <v>46.502600000000001</v>
      </c>
      <c r="K4537">
        <v>548.15499999999997</v>
      </c>
      <c r="L4537">
        <v>0</v>
      </c>
    </row>
    <row r="4538" spans="1:12" x14ac:dyDescent="0.25">
      <c r="A4538">
        <f>80933443*0.00001</f>
        <v>809.33443000000011</v>
      </c>
      <c r="B4538">
        <v>3518</v>
      </c>
      <c r="C4538">
        <v>89</v>
      </c>
      <c r="D4538">
        <v>253.499</v>
      </c>
      <c r="E4538">
        <v>5230</v>
      </c>
      <c r="F4538">
        <v>1620</v>
      </c>
      <c r="G4538">
        <v>1</v>
      </c>
      <c r="H4538">
        <v>0.2</v>
      </c>
      <c r="I4538">
        <v>0</v>
      </c>
      <c r="J4538">
        <v>46.502600000000001</v>
      </c>
      <c r="K4538" s="1">
        <f>548.216</f>
        <v>548.21600000000001</v>
      </c>
      <c r="L4538">
        <v>0</v>
      </c>
    </row>
    <row r="4539" spans="1:12" x14ac:dyDescent="0.25">
      <c r="A4539">
        <f>80933574*0.00001</f>
        <v>809.3357400000001</v>
      </c>
      <c r="B4539">
        <v>3518</v>
      </c>
      <c r="C4539">
        <v>90</v>
      </c>
      <c r="D4539" s="1">
        <f>253.507</f>
        <v>253.50700000000001</v>
      </c>
      <c r="E4539">
        <v>5230</v>
      </c>
      <c r="F4539">
        <v>1620</v>
      </c>
      <c r="G4539">
        <v>1</v>
      </c>
      <c r="H4539">
        <v>0.2</v>
      </c>
      <c r="I4539">
        <v>0</v>
      </c>
      <c r="J4539">
        <v>46.502600000000001</v>
      </c>
      <c r="K4539">
        <v>548.21600000000001</v>
      </c>
      <c r="L4539">
        <v>0</v>
      </c>
    </row>
    <row r="4540" spans="1:12" x14ac:dyDescent="0.25">
      <c r="A4540">
        <f>80933704*0.00001</f>
        <v>809.33704000000012</v>
      </c>
      <c r="B4540">
        <v>3518</v>
      </c>
      <c r="C4540">
        <v>91</v>
      </c>
      <c r="D4540">
        <v>253.50700000000001</v>
      </c>
      <c r="E4540">
        <v>5230</v>
      </c>
      <c r="F4540" s="1">
        <f>1620</f>
        <v>1620</v>
      </c>
      <c r="G4540">
        <v>1</v>
      </c>
      <c r="H4540">
        <v>0.2</v>
      </c>
      <c r="I4540">
        <v>0</v>
      </c>
      <c r="J4540">
        <v>46.502600000000001</v>
      </c>
      <c r="K4540">
        <v>548.21600000000001</v>
      </c>
      <c r="L4540">
        <v>0</v>
      </c>
    </row>
    <row r="4541" spans="1:12" x14ac:dyDescent="0.25">
      <c r="A4541">
        <f>80933835*0.00001</f>
        <v>809.3383500000001</v>
      </c>
      <c r="B4541">
        <v>3518</v>
      </c>
      <c r="C4541">
        <v>92</v>
      </c>
      <c r="D4541">
        <v>253.50700000000001</v>
      </c>
      <c r="E4541">
        <v>5230</v>
      </c>
      <c r="F4541">
        <v>1620</v>
      </c>
      <c r="G4541">
        <v>1</v>
      </c>
      <c r="H4541" s="1">
        <f>0.2</f>
        <v>0.2</v>
      </c>
      <c r="I4541">
        <v>0</v>
      </c>
      <c r="J4541">
        <v>46.502600000000001</v>
      </c>
      <c r="K4541">
        <v>548.21600000000001</v>
      </c>
      <c r="L4541">
        <v>0</v>
      </c>
    </row>
    <row r="4542" spans="1:12" x14ac:dyDescent="0.25">
      <c r="A4542">
        <f>80933966*0.00001</f>
        <v>809.33966000000009</v>
      </c>
      <c r="B4542">
        <v>3518</v>
      </c>
      <c r="C4542">
        <v>93</v>
      </c>
      <c r="D4542">
        <v>253.50700000000001</v>
      </c>
      <c r="E4542">
        <v>5230</v>
      </c>
      <c r="F4542">
        <v>1620</v>
      </c>
      <c r="G4542">
        <v>1</v>
      </c>
      <c r="H4542">
        <v>0.2</v>
      </c>
      <c r="I4542">
        <v>0</v>
      </c>
      <c r="J4542" s="1">
        <f>46.4886</f>
        <v>46.488599999999998</v>
      </c>
      <c r="K4542">
        <v>548.21600000000001</v>
      </c>
      <c r="L4542">
        <v>0</v>
      </c>
    </row>
    <row r="4543" spans="1:12" x14ac:dyDescent="0.25">
      <c r="A4543">
        <f>80934097*0.00001</f>
        <v>809.34097000000008</v>
      </c>
      <c r="B4543">
        <v>3518</v>
      </c>
      <c r="C4543">
        <v>94</v>
      </c>
      <c r="D4543">
        <v>253.50700000000001</v>
      </c>
      <c r="E4543">
        <v>5230</v>
      </c>
      <c r="F4543">
        <v>1620</v>
      </c>
      <c r="G4543">
        <v>1</v>
      </c>
      <c r="H4543">
        <v>0.2</v>
      </c>
      <c r="I4543">
        <v>0</v>
      </c>
      <c r="J4543">
        <v>46.488599999999998</v>
      </c>
      <c r="K4543">
        <v>548.21600000000001</v>
      </c>
      <c r="L4543" s="1">
        <f>0</f>
        <v>0</v>
      </c>
    </row>
    <row r="4544" spans="1:12" x14ac:dyDescent="0.25">
      <c r="A4544">
        <f>80934228*0.00001</f>
        <v>809.34228000000007</v>
      </c>
      <c r="B4544">
        <v>3518</v>
      </c>
      <c r="C4544">
        <v>95</v>
      </c>
      <c r="D4544">
        <v>253.50700000000001</v>
      </c>
      <c r="E4544" s="1">
        <f>5230</f>
        <v>5230</v>
      </c>
      <c r="F4544">
        <v>1620</v>
      </c>
      <c r="G4544">
        <v>1</v>
      </c>
      <c r="H4544">
        <v>0.2</v>
      </c>
      <c r="I4544">
        <v>0</v>
      </c>
      <c r="J4544">
        <v>46.488599999999998</v>
      </c>
      <c r="K4544">
        <v>548.21600000000001</v>
      </c>
      <c r="L4544">
        <v>0</v>
      </c>
    </row>
    <row r="4545" spans="1:12" x14ac:dyDescent="0.25">
      <c r="A4545">
        <f>80934359*0.00001</f>
        <v>809.34359000000006</v>
      </c>
      <c r="B4545">
        <v>3518</v>
      </c>
      <c r="C4545">
        <v>96</v>
      </c>
      <c r="D4545">
        <v>253.50700000000001</v>
      </c>
      <c r="E4545">
        <v>5230</v>
      </c>
      <c r="F4545">
        <v>1620</v>
      </c>
      <c r="G4545" s="1">
        <f>1</f>
        <v>1</v>
      </c>
      <c r="H4545">
        <v>0.2</v>
      </c>
      <c r="I4545">
        <v>0</v>
      </c>
      <c r="J4545">
        <v>46.488599999999998</v>
      </c>
      <c r="K4545">
        <v>548.21600000000001</v>
      </c>
      <c r="L4545">
        <v>0</v>
      </c>
    </row>
    <row r="4546" spans="1:12" x14ac:dyDescent="0.25">
      <c r="A4546">
        <f>80934490*0.00001</f>
        <v>809.34490000000005</v>
      </c>
      <c r="B4546">
        <v>3518</v>
      </c>
      <c r="C4546">
        <v>97</v>
      </c>
      <c r="D4546">
        <v>253.50700000000001</v>
      </c>
      <c r="E4546">
        <v>5230</v>
      </c>
      <c r="F4546">
        <v>1620</v>
      </c>
      <c r="G4546">
        <v>1</v>
      </c>
      <c r="H4546" s="1">
        <f>0.2</f>
        <v>0.2</v>
      </c>
      <c r="I4546" s="1">
        <f>0</f>
        <v>0</v>
      </c>
      <c r="J4546">
        <v>46.488599999999998</v>
      </c>
      <c r="K4546">
        <v>548.21600000000001</v>
      </c>
      <c r="L4546">
        <v>0</v>
      </c>
    </row>
    <row r="4547" spans="1:12" x14ac:dyDescent="0.25">
      <c r="A4547">
        <f>80934621*0.00001</f>
        <v>809.34621000000004</v>
      </c>
      <c r="B4547">
        <v>3518</v>
      </c>
      <c r="C4547">
        <v>98</v>
      </c>
      <c r="D4547">
        <v>253.50700000000001</v>
      </c>
      <c r="E4547">
        <v>5230</v>
      </c>
      <c r="F4547">
        <v>1620</v>
      </c>
      <c r="G4547">
        <v>1</v>
      </c>
      <c r="H4547">
        <v>0.2</v>
      </c>
      <c r="I4547">
        <v>0</v>
      </c>
      <c r="J4547" s="1">
        <f>46.483</f>
        <v>46.482999999999997</v>
      </c>
      <c r="K4547" s="1">
        <f>548.326</f>
        <v>548.32600000000002</v>
      </c>
      <c r="L4547">
        <v>0</v>
      </c>
    </row>
    <row r="4548" spans="1:12" x14ac:dyDescent="0.25">
      <c r="A4548">
        <f>80934752*0.00001</f>
        <v>809.34752000000003</v>
      </c>
      <c r="B4548">
        <v>3518</v>
      </c>
      <c r="C4548">
        <v>99</v>
      </c>
      <c r="D4548" s="1">
        <f>253.518</f>
        <v>253.518</v>
      </c>
      <c r="E4548">
        <v>5230</v>
      </c>
      <c r="F4548">
        <v>1620</v>
      </c>
      <c r="G4548">
        <v>1</v>
      </c>
      <c r="H4548">
        <v>0.2</v>
      </c>
      <c r="I4548">
        <v>0</v>
      </c>
      <c r="J4548">
        <v>46.482999999999997</v>
      </c>
      <c r="K4548">
        <v>548.32600000000002</v>
      </c>
      <c r="L4548" s="1">
        <f>0</f>
        <v>0</v>
      </c>
    </row>
    <row r="4549" spans="1:12" x14ac:dyDescent="0.25">
      <c r="A4549">
        <f>80934883*0.00001</f>
        <v>809.34883000000002</v>
      </c>
      <c r="B4549">
        <v>3518</v>
      </c>
      <c r="C4549">
        <v>100</v>
      </c>
      <c r="D4549">
        <v>253.518</v>
      </c>
      <c r="E4549" s="1">
        <f>5230</f>
        <v>5230</v>
      </c>
      <c r="F4549" s="1">
        <f>1620</f>
        <v>1620</v>
      </c>
      <c r="G4549">
        <v>1</v>
      </c>
      <c r="H4549">
        <v>0.2</v>
      </c>
      <c r="I4549">
        <v>0</v>
      </c>
      <c r="J4549">
        <v>46.482999999999997</v>
      </c>
      <c r="K4549">
        <v>548.32600000000002</v>
      </c>
      <c r="L4549">
        <v>0</v>
      </c>
    </row>
    <row r="4550" spans="1:12" x14ac:dyDescent="0.25">
      <c r="A4550">
        <f>80935014*0.00001</f>
        <v>809.35014000000001</v>
      </c>
      <c r="B4550">
        <v>3518</v>
      </c>
      <c r="C4550">
        <v>101</v>
      </c>
      <c r="D4550">
        <v>253.518</v>
      </c>
      <c r="E4550">
        <v>5230</v>
      </c>
      <c r="F4550">
        <v>1620</v>
      </c>
      <c r="G4550" s="1">
        <f>1</f>
        <v>1</v>
      </c>
      <c r="H4550" s="1">
        <f>0.2</f>
        <v>0.2</v>
      </c>
      <c r="I4550">
        <v>0</v>
      </c>
      <c r="J4550">
        <v>46.482999999999997</v>
      </c>
      <c r="K4550">
        <v>548.32600000000002</v>
      </c>
      <c r="L4550">
        <v>0</v>
      </c>
    </row>
    <row r="4551" spans="1:12" x14ac:dyDescent="0.25">
      <c r="A4551">
        <f>80935145*0.00001</f>
        <v>809.35145000000011</v>
      </c>
      <c r="B4551">
        <v>3518</v>
      </c>
      <c r="C4551">
        <v>102</v>
      </c>
      <c r="D4551">
        <v>253.518</v>
      </c>
      <c r="E4551">
        <v>5230</v>
      </c>
      <c r="F4551">
        <v>1620</v>
      </c>
      <c r="G4551">
        <v>1</v>
      </c>
      <c r="H4551">
        <v>0.2</v>
      </c>
      <c r="I4551" s="1">
        <f>0</f>
        <v>0</v>
      </c>
      <c r="J4551" s="1">
        <f>46.4796</f>
        <v>46.479599999999998</v>
      </c>
      <c r="K4551">
        <v>548.32600000000002</v>
      </c>
      <c r="L4551">
        <v>0</v>
      </c>
    </row>
    <row r="4552" spans="1:12" x14ac:dyDescent="0.25">
      <c r="A4552">
        <f>80935276*0.00001</f>
        <v>809.3527600000001</v>
      </c>
      <c r="B4552">
        <v>3518</v>
      </c>
      <c r="C4552">
        <v>103</v>
      </c>
      <c r="D4552">
        <v>253.518</v>
      </c>
      <c r="E4552">
        <v>5230</v>
      </c>
      <c r="F4552">
        <v>1620</v>
      </c>
      <c r="G4552">
        <v>1</v>
      </c>
      <c r="H4552">
        <v>0.2</v>
      </c>
      <c r="I4552">
        <v>0</v>
      </c>
      <c r="J4552">
        <v>46.479599999999998</v>
      </c>
      <c r="K4552" s="1">
        <f>548.387</f>
        <v>548.38699999999994</v>
      </c>
      <c r="L4552" s="1">
        <f>0</f>
        <v>0</v>
      </c>
    </row>
    <row r="4553" spans="1:12" x14ac:dyDescent="0.25">
      <c r="A4553">
        <f>80935407*0.00001</f>
        <v>809.35407000000009</v>
      </c>
      <c r="B4553">
        <v>3518</v>
      </c>
      <c r="C4553">
        <v>104</v>
      </c>
      <c r="D4553" s="1">
        <f>253.522</f>
        <v>253.52199999999999</v>
      </c>
      <c r="E4553" s="1">
        <f>5231</f>
        <v>5231</v>
      </c>
      <c r="F4553">
        <v>1620</v>
      </c>
      <c r="G4553">
        <v>1</v>
      </c>
      <c r="H4553">
        <v>0.2</v>
      </c>
      <c r="I4553">
        <v>0</v>
      </c>
      <c r="J4553">
        <v>46.479599999999998</v>
      </c>
      <c r="K4553">
        <v>548.38699999999994</v>
      </c>
      <c r="L4553">
        <v>0</v>
      </c>
    </row>
    <row r="4554" spans="1:12" x14ac:dyDescent="0.25">
      <c r="A4554">
        <f>80935538*0.00001</f>
        <v>809.35538000000008</v>
      </c>
      <c r="B4554">
        <v>3518</v>
      </c>
      <c r="C4554">
        <v>105</v>
      </c>
      <c r="D4554" s="1">
        <f>253.527</f>
        <v>253.52699999999999</v>
      </c>
      <c r="E4554" s="1">
        <f>5231</f>
        <v>5231</v>
      </c>
      <c r="F4554" s="1">
        <f>1620</f>
        <v>1620</v>
      </c>
      <c r="G4554" s="1">
        <f>1</f>
        <v>1</v>
      </c>
      <c r="H4554" s="1">
        <f>0.2</f>
        <v>0.2</v>
      </c>
      <c r="I4554" s="1">
        <f>0</f>
        <v>0</v>
      </c>
      <c r="J4554" s="1">
        <f>46.4739</f>
        <v>46.4739</v>
      </c>
      <c r="K4554" s="1">
        <f>548.497</f>
        <v>548.49699999999996</v>
      </c>
      <c r="L4554" s="1">
        <f>0</f>
        <v>0</v>
      </c>
    </row>
    <row r="4555" spans="1:12" x14ac:dyDescent="0.25">
      <c r="A4555">
        <f>80936847*0.00001</f>
        <v>809.36847000000012</v>
      </c>
      <c r="B4555">
        <v>3518</v>
      </c>
      <c r="C4555">
        <v>115</v>
      </c>
      <c r="D4555">
        <v>253.52699999999999</v>
      </c>
      <c r="E4555">
        <v>5231</v>
      </c>
      <c r="F4555">
        <v>1620</v>
      </c>
      <c r="G4555">
        <v>1</v>
      </c>
      <c r="H4555" s="1">
        <f>0.2</f>
        <v>0.2</v>
      </c>
      <c r="I4555">
        <v>0</v>
      </c>
      <c r="J4555">
        <v>46.4739</v>
      </c>
      <c r="K4555">
        <v>548.49699999999996</v>
      </c>
      <c r="L4555">
        <v>0</v>
      </c>
    </row>
    <row r="4556" spans="1:12" x14ac:dyDescent="0.25">
      <c r="A4556">
        <f>80936978*0.00001</f>
        <v>809.36978000000011</v>
      </c>
      <c r="B4556">
        <v>3518</v>
      </c>
      <c r="C4556">
        <v>116</v>
      </c>
      <c r="D4556">
        <v>253.52699999999999</v>
      </c>
      <c r="E4556">
        <v>5231</v>
      </c>
      <c r="F4556">
        <v>1620</v>
      </c>
      <c r="G4556">
        <v>1</v>
      </c>
      <c r="H4556">
        <v>0.2</v>
      </c>
      <c r="I4556">
        <v>0</v>
      </c>
      <c r="J4556" s="1">
        <f>46.4717</f>
        <v>46.471699999999998</v>
      </c>
      <c r="K4556">
        <v>548.49699999999996</v>
      </c>
      <c r="L4556">
        <v>0</v>
      </c>
    </row>
    <row r="4557" spans="1:12" x14ac:dyDescent="0.25">
      <c r="A4557">
        <f>80937109*0.00001</f>
        <v>809.37109000000009</v>
      </c>
      <c r="B4557">
        <v>3518</v>
      </c>
      <c r="C4557">
        <v>117</v>
      </c>
      <c r="D4557">
        <v>253.52699999999999</v>
      </c>
      <c r="E4557">
        <v>5231</v>
      </c>
      <c r="F4557">
        <v>1620</v>
      </c>
      <c r="G4557">
        <v>1</v>
      </c>
      <c r="H4557">
        <v>0.2</v>
      </c>
      <c r="I4557">
        <v>0</v>
      </c>
      <c r="J4557">
        <v>46.471699999999998</v>
      </c>
      <c r="K4557">
        <v>548.49699999999996</v>
      </c>
      <c r="L4557" s="1">
        <f>0</f>
        <v>0</v>
      </c>
    </row>
    <row r="4558" spans="1:12" x14ac:dyDescent="0.25">
      <c r="A4558">
        <f>80937240*0.00001</f>
        <v>809.37240000000008</v>
      </c>
      <c r="B4558">
        <v>3518</v>
      </c>
      <c r="C4558">
        <v>118</v>
      </c>
      <c r="D4558">
        <v>253.52699999999999</v>
      </c>
      <c r="E4558" s="1">
        <f>5231</f>
        <v>5231</v>
      </c>
      <c r="F4558">
        <v>1620</v>
      </c>
      <c r="G4558">
        <v>1</v>
      </c>
      <c r="H4558">
        <v>0.2</v>
      </c>
      <c r="I4558">
        <v>0</v>
      </c>
      <c r="J4558">
        <v>46.471699999999998</v>
      </c>
      <c r="K4558">
        <v>548.49699999999996</v>
      </c>
      <c r="L4558">
        <v>0</v>
      </c>
    </row>
    <row r="4559" spans="1:12" x14ac:dyDescent="0.25">
      <c r="A4559">
        <f>80937371*0.00001</f>
        <v>809.37371000000007</v>
      </c>
      <c r="B4559">
        <v>3518</v>
      </c>
      <c r="C4559">
        <v>119</v>
      </c>
      <c r="D4559">
        <v>253.52699999999999</v>
      </c>
      <c r="E4559">
        <v>5231</v>
      </c>
      <c r="F4559">
        <v>1620</v>
      </c>
      <c r="G4559" s="1">
        <f>1</f>
        <v>1</v>
      </c>
      <c r="H4559">
        <v>0.2</v>
      </c>
      <c r="I4559">
        <v>0</v>
      </c>
      <c r="J4559">
        <v>46.471699999999998</v>
      </c>
      <c r="K4559">
        <v>548.49699999999996</v>
      </c>
      <c r="L4559">
        <v>0</v>
      </c>
    </row>
    <row r="4560" spans="1:12" x14ac:dyDescent="0.25">
      <c r="A4560">
        <f>80937502*0.00001</f>
        <v>809.37502000000006</v>
      </c>
      <c r="B4560">
        <v>3518</v>
      </c>
      <c r="C4560">
        <v>120</v>
      </c>
      <c r="D4560">
        <v>253.52699999999999</v>
      </c>
      <c r="E4560">
        <v>5231</v>
      </c>
      <c r="F4560">
        <v>1620</v>
      </c>
      <c r="G4560">
        <v>1</v>
      </c>
      <c r="H4560">
        <v>0.2</v>
      </c>
      <c r="I4560" s="1">
        <f>0</f>
        <v>0</v>
      </c>
      <c r="J4560">
        <v>46.471699999999998</v>
      </c>
      <c r="K4560">
        <v>548.49699999999996</v>
      </c>
      <c r="L4560">
        <v>0</v>
      </c>
    </row>
    <row r="4561" spans="1:12" x14ac:dyDescent="0.25">
      <c r="A4561">
        <f>80937633*0.00001</f>
        <v>809.37633000000005</v>
      </c>
      <c r="B4561">
        <v>3518</v>
      </c>
      <c r="C4561">
        <v>121</v>
      </c>
      <c r="D4561">
        <v>253.52699999999999</v>
      </c>
      <c r="E4561">
        <v>5231</v>
      </c>
      <c r="F4561">
        <v>1620</v>
      </c>
      <c r="G4561">
        <v>1</v>
      </c>
      <c r="H4561">
        <v>0.2</v>
      </c>
      <c r="I4561">
        <v>0</v>
      </c>
      <c r="J4561">
        <v>46.471699999999998</v>
      </c>
      <c r="K4561" s="1">
        <f>548.606</f>
        <v>548.60599999999999</v>
      </c>
      <c r="L4561">
        <v>0</v>
      </c>
    </row>
    <row r="4562" spans="1:12" x14ac:dyDescent="0.25">
      <c r="A4562">
        <f>80937763*0.00001</f>
        <v>809.37763000000007</v>
      </c>
      <c r="B4562">
        <v>3518</v>
      </c>
      <c r="C4562">
        <v>122</v>
      </c>
      <c r="D4562" s="1">
        <f>253.585</f>
        <v>253.58500000000001</v>
      </c>
      <c r="E4562">
        <v>5231</v>
      </c>
      <c r="F4562">
        <v>1620</v>
      </c>
      <c r="G4562">
        <v>1</v>
      </c>
      <c r="H4562">
        <v>0.2</v>
      </c>
      <c r="I4562">
        <v>0</v>
      </c>
      <c r="J4562">
        <v>46.471699999999998</v>
      </c>
      <c r="K4562">
        <v>548.60599999999999</v>
      </c>
      <c r="L4562">
        <v>0</v>
      </c>
    </row>
    <row r="4563" spans="1:12" x14ac:dyDescent="0.25">
      <c r="A4563">
        <f>80937894*0.00001</f>
        <v>809.37894000000006</v>
      </c>
      <c r="B4563">
        <v>3518</v>
      </c>
      <c r="C4563">
        <v>123</v>
      </c>
      <c r="D4563">
        <v>253.58500000000001</v>
      </c>
      <c r="E4563">
        <v>5231</v>
      </c>
      <c r="F4563" s="1">
        <f>1620</f>
        <v>1620</v>
      </c>
      <c r="G4563">
        <v>1</v>
      </c>
      <c r="H4563">
        <v>0.2</v>
      </c>
      <c r="I4563">
        <v>0</v>
      </c>
      <c r="J4563">
        <v>46.471699999999998</v>
      </c>
      <c r="K4563">
        <v>548.60599999999999</v>
      </c>
      <c r="L4563">
        <v>0</v>
      </c>
    </row>
    <row r="4564" spans="1:12" x14ac:dyDescent="0.25">
      <c r="A4564">
        <f>80938025*0.00001</f>
        <v>809.38025000000005</v>
      </c>
      <c r="B4564">
        <v>3518</v>
      </c>
      <c r="C4564">
        <v>124</v>
      </c>
      <c r="D4564">
        <v>253.58500000000001</v>
      </c>
      <c r="E4564">
        <v>5231</v>
      </c>
      <c r="F4564">
        <v>1620</v>
      </c>
      <c r="G4564">
        <v>1</v>
      </c>
      <c r="H4564" s="1">
        <f>0.2</f>
        <v>0.2</v>
      </c>
      <c r="I4564">
        <v>0</v>
      </c>
      <c r="J4564">
        <v>46.471699999999998</v>
      </c>
      <c r="K4564">
        <v>548.60599999999999</v>
      </c>
      <c r="L4564">
        <v>0</v>
      </c>
    </row>
    <row r="4565" spans="1:12" x14ac:dyDescent="0.25">
      <c r="A4565">
        <f>80938155*0.00001</f>
        <v>809.38155000000006</v>
      </c>
      <c r="B4565">
        <v>3518</v>
      </c>
      <c r="C4565">
        <v>125</v>
      </c>
      <c r="D4565">
        <v>253.58500000000001</v>
      </c>
      <c r="E4565">
        <v>5231</v>
      </c>
      <c r="F4565">
        <v>1620</v>
      </c>
      <c r="G4565">
        <v>1</v>
      </c>
      <c r="H4565">
        <v>0.2</v>
      </c>
      <c r="I4565" s="1">
        <f>0</f>
        <v>0</v>
      </c>
      <c r="J4565" s="1">
        <f>46.3665</f>
        <v>46.366500000000002</v>
      </c>
      <c r="K4565">
        <v>548.60599999999999</v>
      </c>
      <c r="L4565">
        <v>0</v>
      </c>
    </row>
    <row r="4566" spans="1:12" x14ac:dyDescent="0.25">
      <c r="A4566">
        <f>80938286*0.00001</f>
        <v>809.38286000000005</v>
      </c>
      <c r="B4566">
        <v>3518</v>
      </c>
      <c r="C4566">
        <v>126</v>
      </c>
      <c r="D4566">
        <v>253.58500000000001</v>
      </c>
      <c r="E4566">
        <v>5231</v>
      </c>
      <c r="F4566">
        <v>1620</v>
      </c>
      <c r="G4566">
        <v>1</v>
      </c>
      <c r="H4566">
        <v>0.2</v>
      </c>
      <c r="I4566">
        <v>0</v>
      </c>
      <c r="J4566">
        <v>46.366500000000002</v>
      </c>
      <c r="K4566" s="1">
        <f>548.667</f>
        <v>548.66700000000003</v>
      </c>
      <c r="L4566" s="1">
        <f>0</f>
        <v>0</v>
      </c>
    </row>
    <row r="4567" spans="1:12" x14ac:dyDescent="0.25">
      <c r="A4567">
        <f>80938417*0.00001</f>
        <v>809.38417000000004</v>
      </c>
      <c r="B4567">
        <v>3518</v>
      </c>
      <c r="C4567">
        <v>127</v>
      </c>
      <c r="D4567" s="1">
        <f>253.661</f>
        <v>253.661</v>
      </c>
      <c r="E4567" s="1">
        <f>5229</f>
        <v>5229</v>
      </c>
      <c r="F4567">
        <v>1620</v>
      </c>
      <c r="G4567">
        <v>1</v>
      </c>
      <c r="H4567">
        <v>0.2</v>
      </c>
      <c r="I4567">
        <v>0</v>
      </c>
      <c r="J4567">
        <v>46.366500000000002</v>
      </c>
      <c r="K4567">
        <v>548.66700000000003</v>
      </c>
      <c r="L4567">
        <v>0</v>
      </c>
    </row>
    <row r="4568" spans="1:12" x14ac:dyDescent="0.25">
      <c r="A4568">
        <f>80938547*0.00001</f>
        <v>809.38547000000005</v>
      </c>
      <c r="B4568">
        <v>3518</v>
      </c>
      <c r="C4568">
        <v>128</v>
      </c>
      <c r="D4568">
        <v>253.661</v>
      </c>
      <c r="E4568">
        <v>5229</v>
      </c>
      <c r="F4568" s="1">
        <f>1620</f>
        <v>1620</v>
      </c>
      <c r="G4568" s="1">
        <f>1</f>
        <v>1</v>
      </c>
      <c r="H4568">
        <v>0.2</v>
      </c>
      <c r="I4568">
        <v>0</v>
      </c>
      <c r="J4568">
        <v>46.366500000000002</v>
      </c>
      <c r="K4568">
        <v>548.66700000000003</v>
      </c>
      <c r="L4568">
        <v>0</v>
      </c>
    </row>
    <row r="4569" spans="1:12" x14ac:dyDescent="0.25">
      <c r="A4569">
        <f>80938678*0.00001</f>
        <v>809.38678000000004</v>
      </c>
      <c r="B4569">
        <v>3518</v>
      </c>
      <c r="C4569">
        <v>129</v>
      </c>
      <c r="D4569">
        <v>253.661</v>
      </c>
      <c r="E4569">
        <v>5229</v>
      </c>
      <c r="F4569">
        <v>1620</v>
      </c>
      <c r="G4569">
        <v>1</v>
      </c>
      <c r="H4569" s="1">
        <f>0.2</f>
        <v>0.2</v>
      </c>
      <c r="I4569" s="1">
        <f>0</f>
        <v>0</v>
      </c>
      <c r="J4569">
        <v>46.366500000000002</v>
      </c>
      <c r="K4569">
        <v>548.66700000000003</v>
      </c>
      <c r="L4569">
        <v>0</v>
      </c>
    </row>
    <row r="4570" spans="1:12" x14ac:dyDescent="0.25">
      <c r="A4570">
        <f>80938809*0.00001</f>
        <v>809.38809000000003</v>
      </c>
      <c r="B4570">
        <v>3518</v>
      </c>
      <c r="C4570">
        <v>130</v>
      </c>
      <c r="D4570">
        <v>253.661</v>
      </c>
      <c r="E4570">
        <v>5229</v>
      </c>
      <c r="F4570">
        <v>1620</v>
      </c>
      <c r="G4570">
        <v>1</v>
      </c>
      <c r="H4570">
        <v>0.2</v>
      </c>
      <c r="I4570">
        <v>0</v>
      </c>
      <c r="J4570" s="1">
        <f>46.3014</f>
        <v>46.301400000000001</v>
      </c>
      <c r="K4570" s="1">
        <f>548.716</f>
        <v>548.71600000000001</v>
      </c>
      <c r="L4570">
        <v>0</v>
      </c>
    </row>
    <row r="4571" spans="1:12" x14ac:dyDescent="0.25">
      <c r="A4571">
        <f>80938939*0.00001</f>
        <v>809.38939000000005</v>
      </c>
      <c r="B4571">
        <v>3518</v>
      </c>
      <c r="C4571">
        <v>131</v>
      </c>
      <c r="D4571" s="1">
        <f>253.71</f>
        <v>253.71</v>
      </c>
      <c r="E4571">
        <v>5229</v>
      </c>
      <c r="F4571">
        <v>1620</v>
      </c>
      <c r="G4571">
        <v>1</v>
      </c>
      <c r="H4571">
        <v>0.2</v>
      </c>
      <c r="I4571">
        <v>0</v>
      </c>
      <c r="J4571">
        <v>46.301400000000001</v>
      </c>
      <c r="K4571">
        <v>548.71600000000001</v>
      </c>
      <c r="L4571" s="1">
        <f>0</f>
        <v>0</v>
      </c>
    </row>
    <row r="4572" spans="1:12" x14ac:dyDescent="0.25">
      <c r="A4572">
        <f>80939070*0.00001</f>
        <v>809.39070000000004</v>
      </c>
      <c r="B4572">
        <v>3518</v>
      </c>
      <c r="C4572">
        <v>132</v>
      </c>
      <c r="D4572" s="1">
        <f>253.788</f>
        <v>253.78800000000001</v>
      </c>
      <c r="E4572" s="1">
        <f>5226</f>
        <v>5226</v>
      </c>
      <c r="F4572" s="1">
        <f>1620</f>
        <v>1620</v>
      </c>
      <c r="G4572" s="1">
        <f>1</f>
        <v>1</v>
      </c>
      <c r="H4572" s="1">
        <f>0.2</f>
        <v>0.2</v>
      </c>
      <c r="I4572" s="1">
        <f>0</f>
        <v>0</v>
      </c>
      <c r="J4572" s="1">
        <f>46.219</f>
        <v>46.219000000000001</v>
      </c>
      <c r="K4572" s="1">
        <f>548.825</f>
        <v>548.82500000000005</v>
      </c>
      <c r="L4572" s="1">
        <f>0</f>
        <v>0</v>
      </c>
    </row>
    <row r="4573" spans="1:12" x14ac:dyDescent="0.25">
      <c r="A4573">
        <f>80940377*0.00001</f>
        <v>809.40377000000012</v>
      </c>
      <c r="B4573">
        <v>3518</v>
      </c>
      <c r="C4573">
        <v>142</v>
      </c>
      <c r="D4573">
        <v>253.78800000000001</v>
      </c>
      <c r="E4573">
        <v>5226</v>
      </c>
      <c r="F4573">
        <v>1620</v>
      </c>
      <c r="G4573" s="1">
        <f>1</f>
        <v>1</v>
      </c>
      <c r="H4573">
        <v>0.2</v>
      </c>
      <c r="I4573">
        <v>0</v>
      </c>
      <c r="J4573">
        <v>46.219000000000001</v>
      </c>
      <c r="K4573">
        <v>548.82500000000005</v>
      </c>
      <c r="L4573">
        <v>0</v>
      </c>
    </row>
    <row r="4574" spans="1:12" x14ac:dyDescent="0.25">
      <c r="A4574">
        <f>80940507*0.00001</f>
        <v>809.40507000000002</v>
      </c>
      <c r="B4574">
        <v>3518</v>
      </c>
      <c r="C4574">
        <v>143</v>
      </c>
      <c r="D4574">
        <v>253.78800000000001</v>
      </c>
      <c r="E4574">
        <v>5226</v>
      </c>
      <c r="F4574">
        <v>1620</v>
      </c>
      <c r="G4574">
        <v>1</v>
      </c>
      <c r="H4574">
        <v>0.2</v>
      </c>
      <c r="I4574" s="1">
        <f>0</f>
        <v>0</v>
      </c>
      <c r="J4574">
        <v>46.219000000000001</v>
      </c>
      <c r="K4574">
        <v>548.82500000000005</v>
      </c>
      <c r="L4574">
        <v>0</v>
      </c>
    </row>
    <row r="4575" spans="1:12" x14ac:dyDescent="0.25">
      <c r="A4575">
        <f>80940638*0.00001</f>
        <v>809.40638000000001</v>
      </c>
      <c r="B4575">
        <v>3518</v>
      </c>
      <c r="C4575">
        <v>144</v>
      </c>
      <c r="D4575">
        <v>253.78800000000001</v>
      </c>
      <c r="E4575">
        <v>5226</v>
      </c>
      <c r="F4575">
        <v>1620</v>
      </c>
      <c r="G4575">
        <v>1</v>
      </c>
      <c r="H4575">
        <v>0.2</v>
      </c>
      <c r="I4575">
        <v>0</v>
      </c>
      <c r="J4575">
        <v>46.219000000000001</v>
      </c>
      <c r="K4575" s="1">
        <f>548.886</f>
        <v>548.88599999999997</v>
      </c>
      <c r="L4575">
        <v>0</v>
      </c>
    </row>
    <row r="4576" spans="1:12" x14ac:dyDescent="0.25">
      <c r="A4576">
        <f>80940769*0.00001</f>
        <v>809.40769000000012</v>
      </c>
      <c r="B4576">
        <v>3518</v>
      </c>
      <c r="C4576">
        <v>145</v>
      </c>
      <c r="D4576" s="1">
        <f>253.819</f>
        <v>253.81899999999999</v>
      </c>
      <c r="E4576">
        <v>5226</v>
      </c>
      <c r="F4576">
        <v>1620</v>
      </c>
      <c r="G4576">
        <v>1</v>
      </c>
      <c r="H4576">
        <v>0.2</v>
      </c>
      <c r="I4576">
        <v>0</v>
      </c>
      <c r="J4576">
        <v>46.219000000000001</v>
      </c>
      <c r="K4576">
        <v>548.88599999999997</v>
      </c>
      <c r="L4576">
        <v>0</v>
      </c>
    </row>
    <row r="4577" spans="1:12" x14ac:dyDescent="0.25">
      <c r="A4577">
        <f>80940899*0.00001</f>
        <v>809.40899000000002</v>
      </c>
      <c r="B4577">
        <v>3518</v>
      </c>
      <c r="C4577">
        <v>146</v>
      </c>
      <c r="D4577">
        <v>253.81899999999999</v>
      </c>
      <c r="E4577">
        <v>5226</v>
      </c>
      <c r="F4577" s="1">
        <f>1620</f>
        <v>1620</v>
      </c>
      <c r="G4577">
        <v>1</v>
      </c>
      <c r="H4577">
        <v>0.2</v>
      </c>
      <c r="I4577">
        <v>0</v>
      </c>
      <c r="J4577">
        <v>46.219000000000001</v>
      </c>
      <c r="K4577">
        <v>548.88599999999997</v>
      </c>
      <c r="L4577">
        <v>0</v>
      </c>
    </row>
    <row r="4578" spans="1:12" x14ac:dyDescent="0.25">
      <c r="A4578">
        <f>80941030*0.00001</f>
        <v>809.41030000000012</v>
      </c>
      <c r="B4578">
        <v>3518</v>
      </c>
      <c r="C4578">
        <v>147</v>
      </c>
      <c r="D4578">
        <v>253.81899999999999</v>
      </c>
      <c r="E4578">
        <v>5226</v>
      </c>
      <c r="F4578">
        <v>1620</v>
      </c>
      <c r="G4578">
        <v>1</v>
      </c>
      <c r="H4578" s="1">
        <f>0.2</f>
        <v>0.2</v>
      </c>
      <c r="I4578">
        <v>0</v>
      </c>
      <c r="J4578">
        <v>46.219000000000001</v>
      </c>
      <c r="K4578">
        <v>548.88599999999997</v>
      </c>
      <c r="L4578">
        <v>0</v>
      </c>
    </row>
    <row r="4579" spans="1:12" x14ac:dyDescent="0.25">
      <c r="A4579">
        <f>80941161*0.00001</f>
        <v>809.41161000000011</v>
      </c>
      <c r="B4579">
        <v>3518</v>
      </c>
      <c r="C4579">
        <v>148</v>
      </c>
      <c r="D4579">
        <v>253.81899999999999</v>
      </c>
      <c r="E4579">
        <v>5226</v>
      </c>
      <c r="F4579">
        <v>1620</v>
      </c>
      <c r="G4579">
        <v>1</v>
      </c>
      <c r="H4579">
        <v>0.2</v>
      </c>
      <c r="I4579">
        <v>0</v>
      </c>
      <c r="J4579" s="1">
        <f>46.1668</f>
        <v>46.166800000000002</v>
      </c>
      <c r="K4579">
        <v>548.88599999999997</v>
      </c>
      <c r="L4579">
        <v>0</v>
      </c>
    </row>
    <row r="4580" spans="1:12" x14ac:dyDescent="0.25">
      <c r="A4580">
        <f>80941291*0.00001</f>
        <v>809.41291000000001</v>
      </c>
      <c r="B4580">
        <v>3518</v>
      </c>
      <c r="C4580">
        <v>149</v>
      </c>
      <c r="D4580">
        <v>253.81899999999999</v>
      </c>
      <c r="E4580">
        <v>5226</v>
      </c>
      <c r="F4580">
        <v>1620</v>
      </c>
      <c r="G4580">
        <v>1</v>
      </c>
      <c r="H4580">
        <v>0.2</v>
      </c>
      <c r="I4580">
        <v>0</v>
      </c>
      <c r="J4580">
        <v>46.166800000000002</v>
      </c>
      <c r="K4580">
        <v>548.88599999999997</v>
      </c>
      <c r="L4580" s="1">
        <f>0</f>
        <v>0</v>
      </c>
    </row>
    <row r="4581" spans="1:12" x14ac:dyDescent="0.25">
      <c r="A4581">
        <f>80941422*0.00001</f>
        <v>809.41422000000011</v>
      </c>
      <c r="B4581">
        <v>3518</v>
      </c>
      <c r="C4581">
        <v>150</v>
      </c>
      <c r="D4581">
        <v>253.81899999999999</v>
      </c>
      <c r="E4581" s="1">
        <f>5225</f>
        <v>5225</v>
      </c>
      <c r="F4581">
        <v>1620</v>
      </c>
      <c r="G4581">
        <v>1</v>
      </c>
      <c r="H4581">
        <v>0.2</v>
      </c>
      <c r="I4581">
        <v>0</v>
      </c>
      <c r="J4581">
        <v>46.166800000000002</v>
      </c>
      <c r="K4581">
        <v>548.88599999999997</v>
      </c>
      <c r="L4581">
        <v>0</v>
      </c>
    </row>
    <row r="4582" spans="1:12" x14ac:dyDescent="0.25">
      <c r="A4582">
        <f>80941553*0.00001</f>
        <v>809.4155300000001</v>
      </c>
      <c r="B4582">
        <v>3518</v>
      </c>
      <c r="C4582">
        <v>151</v>
      </c>
      <c r="D4582">
        <v>253.81899999999999</v>
      </c>
      <c r="E4582">
        <v>5225</v>
      </c>
      <c r="F4582">
        <v>1620</v>
      </c>
      <c r="G4582" s="1">
        <f>1</f>
        <v>1</v>
      </c>
      <c r="H4582">
        <v>0.2</v>
      </c>
      <c r="I4582">
        <v>0</v>
      </c>
      <c r="J4582">
        <v>46.166800000000002</v>
      </c>
      <c r="K4582">
        <v>548.88599999999997</v>
      </c>
      <c r="L4582">
        <v>0</v>
      </c>
    </row>
    <row r="4583" spans="1:12" x14ac:dyDescent="0.25">
      <c r="A4583">
        <f>80941683*0.00001</f>
        <v>809.41683000000012</v>
      </c>
      <c r="B4583">
        <v>3518</v>
      </c>
      <c r="C4583">
        <v>152</v>
      </c>
      <c r="D4583">
        <v>253.81899999999999</v>
      </c>
      <c r="E4583">
        <v>5225</v>
      </c>
      <c r="F4583">
        <v>1620</v>
      </c>
      <c r="G4583">
        <v>1</v>
      </c>
      <c r="H4583" s="1">
        <f>0.2</f>
        <v>0.2</v>
      </c>
      <c r="I4583" s="1">
        <f>0</f>
        <v>0</v>
      </c>
      <c r="J4583">
        <v>46.166800000000002</v>
      </c>
      <c r="K4583">
        <v>548.88599999999997</v>
      </c>
      <c r="L4583">
        <v>0</v>
      </c>
    </row>
    <row r="4584" spans="1:12" x14ac:dyDescent="0.25">
      <c r="A4584">
        <f>80941814*0.00001</f>
        <v>809.41814000000011</v>
      </c>
      <c r="B4584">
        <v>3518</v>
      </c>
      <c r="C4584">
        <v>153</v>
      </c>
      <c r="D4584">
        <v>253.81899999999999</v>
      </c>
      <c r="E4584">
        <v>5225</v>
      </c>
      <c r="F4584">
        <v>1620</v>
      </c>
      <c r="G4584">
        <v>1</v>
      </c>
      <c r="H4584">
        <v>0.2</v>
      </c>
      <c r="I4584">
        <v>0</v>
      </c>
      <c r="J4584" s="1">
        <f>46.1468</f>
        <v>46.146799999999999</v>
      </c>
      <c r="K4584" s="1">
        <f>548.995</f>
        <v>548.995</v>
      </c>
      <c r="L4584">
        <v>0</v>
      </c>
    </row>
    <row r="4585" spans="1:12" x14ac:dyDescent="0.25">
      <c r="A4585">
        <f>80941945*0.00001</f>
        <v>809.4194500000001</v>
      </c>
      <c r="B4585">
        <v>3518</v>
      </c>
      <c r="C4585">
        <v>154</v>
      </c>
      <c r="D4585" s="1">
        <f>253.857</f>
        <v>253.857</v>
      </c>
      <c r="E4585">
        <v>5225</v>
      </c>
      <c r="F4585">
        <v>1620</v>
      </c>
      <c r="G4585">
        <v>1</v>
      </c>
      <c r="H4585">
        <v>0.2</v>
      </c>
      <c r="I4585">
        <v>0</v>
      </c>
      <c r="J4585">
        <v>46.146799999999999</v>
      </c>
      <c r="K4585">
        <v>548.995</v>
      </c>
      <c r="L4585" s="1">
        <f>0</f>
        <v>0</v>
      </c>
    </row>
    <row r="4586" spans="1:12" x14ac:dyDescent="0.25">
      <c r="A4586">
        <f>80942075*0.00001</f>
        <v>809.42075000000011</v>
      </c>
      <c r="B4586">
        <v>3518</v>
      </c>
      <c r="C4586">
        <v>155</v>
      </c>
      <c r="D4586">
        <v>253.857</v>
      </c>
      <c r="E4586" s="1">
        <f>5225</f>
        <v>5225</v>
      </c>
      <c r="F4586" s="1">
        <f>1620</f>
        <v>1620</v>
      </c>
      <c r="G4586">
        <v>1</v>
      </c>
      <c r="H4586">
        <v>0.2</v>
      </c>
      <c r="I4586">
        <v>0</v>
      </c>
      <c r="J4586">
        <v>46.146799999999999</v>
      </c>
      <c r="K4586">
        <v>548.995</v>
      </c>
      <c r="L4586">
        <v>0</v>
      </c>
    </row>
    <row r="4587" spans="1:12" x14ac:dyDescent="0.25">
      <c r="A4587">
        <f>80942206*0.00001</f>
        <v>809.4220600000001</v>
      </c>
      <c r="B4587">
        <v>3518</v>
      </c>
      <c r="C4587">
        <v>156</v>
      </c>
      <c r="D4587">
        <v>253.857</v>
      </c>
      <c r="E4587">
        <v>5225</v>
      </c>
      <c r="F4587">
        <v>1620</v>
      </c>
      <c r="G4587" s="1">
        <f>1</f>
        <v>1</v>
      </c>
      <c r="H4587" s="1">
        <f>0.2</f>
        <v>0.2</v>
      </c>
      <c r="I4587">
        <v>0</v>
      </c>
      <c r="J4587">
        <v>46.146799999999999</v>
      </c>
      <c r="K4587">
        <v>548.995</v>
      </c>
      <c r="L4587">
        <v>0</v>
      </c>
    </row>
    <row r="4588" spans="1:12" x14ac:dyDescent="0.25">
      <c r="A4588">
        <f>80942337*0.00001</f>
        <v>809.42337000000009</v>
      </c>
      <c r="B4588">
        <v>3518</v>
      </c>
      <c r="C4588">
        <v>157</v>
      </c>
      <c r="D4588">
        <v>253.857</v>
      </c>
      <c r="E4588">
        <v>5225</v>
      </c>
      <c r="F4588">
        <v>1620</v>
      </c>
      <c r="G4588">
        <v>1</v>
      </c>
      <c r="H4588">
        <v>0.2</v>
      </c>
      <c r="I4588" s="1">
        <f>0</f>
        <v>0</v>
      </c>
      <c r="J4588" s="1">
        <f>46.134</f>
        <v>46.134</v>
      </c>
      <c r="K4588">
        <v>548.995</v>
      </c>
      <c r="L4588">
        <v>0</v>
      </c>
    </row>
    <row r="4589" spans="1:12" x14ac:dyDescent="0.25">
      <c r="A4589">
        <f>80942467*0.00001</f>
        <v>809.42467000000011</v>
      </c>
      <c r="B4589">
        <v>3518</v>
      </c>
      <c r="C4589">
        <v>158</v>
      </c>
      <c r="D4589" s="1">
        <f>253.877</f>
        <v>253.87700000000001</v>
      </c>
      <c r="E4589" s="1">
        <f>5225</f>
        <v>5225</v>
      </c>
      <c r="F4589" s="1">
        <f>1620</f>
        <v>1620</v>
      </c>
      <c r="G4589" s="1">
        <f>1</f>
        <v>1</v>
      </c>
      <c r="H4589" s="1">
        <f>0.2</f>
        <v>0.2</v>
      </c>
      <c r="I4589" s="1">
        <f>0</f>
        <v>0</v>
      </c>
      <c r="J4589" s="1">
        <f>46.1133</f>
        <v>46.113300000000002</v>
      </c>
      <c r="K4589" s="1">
        <f>549.164</f>
        <v>549.16399999999999</v>
      </c>
      <c r="L4589" s="1">
        <f>0</f>
        <v>0</v>
      </c>
    </row>
    <row r="4590" spans="1:12" x14ac:dyDescent="0.25">
      <c r="A4590">
        <f>80943775*0.00001</f>
        <v>809.43775000000005</v>
      </c>
      <c r="B4590">
        <v>3518</v>
      </c>
      <c r="C4590">
        <v>168</v>
      </c>
      <c r="D4590" s="1">
        <f>253.89</f>
        <v>253.89</v>
      </c>
      <c r="E4590">
        <v>5225</v>
      </c>
      <c r="F4590">
        <v>1620</v>
      </c>
      <c r="G4590">
        <v>1</v>
      </c>
      <c r="H4590">
        <v>0.2</v>
      </c>
      <c r="I4590">
        <v>0</v>
      </c>
      <c r="J4590">
        <v>46.113300000000002</v>
      </c>
      <c r="K4590">
        <v>549.16399999999999</v>
      </c>
      <c r="L4590">
        <v>0</v>
      </c>
    </row>
    <row r="4591" spans="1:12" x14ac:dyDescent="0.25">
      <c r="A4591">
        <f>80943906*0.00001</f>
        <v>809.43906000000004</v>
      </c>
      <c r="B4591">
        <v>3518</v>
      </c>
      <c r="C4591">
        <v>169</v>
      </c>
      <c r="D4591">
        <v>253.89</v>
      </c>
      <c r="E4591">
        <v>5225</v>
      </c>
      <c r="F4591" s="1">
        <f>1620</f>
        <v>1620</v>
      </c>
      <c r="G4591">
        <v>1</v>
      </c>
      <c r="H4591">
        <v>0.2</v>
      </c>
      <c r="I4591">
        <v>0</v>
      </c>
      <c r="J4591">
        <v>46.113300000000002</v>
      </c>
      <c r="K4591">
        <v>549.16399999999999</v>
      </c>
      <c r="L4591">
        <v>0</v>
      </c>
    </row>
    <row r="4592" spans="1:12" x14ac:dyDescent="0.25">
      <c r="A4592">
        <f>80944036*0.00001</f>
        <v>809.44036000000006</v>
      </c>
      <c r="B4592">
        <v>3518</v>
      </c>
      <c r="C4592">
        <v>170</v>
      </c>
      <c r="D4592">
        <v>253.89</v>
      </c>
      <c r="E4592">
        <v>5225</v>
      </c>
      <c r="F4592">
        <v>1620</v>
      </c>
      <c r="G4592">
        <v>1</v>
      </c>
      <c r="H4592" s="1">
        <f>0.2</f>
        <v>0.2</v>
      </c>
      <c r="I4592">
        <v>0</v>
      </c>
      <c r="J4592">
        <v>46.113300000000002</v>
      </c>
      <c r="K4592">
        <v>549.16399999999999</v>
      </c>
      <c r="L4592">
        <v>0</v>
      </c>
    </row>
    <row r="4593" spans="1:12" x14ac:dyDescent="0.25">
      <c r="A4593">
        <f>80944167*0.00001</f>
        <v>809.44167000000004</v>
      </c>
      <c r="B4593">
        <v>3518</v>
      </c>
      <c r="C4593">
        <v>171</v>
      </c>
      <c r="D4593">
        <v>253.89</v>
      </c>
      <c r="E4593">
        <v>5225</v>
      </c>
      <c r="F4593">
        <v>1620</v>
      </c>
      <c r="G4593">
        <v>1</v>
      </c>
      <c r="H4593">
        <v>0.2</v>
      </c>
      <c r="I4593">
        <v>0</v>
      </c>
      <c r="J4593" s="1">
        <f>46.1054</f>
        <v>46.105400000000003</v>
      </c>
      <c r="K4593">
        <v>549.16399999999999</v>
      </c>
      <c r="L4593">
        <v>0</v>
      </c>
    </row>
    <row r="4594" spans="1:12" x14ac:dyDescent="0.25">
      <c r="A4594">
        <f>80944298*0.00001</f>
        <v>809.44298000000003</v>
      </c>
      <c r="B4594">
        <v>3518</v>
      </c>
      <c r="C4594">
        <v>172</v>
      </c>
      <c r="D4594">
        <v>253.89</v>
      </c>
      <c r="E4594">
        <v>5225</v>
      </c>
      <c r="F4594">
        <v>1620</v>
      </c>
      <c r="G4594">
        <v>1</v>
      </c>
      <c r="H4594">
        <v>0.2</v>
      </c>
      <c r="I4594">
        <v>0</v>
      </c>
      <c r="J4594">
        <v>46.105400000000003</v>
      </c>
      <c r="K4594">
        <v>549.16399999999999</v>
      </c>
      <c r="L4594" s="1">
        <f>0</f>
        <v>0</v>
      </c>
    </row>
    <row r="4595" spans="1:12" x14ac:dyDescent="0.25">
      <c r="A4595">
        <f>80944428*0.00001</f>
        <v>809.44428000000005</v>
      </c>
      <c r="B4595">
        <v>3518</v>
      </c>
      <c r="C4595">
        <v>173</v>
      </c>
      <c r="D4595">
        <v>253.89</v>
      </c>
      <c r="E4595" s="1">
        <f>5225</f>
        <v>5225</v>
      </c>
      <c r="F4595">
        <v>1620</v>
      </c>
      <c r="G4595">
        <v>1</v>
      </c>
      <c r="H4595">
        <v>0.2</v>
      </c>
      <c r="I4595">
        <v>0</v>
      </c>
      <c r="J4595">
        <v>46.105400000000003</v>
      </c>
      <c r="K4595">
        <v>549.16399999999999</v>
      </c>
      <c r="L4595">
        <v>0</v>
      </c>
    </row>
    <row r="4596" spans="1:12" x14ac:dyDescent="0.25">
      <c r="A4596">
        <f>80944559*0.00001</f>
        <v>809.44559000000004</v>
      </c>
      <c r="B4596">
        <v>3518</v>
      </c>
      <c r="C4596">
        <v>174</v>
      </c>
      <c r="D4596">
        <v>253.89</v>
      </c>
      <c r="E4596">
        <v>5225</v>
      </c>
      <c r="F4596">
        <v>1620</v>
      </c>
      <c r="G4596" s="1">
        <f>1</f>
        <v>1</v>
      </c>
      <c r="H4596">
        <v>0.2</v>
      </c>
      <c r="I4596">
        <v>0</v>
      </c>
      <c r="J4596">
        <v>46.105400000000003</v>
      </c>
      <c r="K4596">
        <v>549.16399999999999</v>
      </c>
      <c r="L4596">
        <v>0</v>
      </c>
    </row>
    <row r="4597" spans="1:12" x14ac:dyDescent="0.25">
      <c r="A4597">
        <f>80944690*0.00001</f>
        <v>809.44690000000003</v>
      </c>
      <c r="B4597">
        <v>3518</v>
      </c>
      <c r="C4597">
        <v>175</v>
      </c>
      <c r="D4597">
        <v>253.89</v>
      </c>
      <c r="E4597">
        <v>5225</v>
      </c>
      <c r="F4597">
        <v>1620</v>
      </c>
      <c r="G4597">
        <v>1</v>
      </c>
      <c r="H4597">
        <v>0.2</v>
      </c>
      <c r="I4597" s="1">
        <f>0</f>
        <v>0</v>
      </c>
      <c r="J4597">
        <v>46.105400000000003</v>
      </c>
      <c r="K4597">
        <v>549.16399999999999</v>
      </c>
      <c r="L4597">
        <v>0</v>
      </c>
    </row>
    <row r="4598" spans="1:12" x14ac:dyDescent="0.25">
      <c r="A4598">
        <f>80944820*0.00001</f>
        <v>809.44820000000004</v>
      </c>
      <c r="B4598">
        <v>3518</v>
      </c>
      <c r="C4598">
        <v>176</v>
      </c>
      <c r="D4598">
        <v>253.89</v>
      </c>
      <c r="E4598">
        <v>5225</v>
      </c>
      <c r="F4598">
        <v>1620</v>
      </c>
      <c r="G4598">
        <v>1</v>
      </c>
      <c r="H4598">
        <v>0.2</v>
      </c>
      <c r="I4598">
        <v>0</v>
      </c>
      <c r="J4598">
        <v>46.105400000000003</v>
      </c>
      <c r="K4598" s="1">
        <f>549.273</f>
        <v>549.27300000000002</v>
      </c>
      <c r="L4598">
        <v>0</v>
      </c>
    </row>
    <row r="4599" spans="1:12" x14ac:dyDescent="0.25">
      <c r="A4599">
        <f>80944951*0.00001</f>
        <v>809.44951000000003</v>
      </c>
      <c r="B4599">
        <v>3518</v>
      </c>
      <c r="C4599">
        <v>177</v>
      </c>
      <c r="D4599" s="1">
        <f>253.902</f>
        <v>253.90199999999999</v>
      </c>
      <c r="E4599">
        <v>5225</v>
      </c>
      <c r="F4599">
        <v>1620</v>
      </c>
      <c r="G4599">
        <v>1</v>
      </c>
      <c r="H4599">
        <v>0.2</v>
      </c>
      <c r="I4599">
        <v>0</v>
      </c>
      <c r="J4599">
        <v>46.105400000000003</v>
      </c>
      <c r="K4599">
        <v>549.27300000000002</v>
      </c>
      <c r="L4599">
        <v>0</v>
      </c>
    </row>
    <row r="4600" spans="1:12" x14ac:dyDescent="0.25">
      <c r="A4600">
        <f>80945082*0.00001</f>
        <v>809.45082000000002</v>
      </c>
      <c r="B4600">
        <v>3518</v>
      </c>
      <c r="C4600">
        <v>178</v>
      </c>
      <c r="D4600">
        <v>253.90199999999999</v>
      </c>
      <c r="E4600" s="1">
        <f>5226</f>
        <v>5226</v>
      </c>
      <c r="F4600" s="1">
        <f>1620</f>
        <v>1620</v>
      </c>
      <c r="G4600" s="1">
        <f>1</f>
        <v>1</v>
      </c>
      <c r="H4600" s="1">
        <f>0.2</f>
        <v>0.2</v>
      </c>
      <c r="I4600">
        <v>0</v>
      </c>
      <c r="J4600">
        <v>46.105400000000003</v>
      </c>
      <c r="K4600">
        <v>549.27300000000002</v>
      </c>
      <c r="L4600">
        <v>0</v>
      </c>
    </row>
    <row r="4601" spans="1:12" s="2" customFormat="1" x14ac:dyDescent="0.25">
      <c r="A4601" s="2">
        <f>80945344*0.00001</f>
        <v>809.45344000000011</v>
      </c>
      <c r="B4601" s="2">
        <v>3519</v>
      </c>
      <c r="C4601" s="2">
        <v>0</v>
      </c>
      <c r="D4601" s="2">
        <v>253.90199999999999</v>
      </c>
      <c r="E4601" s="2">
        <v>5226</v>
      </c>
      <c r="F4601" s="2">
        <v>1620</v>
      </c>
      <c r="G4601" s="2">
        <v>1</v>
      </c>
      <c r="H4601" s="2">
        <v>0.2</v>
      </c>
      <c r="I4601" s="1">
        <f>0</f>
        <v>0</v>
      </c>
      <c r="J4601" s="1">
        <f>46.0973</f>
        <v>46.097299999999997</v>
      </c>
      <c r="K4601" s="2">
        <v>549.27300000000002</v>
      </c>
      <c r="L4601" s="2">
        <v>0</v>
      </c>
    </row>
    <row r="4602" spans="1:12" x14ac:dyDescent="0.25">
      <c r="A4602">
        <f>80945475*0.00001</f>
        <v>809.4547500000001</v>
      </c>
      <c r="B4602">
        <v>3519</v>
      </c>
      <c r="C4602">
        <v>1</v>
      </c>
      <c r="D4602">
        <v>253.90199999999999</v>
      </c>
      <c r="E4602">
        <v>5226</v>
      </c>
      <c r="F4602">
        <v>1620</v>
      </c>
      <c r="G4602">
        <v>1</v>
      </c>
      <c r="H4602">
        <v>0.2</v>
      </c>
      <c r="I4602">
        <v>0</v>
      </c>
      <c r="J4602">
        <v>46.097299999999997</v>
      </c>
      <c r="K4602" s="1">
        <f>549.31</f>
        <v>549.30999999999995</v>
      </c>
      <c r="L4602" s="1">
        <f>0</f>
        <v>0</v>
      </c>
    </row>
    <row r="4603" spans="1:12" x14ac:dyDescent="0.25">
      <c r="A4603">
        <f>80945605*0.00001</f>
        <v>809.45605000000012</v>
      </c>
      <c r="B4603">
        <v>3519</v>
      </c>
      <c r="C4603">
        <v>2</v>
      </c>
      <c r="D4603" s="1">
        <f>253.905</f>
        <v>253.905</v>
      </c>
      <c r="E4603" s="1">
        <f>5226</f>
        <v>5226</v>
      </c>
      <c r="F4603">
        <v>1620</v>
      </c>
      <c r="G4603">
        <v>1</v>
      </c>
      <c r="H4603">
        <v>0.2</v>
      </c>
      <c r="I4603">
        <v>0</v>
      </c>
      <c r="J4603">
        <v>46.097299999999997</v>
      </c>
      <c r="K4603">
        <v>549.30999999999995</v>
      </c>
      <c r="L4603">
        <v>0</v>
      </c>
    </row>
    <row r="4604" spans="1:12" x14ac:dyDescent="0.25">
      <c r="A4604">
        <f>80945736*0.00001</f>
        <v>809.45736000000011</v>
      </c>
      <c r="B4604">
        <v>3519</v>
      </c>
      <c r="C4604">
        <v>3</v>
      </c>
      <c r="D4604">
        <v>253.905</v>
      </c>
      <c r="E4604">
        <v>5226</v>
      </c>
      <c r="F4604" s="1">
        <f>1620</f>
        <v>1620</v>
      </c>
      <c r="G4604" s="1">
        <f>1</f>
        <v>1</v>
      </c>
      <c r="H4604">
        <v>0.2</v>
      </c>
      <c r="I4604">
        <v>0</v>
      </c>
      <c r="J4604">
        <v>46.097299999999997</v>
      </c>
      <c r="K4604">
        <v>549.30999999999995</v>
      </c>
      <c r="L4604">
        <v>0</v>
      </c>
    </row>
    <row r="4605" spans="1:12" x14ac:dyDescent="0.25">
      <c r="A4605">
        <f>80945867*0.00001</f>
        <v>809.4586700000001</v>
      </c>
      <c r="B4605">
        <v>3519</v>
      </c>
      <c r="C4605">
        <v>4</v>
      </c>
      <c r="D4605">
        <v>253.905</v>
      </c>
      <c r="E4605">
        <v>5226</v>
      </c>
      <c r="F4605">
        <v>1620</v>
      </c>
      <c r="G4605">
        <v>1</v>
      </c>
      <c r="H4605" s="1">
        <f>0.2</f>
        <v>0.2</v>
      </c>
      <c r="I4605" s="1">
        <f>0</f>
        <v>0</v>
      </c>
      <c r="J4605">
        <v>46.097299999999997</v>
      </c>
      <c r="K4605">
        <v>549.30999999999995</v>
      </c>
      <c r="L4605">
        <v>0</v>
      </c>
    </row>
    <row r="4606" spans="1:12" x14ac:dyDescent="0.25">
      <c r="A4606">
        <f>80945997*0.00001</f>
        <v>809.45997000000011</v>
      </c>
      <c r="B4606">
        <v>3519</v>
      </c>
      <c r="C4606">
        <v>5</v>
      </c>
      <c r="D4606">
        <v>253.905</v>
      </c>
      <c r="E4606">
        <v>5226</v>
      </c>
      <c r="F4606">
        <v>1620</v>
      </c>
      <c r="G4606">
        <v>1</v>
      </c>
      <c r="H4606">
        <v>0.2</v>
      </c>
      <c r="I4606">
        <v>0</v>
      </c>
      <c r="J4606" s="1">
        <f>46.093</f>
        <v>46.093000000000004</v>
      </c>
      <c r="K4606" s="1">
        <f>549.358</f>
        <v>549.35799999999995</v>
      </c>
      <c r="L4606">
        <v>0</v>
      </c>
    </row>
    <row r="4607" spans="1:12" x14ac:dyDescent="0.25">
      <c r="A4607">
        <f>80946128*0.00001</f>
        <v>809.4612800000001</v>
      </c>
      <c r="B4607">
        <v>3519</v>
      </c>
      <c r="C4607">
        <v>6</v>
      </c>
      <c r="D4607" s="1">
        <f>253.912</f>
        <v>253.91200000000001</v>
      </c>
      <c r="E4607" s="1">
        <f>5226</f>
        <v>5226</v>
      </c>
      <c r="F4607" s="1">
        <f>1620</f>
        <v>1620</v>
      </c>
      <c r="G4607" s="1">
        <f>1</f>
        <v>1</v>
      </c>
      <c r="H4607" s="1">
        <f>0.2</f>
        <v>0.2</v>
      </c>
      <c r="I4607" s="1">
        <f>0</f>
        <v>0</v>
      </c>
      <c r="J4607" s="1">
        <f>46.0871</f>
        <v>46.0871</v>
      </c>
      <c r="K4607" s="1">
        <f>549.419</f>
        <v>549.41899999999998</v>
      </c>
      <c r="L4607" s="1">
        <f>0</f>
        <v>0</v>
      </c>
    </row>
    <row r="4608" spans="1:12" x14ac:dyDescent="0.25">
      <c r="A4608">
        <f>80947304*0.00001</f>
        <v>809.47304000000008</v>
      </c>
      <c r="B4608">
        <v>3519</v>
      </c>
      <c r="C4608">
        <v>15</v>
      </c>
      <c r="D4608">
        <v>253.91200000000001</v>
      </c>
      <c r="E4608">
        <v>5226</v>
      </c>
      <c r="F4608">
        <v>1620</v>
      </c>
      <c r="G4608">
        <v>1</v>
      </c>
      <c r="H4608">
        <v>0.2</v>
      </c>
      <c r="I4608">
        <v>0</v>
      </c>
      <c r="J4608">
        <v>46.0871</v>
      </c>
      <c r="K4608" s="1">
        <f>549.479</f>
        <v>549.47900000000004</v>
      </c>
      <c r="L4608">
        <v>0</v>
      </c>
    </row>
    <row r="4609" spans="1:12" x14ac:dyDescent="0.25">
      <c r="A4609">
        <f>80947435*0.00001</f>
        <v>809.47435000000007</v>
      </c>
      <c r="B4609">
        <v>3519</v>
      </c>
      <c r="C4609">
        <v>16</v>
      </c>
      <c r="D4609" s="1">
        <f>253.914</f>
        <v>253.91399999999999</v>
      </c>
      <c r="E4609">
        <v>5226</v>
      </c>
      <c r="F4609">
        <v>1620</v>
      </c>
      <c r="G4609">
        <v>1</v>
      </c>
      <c r="H4609">
        <v>0.2</v>
      </c>
      <c r="I4609">
        <v>0</v>
      </c>
      <c r="J4609">
        <v>46.0871</v>
      </c>
      <c r="K4609">
        <v>549.47900000000004</v>
      </c>
      <c r="L4609">
        <v>0</v>
      </c>
    </row>
    <row r="4610" spans="1:12" x14ac:dyDescent="0.25">
      <c r="A4610">
        <f>80947565*0.00001</f>
        <v>809.47565000000009</v>
      </c>
      <c r="B4610">
        <v>3519</v>
      </c>
      <c r="C4610">
        <v>17</v>
      </c>
      <c r="D4610">
        <v>253.91399999999999</v>
      </c>
      <c r="E4610">
        <v>5226</v>
      </c>
      <c r="F4610" s="1">
        <f>1620</f>
        <v>1620</v>
      </c>
      <c r="G4610">
        <v>1</v>
      </c>
      <c r="H4610">
        <v>0.2</v>
      </c>
      <c r="I4610">
        <v>0</v>
      </c>
      <c r="J4610">
        <v>46.0871</v>
      </c>
      <c r="K4610">
        <v>549.47900000000004</v>
      </c>
      <c r="L4610">
        <v>0</v>
      </c>
    </row>
    <row r="4611" spans="1:12" x14ac:dyDescent="0.25">
      <c r="A4611">
        <f>80947696*0.00001</f>
        <v>809.47696000000008</v>
      </c>
      <c r="B4611">
        <v>3519</v>
      </c>
      <c r="C4611">
        <v>18</v>
      </c>
      <c r="D4611">
        <v>253.91399999999999</v>
      </c>
      <c r="E4611">
        <v>5226</v>
      </c>
      <c r="F4611">
        <v>1620</v>
      </c>
      <c r="G4611">
        <v>1</v>
      </c>
      <c r="H4611" s="1">
        <f>0.2</f>
        <v>0.2</v>
      </c>
      <c r="I4611">
        <v>0</v>
      </c>
      <c r="J4611">
        <v>46.0871</v>
      </c>
      <c r="K4611">
        <v>549.47900000000004</v>
      </c>
      <c r="L4611">
        <v>0</v>
      </c>
    </row>
    <row r="4612" spans="1:12" x14ac:dyDescent="0.25">
      <c r="A4612">
        <f>80947827*0.00001</f>
        <v>809.47827000000007</v>
      </c>
      <c r="B4612">
        <v>3519</v>
      </c>
      <c r="C4612">
        <v>19</v>
      </c>
      <c r="D4612">
        <v>253.91399999999999</v>
      </c>
      <c r="E4612">
        <v>5226</v>
      </c>
      <c r="F4612">
        <v>1620</v>
      </c>
      <c r="G4612">
        <v>1</v>
      </c>
      <c r="H4612">
        <v>0.2</v>
      </c>
      <c r="I4612">
        <v>0</v>
      </c>
      <c r="J4612" s="1">
        <f>46.085</f>
        <v>46.085000000000001</v>
      </c>
      <c r="K4612">
        <v>549.47900000000004</v>
      </c>
      <c r="L4612">
        <v>0</v>
      </c>
    </row>
    <row r="4613" spans="1:12" x14ac:dyDescent="0.25">
      <c r="A4613">
        <f>80947957*0.00001</f>
        <v>809.47957000000008</v>
      </c>
      <c r="B4613">
        <v>3519</v>
      </c>
      <c r="C4613">
        <v>20</v>
      </c>
      <c r="D4613">
        <v>253.91399999999999</v>
      </c>
      <c r="E4613">
        <v>5226</v>
      </c>
      <c r="F4613">
        <v>1620</v>
      </c>
      <c r="G4613">
        <v>1</v>
      </c>
      <c r="H4613">
        <v>0.2</v>
      </c>
      <c r="I4613">
        <v>0</v>
      </c>
      <c r="J4613">
        <v>46.085000000000001</v>
      </c>
      <c r="K4613">
        <v>549.47900000000004</v>
      </c>
      <c r="L4613" s="1">
        <f>0</f>
        <v>0</v>
      </c>
    </row>
    <row r="4614" spans="1:12" x14ac:dyDescent="0.25">
      <c r="A4614">
        <f>80948088*0.00001</f>
        <v>809.48088000000007</v>
      </c>
      <c r="B4614">
        <v>3519</v>
      </c>
      <c r="C4614">
        <v>21</v>
      </c>
      <c r="D4614">
        <v>253.91399999999999</v>
      </c>
      <c r="E4614" s="1">
        <f>5227</f>
        <v>5227</v>
      </c>
      <c r="F4614">
        <v>1620</v>
      </c>
      <c r="G4614">
        <v>1</v>
      </c>
      <c r="H4614">
        <v>0.2</v>
      </c>
      <c r="I4614">
        <v>0</v>
      </c>
      <c r="J4614">
        <v>46.085000000000001</v>
      </c>
      <c r="K4614">
        <v>549.47900000000004</v>
      </c>
      <c r="L4614">
        <v>0</v>
      </c>
    </row>
    <row r="4615" spans="1:12" x14ac:dyDescent="0.25">
      <c r="A4615">
        <f>80948219*0.00001</f>
        <v>809.48219000000006</v>
      </c>
      <c r="B4615">
        <v>3519</v>
      </c>
      <c r="C4615">
        <v>22</v>
      </c>
      <c r="D4615">
        <v>253.91399999999999</v>
      </c>
      <c r="E4615">
        <v>5227</v>
      </c>
      <c r="F4615">
        <v>1620</v>
      </c>
      <c r="G4615" s="1">
        <f>1</f>
        <v>1</v>
      </c>
      <c r="H4615">
        <v>0.2</v>
      </c>
      <c r="I4615">
        <v>0</v>
      </c>
      <c r="J4615">
        <v>46.085000000000001</v>
      </c>
      <c r="K4615">
        <v>549.47900000000004</v>
      </c>
      <c r="L4615">
        <v>0</v>
      </c>
    </row>
    <row r="4616" spans="1:12" x14ac:dyDescent="0.25">
      <c r="A4616">
        <f>80948349*0.00001</f>
        <v>809.48349000000007</v>
      </c>
      <c r="B4616">
        <v>3519</v>
      </c>
      <c r="C4616">
        <v>23</v>
      </c>
      <c r="D4616">
        <v>253.91399999999999</v>
      </c>
      <c r="E4616">
        <v>5227</v>
      </c>
      <c r="F4616">
        <v>1620</v>
      </c>
      <c r="G4616">
        <v>1</v>
      </c>
      <c r="H4616">
        <v>0.2</v>
      </c>
      <c r="I4616" s="1">
        <f>0</f>
        <v>0</v>
      </c>
      <c r="J4616">
        <v>46.085000000000001</v>
      </c>
      <c r="K4616">
        <v>549.47900000000004</v>
      </c>
      <c r="L4616">
        <v>0</v>
      </c>
    </row>
    <row r="4617" spans="1:12" x14ac:dyDescent="0.25">
      <c r="A4617">
        <f>80948479*0.00001</f>
        <v>809.48479000000009</v>
      </c>
      <c r="B4617">
        <v>3519</v>
      </c>
      <c r="C4617">
        <v>24</v>
      </c>
      <c r="D4617">
        <v>253.91399999999999</v>
      </c>
      <c r="E4617">
        <v>5227</v>
      </c>
      <c r="F4617">
        <v>1620</v>
      </c>
      <c r="G4617">
        <v>1</v>
      </c>
      <c r="H4617">
        <v>0.2</v>
      </c>
      <c r="I4617">
        <v>0</v>
      </c>
      <c r="J4617">
        <v>46.085000000000001</v>
      </c>
      <c r="K4617" s="1">
        <f>549.588</f>
        <v>549.58799999999997</v>
      </c>
      <c r="L4617">
        <v>0</v>
      </c>
    </row>
    <row r="4618" spans="1:12" x14ac:dyDescent="0.25">
      <c r="A4618">
        <f>80948609*0.00001</f>
        <v>809.4860900000001</v>
      </c>
      <c r="B4618">
        <v>3519</v>
      </c>
      <c r="C4618">
        <v>25</v>
      </c>
      <c r="D4618" s="1">
        <f>253.972</f>
        <v>253.97200000000001</v>
      </c>
      <c r="E4618">
        <v>5227</v>
      </c>
      <c r="F4618">
        <v>1620</v>
      </c>
      <c r="G4618">
        <v>1</v>
      </c>
      <c r="H4618">
        <v>0.2</v>
      </c>
      <c r="I4618">
        <v>0</v>
      </c>
      <c r="J4618">
        <v>46.085000000000001</v>
      </c>
      <c r="K4618">
        <v>549.58799999999997</v>
      </c>
      <c r="L4618" s="1">
        <f>0</f>
        <v>0</v>
      </c>
    </row>
    <row r="4619" spans="1:12" x14ac:dyDescent="0.25">
      <c r="A4619">
        <f>80948740*0.00001</f>
        <v>809.48740000000009</v>
      </c>
      <c r="B4619">
        <v>3519</v>
      </c>
      <c r="C4619">
        <v>26</v>
      </c>
      <c r="D4619">
        <v>253.97200000000001</v>
      </c>
      <c r="E4619" s="1">
        <f>5226</f>
        <v>5226</v>
      </c>
      <c r="F4619" s="1">
        <f>1620</f>
        <v>1620</v>
      </c>
      <c r="G4619">
        <v>1</v>
      </c>
      <c r="H4619">
        <v>0.2</v>
      </c>
      <c r="I4619">
        <v>0</v>
      </c>
      <c r="J4619">
        <v>46.085000000000001</v>
      </c>
      <c r="K4619">
        <v>549.58799999999997</v>
      </c>
      <c r="L4619">
        <v>0</v>
      </c>
    </row>
    <row r="4620" spans="1:12" x14ac:dyDescent="0.25">
      <c r="A4620">
        <f>80948871*0.00001</f>
        <v>809.48871000000008</v>
      </c>
      <c r="B4620">
        <v>3519</v>
      </c>
      <c r="C4620">
        <v>27</v>
      </c>
      <c r="D4620">
        <v>253.97200000000001</v>
      </c>
      <c r="E4620">
        <v>5226</v>
      </c>
      <c r="F4620">
        <v>1620</v>
      </c>
      <c r="G4620" s="1">
        <f>1</f>
        <v>1</v>
      </c>
      <c r="H4620" s="1">
        <f>0.2</f>
        <v>0.2</v>
      </c>
      <c r="I4620">
        <v>0</v>
      </c>
      <c r="J4620">
        <v>46.085000000000001</v>
      </c>
      <c r="K4620">
        <v>549.58799999999997</v>
      </c>
      <c r="L4620">
        <v>0</v>
      </c>
    </row>
    <row r="4621" spans="1:12" x14ac:dyDescent="0.25">
      <c r="A4621">
        <f>80949002*0.00001</f>
        <v>809.49002000000007</v>
      </c>
      <c r="B4621">
        <v>3519</v>
      </c>
      <c r="C4621">
        <v>28</v>
      </c>
      <c r="D4621">
        <v>253.97200000000001</v>
      </c>
      <c r="E4621">
        <v>5226</v>
      </c>
      <c r="F4621">
        <v>1620</v>
      </c>
      <c r="G4621">
        <v>1</v>
      </c>
      <c r="H4621">
        <v>0.2</v>
      </c>
      <c r="I4621" s="1">
        <f>0</f>
        <v>0</v>
      </c>
      <c r="J4621" s="1">
        <f>45.9798</f>
        <v>45.979799999999997</v>
      </c>
      <c r="K4621">
        <v>549.58799999999997</v>
      </c>
      <c r="L4621">
        <v>0</v>
      </c>
    </row>
    <row r="4622" spans="1:12" x14ac:dyDescent="0.25">
      <c r="A4622">
        <f>80949133*0.00001</f>
        <v>809.49133000000006</v>
      </c>
      <c r="B4622">
        <v>3519</v>
      </c>
      <c r="C4622">
        <v>29</v>
      </c>
      <c r="D4622">
        <v>253.97200000000001</v>
      </c>
      <c r="E4622">
        <v>5226</v>
      </c>
      <c r="F4622">
        <v>1620</v>
      </c>
      <c r="G4622">
        <v>1</v>
      </c>
      <c r="H4622">
        <v>0.2</v>
      </c>
      <c r="I4622">
        <v>0</v>
      </c>
      <c r="J4622">
        <v>45.979799999999997</v>
      </c>
      <c r="K4622" s="1">
        <f>549.649</f>
        <v>549.649</v>
      </c>
      <c r="L4622" s="1">
        <f>0</f>
        <v>0</v>
      </c>
    </row>
    <row r="4623" spans="1:12" x14ac:dyDescent="0.25">
      <c r="A4623">
        <f>80949263*0.00001</f>
        <v>809.49263000000008</v>
      </c>
      <c r="B4623">
        <v>3519</v>
      </c>
      <c r="C4623">
        <v>30</v>
      </c>
      <c r="D4623" s="1">
        <f>254.146</f>
        <v>254.14599999999999</v>
      </c>
      <c r="E4623" s="1">
        <f>5223</f>
        <v>5223</v>
      </c>
      <c r="F4623" s="1">
        <f>1620</f>
        <v>1620</v>
      </c>
      <c r="G4623" s="1">
        <f>1</f>
        <v>1</v>
      </c>
      <c r="H4623" s="1">
        <f>0.2</f>
        <v>0.2</v>
      </c>
      <c r="I4623" s="1">
        <f>0</f>
        <v>0</v>
      </c>
      <c r="J4623" s="1">
        <f>45.8726</f>
        <v>45.872599999999998</v>
      </c>
      <c r="K4623" s="1">
        <f>549.757</f>
        <v>549.75699999999995</v>
      </c>
      <c r="L4623" s="1">
        <f>0</f>
        <v>0</v>
      </c>
    </row>
    <row r="4624" spans="1:12" x14ac:dyDescent="0.25">
      <c r="A4624">
        <f>80950568*0.00001</f>
        <v>809.5056800000001</v>
      </c>
      <c r="B4624">
        <v>3519</v>
      </c>
      <c r="C4624">
        <v>40</v>
      </c>
      <c r="D4624">
        <v>254.14599999999999</v>
      </c>
      <c r="E4624">
        <v>5223</v>
      </c>
      <c r="F4624" s="1">
        <f>1620</f>
        <v>1620</v>
      </c>
      <c r="G4624">
        <v>1</v>
      </c>
      <c r="H4624">
        <v>0.2</v>
      </c>
      <c r="I4624">
        <v>0</v>
      </c>
      <c r="J4624">
        <v>45.872599999999998</v>
      </c>
      <c r="K4624">
        <v>549.75699999999995</v>
      </c>
      <c r="L4624">
        <v>0</v>
      </c>
    </row>
    <row r="4625" spans="1:12" x14ac:dyDescent="0.25">
      <c r="A4625">
        <f>80950699*0.00001</f>
        <v>809.50699000000009</v>
      </c>
      <c r="B4625">
        <v>3519</v>
      </c>
      <c r="C4625">
        <v>41</v>
      </c>
      <c r="D4625">
        <v>254.14599999999999</v>
      </c>
      <c r="E4625">
        <v>5223</v>
      </c>
      <c r="F4625">
        <v>1620</v>
      </c>
      <c r="G4625">
        <v>1</v>
      </c>
      <c r="H4625" s="1">
        <f>0.2</f>
        <v>0.2</v>
      </c>
      <c r="I4625">
        <v>0</v>
      </c>
      <c r="J4625">
        <v>45.872599999999998</v>
      </c>
      <c r="K4625">
        <v>549.75699999999995</v>
      </c>
      <c r="L4625">
        <v>0</v>
      </c>
    </row>
    <row r="4626" spans="1:12" x14ac:dyDescent="0.25">
      <c r="A4626">
        <f>80950830*0.00001</f>
        <v>809.50830000000008</v>
      </c>
      <c r="B4626">
        <v>3519</v>
      </c>
      <c r="C4626">
        <v>42</v>
      </c>
      <c r="D4626">
        <v>254.14599999999999</v>
      </c>
      <c r="E4626">
        <v>5223</v>
      </c>
      <c r="F4626">
        <v>1620</v>
      </c>
      <c r="G4626">
        <v>1</v>
      </c>
      <c r="H4626">
        <v>0.2</v>
      </c>
      <c r="I4626">
        <v>0</v>
      </c>
      <c r="J4626" s="1">
        <f>45.8308</f>
        <v>45.830800000000004</v>
      </c>
      <c r="K4626">
        <v>549.75699999999995</v>
      </c>
      <c r="L4626">
        <v>0</v>
      </c>
    </row>
    <row r="4627" spans="1:12" x14ac:dyDescent="0.25">
      <c r="A4627">
        <f>80950961*0.00001</f>
        <v>809.50961000000007</v>
      </c>
      <c r="B4627">
        <v>3519</v>
      </c>
      <c r="C4627">
        <v>43</v>
      </c>
      <c r="D4627">
        <v>254.14599999999999</v>
      </c>
      <c r="E4627">
        <v>5223</v>
      </c>
      <c r="F4627">
        <v>1620</v>
      </c>
      <c r="G4627">
        <v>1</v>
      </c>
      <c r="H4627">
        <v>0.2</v>
      </c>
      <c r="I4627">
        <v>0</v>
      </c>
      <c r="J4627">
        <v>45.830800000000004</v>
      </c>
      <c r="K4627">
        <v>549.75699999999995</v>
      </c>
      <c r="L4627" s="1">
        <f>0</f>
        <v>0</v>
      </c>
    </row>
    <row r="4628" spans="1:12" x14ac:dyDescent="0.25">
      <c r="A4628">
        <f>80951092*0.00001</f>
        <v>809.51092000000006</v>
      </c>
      <c r="B4628">
        <v>3519</v>
      </c>
      <c r="C4628">
        <v>44</v>
      </c>
      <c r="D4628">
        <v>254.14599999999999</v>
      </c>
      <c r="E4628" s="1">
        <f>5221</f>
        <v>5221</v>
      </c>
      <c r="F4628">
        <v>1620</v>
      </c>
      <c r="G4628">
        <v>1</v>
      </c>
      <c r="H4628">
        <v>0.2</v>
      </c>
      <c r="I4628">
        <v>0</v>
      </c>
      <c r="J4628">
        <v>45.830800000000004</v>
      </c>
      <c r="K4628">
        <v>549.75699999999995</v>
      </c>
      <c r="L4628">
        <v>0</v>
      </c>
    </row>
    <row r="4629" spans="1:12" x14ac:dyDescent="0.25">
      <c r="A4629">
        <f>80951223*0.00001</f>
        <v>809.51223000000005</v>
      </c>
      <c r="B4629">
        <v>3519</v>
      </c>
      <c r="C4629">
        <v>45</v>
      </c>
      <c r="D4629">
        <v>254.14599999999999</v>
      </c>
      <c r="E4629">
        <v>5221</v>
      </c>
      <c r="F4629">
        <v>1620</v>
      </c>
      <c r="G4629" s="1">
        <f>1</f>
        <v>1</v>
      </c>
      <c r="H4629">
        <v>0.2</v>
      </c>
      <c r="I4629">
        <v>0</v>
      </c>
      <c r="J4629">
        <v>45.830800000000004</v>
      </c>
      <c r="K4629">
        <v>549.75699999999995</v>
      </c>
      <c r="L4629">
        <v>0</v>
      </c>
    </row>
    <row r="4630" spans="1:12" x14ac:dyDescent="0.25">
      <c r="A4630">
        <f>80951353*0.00001</f>
        <v>809.51353000000006</v>
      </c>
      <c r="B4630">
        <v>3519</v>
      </c>
      <c r="C4630">
        <v>46</v>
      </c>
      <c r="D4630">
        <v>254.14599999999999</v>
      </c>
      <c r="E4630">
        <v>5221</v>
      </c>
      <c r="F4630">
        <v>1620</v>
      </c>
      <c r="G4630">
        <v>1</v>
      </c>
      <c r="H4630">
        <v>0.2</v>
      </c>
      <c r="I4630" s="1">
        <f>0</f>
        <v>0</v>
      </c>
      <c r="J4630">
        <v>45.830800000000004</v>
      </c>
      <c r="K4630">
        <v>549.75699999999995</v>
      </c>
      <c r="L4630">
        <v>0</v>
      </c>
    </row>
    <row r="4631" spans="1:12" x14ac:dyDescent="0.25">
      <c r="A4631">
        <f>80951483*0.00001</f>
        <v>809.51483000000007</v>
      </c>
      <c r="B4631">
        <v>3519</v>
      </c>
      <c r="C4631">
        <v>47</v>
      </c>
      <c r="D4631">
        <v>254.14599999999999</v>
      </c>
      <c r="E4631">
        <v>5221</v>
      </c>
      <c r="F4631">
        <v>1620</v>
      </c>
      <c r="G4631">
        <v>1</v>
      </c>
      <c r="H4631">
        <v>0.2</v>
      </c>
      <c r="I4631">
        <v>0</v>
      </c>
      <c r="J4631">
        <v>45.830800000000004</v>
      </c>
      <c r="K4631" s="1">
        <f>549.865</f>
        <v>549.86500000000001</v>
      </c>
      <c r="L4631">
        <v>0</v>
      </c>
    </row>
    <row r="4632" spans="1:12" x14ac:dyDescent="0.25">
      <c r="A4632">
        <f>80951613*0.00001</f>
        <v>809.51613000000009</v>
      </c>
      <c r="B4632">
        <v>3519</v>
      </c>
      <c r="C4632">
        <v>48</v>
      </c>
      <c r="D4632" s="1">
        <f>254.206</f>
        <v>254.20599999999999</v>
      </c>
      <c r="E4632">
        <v>5221</v>
      </c>
      <c r="F4632">
        <v>1620</v>
      </c>
      <c r="G4632">
        <v>1</v>
      </c>
      <c r="H4632">
        <v>0.2</v>
      </c>
      <c r="I4632">
        <v>0</v>
      </c>
      <c r="J4632">
        <v>45.830800000000004</v>
      </c>
      <c r="K4632">
        <v>549.86500000000001</v>
      </c>
      <c r="L4632" s="1">
        <f>0</f>
        <v>0</v>
      </c>
    </row>
    <row r="4633" spans="1:12" x14ac:dyDescent="0.25">
      <c r="A4633">
        <f>80951744*0.00001</f>
        <v>809.51744000000008</v>
      </c>
      <c r="B4633">
        <v>3519</v>
      </c>
      <c r="C4633">
        <v>49</v>
      </c>
      <c r="D4633">
        <v>254.20599999999999</v>
      </c>
      <c r="E4633" s="1">
        <f>5221</f>
        <v>5221</v>
      </c>
      <c r="F4633" s="1">
        <f>1620</f>
        <v>1620</v>
      </c>
      <c r="G4633">
        <v>1</v>
      </c>
      <c r="H4633">
        <v>0.2</v>
      </c>
      <c r="I4633">
        <v>0</v>
      </c>
      <c r="J4633">
        <v>45.830800000000004</v>
      </c>
      <c r="K4633">
        <v>549.86500000000001</v>
      </c>
      <c r="L4633">
        <v>0</v>
      </c>
    </row>
    <row r="4634" spans="1:12" x14ac:dyDescent="0.25">
      <c r="A4634">
        <f>80951875*0.00001</f>
        <v>809.51875000000007</v>
      </c>
      <c r="B4634">
        <v>3519</v>
      </c>
      <c r="C4634">
        <v>50</v>
      </c>
      <c r="D4634">
        <v>254.20599999999999</v>
      </c>
      <c r="E4634">
        <v>5221</v>
      </c>
      <c r="F4634">
        <v>1620</v>
      </c>
      <c r="G4634" s="1">
        <f>1</f>
        <v>1</v>
      </c>
      <c r="H4634" s="1">
        <f>0.2</f>
        <v>0.2</v>
      </c>
      <c r="I4634">
        <v>0</v>
      </c>
      <c r="J4634">
        <v>45.830800000000004</v>
      </c>
      <c r="K4634">
        <v>549.86500000000001</v>
      </c>
      <c r="L4634">
        <v>0</v>
      </c>
    </row>
    <row r="4635" spans="1:12" x14ac:dyDescent="0.25">
      <c r="A4635">
        <f>80952006*0.00001</f>
        <v>809.52006000000006</v>
      </c>
      <c r="B4635">
        <v>3519</v>
      </c>
      <c r="C4635">
        <v>51</v>
      </c>
      <c r="D4635">
        <v>254.20599999999999</v>
      </c>
      <c r="E4635">
        <v>5221</v>
      </c>
      <c r="F4635">
        <v>1620</v>
      </c>
      <c r="G4635">
        <v>1</v>
      </c>
      <c r="H4635">
        <v>0.2</v>
      </c>
      <c r="I4635" s="1">
        <f>0</f>
        <v>0</v>
      </c>
      <c r="J4635" s="1">
        <f>45.7791</f>
        <v>45.7791</v>
      </c>
      <c r="K4635">
        <v>549.86500000000001</v>
      </c>
      <c r="L4635">
        <v>0</v>
      </c>
    </row>
    <row r="4636" spans="1:12" x14ac:dyDescent="0.25">
      <c r="A4636">
        <f>80952137*0.00001</f>
        <v>809.52137000000005</v>
      </c>
      <c r="B4636">
        <v>3519</v>
      </c>
      <c r="C4636">
        <v>52</v>
      </c>
      <c r="D4636">
        <v>254.20599999999999</v>
      </c>
      <c r="E4636">
        <v>5221</v>
      </c>
      <c r="F4636">
        <v>1620</v>
      </c>
      <c r="G4636">
        <v>1</v>
      </c>
      <c r="H4636">
        <v>0.2</v>
      </c>
      <c r="I4636">
        <v>0</v>
      </c>
      <c r="J4636">
        <v>45.7791</v>
      </c>
      <c r="K4636" s="1">
        <f>549.925</f>
        <v>549.92499999999995</v>
      </c>
      <c r="L4636" s="1">
        <f>0</f>
        <v>0</v>
      </c>
    </row>
    <row r="4637" spans="1:12" x14ac:dyDescent="0.25">
      <c r="A4637">
        <f>80952267*0.00001</f>
        <v>809.52267000000006</v>
      </c>
      <c r="B4637">
        <v>3519</v>
      </c>
      <c r="C4637">
        <v>53</v>
      </c>
      <c r="D4637" s="1">
        <f>254.229</f>
        <v>254.22900000000001</v>
      </c>
      <c r="E4637" s="1">
        <f>5221</f>
        <v>5221</v>
      </c>
      <c r="F4637">
        <v>1620</v>
      </c>
      <c r="G4637">
        <v>1</v>
      </c>
      <c r="H4637">
        <v>0.2</v>
      </c>
      <c r="I4637">
        <v>0</v>
      </c>
      <c r="J4637">
        <v>45.7791</v>
      </c>
      <c r="K4637">
        <v>549.92499999999995</v>
      </c>
      <c r="L4637">
        <v>0</v>
      </c>
    </row>
    <row r="4638" spans="1:12" x14ac:dyDescent="0.25">
      <c r="A4638">
        <f>80952397*0.00001</f>
        <v>809.52397000000008</v>
      </c>
      <c r="B4638">
        <v>3519</v>
      </c>
      <c r="C4638">
        <v>54</v>
      </c>
      <c r="D4638">
        <v>254.22900000000001</v>
      </c>
      <c r="E4638">
        <v>5221</v>
      </c>
      <c r="F4638" s="1">
        <f>1620</f>
        <v>1620</v>
      </c>
      <c r="G4638" s="1">
        <f>1</f>
        <v>1</v>
      </c>
      <c r="H4638">
        <v>0.2</v>
      </c>
      <c r="I4638">
        <v>0</v>
      </c>
      <c r="J4638">
        <v>45.7791</v>
      </c>
      <c r="K4638">
        <v>549.92499999999995</v>
      </c>
      <c r="L4638">
        <v>0</v>
      </c>
    </row>
    <row r="4639" spans="1:12" x14ac:dyDescent="0.25">
      <c r="A4639">
        <f>80952527*0.00001</f>
        <v>809.52527000000009</v>
      </c>
      <c r="B4639">
        <v>3519</v>
      </c>
      <c r="C4639">
        <v>55</v>
      </c>
      <c r="D4639" s="1">
        <f>254.259</f>
        <v>254.25899999999999</v>
      </c>
      <c r="E4639" s="1">
        <f>5220</f>
        <v>5220</v>
      </c>
      <c r="F4639" s="1">
        <f>1620</f>
        <v>1620</v>
      </c>
      <c r="G4639" s="1">
        <f>1</f>
        <v>1</v>
      </c>
      <c r="H4639" s="1">
        <f>0.2</f>
        <v>0.2</v>
      </c>
      <c r="I4639" s="1">
        <f>0</f>
        <v>0</v>
      </c>
      <c r="J4639" s="1">
        <f>45.746</f>
        <v>45.746000000000002</v>
      </c>
      <c r="K4639" s="1">
        <f>550.033</f>
        <v>550.03300000000002</v>
      </c>
      <c r="L4639" s="1">
        <f>0</f>
        <v>0</v>
      </c>
    </row>
    <row r="4640" spans="1:12" x14ac:dyDescent="0.25">
      <c r="A4640">
        <f>80953702*0.00001</f>
        <v>809.5370200000001</v>
      </c>
      <c r="B4640">
        <v>3519</v>
      </c>
      <c r="C4640">
        <v>64</v>
      </c>
      <c r="D4640">
        <v>254.25899999999999</v>
      </c>
      <c r="E4640">
        <v>5220</v>
      </c>
      <c r="F4640">
        <v>1620</v>
      </c>
      <c r="G4640">
        <v>1</v>
      </c>
      <c r="H4640" s="1">
        <f>0.2</f>
        <v>0.2</v>
      </c>
      <c r="I4640">
        <v>0</v>
      </c>
      <c r="J4640">
        <v>45.746000000000002</v>
      </c>
      <c r="K4640">
        <v>550.03300000000002</v>
      </c>
      <c r="L4640">
        <v>0</v>
      </c>
    </row>
    <row r="4641" spans="1:12" x14ac:dyDescent="0.25">
      <c r="A4641">
        <f>80953833*0.00001</f>
        <v>809.53833000000009</v>
      </c>
      <c r="B4641">
        <v>3519</v>
      </c>
      <c r="C4641">
        <v>65</v>
      </c>
      <c r="D4641">
        <v>254.25899999999999</v>
      </c>
      <c r="E4641">
        <v>5220</v>
      </c>
      <c r="F4641">
        <v>1620</v>
      </c>
      <c r="G4641">
        <v>1</v>
      </c>
      <c r="H4641">
        <v>0.2</v>
      </c>
      <c r="I4641">
        <v>0</v>
      </c>
      <c r="J4641" s="1">
        <f>45.7335</f>
        <v>45.733499999999999</v>
      </c>
      <c r="K4641">
        <v>550.03300000000002</v>
      </c>
      <c r="L4641">
        <v>0</v>
      </c>
    </row>
    <row r="4642" spans="1:12" x14ac:dyDescent="0.25">
      <c r="A4642">
        <f>80953964*0.00001</f>
        <v>809.53964000000008</v>
      </c>
      <c r="B4642">
        <v>3519</v>
      </c>
      <c r="C4642">
        <v>66</v>
      </c>
      <c r="D4642">
        <v>254.25899999999999</v>
      </c>
      <c r="E4642">
        <v>5220</v>
      </c>
      <c r="F4642">
        <v>1620</v>
      </c>
      <c r="G4642">
        <v>1</v>
      </c>
      <c r="H4642">
        <v>0.2</v>
      </c>
      <c r="I4642">
        <v>0</v>
      </c>
      <c r="J4642">
        <v>45.733499999999999</v>
      </c>
      <c r="K4642">
        <v>550.03300000000002</v>
      </c>
      <c r="L4642" s="1">
        <f>0</f>
        <v>0</v>
      </c>
    </row>
    <row r="4643" spans="1:12" x14ac:dyDescent="0.25">
      <c r="A4643">
        <f>80954095*0.00001</f>
        <v>809.54095000000007</v>
      </c>
      <c r="B4643">
        <v>3519</v>
      </c>
      <c r="C4643">
        <v>67</v>
      </c>
      <c r="D4643">
        <v>254.25899999999999</v>
      </c>
      <c r="E4643" s="1">
        <f>5221</f>
        <v>5221</v>
      </c>
      <c r="F4643">
        <v>1620</v>
      </c>
      <c r="G4643">
        <v>1</v>
      </c>
      <c r="H4643">
        <v>0.2</v>
      </c>
      <c r="I4643">
        <v>0</v>
      </c>
      <c r="J4643">
        <v>45.733499999999999</v>
      </c>
      <c r="K4643">
        <v>550.03300000000002</v>
      </c>
      <c r="L4643">
        <v>0</v>
      </c>
    </row>
    <row r="4644" spans="1:12" x14ac:dyDescent="0.25">
      <c r="A4644">
        <f>80954225*0.00001</f>
        <v>809.54225000000008</v>
      </c>
      <c r="B4644">
        <v>3519</v>
      </c>
      <c r="C4644">
        <v>68</v>
      </c>
      <c r="D4644">
        <v>254.25899999999999</v>
      </c>
      <c r="E4644">
        <v>5221</v>
      </c>
      <c r="F4644">
        <v>1620</v>
      </c>
      <c r="G4644" s="1">
        <f>1</f>
        <v>1</v>
      </c>
      <c r="H4644">
        <v>0.2</v>
      </c>
      <c r="I4644">
        <v>0</v>
      </c>
      <c r="J4644">
        <v>45.733499999999999</v>
      </c>
      <c r="K4644">
        <v>550.03300000000002</v>
      </c>
      <c r="L4644">
        <v>0</v>
      </c>
    </row>
    <row r="4645" spans="1:12" x14ac:dyDescent="0.25">
      <c r="A4645">
        <f>80954355*0.00001</f>
        <v>809.5435500000001</v>
      </c>
      <c r="B4645">
        <v>3519</v>
      </c>
      <c r="C4645">
        <v>69</v>
      </c>
      <c r="D4645">
        <v>254.25899999999999</v>
      </c>
      <c r="E4645">
        <v>5221</v>
      </c>
      <c r="F4645">
        <v>1620</v>
      </c>
      <c r="G4645">
        <v>1</v>
      </c>
      <c r="H4645">
        <v>0.2</v>
      </c>
      <c r="I4645" s="1">
        <f>0</f>
        <v>0</v>
      </c>
      <c r="J4645">
        <v>45.733499999999999</v>
      </c>
      <c r="K4645">
        <v>550.03300000000002</v>
      </c>
      <c r="L4645">
        <v>0</v>
      </c>
    </row>
    <row r="4646" spans="1:12" x14ac:dyDescent="0.25">
      <c r="A4646">
        <f>80954485*0.00001</f>
        <v>809.54485000000011</v>
      </c>
      <c r="B4646">
        <v>3519</v>
      </c>
      <c r="C4646">
        <v>70</v>
      </c>
      <c r="D4646">
        <v>254.25899999999999</v>
      </c>
      <c r="E4646">
        <v>5221</v>
      </c>
      <c r="F4646">
        <v>1620</v>
      </c>
      <c r="G4646">
        <v>1</v>
      </c>
      <c r="H4646">
        <v>0.2</v>
      </c>
      <c r="I4646">
        <v>0</v>
      </c>
      <c r="J4646">
        <v>45.733499999999999</v>
      </c>
      <c r="K4646" s="1">
        <f>550.141</f>
        <v>550.14099999999996</v>
      </c>
      <c r="L4646">
        <v>0</v>
      </c>
    </row>
    <row r="4647" spans="1:12" x14ac:dyDescent="0.25">
      <c r="A4647">
        <f>80954615*0.00001</f>
        <v>809.54615000000001</v>
      </c>
      <c r="B4647">
        <v>3519</v>
      </c>
      <c r="C4647">
        <v>71</v>
      </c>
      <c r="D4647" s="1">
        <f>254.274</f>
        <v>254.274</v>
      </c>
      <c r="E4647">
        <v>5221</v>
      </c>
      <c r="F4647">
        <v>1620</v>
      </c>
      <c r="G4647">
        <v>1</v>
      </c>
      <c r="H4647">
        <v>0.2</v>
      </c>
      <c r="I4647">
        <v>0</v>
      </c>
      <c r="J4647">
        <v>45.733499999999999</v>
      </c>
      <c r="K4647">
        <v>550.14099999999996</v>
      </c>
      <c r="L4647">
        <v>0</v>
      </c>
    </row>
    <row r="4648" spans="1:12" x14ac:dyDescent="0.25">
      <c r="A4648">
        <f>80954746*0.00001</f>
        <v>809.54746000000011</v>
      </c>
      <c r="B4648">
        <v>3519</v>
      </c>
      <c r="C4648">
        <v>72</v>
      </c>
      <c r="D4648">
        <v>254.274</v>
      </c>
      <c r="E4648">
        <v>5221</v>
      </c>
      <c r="F4648" s="1">
        <f>1620</f>
        <v>1620</v>
      </c>
      <c r="G4648">
        <v>1</v>
      </c>
      <c r="H4648">
        <v>0.2</v>
      </c>
      <c r="I4648">
        <v>0</v>
      </c>
      <c r="J4648">
        <v>45.733499999999999</v>
      </c>
      <c r="K4648">
        <v>550.14099999999996</v>
      </c>
      <c r="L4648">
        <v>0</v>
      </c>
    </row>
    <row r="4649" spans="1:12" x14ac:dyDescent="0.25">
      <c r="A4649">
        <f>80954877*0.00001</f>
        <v>809.5487700000001</v>
      </c>
      <c r="B4649">
        <v>3519</v>
      </c>
      <c r="C4649">
        <v>73</v>
      </c>
      <c r="D4649">
        <v>254.274</v>
      </c>
      <c r="E4649">
        <v>5221</v>
      </c>
      <c r="F4649">
        <v>1620</v>
      </c>
      <c r="G4649" s="1">
        <f>1</f>
        <v>1</v>
      </c>
      <c r="H4649" s="1">
        <f>0.2</f>
        <v>0.2</v>
      </c>
      <c r="I4649">
        <v>0</v>
      </c>
      <c r="J4649">
        <v>45.733499999999999</v>
      </c>
      <c r="K4649">
        <v>550.14099999999996</v>
      </c>
      <c r="L4649">
        <v>0</v>
      </c>
    </row>
    <row r="4650" spans="1:12" x14ac:dyDescent="0.25">
      <c r="A4650">
        <f>80955008*0.00001</f>
        <v>809.55008000000009</v>
      </c>
      <c r="B4650">
        <v>3519</v>
      </c>
      <c r="C4650">
        <v>74</v>
      </c>
      <c r="D4650">
        <v>254.274</v>
      </c>
      <c r="E4650">
        <v>5221</v>
      </c>
      <c r="F4650">
        <v>1620</v>
      </c>
      <c r="G4650">
        <v>1</v>
      </c>
      <c r="H4650">
        <v>0.2</v>
      </c>
      <c r="I4650" s="1">
        <f>0</f>
        <v>0</v>
      </c>
      <c r="J4650" s="1">
        <f>45.7176</f>
        <v>45.717599999999997</v>
      </c>
      <c r="K4650">
        <v>550.14099999999996</v>
      </c>
      <c r="L4650">
        <v>0</v>
      </c>
    </row>
    <row r="4651" spans="1:12" x14ac:dyDescent="0.25">
      <c r="A4651">
        <f>80955139*0.00001</f>
        <v>809.55139000000008</v>
      </c>
      <c r="B4651">
        <v>3519</v>
      </c>
      <c r="C4651">
        <v>75</v>
      </c>
      <c r="D4651">
        <v>254.274</v>
      </c>
      <c r="E4651">
        <v>5221</v>
      </c>
      <c r="F4651">
        <v>1620</v>
      </c>
      <c r="G4651">
        <v>1</v>
      </c>
      <c r="H4651">
        <v>0.2</v>
      </c>
      <c r="I4651">
        <v>0</v>
      </c>
      <c r="J4651">
        <v>45.717599999999997</v>
      </c>
      <c r="K4651" s="1">
        <f>550.201</f>
        <v>550.20100000000002</v>
      </c>
      <c r="L4651" s="1">
        <f>0</f>
        <v>0</v>
      </c>
    </row>
    <row r="4652" spans="1:12" x14ac:dyDescent="0.25">
      <c r="A4652">
        <f>80955269*0.00001</f>
        <v>809.5526900000001</v>
      </c>
      <c r="B4652">
        <v>3519</v>
      </c>
      <c r="C4652">
        <v>76</v>
      </c>
      <c r="D4652" s="1">
        <f>254.285</f>
        <v>254.285</v>
      </c>
      <c r="E4652" s="1">
        <f>5221</f>
        <v>5221</v>
      </c>
      <c r="F4652">
        <v>1620</v>
      </c>
      <c r="G4652">
        <v>1</v>
      </c>
      <c r="H4652">
        <v>0.2</v>
      </c>
      <c r="I4652">
        <v>0</v>
      </c>
      <c r="J4652">
        <v>45.717599999999997</v>
      </c>
      <c r="K4652">
        <v>550.20100000000002</v>
      </c>
      <c r="L4652">
        <v>0</v>
      </c>
    </row>
    <row r="4653" spans="1:12" x14ac:dyDescent="0.25">
      <c r="A4653">
        <f>80955399*0.00001</f>
        <v>809.55399000000011</v>
      </c>
      <c r="B4653">
        <v>3519</v>
      </c>
      <c r="C4653">
        <v>77</v>
      </c>
      <c r="D4653">
        <v>254.285</v>
      </c>
      <c r="E4653">
        <v>5221</v>
      </c>
      <c r="F4653" s="1">
        <f>1620</f>
        <v>1620</v>
      </c>
      <c r="G4653" s="1">
        <f>1</f>
        <v>1</v>
      </c>
      <c r="H4653">
        <v>0.2</v>
      </c>
      <c r="I4653">
        <v>0</v>
      </c>
      <c r="J4653">
        <v>45.717599999999997</v>
      </c>
      <c r="K4653">
        <v>550.20100000000002</v>
      </c>
      <c r="L4653">
        <v>0</v>
      </c>
    </row>
    <row r="4654" spans="1:12" x14ac:dyDescent="0.25">
      <c r="A4654">
        <f>80955529*0.00001</f>
        <v>809.55529000000001</v>
      </c>
      <c r="B4654">
        <v>3519</v>
      </c>
      <c r="C4654">
        <v>78</v>
      </c>
      <c r="D4654">
        <v>254.285</v>
      </c>
      <c r="E4654">
        <v>5221</v>
      </c>
      <c r="F4654">
        <v>1620</v>
      </c>
      <c r="G4654">
        <v>1</v>
      </c>
      <c r="H4654" s="1">
        <f>0.2</f>
        <v>0.2</v>
      </c>
      <c r="I4654" s="1">
        <f>0</f>
        <v>0</v>
      </c>
      <c r="J4654">
        <v>45.717599999999997</v>
      </c>
      <c r="K4654">
        <v>550.20100000000002</v>
      </c>
      <c r="L4654">
        <v>0</v>
      </c>
    </row>
    <row r="4655" spans="1:12" x14ac:dyDescent="0.25">
      <c r="A4655">
        <f>80955660*0.00001</f>
        <v>809.55660000000012</v>
      </c>
      <c r="B4655">
        <v>3519</v>
      </c>
      <c r="C4655">
        <v>79</v>
      </c>
      <c r="D4655" s="1">
        <f>254.294</f>
        <v>254.29400000000001</v>
      </c>
      <c r="E4655" s="1">
        <f>5221</f>
        <v>5221</v>
      </c>
      <c r="F4655" s="1">
        <f>1620</f>
        <v>1620</v>
      </c>
      <c r="G4655" s="1">
        <f>1</f>
        <v>1</v>
      </c>
      <c r="H4655" s="1">
        <f>0.2</f>
        <v>0.2</v>
      </c>
      <c r="I4655" s="1">
        <f>0</f>
        <v>0</v>
      </c>
      <c r="J4655" s="1">
        <f>45.7072</f>
        <v>45.7072</v>
      </c>
      <c r="K4655" s="1">
        <f>550.309</f>
        <v>550.30899999999997</v>
      </c>
      <c r="L4655" s="1">
        <f>0</f>
        <v>0</v>
      </c>
    </row>
    <row r="4656" spans="1:12" x14ac:dyDescent="0.25">
      <c r="A4656">
        <f>80956836*0.00001</f>
        <v>809.5683600000001</v>
      </c>
      <c r="B4656">
        <v>3519</v>
      </c>
      <c r="C4656">
        <v>88</v>
      </c>
      <c r="D4656">
        <v>254.29400000000001</v>
      </c>
      <c r="E4656">
        <v>5221</v>
      </c>
      <c r="F4656">
        <v>1620</v>
      </c>
      <c r="G4656">
        <v>1</v>
      </c>
      <c r="H4656">
        <v>0.2</v>
      </c>
      <c r="I4656" s="1">
        <f>0</f>
        <v>0</v>
      </c>
      <c r="J4656">
        <v>45.7072</v>
      </c>
      <c r="K4656">
        <v>550.30899999999997</v>
      </c>
      <c r="L4656">
        <v>0</v>
      </c>
    </row>
    <row r="4657" spans="1:12" x14ac:dyDescent="0.25">
      <c r="A4657">
        <f>80956966*0.00001</f>
        <v>809.56966000000011</v>
      </c>
      <c r="B4657">
        <v>3519</v>
      </c>
      <c r="C4657">
        <v>89</v>
      </c>
      <c r="D4657">
        <v>254.29400000000001</v>
      </c>
      <c r="E4657">
        <v>5221</v>
      </c>
      <c r="F4657">
        <v>1620</v>
      </c>
      <c r="G4657">
        <v>1</v>
      </c>
      <c r="H4657">
        <v>0.2</v>
      </c>
      <c r="I4657">
        <v>0</v>
      </c>
      <c r="J4657">
        <v>45.7072</v>
      </c>
      <c r="K4657" s="1">
        <f>550.369</f>
        <v>550.36900000000003</v>
      </c>
      <c r="L4657">
        <v>0</v>
      </c>
    </row>
    <row r="4658" spans="1:12" x14ac:dyDescent="0.25">
      <c r="A4658">
        <f>80957097*0.00001</f>
        <v>809.5709700000001</v>
      </c>
      <c r="B4658">
        <v>3519</v>
      </c>
      <c r="C4658">
        <v>90</v>
      </c>
      <c r="D4658" s="1">
        <f>254.298</f>
        <v>254.298</v>
      </c>
      <c r="E4658">
        <v>5221</v>
      </c>
      <c r="F4658">
        <v>1620</v>
      </c>
      <c r="G4658">
        <v>1</v>
      </c>
      <c r="H4658">
        <v>0.2</v>
      </c>
      <c r="I4658">
        <v>0</v>
      </c>
      <c r="J4658">
        <v>45.7072</v>
      </c>
      <c r="K4658">
        <v>550.36900000000003</v>
      </c>
      <c r="L4658">
        <v>0</v>
      </c>
    </row>
    <row r="4659" spans="1:12" x14ac:dyDescent="0.25">
      <c r="A4659">
        <f>80957227*0.00001</f>
        <v>809.57227000000012</v>
      </c>
      <c r="B4659">
        <v>3519</v>
      </c>
      <c r="C4659">
        <v>91</v>
      </c>
      <c r="D4659">
        <v>254.298</v>
      </c>
      <c r="E4659">
        <v>5221</v>
      </c>
      <c r="F4659" s="1">
        <f>1620</f>
        <v>1620</v>
      </c>
      <c r="G4659">
        <v>1</v>
      </c>
      <c r="H4659">
        <v>0.2</v>
      </c>
      <c r="I4659">
        <v>0</v>
      </c>
      <c r="J4659">
        <v>45.7072</v>
      </c>
      <c r="K4659">
        <v>550.36900000000003</v>
      </c>
      <c r="L4659">
        <v>0</v>
      </c>
    </row>
    <row r="4660" spans="1:12" x14ac:dyDescent="0.25">
      <c r="A4660">
        <f>80957357*0.00001</f>
        <v>809.57357000000002</v>
      </c>
      <c r="B4660">
        <v>3519</v>
      </c>
      <c r="C4660">
        <v>92</v>
      </c>
      <c r="D4660">
        <v>254.298</v>
      </c>
      <c r="E4660">
        <v>5221</v>
      </c>
      <c r="F4660">
        <v>1620</v>
      </c>
      <c r="G4660">
        <v>1</v>
      </c>
      <c r="H4660" s="1">
        <f>0.2</f>
        <v>0.2</v>
      </c>
      <c r="I4660">
        <v>0</v>
      </c>
      <c r="J4660">
        <v>45.7072</v>
      </c>
      <c r="K4660">
        <v>550.36900000000003</v>
      </c>
      <c r="L4660">
        <v>0</v>
      </c>
    </row>
    <row r="4661" spans="1:12" x14ac:dyDescent="0.25">
      <c r="A4661">
        <f>80957487*0.00001</f>
        <v>809.57487000000003</v>
      </c>
      <c r="B4661">
        <v>3519</v>
      </c>
      <c r="C4661">
        <v>93</v>
      </c>
      <c r="D4661">
        <v>254.298</v>
      </c>
      <c r="E4661">
        <v>5221</v>
      </c>
      <c r="F4661">
        <v>1620</v>
      </c>
      <c r="G4661">
        <v>1</v>
      </c>
      <c r="H4661">
        <v>0.2</v>
      </c>
      <c r="I4661">
        <v>0</v>
      </c>
      <c r="J4661" s="1">
        <f>45.7006</f>
        <v>45.700600000000001</v>
      </c>
      <c r="K4661">
        <v>550.36900000000003</v>
      </c>
      <c r="L4661">
        <v>0</v>
      </c>
    </row>
    <row r="4662" spans="1:12" x14ac:dyDescent="0.25">
      <c r="A4662">
        <f>80957618*0.00001</f>
        <v>809.57618000000002</v>
      </c>
      <c r="B4662">
        <v>3519</v>
      </c>
      <c r="C4662">
        <v>94</v>
      </c>
      <c r="D4662">
        <v>254.298</v>
      </c>
      <c r="E4662">
        <v>5221</v>
      </c>
      <c r="F4662">
        <v>1620</v>
      </c>
      <c r="G4662">
        <v>1</v>
      </c>
      <c r="H4662">
        <v>0.2</v>
      </c>
      <c r="I4662">
        <v>0</v>
      </c>
      <c r="J4662">
        <v>45.700600000000001</v>
      </c>
      <c r="K4662">
        <v>550.36900000000003</v>
      </c>
      <c r="L4662" s="1">
        <f>0</f>
        <v>0</v>
      </c>
    </row>
    <row r="4663" spans="1:12" x14ac:dyDescent="0.25">
      <c r="A4663">
        <f>80957749*0.00001</f>
        <v>809.57749000000001</v>
      </c>
      <c r="B4663">
        <v>3519</v>
      </c>
      <c r="C4663">
        <v>95</v>
      </c>
      <c r="D4663">
        <v>254.298</v>
      </c>
      <c r="E4663" s="1">
        <f>5222</f>
        <v>5222</v>
      </c>
      <c r="F4663">
        <v>1620</v>
      </c>
      <c r="G4663">
        <v>1</v>
      </c>
      <c r="H4663">
        <v>0.2</v>
      </c>
      <c r="I4663">
        <v>0</v>
      </c>
      <c r="J4663">
        <v>45.700600000000001</v>
      </c>
      <c r="K4663">
        <v>550.36900000000003</v>
      </c>
      <c r="L4663">
        <v>0</v>
      </c>
    </row>
    <row r="4664" spans="1:12" x14ac:dyDescent="0.25">
      <c r="A4664">
        <f>80957880*0.00001</f>
        <v>809.57880000000011</v>
      </c>
      <c r="B4664">
        <v>3519</v>
      </c>
      <c r="C4664">
        <v>96</v>
      </c>
      <c r="D4664">
        <v>254.298</v>
      </c>
      <c r="E4664">
        <v>5222</v>
      </c>
      <c r="F4664">
        <v>1620</v>
      </c>
      <c r="G4664" s="1">
        <f>1</f>
        <v>1</v>
      </c>
      <c r="H4664">
        <v>0.2</v>
      </c>
      <c r="I4664">
        <v>0</v>
      </c>
      <c r="J4664">
        <v>45.700600000000001</v>
      </c>
      <c r="K4664">
        <v>550.36900000000003</v>
      </c>
      <c r="L4664">
        <v>0</v>
      </c>
    </row>
    <row r="4665" spans="1:12" x14ac:dyDescent="0.25">
      <c r="A4665">
        <f>80958010*0.00001</f>
        <v>809.58010000000002</v>
      </c>
      <c r="B4665">
        <v>3519</v>
      </c>
      <c r="C4665">
        <v>97</v>
      </c>
      <c r="D4665">
        <v>254.298</v>
      </c>
      <c r="E4665">
        <v>5222</v>
      </c>
      <c r="F4665">
        <v>1620</v>
      </c>
      <c r="G4665">
        <v>1</v>
      </c>
      <c r="H4665">
        <v>0.2</v>
      </c>
      <c r="I4665" s="1">
        <f>0</f>
        <v>0</v>
      </c>
      <c r="J4665">
        <v>45.700600000000001</v>
      </c>
      <c r="K4665">
        <v>550.36900000000003</v>
      </c>
      <c r="L4665">
        <v>0</v>
      </c>
    </row>
    <row r="4666" spans="1:12" x14ac:dyDescent="0.25">
      <c r="A4666">
        <f>80958140*0.00001</f>
        <v>809.58140000000003</v>
      </c>
      <c r="B4666">
        <v>3519</v>
      </c>
      <c r="C4666">
        <v>98</v>
      </c>
      <c r="D4666">
        <v>254.298</v>
      </c>
      <c r="E4666">
        <v>5222</v>
      </c>
      <c r="F4666">
        <v>1620</v>
      </c>
      <c r="G4666">
        <v>1</v>
      </c>
      <c r="H4666">
        <v>0.2</v>
      </c>
      <c r="I4666">
        <v>0</v>
      </c>
      <c r="J4666" s="1">
        <f>45.6986</f>
        <v>45.698599999999999</v>
      </c>
      <c r="K4666" s="1">
        <f>550.476</f>
        <v>550.476</v>
      </c>
      <c r="L4666">
        <v>0</v>
      </c>
    </row>
    <row r="4667" spans="1:12" x14ac:dyDescent="0.25">
      <c r="A4667">
        <f>80958270*0.00001</f>
        <v>809.58270000000005</v>
      </c>
      <c r="B4667">
        <v>3519</v>
      </c>
      <c r="C4667">
        <v>99</v>
      </c>
      <c r="D4667" s="1">
        <f>254.302</f>
        <v>254.30199999999999</v>
      </c>
      <c r="E4667">
        <v>5222</v>
      </c>
      <c r="F4667">
        <v>1620</v>
      </c>
      <c r="G4667">
        <v>1</v>
      </c>
      <c r="H4667">
        <v>0.2</v>
      </c>
      <c r="I4667">
        <v>0</v>
      </c>
      <c r="J4667">
        <v>45.698599999999999</v>
      </c>
      <c r="K4667">
        <v>550.476</v>
      </c>
      <c r="L4667" s="1">
        <f>0</f>
        <v>0</v>
      </c>
    </row>
    <row r="4668" spans="1:12" x14ac:dyDescent="0.25">
      <c r="A4668">
        <f>80958400*0.00001</f>
        <v>809.58400000000006</v>
      </c>
      <c r="B4668">
        <v>3519</v>
      </c>
      <c r="C4668">
        <v>100</v>
      </c>
      <c r="D4668">
        <v>254.30199999999999</v>
      </c>
      <c r="E4668" s="1">
        <f>5222</f>
        <v>5222</v>
      </c>
      <c r="F4668" s="1">
        <f>1620</f>
        <v>1620</v>
      </c>
      <c r="G4668">
        <v>1</v>
      </c>
      <c r="H4668">
        <v>0.2</v>
      </c>
      <c r="I4668">
        <v>0</v>
      </c>
      <c r="J4668">
        <v>45.698599999999999</v>
      </c>
      <c r="K4668">
        <v>550.476</v>
      </c>
      <c r="L4668">
        <v>0</v>
      </c>
    </row>
    <row r="4669" spans="1:12" x14ac:dyDescent="0.25">
      <c r="A4669">
        <f>80958531*0.00001</f>
        <v>809.58531000000005</v>
      </c>
      <c r="B4669">
        <v>3519</v>
      </c>
      <c r="C4669">
        <v>101</v>
      </c>
      <c r="D4669">
        <v>254.30199999999999</v>
      </c>
      <c r="E4669">
        <v>5222</v>
      </c>
      <c r="F4669">
        <v>1620</v>
      </c>
      <c r="G4669" s="1">
        <f>1</f>
        <v>1</v>
      </c>
      <c r="H4669" s="1">
        <f>0.2</f>
        <v>0.2</v>
      </c>
      <c r="I4669">
        <v>0</v>
      </c>
      <c r="J4669">
        <v>45.698599999999999</v>
      </c>
      <c r="K4669">
        <v>550.476</v>
      </c>
      <c r="L4669">
        <v>0</v>
      </c>
    </row>
    <row r="4670" spans="1:12" x14ac:dyDescent="0.25">
      <c r="A4670">
        <f>80958662*0.00001</f>
        <v>809.58662000000004</v>
      </c>
      <c r="B4670">
        <v>3519</v>
      </c>
      <c r="C4670">
        <v>102</v>
      </c>
      <c r="D4670">
        <v>254.30199999999999</v>
      </c>
      <c r="E4670">
        <v>5222</v>
      </c>
      <c r="F4670">
        <v>1620</v>
      </c>
      <c r="G4670">
        <v>1</v>
      </c>
      <c r="H4670">
        <v>0.2</v>
      </c>
      <c r="I4670" s="1">
        <f>0</f>
        <v>0</v>
      </c>
      <c r="J4670" s="1">
        <f>45.697</f>
        <v>45.697000000000003</v>
      </c>
      <c r="K4670">
        <v>550.476</v>
      </c>
      <c r="L4670">
        <v>0</v>
      </c>
    </row>
    <row r="4671" spans="1:12" x14ac:dyDescent="0.25">
      <c r="A4671">
        <f>80958793*0.00001</f>
        <v>809.58793000000003</v>
      </c>
      <c r="B4671">
        <v>3519</v>
      </c>
      <c r="C4671">
        <v>103</v>
      </c>
      <c r="D4671">
        <v>254.30199999999999</v>
      </c>
      <c r="E4671">
        <v>5222</v>
      </c>
      <c r="F4671">
        <v>1620</v>
      </c>
      <c r="G4671">
        <v>1</v>
      </c>
      <c r="H4671">
        <v>0.2</v>
      </c>
      <c r="I4671">
        <v>0</v>
      </c>
      <c r="J4671">
        <v>45.697000000000003</v>
      </c>
      <c r="K4671" s="1">
        <f>550.536</f>
        <v>550.53599999999994</v>
      </c>
      <c r="L4671" s="1">
        <f>0</f>
        <v>0</v>
      </c>
    </row>
    <row r="4672" spans="1:12" x14ac:dyDescent="0.25">
      <c r="A4672">
        <f>80958924*0.00001</f>
        <v>809.58924000000002</v>
      </c>
      <c r="B4672">
        <v>3519</v>
      </c>
      <c r="C4672">
        <v>104</v>
      </c>
      <c r="D4672" s="1">
        <f>254.303</f>
        <v>254.303</v>
      </c>
      <c r="E4672" s="1">
        <f>5222</f>
        <v>5222</v>
      </c>
      <c r="F4672" s="1">
        <f>1620</f>
        <v>1620</v>
      </c>
      <c r="G4672" s="1">
        <f>1</f>
        <v>1</v>
      </c>
      <c r="H4672" s="1">
        <f>0.2</f>
        <v>0.2</v>
      </c>
      <c r="I4672" s="1">
        <f>0</f>
        <v>0</v>
      </c>
      <c r="J4672" s="1">
        <f>45.6753</f>
        <v>45.6753</v>
      </c>
      <c r="K4672" s="1">
        <f>550.644</f>
        <v>550.64400000000001</v>
      </c>
      <c r="L4672" s="1">
        <f>0</f>
        <v>0</v>
      </c>
    </row>
    <row r="4673" spans="1:12" x14ac:dyDescent="0.25">
      <c r="A4673">
        <f>80960099*0.00001</f>
        <v>809.60099000000002</v>
      </c>
      <c r="B4673">
        <v>3519</v>
      </c>
      <c r="C4673">
        <v>113</v>
      </c>
      <c r="D4673" s="1">
        <f>254.361</f>
        <v>254.36099999999999</v>
      </c>
      <c r="E4673">
        <v>5222</v>
      </c>
      <c r="F4673">
        <v>1620</v>
      </c>
      <c r="G4673">
        <v>1</v>
      </c>
      <c r="H4673">
        <v>0.2</v>
      </c>
      <c r="I4673">
        <v>0</v>
      </c>
      <c r="J4673">
        <v>45.6753</v>
      </c>
      <c r="K4673">
        <v>550.64400000000001</v>
      </c>
      <c r="L4673">
        <v>0</v>
      </c>
    </row>
    <row r="4674" spans="1:12" x14ac:dyDescent="0.25">
      <c r="A4674">
        <f>80960229*0.00001</f>
        <v>809.60229000000004</v>
      </c>
      <c r="B4674">
        <v>3519</v>
      </c>
      <c r="C4674">
        <v>114</v>
      </c>
      <c r="D4674">
        <v>254.36099999999999</v>
      </c>
      <c r="E4674">
        <v>5222</v>
      </c>
      <c r="F4674" s="1">
        <f>1620</f>
        <v>1620</v>
      </c>
      <c r="G4674">
        <v>1</v>
      </c>
      <c r="H4674">
        <v>0.2</v>
      </c>
      <c r="I4674">
        <v>0</v>
      </c>
      <c r="J4674">
        <v>45.6753</v>
      </c>
      <c r="K4674">
        <v>550.64400000000001</v>
      </c>
      <c r="L4674">
        <v>0</v>
      </c>
    </row>
    <row r="4675" spans="1:12" x14ac:dyDescent="0.25">
      <c r="A4675">
        <f>80960359*0.00001</f>
        <v>809.60359000000005</v>
      </c>
      <c r="B4675">
        <v>3519</v>
      </c>
      <c r="C4675">
        <v>115</v>
      </c>
      <c r="D4675">
        <v>254.36099999999999</v>
      </c>
      <c r="E4675">
        <v>5222</v>
      </c>
      <c r="F4675">
        <v>1620</v>
      </c>
      <c r="G4675">
        <v>1</v>
      </c>
      <c r="H4675" s="1">
        <f>0.2</f>
        <v>0.2</v>
      </c>
      <c r="I4675">
        <v>0</v>
      </c>
      <c r="J4675">
        <v>45.6753</v>
      </c>
      <c r="K4675">
        <v>550.64400000000001</v>
      </c>
      <c r="L4675">
        <v>0</v>
      </c>
    </row>
    <row r="4676" spans="1:12" x14ac:dyDescent="0.25">
      <c r="A4676">
        <f>80960489*0.00001</f>
        <v>809.60489000000007</v>
      </c>
      <c r="B4676">
        <v>3519</v>
      </c>
      <c r="C4676">
        <v>116</v>
      </c>
      <c r="D4676">
        <v>254.36099999999999</v>
      </c>
      <c r="E4676">
        <v>5222</v>
      </c>
      <c r="F4676">
        <v>1620</v>
      </c>
      <c r="G4676">
        <v>1</v>
      </c>
      <c r="H4676">
        <v>0.2</v>
      </c>
      <c r="I4676">
        <v>0</v>
      </c>
      <c r="J4676" s="1">
        <f>45.5909</f>
        <v>45.590899999999998</v>
      </c>
      <c r="K4676">
        <v>550.64400000000001</v>
      </c>
      <c r="L4676">
        <v>0</v>
      </c>
    </row>
    <row r="4677" spans="1:12" x14ac:dyDescent="0.25">
      <c r="A4677">
        <f>80960619*0.00001</f>
        <v>809.60619000000008</v>
      </c>
      <c r="B4677">
        <v>3519</v>
      </c>
      <c r="C4677">
        <v>117</v>
      </c>
      <c r="D4677">
        <v>254.36099999999999</v>
      </c>
      <c r="E4677">
        <v>5222</v>
      </c>
      <c r="F4677">
        <v>1620</v>
      </c>
      <c r="G4677">
        <v>1</v>
      </c>
      <c r="H4677">
        <v>0.2</v>
      </c>
      <c r="I4677">
        <v>0</v>
      </c>
      <c r="J4677">
        <v>45.590899999999998</v>
      </c>
      <c r="K4677">
        <v>550.64400000000001</v>
      </c>
      <c r="L4677" s="1">
        <f>0</f>
        <v>0</v>
      </c>
    </row>
    <row r="4678" spans="1:12" x14ac:dyDescent="0.25">
      <c r="A4678">
        <f>80960749*0.00001</f>
        <v>809.6074900000001</v>
      </c>
      <c r="B4678">
        <v>3519</v>
      </c>
      <c r="C4678">
        <v>118</v>
      </c>
      <c r="D4678">
        <v>254.36099999999999</v>
      </c>
      <c r="E4678" s="1">
        <f>5220</f>
        <v>5220</v>
      </c>
      <c r="F4678">
        <v>1620</v>
      </c>
      <c r="G4678">
        <v>1</v>
      </c>
      <c r="H4678">
        <v>0.2</v>
      </c>
      <c r="I4678">
        <v>0</v>
      </c>
      <c r="J4678">
        <v>45.590899999999998</v>
      </c>
      <c r="K4678">
        <v>550.64400000000001</v>
      </c>
      <c r="L4678">
        <v>0</v>
      </c>
    </row>
    <row r="4679" spans="1:12" x14ac:dyDescent="0.25">
      <c r="A4679">
        <f>80960879*0.00001</f>
        <v>809.60879000000011</v>
      </c>
      <c r="B4679">
        <v>3519</v>
      </c>
      <c r="C4679">
        <v>119</v>
      </c>
      <c r="D4679">
        <v>254.36099999999999</v>
      </c>
      <c r="E4679">
        <v>5220</v>
      </c>
      <c r="F4679">
        <v>1620</v>
      </c>
      <c r="G4679" s="1">
        <f>1</f>
        <v>1</v>
      </c>
      <c r="H4679">
        <v>0.2</v>
      </c>
      <c r="I4679">
        <v>0</v>
      </c>
      <c r="J4679">
        <v>45.590899999999998</v>
      </c>
      <c r="K4679">
        <v>550.64400000000001</v>
      </c>
      <c r="L4679">
        <v>0</v>
      </c>
    </row>
    <row r="4680" spans="1:12" x14ac:dyDescent="0.25">
      <c r="A4680">
        <f>80961009*0.00001</f>
        <v>809.61009000000001</v>
      </c>
      <c r="B4680">
        <v>3519</v>
      </c>
      <c r="C4680">
        <v>120</v>
      </c>
      <c r="D4680">
        <v>254.36099999999999</v>
      </c>
      <c r="E4680">
        <v>5220</v>
      </c>
      <c r="F4680">
        <v>1620</v>
      </c>
      <c r="G4680">
        <v>1</v>
      </c>
      <c r="H4680" s="1">
        <f>0.2</f>
        <v>0.2</v>
      </c>
      <c r="I4680" s="1">
        <f>0</f>
        <v>0</v>
      </c>
      <c r="J4680">
        <v>45.590899999999998</v>
      </c>
      <c r="K4680">
        <v>550.64400000000001</v>
      </c>
      <c r="L4680">
        <v>0</v>
      </c>
    </row>
    <row r="4681" spans="1:12" x14ac:dyDescent="0.25">
      <c r="A4681">
        <f>80961139*0.00001</f>
        <v>809.61139000000003</v>
      </c>
      <c r="B4681">
        <v>3519</v>
      </c>
      <c r="C4681">
        <v>121</v>
      </c>
      <c r="D4681">
        <v>254.36099999999999</v>
      </c>
      <c r="E4681">
        <v>5220</v>
      </c>
      <c r="F4681">
        <v>1620</v>
      </c>
      <c r="G4681">
        <v>1</v>
      </c>
      <c r="H4681">
        <v>0.2</v>
      </c>
      <c r="I4681">
        <v>0</v>
      </c>
      <c r="J4681" s="1">
        <f>45.5258</f>
        <v>45.525799999999997</v>
      </c>
      <c r="K4681" s="1">
        <f>550.751</f>
        <v>550.75099999999998</v>
      </c>
      <c r="L4681">
        <v>0</v>
      </c>
    </row>
    <row r="4682" spans="1:12" x14ac:dyDescent="0.25">
      <c r="A4682">
        <f>80961269*0.00001</f>
        <v>809.61269000000004</v>
      </c>
      <c r="B4682">
        <v>3519</v>
      </c>
      <c r="C4682">
        <v>122</v>
      </c>
      <c r="D4682" s="1">
        <f>254.486</f>
        <v>254.48599999999999</v>
      </c>
      <c r="E4682">
        <v>5220</v>
      </c>
      <c r="F4682">
        <v>1620</v>
      </c>
      <c r="G4682">
        <v>1</v>
      </c>
      <c r="H4682">
        <v>0.2</v>
      </c>
      <c r="I4682">
        <v>0</v>
      </c>
      <c r="J4682">
        <v>45.525799999999997</v>
      </c>
      <c r="K4682">
        <v>550.75099999999998</v>
      </c>
      <c r="L4682" s="1">
        <f>0</f>
        <v>0</v>
      </c>
    </row>
    <row r="4683" spans="1:12" x14ac:dyDescent="0.25">
      <c r="A4683">
        <f>80961400*0.00001</f>
        <v>809.61400000000003</v>
      </c>
      <c r="B4683">
        <v>3519</v>
      </c>
      <c r="C4683">
        <v>123</v>
      </c>
      <c r="D4683">
        <v>254.48599999999999</v>
      </c>
      <c r="E4683" s="1">
        <f>5219</f>
        <v>5219</v>
      </c>
      <c r="F4683" s="1">
        <f>1620</f>
        <v>1620</v>
      </c>
      <c r="G4683">
        <v>1</v>
      </c>
      <c r="H4683">
        <v>0.2</v>
      </c>
      <c r="I4683">
        <v>0</v>
      </c>
      <c r="J4683">
        <v>45.525799999999997</v>
      </c>
      <c r="K4683">
        <v>550.75099999999998</v>
      </c>
      <c r="L4683">
        <v>0</v>
      </c>
    </row>
    <row r="4684" spans="1:12" x14ac:dyDescent="0.25">
      <c r="A4684">
        <f>80961530*0.00001</f>
        <v>809.61530000000005</v>
      </c>
      <c r="B4684">
        <v>3519</v>
      </c>
      <c r="C4684">
        <v>124</v>
      </c>
      <c r="D4684">
        <v>254.48599999999999</v>
      </c>
      <c r="E4684">
        <v>5219</v>
      </c>
      <c r="F4684">
        <v>1620</v>
      </c>
      <c r="G4684" s="1">
        <f>1</f>
        <v>1</v>
      </c>
      <c r="H4684" s="1">
        <f>0.2</f>
        <v>0.2</v>
      </c>
      <c r="I4684">
        <v>0</v>
      </c>
      <c r="J4684">
        <v>45.525799999999997</v>
      </c>
      <c r="K4684">
        <v>550.75099999999998</v>
      </c>
      <c r="L4684">
        <v>0</v>
      </c>
    </row>
    <row r="4685" spans="1:12" x14ac:dyDescent="0.25">
      <c r="A4685">
        <f>80961660*0.00001</f>
        <v>809.61660000000006</v>
      </c>
      <c r="B4685">
        <v>3519</v>
      </c>
      <c r="C4685">
        <v>125</v>
      </c>
      <c r="D4685">
        <v>254.48599999999999</v>
      </c>
      <c r="E4685">
        <v>5219</v>
      </c>
      <c r="F4685">
        <v>1620</v>
      </c>
      <c r="G4685">
        <v>1</v>
      </c>
      <c r="H4685">
        <v>0.2</v>
      </c>
      <c r="I4685" s="1">
        <f>0</f>
        <v>0</v>
      </c>
      <c r="J4685" s="1">
        <f>45.4842</f>
        <v>45.484200000000001</v>
      </c>
      <c r="K4685">
        <v>550.75099999999998</v>
      </c>
      <c r="L4685">
        <v>0</v>
      </c>
    </row>
    <row r="4686" spans="1:12" x14ac:dyDescent="0.25">
      <c r="A4686">
        <f>80961791*0.00001</f>
        <v>809.61791000000005</v>
      </c>
      <c r="B4686">
        <v>3519</v>
      </c>
      <c r="C4686">
        <v>126</v>
      </c>
      <c r="D4686" s="1">
        <f>254.564</f>
        <v>254.56399999999999</v>
      </c>
      <c r="E4686" s="1">
        <f>5217</f>
        <v>5217</v>
      </c>
      <c r="F4686" s="1">
        <f>1620</f>
        <v>1620</v>
      </c>
      <c r="G4686" s="1">
        <f>1</f>
        <v>1</v>
      </c>
      <c r="H4686" s="1">
        <f>0.2</f>
        <v>0.2</v>
      </c>
      <c r="I4686" s="1">
        <f>0</f>
        <v>0</v>
      </c>
      <c r="J4686" s="1">
        <f>45.443</f>
        <v>45.442999999999998</v>
      </c>
      <c r="K4686" s="1">
        <f>550.858</f>
        <v>550.85799999999995</v>
      </c>
      <c r="L4686" s="1">
        <f>0</f>
        <v>0</v>
      </c>
    </row>
    <row r="4687" spans="1:12" x14ac:dyDescent="0.25">
      <c r="A4687">
        <f>80962964*0.00001</f>
        <v>809.62964000000011</v>
      </c>
      <c r="B4687">
        <v>3519</v>
      </c>
      <c r="C4687">
        <v>135</v>
      </c>
      <c r="D4687">
        <v>254.56399999999999</v>
      </c>
      <c r="E4687">
        <v>5217</v>
      </c>
      <c r="F4687">
        <v>1620</v>
      </c>
      <c r="G4687">
        <v>1</v>
      </c>
      <c r="H4687">
        <v>0.2</v>
      </c>
      <c r="I4687">
        <v>0</v>
      </c>
      <c r="J4687" s="1">
        <f>45.4113</f>
        <v>45.411299999999997</v>
      </c>
      <c r="K4687">
        <v>550.85799999999995</v>
      </c>
      <c r="L4687">
        <v>0</v>
      </c>
    </row>
    <row r="4688" spans="1:12" x14ac:dyDescent="0.25">
      <c r="A4688">
        <f>80963094*0.00001</f>
        <v>809.63094000000001</v>
      </c>
      <c r="B4688">
        <v>3519</v>
      </c>
      <c r="C4688">
        <v>136</v>
      </c>
      <c r="D4688">
        <v>254.56399999999999</v>
      </c>
      <c r="E4688">
        <v>5217</v>
      </c>
      <c r="F4688">
        <v>1620</v>
      </c>
      <c r="G4688">
        <v>1</v>
      </c>
      <c r="H4688">
        <v>0.2</v>
      </c>
      <c r="I4688">
        <v>0</v>
      </c>
      <c r="J4688">
        <v>45.411299999999997</v>
      </c>
      <c r="K4688">
        <v>550.85799999999995</v>
      </c>
      <c r="L4688" s="1">
        <f>0</f>
        <v>0</v>
      </c>
    </row>
    <row r="4689" spans="1:12" x14ac:dyDescent="0.25">
      <c r="A4689">
        <f>80963224*0.00001</f>
        <v>809.63224000000002</v>
      </c>
      <c r="B4689">
        <v>3519</v>
      </c>
      <c r="C4689">
        <v>137</v>
      </c>
      <c r="D4689">
        <v>254.56399999999999</v>
      </c>
      <c r="E4689" s="1">
        <f>5217</f>
        <v>5217</v>
      </c>
      <c r="F4689">
        <v>1620</v>
      </c>
      <c r="G4689">
        <v>1</v>
      </c>
      <c r="H4689">
        <v>0.2</v>
      </c>
      <c r="I4689">
        <v>0</v>
      </c>
      <c r="J4689">
        <v>45.411299999999997</v>
      </c>
      <c r="K4689">
        <v>550.85799999999995</v>
      </c>
      <c r="L4689">
        <v>0</v>
      </c>
    </row>
    <row r="4690" spans="1:12" x14ac:dyDescent="0.25">
      <c r="A4690">
        <f>80963355*0.00001</f>
        <v>809.63355000000001</v>
      </c>
      <c r="B4690">
        <v>3519</v>
      </c>
      <c r="C4690">
        <v>138</v>
      </c>
      <c r="D4690">
        <v>254.56399999999999</v>
      </c>
      <c r="E4690">
        <v>5217</v>
      </c>
      <c r="F4690">
        <v>1620</v>
      </c>
      <c r="G4690" s="1">
        <f>1</f>
        <v>1</v>
      </c>
      <c r="H4690">
        <v>0.2</v>
      </c>
      <c r="I4690">
        <v>0</v>
      </c>
      <c r="J4690">
        <v>45.411299999999997</v>
      </c>
      <c r="K4690">
        <v>550.85799999999995</v>
      </c>
      <c r="L4690">
        <v>0</v>
      </c>
    </row>
    <row r="4691" spans="1:12" x14ac:dyDescent="0.25">
      <c r="A4691">
        <f>80963486*0.00001</f>
        <v>809.63486000000012</v>
      </c>
      <c r="B4691">
        <v>3519</v>
      </c>
      <c r="C4691">
        <v>139</v>
      </c>
      <c r="D4691">
        <v>254.56399999999999</v>
      </c>
      <c r="E4691">
        <v>5217</v>
      </c>
      <c r="F4691">
        <v>1620</v>
      </c>
      <c r="G4691">
        <v>1</v>
      </c>
      <c r="H4691">
        <v>0.2</v>
      </c>
      <c r="I4691" s="1">
        <f>0</f>
        <v>0</v>
      </c>
      <c r="J4691">
        <v>45.411299999999997</v>
      </c>
      <c r="K4691">
        <v>550.85799999999995</v>
      </c>
      <c r="L4691">
        <v>0</v>
      </c>
    </row>
    <row r="4692" spans="1:12" x14ac:dyDescent="0.25">
      <c r="A4692">
        <f>80963617*0.00001</f>
        <v>809.63617000000011</v>
      </c>
      <c r="B4692">
        <v>3519</v>
      </c>
      <c r="C4692">
        <v>140</v>
      </c>
      <c r="D4692">
        <v>254.56399999999999</v>
      </c>
      <c r="E4692">
        <v>5217</v>
      </c>
      <c r="F4692">
        <v>1620</v>
      </c>
      <c r="G4692">
        <v>1</v>
      </c>
      <c r="H4692">
        <v>0.2</v>
      </c>
      <c r="I4692">
        <v>0</v>
      </c>
      <c r="J4692">
        <v>45.411299999999997</v>
      </c>
      <c r="K4692" s="1">
        <f>550.977</f>
        <v>550.97699999999998</v>
      </c>
      <c r="L4692">
        <v>0</v>
      </c>
    </row>
    <row r="4693" spans="1:12" x14ac:dyDescent="0.25">
      <c r="A4693">
        <f>80963748*0.00001</f>
        <v>809.6374800000001</v>
      </c>
      <c r="B4693">
        <v>3519</v>
      </c>
      <c r="C4693">
        <v>141</v>
      </c>
      <c r="D4693" s="1">
        <f>254.618</f>
        <v>254.61799999999999</v>
      </c>
      <c r="E4693">
        <v>5217</v>
      </c>
      <c r="F4693">
        <v>1620</v>
      </c>
      <c r="G4693">
        <v>1</v>
      </c>
      <c r="H4693">
        <v>0.2</v>
      </c>
      <c r="I4693">
        <v>0</v>
      </c>
      <c r="J4693">
        <v>45.411299999999997</v>
      </c>
      <c r="K4693">
        <v>550.97699999999998</v>
      </c>
      <c r="L4693">
        <v>0</v>
      </c>
    </row>
    <row r="4694" spans="1:12" x14ac:dyDescent="0.25">
      <c r="A4694">
        <f>80963879*0.00001</f>
        <v>809.63879000000009</v>
      </c>
      <c r="B4694">
        <v>3519</v>
      </c>
      <c r="C4694">
        <v>142</v>
      </c>
      <c r="D4694">
        <v>254.61799999999999</v>
      </c>
      <c r="E4694">
        <v>5217</v>
      </c>
      <c r="F4694" s="1">
        <f>1620</f>
        <v>1620</v>
      </c>
      <c r="G4694">
        <v>1</v>
      </c>
      <c r="H4694">
        <v>0.2</v>
      </c>
      <c r="I4694">
        <v>0</v>
      </c>
      <c r="J4694">
        <v>45.411299999999997</v>
      </c>
      <c r="K4694">
        <v>550.97699999999998</v>
      </c>
      <c r="L4694">
        <v>0</v>
      </c>
    </row>
    <row r="4695" spans="1:12" x14ac:dyDescent="0.25">
      <c r="A4695">
        <f>80964010*0.00001</f>
        <v>809.64010000000007</v>
      </c>
      <c r="B4695">
        <v>3519</v>
      </c>
      <c r="C4695">
        <v>143</v>
      </c>
      <c r="D4695">
        <v>254.61799999999999</v>
      </c>
      <c r="E4695">
        <v>5217</v>
      </c>
      <c r="F4695">
        <v>1620</v>
      </c>
      <c r="G4695" s="1">
        <f>1</f>
        <v>1</v>
      </c>
      <c r="H4695" s="1">
        <f>0.2</f>
        <v>0.2</v>
      </c>
      <c r="I4695">
        <v>0</v>
      </c>
      <c r="J4695">
        <v>45.411299999999997</v>
      </c>
      <c r="K4695">
        <v>550.97699999999998</v>
      </c>
      <c r="L4695">
        <v>0</v>
      </c>
    </row>
    <row r="4696" spans="1:12" x14ac:dyDescent="0.25">
      <c r="A4696">
        <f>80964141*0.00001</f>
        <v>809.64141000000006</v>
      </c>
      <c r="B4696">
        <v>3519</v>
      </c>
      <c r="C4696">
        <v>144</v>
      </c>
      <c r="D4696">
        <v>254.61799999999999</v>
      </c>
      <c r="E4696">
        <v>5217</v>
      </c>
      <c r="F4696">
        <v>1620</v>
      </c>
      <c r="G4696">
        <v>1</v>
      </c>
      <c r="H4696">
        <v>0.2</v>
      </c>
      <c r="I4696" s="1">
        <f>0</f>
        <v>0</v>
      </c>
      <c r="J4696" s="1">
        <f>45.3765</f>
        <v>45.3765</v>
      </c>
      <c r="K4696">
        <v>550.97699999999998</v>
      </c>
      <c r="L4696">
        <v>0</v>
      </c>
    </row>
    <row r="4697" spans="1:12" x14ac:dyDescent="0.25">
      <c r="A4697">
        <f>80964271*0.00001</f>
        <v>809.64271000000008</v>
      </c>
      <c r="B4697">
        <v>3519</v>
      </c>
      <c r="C4697">
        <v>145</v>
      </c>
      <c r="D4697">
        <v>254.61799999999999</v>
      </c>
      <c r="E4697">
        <v>5217</v>
      </c>
      <c r="F4697">
        <v>1620</v>
      </c>
      <c r="G4697">
        <v>1</v>
      </c>
      <c r="H4697">
        <v>0.2</v>
      </c>
      <c r="I4697">
        <v>0</v>
      </c>
      <c r="J4697">
        <v>45.3765</v>
      </c>
      <c r="K4697" s="1">
        <f>551.036</f>
        <v>551.03599999999994</v>
      </c>
      <c r="L4697" s="1">
        <f>0</f>
        <v>0</v>
      </c>
    </row>
    <row r="4698" spans="1:12" x14ac:dyDescent="0.25">
      <c r="A4698">
        <f>80964401*0.00001</f>
        <v>809.64401000000009</v>
      </c>
      <c r="B4698">
        <v>3519</v>
      </c>
      <c r="C4698">
        <v>146</v>
      </c>
      <c r="D4698" s="1">
        <f>254.636</f>
        <v>254.636</v>
      </c>
      <c r="E4698" s="1">
        <f>5216</f>
        <v>5216</v>
      </c>
      <c r="F4698">
        <v>1620</v>
      </c>
      <c r="G4698">
        <v>1</v>
      </c>
      <c r="H4698">
        <v>0.2</v>
      </c>
      <c r="I4698">
        <v>0</v>
      </c>
      <c r="J4698">
        <v>45.3765</v>
      </c>
      <c r="K4698">
        <v>551.03599999999994</v>
      </c>
      <c r="L4698">
        <v>0</v>
      </c>
    </row>
    <row r="4699" spans="1:12" x14ac:dyDescent="0.25">
      <c r="A4699">
        <f>80964531*0.00001</f>
        <v>809.64531000000011</v>
      </c>
      <c r="B4699">
        <v>3519</v>
      </c>
      <c r="C4699">
        <v>147</v>
      </c>
      <c r="D4699">
        <v>254.636</v>
      </c>
      <c r="E4699">
        <v>5216</v>
      </c>
      <c r="F4699" s="1">
        <f>1620</f>
        <v>1620</v>
      </c>
      <c r="G4699" s="1">
        <f>1</f>
        <v>1</v>
      </c>
      <c r="H4699">
        <v>0.2</v>
      </c>
      <c r="I4699">
        <v>0</v>
      </c>
      <c r="J4699">
        <v>45.3765</v>
      </c>
      <c r="K4699">
        <v>551.03599999999994</v>
      </c>
      <c r="L4699">
        <v>0</v>
      </c>
    </row>
    <row r="4700" spans="1:12" x14ac:dyDescent="0.25">
      <c r="A4700">
        <f>80964661*0.00001</f>
        <v>809.64661000000001</v>
      </c>
      <c r="B4700">
        <v>3519</v>
      </c>
      <c r="C4700">
        <v>148</v>
      </c>
      <c r="D4700">
        <v>254.636</v>
      </c>
      <c r="E4700">
        <v>5216</v>
      </c>
      <c r="F4700">
        <v>1620</v>
      </c>
      <c r="G4700">
        <v>1</v>
      </c>
      <c r="H4700" s="1">
        <f>0.2</f>
        <v>0.2</v>
      </c>
      <c r="I4700" s="1">
        <f>0</f>
        <v>0</v>
      </c>
      <c r="J4700">
        <v>45.3765</v>
      </c>
      <c r="K4700">
        <v>551.03599999999994</v>
      </c>
      <c r="L4700">
        <v>0</v>
      </c>
    </row>
    <row r="4701" spans="1:12" x14ac:dyDescent="0.25">
      <c r="A4701">
        <f>80964791*0.00001</f>
        <v>809.64791000000002</v>
      </c>
      <c r="B4701">
        <v>3519</v>
      </c>
      <c r="C4701">
        <v>149</v>
      </c>
      <c r="D4701">
        <v>254.636</v>
      </c>
      <c r="E4701">
        <v>5216</v>
      </c>
      <c r="F4701">
        <v>1620</v>
      </c>
      <c r="G4701">
        <v>1</v>
      </c>
      <c r="H4701">
        <v>0.2</v>
      </c>
      <c r="I4701">
        <v>0</v>
      </c>
      <c r="J4701" s="1">
        <f>45.3552</f>
        <v>45.355200000000004</v>
      </c>
      <c r="K4701" s="1">
        <f>551.084</f>
        <v>551.08399999999995</v>
      </c>
      <c r="L4701">
        <v>0</v>
      </c>
    </row>
    <row r="4702" spans="1:12" x14ac:dyDescent="0.25">
      <c r="A4702">
        <f>80964921*0.00001</f>
        <v>809.64921000000004</v>
      </c>
      <c r="B4702">
        <v>3519</v>
      </c>
      <c r="C4702">
        <v>150</v>
      </c>
      <c r="D4702" s="1">
        <f>254.659</f>
        <v>254.65899999999999</v>
      </c>
      <c r="E4702" s="1">
        <f>5216</f>
        <v>5216</v>
      </c>
      <c r="F4702" s="1">
        <f>1620</f>
        <v>1620</v>
      </c>
      <c r="G4702" s="1">
        <f>1</f>
        <v>1</v>
      </c>
      <c r="H4702" s="1">
        <f>0.2</f>
        <v>0.2</v>
      </c>
      <c r="I4702" s="1">
        <f>0</f>
        <v>0</v>
      </c>
      <c r="J4702" s="1">
        <f>45.3454</f>
        <v>45.345399999999998</v>
      </c>
      <c r="K4702" s="1">
        <f>551.143</f>
        <v>551.14300000000003</v>
      </c>
      <c r="L4702" s="1">
        <f>0</f>
        <v>0</v>
      </c>
    </row>
    <row r="4703" spans="1:12" x14ac:dyDescent="0.25">
      <c r="A4703">
        <f>80965965*0.00001</f>
        <v>809.65965000000006</v>
      </c>
      <c r="B4703">
        <v>3519</v>
      </c>
      <c r="C4703">
        <v>158</v>
      </c>
      <c r="D4703">
        <v>254.65899999999999</v>
      </c>
      <c r="E4703">
        <v>5216</v>
      </c>
      <c r="F4703">
        <v>1620</v>
      </c>
      <c r="G4703">
        <v>1</v>
      </c>
      <c r="H4703">
        <v>0.2</v>
      </c>
      <c r="I4703">
        <v>0</v>
      </c>
      <c r="J4703" s="1">
        <f>45.3357</f>
        <v>45.335700000000003</v>
      </c>
      <c r="K4703">
        <v>551.14300000000003</v>
      </c>
      <c r="L4703">
        <v>0</v>
      </c>
    </row>
    <row r="4704" spans="1:12" x14ac:dyDescent="0.25">
      <c r="A4704">
        <f>80966091*0.00001</f>
        <v>809.66091000000006</v>
      </c>
      <c r="B4704">
        <v>3519</v>
      </c>
      <c r="C4704">
        <v>158</v>
      </c>
      <c r="D4704">
        <v>254.65899999999999</v>
      </c>
      <c r="E4704">
        <v>5216</v>
      </c>
      <c r="F4704">
        <v>1620</v>
      </c>
      <c r="G4704">
        <v>1</v>
      </c>
      <c r="H4704">
        <v>0.2</v>
      </c>
      <c r="I4704">
        <v>0</v>
      </c>
      <c r="J4704">
        <v>45.335700000000003</v>
      </c>
      <c r="K4704">
        <v>551.14300000000003</v>
      </c>
      <c r="L4704" s="1">
        <f>0</f>
        <v>0</v>
      </c>
    </row>
    <row r="4705" spans="1:12" x14ac:dyDescent="0.25">
      <c r="A4705">
        <f>80966226*0.00001</f>
        <v>809.66226000000006</v>
      </c>
      <c r="B4705">
        <v>3519</v>
      </c>
      <c r="C4705">
        <v>160</v>
      </c>
      <c r="D4705">
        <v>254.65899999999999</v>
      </c>
      <c r="E4705" s="1">
        <f>5216</f>
        <v>5216</v>
      </c>
      <c r="F4705">
        <v>1620</v>
      </c>
      <c r="G4705">
        <v>1</v>
      </c>
      <c r="H4705">
        <v>0.2</v>
      </c>
      <c r="I4705">
        <v>0</v>
      </c>
      <c r="J4705">
        <v>45.335700000000003</v>
      </c>
      <c r="K4705">
        <v>551.14300000000003</v>
      </c>
      <c r="L4705">
        <v>0</v>
      </c>
    </row>
    <row r="4706" spans="1:12" x14ac:dyDescent="0.25">
      <c r="A4706">
        <f>80966356*0.00001</f>
        <v>809.66356000000007</v>
      </c>
      <c r="B4706">
        <v>3519</v>
      </c>
      <c r="C4706">
        <v>161</v>
      </c>
      <c r="D4706">
        <v>254.65899999999999</v>
      </c>
      <c r="E4706">
        <v>5216</v>
      </c>
      <c r="F4706">
        <v>1620</v>
      </c>
      <c r="G4706" s="1">
        <f>1</f>
        <v>1</v>
      </c>
      <c r="H4706">
        <v>0.2</v>
      </c>
      <c r="I4706">
        <v>0</v>
      </c>
      <c r="J4706">
        <v>45.335700000000003</v>
      </c>
      <c r="K4706">
        <v>551.14300000000003</v>
      </c>
      <c r="L4706">
        <v>0</v>
      </c>
    </row>
    <row r="4707" spans="1:12" x14ac:dyDescent="0.25">
      <c r="A4707">
        <f>80966486*0.00001</f>
        <v>809.66486000000009</v>
      </c>
      <c r="B4707">
        <v>3519</v>
      </c>
      <c r="C4707">
        <v>162</v>
      </c>
      <c r="D4707">
        <v>254.65899999999999</v>
      </c>
      <c r="E4707">
        <v>5216</v>
      </c>
      <c r="F4707">
        <v>1620</v>
      </c>
      <c r="G4707">
        <v>1</v>
      </c>
      <c r="H4707">
        <v>0.2</v>
      </c>
      <c r="I4707" s="1">
        <f>0</f>
        <v>0</v>
      </c>
      <c r="J4707">
        <v>45.335700000000003</v>
      </c>
      <c r="K4707">
        <v>551.14300000000003</v>
      </c>
      <c r="L4707">
        <v>0</v>
      </c>
    </row>
    <row r="4708" spans="1:12" x14ac:dyDescent="0.25">
      <c r="A4708">
        <f>80966616*0.00001</f>
        <v>809.6661600000001</v>
      </c>
      <c r="B4708">
        <v>3519</v>
      </c>
      <c r="C4708">
        <v>163</v>
      </c>
      <c r="D4708">
        <v>254.65899999999999</v>
      </c>
      <c r="E4708">
        <v>5216</v>
      </c>
      <c r="F4708">
        <v>1620</v>
      </c>
      <c r="G4708">
        <v>1</v>
      </c>
      <c r="H4708">
        <v>0.2</v>
      </c>
      <c r="I4708">
        <v>0</v>
      </c>
      <c r="J4708">
        <v>45.335700000000003</v>
      </c>
      <c r="K4708" s="1">
        <f>551.25</f>
        <v>551.25</v>
      </c>
      <c r="L4708">
        <v>0</v>
      </c>
    </row>
    <row r="4709" spans="1:12" x14ac:dyDescent="0.25">
      <c r="A4709">
        <f>80966746*0.00001</f>
        <v>809.66746000000012</v>
      </c>
      <c r="B4709">
        <v>3519</v>
      </c>
      <c r="C4709">
        <v>164</v>
      </c>
      <c r="D4709" s="1">
        <f>254.666</f>
        <v>254.666</v>
      </c>
      <c r="E4709">
        <v>5216</v>
      </c>
      <c r="F4709">
        <v>1620</v>
      </c>
      <c r="G4709">
        <v>1</v>
      </c>
      <c r="H4709">
        <v>0.2</v>
      </c>
      <c r="I4709">
        <v>0</v>
      </c>
      <c r="J4709">
        <v>45.335700000000003</v>
      </c>
      <c r="K4709">
        <v>551.25</v>
      </c>
      <c r="L4709">
        <v>0</v>
      </c>
    </row>
    <row r="4710" spans="1:12" x14ac:dyDescent="0.25">
      <c r="A4710">
        <f>80966876*0.00001</f>
        <v>809.66876000000002</v>
      </c>
      <c r="B4710">
        <v>3519</v>
      </c>
      <c r="C4710">
        <v>165</v>
      </c>
      <c r="D4710">
        <v>254.666</v>
      </c>
      <c r="E4710">
        <v>5216</v>
      </c>
      <c r="F4710" s="1">
        <f>1621</f>
        <v>1621</v>
      </c>
      <c r="G4710">
        <v>1</v>
      </c>
      <c r="H4710">
        <v>0.2</v>
      </c>
      <c r="I4710">
        <v>0</v>
      </c>
      <c r="J4710">
        <v>45.335700000000003</v>
      </c>
      <c r="K4710">
        <v>551.25</v>
      </c>
      <c r="L4710">
        <v>0</v>
      </c>
    </row>
    <row r="4711" spans="1:12" x14ac:dyDescent="0.25">
      <c r="A4711">
        <f>80967006*0.00001</f>
        <v>809.67006000000003</v>
      </c>
      <c r="B4711">
        <v>3519</v>
      </c>
      <c r="C4711">
        <v>166</v>
      </c>
      <c r="D4711">
        <v>254.666</v>
      </c>
      <c r="E4711">
        <v>5216</v>
      </c>
      <c r="F4711">
        <v>1621</v>
      </c>
      <c r="G4711" s="1">
        <f>1</f>
        <v>1</v>
      </c>
      <c r="H4711" s="1">
        <f>0.2</f>
        <v>0.2</v>
      </c>
      <c r="I4711">
        <v>0</v>
      </c>
      <c r="J4711">
        <v>45.335700000000003</v>
      </c>
      <c r="K4711">
        <v>551.25</v>
      </c>
      <c r="L4711">
        <v>0</v>
      </c>
    </row>
    <row r="4712" spans="1:12" x14ac:dyDescent="0.25">
      <c r="A4712">
        <f>80967136*0.00001</f>
        <v>809.67136000000005</v>
      </c>
      <c r="B4712">
        <v>3519</v>
      </c>
      <c r="C4712">
        <v>167</v>
      </c>
      <c r="D4712">
        <v>254.666</v>
      </c>
      <c r="E4712">
        <v>5216</v>
      </c>
      <c r="F4712">
        <v>1621</v>
      </c>
      <c r="G4712">
        <v>1</v>
      </c>
      <c r="H4712">
        <v>0.2</v>
      </c>
      <c r="I4712" s="1">
        <f>0</f>
        <v>0</v>
      </c>
      <c r="J4712" s="1">
        <f>45.3228</f>
        <v>45.322800000000001</v>
      </c>
      <c r="K4712">
        <v>551.25</v>
      </c>
      <c r="L4712">
        <v>0</v>
      </c>
    </row>
    <row r="4713" spans="1:12" x14ac:dyDescent="0.25">
      <c r="A4713">
        <f>80967266*0.00001</f>
        <v>809.67266000000006</v>
      </c>
      <c r="B4713">
        <v>3519</v>
      </c>
      <c r="C4713">
        <v>168</v>
      </c>
      <c r="D4713">
        <v>254.666</v>
      </c>
      <c r="E4713">
        <v>5216</v>
      </c>
      <c r="F4713">
        <v>1621</v>
      </c>
      <c r="G4713">
        <v>1</v>
      </c>
      <c r="H4713">
        <v>0.2</v>
      </c>
      <c r="I4713">
        <v>0</v>
      </c>
      <c r="J4713">
        <v>45.322800000000001</v>
      </c>
      <c r="K4713" s="1">
        <f>551.309</f>
        <v>551.30899999999997</v>
      </c>
      <c r="L4713" s="1">
        <f>0</f>
        <v>0</v>
      </c>
    </row>
    <row r="4714" spans="1:12" x14ac:dyDescent="0.25">
      <c r="A4714">
        <f>80967397*0.00001</f>
        <v>809.67397000000005</v>
      </c>
      <c r="B4714">
        <v>3519</v>
      </c>
      <c r="C4714">
        <v>169</v>
      </c>
      <c r="D4714" s="1">
        <f>254.679</f>
        <v>254.679</v>
      </c>
      <c r="E4714" s="1">
        <f>5217</f>
        <v>5217</v>
      </c>
      <c r="F4714">
        <v>1621</v>
      </c>
      <c r="G4714">
        <v>1</v>
      </c>
      <c r="H4714">
        <v>0.2</v>
      </c>
      <c r="I4714">
        <v>0</v>
      </c>
      <c r="J4714">
        <v>45.322800000000001</v>
      </c>
      <c r="K4714">
        <v>551.30899999999997</v>
      </c>
      <c r="L4714">
        <v>0</v>
      </c>
    </row>
    <row r="4715" spans="1:12" x14ac:dyDescent="0.25">
      <c r="A4715">
        <f>80967528*0.00001</f>
        <v>809.67528000000004</v>
      </c>
      <c r="B4715">
        <v>3519</v>
      </c>
      <c r="C4715">
        <v>170</v>
      </c>
      <c r="D4715">
        <v>254.679</v>
      </c>
      <c r="E4715">
        <v>5217</v>
      </c>
      <c r="F4715" s="1">
        <f>1621</f>
        <v>1621</v>
      </c>
      <c r="G4715" s="1">
        <f>1</f>
        <v>1</v>
      </c>
      <c r="H4715">
        <v>0.2</v>
      </c>
      <c r="I4715">
        <v>0</v>
      </c>
      <c r="J4715">
        <v>45.322800000000001</v>
      </c>
      <c r="K4715">
        <v>551.30899999999997</v>
      </c>
      <c r="L4715">
        <v>0</v>
      </c>
    </row>
    <row r="4716" spans="1:12" x14ac:dyDescent="0.25">
      <c r="A4716">
        <f>80967659*0.00001</f>
        <v>809.67659000000003</v>
      </c>
      <c r="B4716">
        <v>3519</v>
      </c>
      <c r="C4716">
        <v>171</v>
      </c>
      <c r="D4716">
        <v>254.679</v>
      </c>
      <c r="E4716">
        <v>5217</v>
      </c>
      <c r="F4716">
        <v>1621</v>
      </c>
      <c r="G4716">
        <v>1</v>
      </c>
      <c r="H4716" s="1">
        <f>0.2</f>
        <v>0.2</v>
      </c>
      <c r="I4716" s="1">
        <f>0</f>
        <v>0</v>
      </c>
      <c r="J4716">
        <v>45.322800000000001</v>
      </c>
      <c r="K4716">
        <v>551.30899999999997</v>
      </c>
      <c r="L4716">
        <v>0</v>
      </c>
    </row>
    <row r="4717" spans="1:12" x14ac:dyDescent="0.25">
      <c r="A4717">
        <f>80967790*0.00001</f>
        <v>809.67790000000002</v>
      </c>
      <c r="B4717">
        <v>3519</v>
      </c>
      <c r="C4717">
        <v>172</v>
      </c>
      <c r="D4717">
        <v>254.679</v>
      </c>
      <c r="E4717">
        <v>5217</v>
      </c>
      <c r="F4717">
        <v>1621</v>
      </c>
      <c r="G4717">
        <v>1</v>
      </c>
      <c r="H4717">
        <v>0.2</v>
      </c>
      <c r="I4717">
        <v>0</v>
      </c>
      <c r="J4717" s="1">
        <f>45.3182</f>
        <v>45.318199999999997</v>
      </c>
      <c r="K4717" s="1">
        <f>551.357</f>
        <v>551.35699999999997</v>
      </c>
      <c r="L4717">
        <v>0</v>
      </c>
    </row>
    <row r="4718" spans="1:12" x14ac:dyDescent="0.25">
      <c r="A4718">
        <f>80967921*0.00001</f>
        <v>809.67921000000001</v>
      </c>
      <c r="B4718">
        <v>3519</v>
      </c>
      <c r="C4718">
        <v>173</v>
      </c>
      <c r="D4718" s="1">
        <f>254.687</f>
        <v>254.68700000000001</v>
      </c>
      <c r="E4718" s="1">
        <f>5217</f>
        <v>5217</v>
      </c>
      <c r="F4718" s="1">
        <f>1621</f>
        <v>1621</v>
      </c>
      <c r="G4718" s="1">
        <f>1</f>
        <v>1</v>
      </c>
      <c r="H4718" s="1">
        <f>0.2</f>
        <v>0.2</v>
      </c>
      <c r="I4718" s="1">
        <f>0</f>
        <v>0</v>
      </c>
      <c r="J4718" s="1">
        <f>45.324</f>
        <v>45.323999999999998</v>
      </c>
      <c r="K4718" s="1">
        <f>551.416</f>
        <v>551.41600000000005</v>
      </c>
      <c r="L4718" s="1">
        <f>0</f>
        <v>0</v>
      </c>
    </row>
    <row r="4719" spans="1:12" s="2" customFormat="1" x14ac:dyDescent="0.25">
      <c r="A4719" s="2">
        <f>80968964*0.00001</f>
        <v>809.68964000000005</v>
      </c>
      <c r="B4719" s="2">
        <v>3520</v>
      </c>
      <c r="C4719" s="2">
        <v>1</v>
      </c>
      <c r="D4719" s="2">
        <v>254.68700000000001</v>
      </c>
      <c r="E4719" s="2">
        <v>5217</v>
      </c>
      <c r="F4719" s="2">
        <v>1621</v>
      </c>
      <c r="G4719" s="2">
        <v>1</v>
      </c>
      <c r="H4719" s="2">
        <v>0.2</v>
      </c>
      <c r="I4719" s="2">
        <v>0</v>
      </c>
      <c r="J4719" s="1">
        <f>45.3127</f>
        <v>45.3127</v>
      </c>
      <c r="K4719" s="2">
        <v>551.41600000000005</v>
      </c>
      <c r="L4719" s="2">
        <v>0</v>
      </c>
    </row>
    <row r="4720" spans="1:12" x14ac:dyDescent="0.25">
      <c r="A4720">
        <f>80969094*0.00001</f>
        <v>809.69094000000007</v>
      </c>
      <c r="B4720">
        <v>3520</v>
      </c>
      <c r="C4720">
        <v>2</v>
      </c>
      <c r="D4720">
        <v>254.68700000000001</v>
      </c>
      <c r="E4720">
        <v>5217</v>
      </c>
      <c r="F4720">
        <v>1621</v>
      </c>
      <c r="G4720">
        <v>1</v>
      </c>
      <c r="H4720">
        <v>0.2</v>
      </c>
      <c r="I4720">
        <v>0</v>
      </c>
      <c r="J4720">
        <v>45.3127</v>
      </c>
      <c r="K4720">
        <v>551.41600000000005</v>
      </c>
      <c r="L4720" s="1">
        <f>0</f>
        <v>0</v>
      </c>
    </row>
    <row r="4721" spans="1:12" x14ac:dyDescent="0.25">
      <c r="A4721">
        <f>80969224*0.00001</f>
        <v>809.69224000000008</v>
      </c>
      <c r="B4721">
        <v>3520</v>
      </c>
      <c r="C4721">
        <v>3</v>
      </c>
      <c r="D4721">
        <v>254.68700000000001</v>
      </c>
      <c r="E4721" s="1">
        <f>5217</f>
        <v>5217</v>
      </c>
      <c r="F4721">
        <v>1621</v>
      </c>
      <c r="G4721">
        <v>1</v>
      </c>
      <c r="H4721">
        <v>0.2</v>
      </c>
      <c r="I4721">
        <v>0</v>
      </c>
      <c r="J4721">
        <v>45.3127</v>
      </c>
      <c r="K4721">
        <v>551.41600000000005</v>
      </c>
      <c r="L4721">
        <v>0</v>
      </c>
    </row>
    <row r="4722" spans="1:12" x14ac:dyDescent="0.25">
      <c r="A4722">
        <f>80969355*0.00001</f>
        <v>809.69355000000007</v>
      </c>
      <c r="B4722">
        <v>3520</v>
      </c>
      <c r="C4722">
        <v>4</v>
      </c>
      <c r="D4722">
        <v>254.68700000000001</v>
      </c>
      <c r="E4722">
        <v>5217</v>
      </c>
      <c r="F4722">
        <v>1621</v>
      </c>
      <c r="G4722" s="1">
        <f>1</f>
        <v>1</v>
      </c>
      <c r="H4722">
        <v>0.2</v>
      </c>
      <c r="I4722">
        <v>0</v>
      </c>
      <c r="J4722">
        <v>45.3127</v>
      </c>
      <c r="K4722">
        <v>551.41600000000005</v>
      </c>
      <c r="L4722">
        <v>0</v>
      </c>
    </row>
    <row r="4723" spans="1:12" x14ac:dyDescent="0.25">
      <c r="A4723">
        <f>80969485*0.00001</f>
        <v>809.69485000000009</v>
      </c>
      <c r="B4723">
        <v>3520</v>
      </c>
      <c r="C4723">
        <v>5</v>
      </c>
      <c r="D4723">
        <v>254.68700000000001</v>
      </c>
      <c r="E4723">
        <v>5217</v>
      </c>
      <c r="F4723">
        <v>1621</v>
      </c>
      <c r="G4723">
        <v>1</v>
      </c>
      <c r="H4723">
        <v>0.2</v>
      </c>
      <c r="I4723" s="1">
        <f>0</f>
        <v>0</v>
      </c>
      <c r="J4723">
        <v>45.3127</v>
      </c>
      <c r="K4723">
        <v>551.41600000000005</v>
      </c>
      <c r="L4723">
        <v>0</v>
      </c>
    </row>
    <row r="4724" spans="1:12" x14ac:dyDescent="0.25">
      <c r="A4724">
        <f>80969616*0.00001</f>
        <v>809.69616000000008</v>
      </c>
      <c r="B4724">
        <v>3520</v>
      </c>
      <c r="C4724">
        <v>6</v>
      </c>
      <c r="D4724">
        <v>254.68700000000001</v>
      </c>
      <c r="E4724">
        <v>5217</v>
      </c>
      <c r="F4724">
        <v>1621</v>
      </c>
      <c r="G4724">
        <v>1</v>
      </c>
      <c r="H4724">
        <v>0.2</v>
      </c>
      <c r="I4724">
        <v>0</v>
      </c>
      <c r="J4724">
        <v>45.3127</v>
      </c>
      <c r="K4724" s="1">
        <f>551.499</f>
        <v>551.49900000000002</v>
      </c>
      <c r="L4724">
        <v>0</v>
      </c>
    </row>
    <row r="4725" spans="1:12" x14ac:dyDescent="0.25">
      <c r="A4725">
        <f>80969747*0.00001</f>
        <v>809.69747000000007</v>
      </c>
      <c r="B4725">
        <v>3520</v>
      </c>
      <c r="C4725">
        <v>7</v>
      </c>
      <c r="D4725" s="1">
        <f>254.69</f>
        <v>254.69</v>
      </c>
      <c r="E4725">
        <v>5217</v>
      </c>
      <c r="F4725">
        <v>1621</v>
      </c>
      <c r="G4725">
        <v>1</v>
      </c>
      <c r="H4725">
        <v>0.2</v>
      </c>
      <c r="I4725">
        <v>0</v>
      </c>
      <c r="J4725">
        <v>45.3127</v>
      </c>
      <c r="K4725">
        <v>551.49900000000002</v>
      </c>
      <c r="L4725">
        <v>0</v>
      </c>
    </row>
    <row r="4726" spans="1:12" x14ac:dyDescent="0.25">
      <c r="A4726">
        <f>80969878*0.00001</f>
        <v>809.69878000000006</v>
      </c>
      <c r="B4726">
        <v>3520</v>
      </c>
      <c r="C4726">
        <v>8</v>
      </c>
      <c r="D4726">
        <v>254.69</v>
      </c>
      <c r="E4726">
        <v>5217</v>
      </c>
      <c r="F4726" s="1">
        <f>1621</f>
        <v>1621</v>
      </c>
      <c r="G4726">
        <v>1</v>
      </c>
      <c r="H4726">
        <v>0.2</v>
      </c>
      <c r="I4726">
        <v>0</v>
      </c>
      <c r="J4726">
        <v>45.3127</v>
      </c>
      <c r="K4726">
        <v>551.49900000000002</v>
      </c>
      <c r="L4726">
        <v>0</v>
      </c>
    </row>
    <row r="4727" spans="1:12" x14ac:dyDescent="0.25">
      <c r="A4727">
        <f>80970009*0.00001</f>
        <v>809.70009000000005</v>
      </c>
      <c r="B4727">
        <v>3520</v>
      </c>
      <c r="C4727">
        <v>9</v>
      </c>
      <c r="D4727">
        <v>254.69</v>
      </c>
      <c r="E4727">
        <v>5217</v>
      </c>
      <c r="F4727">
        <v>1621</v>
      </c>
      <c r="G4727">
        <v>1</v>
      </c>
      <c r="H4727" s="1">
        <f>0.2</f>
        <v>0.2</v>
      </c>
      <c r="I4727">
        <v>0</v>
      </c>
      <c r="J4727">
        <v>45.3127</v>
      </c>
      <c r="K4727">
        <v>551.49900000000002</v>
      </c>
      <c r="L4727">
        <v>0</v>
      </c>
    </row>
    <row r="4728" spans="1:12" x14ac:dyDescent="0.25">
      <c r="A4728">
        <f>80970139*0.00001</f>
        <v>809.70139000000006</v>
      </c>
      <c r="B4728">
        <v>3520</v>
      </c>
      <c r="C4728">
        <v>10</v>
      </c>
      <c r="D4728">
        <v>254.69</v>
      </c>
      <c r="E4728">
        <v>5217</v>
      </c>
      <c r="F4728">
        <v>1621</v>
      </c>
      <c r="G4728">
        <v>1</v>
      </c>
      <c r="H4728">
        <v>0.2</v>
      </c>
      <c r="I4728" s="1">
        <f>0</f>
        <v>0</v>
      </c>
      <c r="J4728" s="1">
        <f>45.3087</f>
        <v>45.308700000000002</v>
      </c>
      <c r="K4728">
        <v>551.49900000000002</v>
      </c>
      <c r="L4728">
        <v>0</v>
      </c>
    </row>
    <row r="4729" spans="1:12" x14ac:dyDescent="0.25">
      <c r="A4729">
        <f>80970269*0.00001</f>
        <v>809.70269000000008</v>
      </c>
      <c r="B4729">
        <v>3520</v>
      </c>
      <c r="C4729">
        <v>11</v>
      </c>
      <c r="D4729">
        <v>254.69</v>
      </c>
      <c r="E4729">
        <v>5217</v>
      </c>
      <c r="F4729">
        <v>1621</v>
      </c>
      <c r="G4729">
        <v>1</v>
      </c>
      <c r="H4729">
        <v>0.2</v>
      </c>
      <c r="I4729">
        <v>0</v>
      </c>
      <c r="J4729">
        <v>45.308700000000002</v>
      </c>
      <c r="K4729" s="1">
        <f>551.558</f>
        <v>551.55799999999999</v>
      </c>
      <c r="L4729" s="1">
        <f>0</f>
        <v>0</v>
      </c>
    </row>
    <row r="4730" spans="1:12" x14ac:dyDescent="0.25">
      <c r="A4730">
        <f>80970399*0.00001</f>
        <v>809.70399000000009</v>
      </c>
      <c r="B4730">
        <v>3520</v>
      </c>
      <c r="C4730">
        <v>12</v>
      </c>
      <c r="D4730" s="1">
        <f>254.692</f>
        <v>254.69200000000001</v>
      </c>
      <c r="E4730" s="1">
        <f>5218</f>
        <v>5218</v>
      </c>
      <c r="F4730">
        <v>1621</v>
      </c>
      <c r="G4730">
        <v>1</v>
      </c>
      <c r="H4730">
        <v>0.2</v>
      </c>
      <c r="I4730">
        <v>0</v>
      </c>
      <c r="J4730">
        <v>45.308700000000002</v>
      </c>
      <c r="K4730">
        <v>551.55799999999999</v>
      </c>
      <c r="L4730">
        <v>0</v>
      </c>
    </row>
    <row r="4731" spans="1:12" x14ac:dyDescent="0.25">
      <c r="A4731">
        <f>80970529*0.00001</f>
        <v>809.7052900000001</v>
      </c>
      <c r="B4731">
        <v>3520</v>
      </c>
      <c r="C4731">
        <v>13</v>
      </c>
      <c r="D4731">
        <v>254.69200000000001</v>
      </c>
      <c r="E4731">
        <v>5218</v>
      </c>
      <c r="F4731" s="1">
        <f>1621</f>
        <v>1621</v>
      </c>
      <c r="G4731" s="1">
        <f>1</f>
        <v>1</v>
      </c>
      <c r="H4731">
        <v>0.2</v>
      </c>
      <c r="I4731">
        <v>0</v>
      </c>
      <c r="J4731">
        <v>45.308700000000002</v>
      </c>
      <c r="K4731">
        <v>551.55799999999999</v>
      </c>
      <c r="L4731">
        <v>0</v>
      </c>
    </row>
    <row r="4732" spans="1:12" x14ac:dyDescent="0.25">
      <c r="A4732">
        <f>80970659*0.00001</f>
        <v>809.70659000000012</v>
      </c>
      <c r="B4732">
        <v>3520</v>
      </c>
      <c r="C4732">
        <v>14</v>
      </c>
      <c r="D4732">
        <v>254.69200000000001</v>
      </c>
      <c r="E4732">
        <v>5218</v>
      </c>
      <c r="F4732">
        <v>1621</v>
      </c>
      <c r="G4732">
        <v>1</v>
      </c>
      <c r="H4732" s="1">
        <f>0.2</f>
        <v>0.2</v>
      </c>
      <c r="I4732" s="1">
        <f>0</f>
        <v>0</v>
      </c>
      <c r="J4732">
        <v>45.308700000000002</v>
      </c>
      <c r="K4732">
        <v>551.55799999999999</v>
      </c>
      <c r="L4732">
        <v>0</v>
      </c>
    </row>
    <row r="4733" spans="1:12" x14ac:dyDescent="0.25">
      <c r="A4733">
        <f>80970789*0.00001</f>
        <v>809.70789000000002</v>
      </c>
      <c r="B4733">
        <v>3520</v>
      </c>
      <c r="C4733">
        <v>15</v>
      </c>
      <c r="D4733">
        <v>254.69200000000001</v>
      </c>
      <c r="E4733">
        <v>5218</v>
      </c>
      <c r="F4733">
        <v>1621</v>
      </c>
      <c r="G4733">
        <v>1</v>
      </c>
      <c r="H4733">
        <v>0.2</v>
      </c>
      <c r="I4733">
        <v>0</v>
      </c>
      <c r="J4733" s="1">
        <f>45.3071</f>
        <v>45.307099999999998</v>
      </c>
      <c r="K4733" s="1">
        <f>551.606</f>
        <v>551.60599999999999</v>
      </c>
      <c r="L4733">
        <v>0</v>
      </c>
    </row>
    <row r="4734" spans="1:12" x14ac:dyDescent="0.25">
      <c r="A4734">
        <f>80970919*0.00001</f>
        <v>809.70919000000004</v>
      </c>
      <c r="B4734">
        <v>3520</v>
      </c>
      <c r="C4734">
        <v>16</v>
      </c>
      <c r="D4734" s="1">
        <f>254.694</f>
        <v>254.69399999999999</v>
      </c>
      <c r="E4734" s="1">
        <f>5218</f>
        <v>5218</v>
      </c>
      <c r="F4734" s="1">
        <f>1621</f>
        <v>1621</v>
      </c>
      <c r="G4734" s="1">
        <f>1</f>
        <v>1</v>
      </c>
      <c r="H4734" s="1">
        <f>0.2</f>
        <v>0.2</v>
      </c>
      <c r="I4734" s="1">
        <f>0</f>
        <v>0</v>
      </c>
      <c r="J4734" s="1">
        <f>45.3063</f>
        <v>45.3063</v>
      </c>
      <c r="K4734" s="1">
        <f>551.665</f>
        <v>551.66499999999996</v>
      </c>
      <c r="L4734" s="1">
        <f>0</f>
        <v>0</v>
      </c>
    </row>
    <row r="4735" spans="1:12" x14ac:dyDescent="0.25">
      <c r="A4735">
        <f>80971965*0.00001</f>
        <v>809.71965000000012</v>
      </c>
      <c r="B4735">
        <v>3520</v>
      </c>
      <c r="C4735">
        <v>24</v>
      </c>
      <c r="D4735">
        <v>254.69399999999999</v>
      </c>
      <c r="E4735">
        <v>5218</v>
      </c>
      <c r="F4735">
        <v>1621</v>
      </c>
      <c r="G4735">
        <v>1</v>
      </c>
      <c r="H4735">
        <v>0.2</v>
      </c>
      <c r="I4735">
        <v>0</v>
      </c>
      <c r="J4735" s="1">
        <f>45.309</f>
        <v>45.308999999999997</v>
      </c>
      <c r="K4735">
        <v>551.66499999999996</v>
      </c>
      <c r="L4735">
        <v>0</v>
      </c>
    </row>
    <row r="4736" spans="1:12" x14ac:dyDescent="0.25">
      <c r="A4736">
        <f>80972095*0.00001</f>
        <v>809.72095000000002</v>
      </c>
      <c r="B4736">
        <v>3520</v>
      </c>
      <c r="C4736">
        <v>25</v>
      </c>
      <c r="D4736">
        <v>254.69399999999999</v>
      </c>
      <c r="E4736">
        <v>5218</v>
      </c>
      <c r="F4736">
        <v>1621</v>
      </c>
      <c r="G4736">
        <v>1</v>
      </c>
      <c r="H4736">
        <v>0.2</v>
      </c>
      <c r="I4736">
        <v>0</v>
      </c>
      <c r="J4736">
        <v>45.308999999999997</v>
      </c>
      <c r="K4736">
        <v>551.66499999999996</v>
      </c>
      <c r="L4736" s="1">
        <f>0</f>
        <v>0</v>
      </c>
    </row>
    <row r="4737" spans="1:12" x14ac:dyDescent="0.25">
      <c r="A4737">
        <f>80972225*0.00001</f>
        <v>809.72225000000003</v>
      </c>
      <c r="B4737">
        <v>3520</v>
      </c>
      <c r="C4737">
        <v>26</v>
      </c>
      <c r="D4737">
        <v>254.69399999999999</v>
      </c>
      <c r="E4737" s="1">
        <f>5218</f>
        <v>5218</v>
      </c>
      <c r="F4737">
        <v>1621</v>
      </c>
      <c r="G4737">
        <v>1</v>
      </c>
      <c r="H4737">
        <v>0.2</v>
      </c>
      <c r="I4737">
        <v>0</v>
      </c>
      <c r="J4737">
        <v>45.308999999999997</v>
      </c>
      <c r="K4737">
        <v>551.66499999999996</v>
      </c>
      <c r="L4737">
        <v>0</v>
      </c>
    </row>
    <row r="4738" spans="1:12" x14ac:dyDescent="0.25">
      <c r="A4738">
        <f>80972355*0.00001</f>
        <v>809.72355000000005</v>
      </c>
      <c r="B4738">
        <v>3520</v>
      </c>
      <c r="C4738">
        <v>27</v>
      </c>
      <c r="D4738">
        <v>254.69399999999999</v>
      </c>
      <c r="E4738">
        <v>5218</v>
      </c>
      <c r="F4738">
        <v>1621</v>
      </c>
      <c r="G4738" s="1">
        <f>1</f>
        <v>1</v>
      </c>
      <c r="H4738">
        <v>0.2</v>
      </c>
      <c r="I4738">
        <v>0</v>
      </c>
      <c r="J4738">
        <v>45.308999999999997</v>
      </c>
      <c r="K4738">
        <v>551.66499999999996</v>
      </c>
      <c r="L4738">
        <v>0</v>
      </c>
    </row>
    <row r="4739" spans="1:12" x14ac:dyDescent="0.25">
      <c r="A4739">
        <f>80972485*0.00001</f>
        <v>809.72485000000006</v>
      </c>
      <c r="B4739">
        <v>3520</v>
      </c>
      <c r="C4739">
        <v>28</v>
      </c>
      <c r="D4739">
        <v>254.69399999999999</v>
      </c>
      <c r="E4739">
        <v>5218</v>
      </c>
      <c r="F4739">
        <v>1621</v>
      </c>
      <c r="G4739">
        <v>1</v>
      </c>
      <c r="H4739">
        <v>0.2</v>
      </c>
      <c r="I4739" s="1">
        <f>0</f>
        <v>0</v>
      </c>
      <c r="J4739">
        <v>45.308999999999997</v>
      </c>
      <c r="K4739">
        <v>551.66499999999996</v>
      </c>
      <c r="L4739">
        <v>0</v>
      </c>
    </row>
    <row r="4740" spans="1:12" x14ac:dyDescent="0.25">
      <c r="A4740">
        <f>80972615*0.00001</f>
        <v>809.72615000000008</v>
      </c>
      <c r="B4740">
        <v>3520</v>
      </c>
      <c r="C4740">
        <v>29</v>
      </c>
      <c r="D4740">
        <v>254.69399999999999</v>
      </c>
      <c r="E4740">
        <v>5218</v>
      </c>
      <c r="F4740">
        <v>1621</v>
      </c>
      <c r="G4740">
        <v>1</v>
      </c>
      <c r="H4740">
        <v>0.2</v>
      </c>
      <c r="I4740">
        <v>0</v>
      </c>
      <c r="J4740">
        <v>45.308999999999997</v>
      </c>
      <c r="K4740" s="1">
        <f>551.772</f>
        <v>551.77200000000005</v>
      </c>
      <c r="L4740">
        <v>0</v>
      </c>
    </row>
    <row r="4741" spans="1:12" x14ac:dyDescent="0.25">
      <c r="A4741">
        <f>80972745*0.00001</f>
        <v>809.72745000000009</v>
      </c>
      <c r="B4741">
        <v>3520</v>
      </c>
      <c r="C4741">
        <v>30</v>
      </c>
      <c r="D4741" s="1">
        <f>254.696</f>
        <v>254.696</v>
      </c>
      <c r="E4741">
        <v>5218</v>
      </c>
      <c r="F4741">
        <v>1621</v>
      </c>
      <c r="G4741">
        <v>1</v>
      </c>
      <c r="H4741">
        <v>0.2</v>
      </c>
      <c r="I4741">
        <v>0</v>
      </c>
      <c r="J4741">
        <v>45.308999999999997</v>
      </c>
      <c r="K4741">
        <v>551.77200000000005</v>
      </c>
      <c r="L4741">
        <v>0</v>
      </c>
    </row>
    <row r="4742" spans="1:12" x14ac:dyDescent="0.25">
      <c r="A4742">
        <f>80972875*0.00001</f>
        <v>809.7287500000001</v>
      </c>
      <c r="B4742">
        <v>3520</v>
      </c>
      <c r="C4742">
        <v>31</v>
      </c>
      <c r="D4742">
        <v>254.696</v>
      </c>
      <c r="E4742" s="1">
        <f>5219</f>
        <v>5219</v>
      </c>
      <c r="F4742" s="1">
        <f>1621</f>
        <v>1621</v>
      </c>
      <c r="G4742">
        <v>1</v>
      </c>
      <c r="H4742">
        <v>0.2</v>
      </c>
      <c r="I4742">
        <v>0</v>
      </c>
      <c r="J4742">
        <v>45.308999999999997</v>
      </c>
      <c r="K4742">
        <v>551.77200000000005</v>
      </c>
      <c r="L4742">
        <v>0</v>
      </c>
    </row>
    <row r="4743" spans="1:12" x14ac:dyDescent="0.25">
      <c r="A4743">
        <f>80973005*0.00001</f>
        <v>809.73005000000012</v>
      </c>
      <c r="B4743">
        <v>3520</v>
      </c>
      <c r="C4743">
        <v>32</v>
      </c>
      <c r="D4743">
        <v>254.696</v>
      </c>
      <c r="E4743">
        <v>5219</v>
      </c>
      <c r="F4743">
        <v>1621</v>
      </c>
      <c r="G4743" s="1">
        <f>1</f>
        <v>1</v>
      </c>
      <c r="H4743" s="1">
        <f>0.2</f>
        <v>0.2</v>
      </c>
      <c r="I4743">
        <v>0</v>
      </c>
      <c r="J4743">
        <v>45.308999999999997</v>
      </c>
      <c r="K4743">
        <v>551.77200000000005</v>
      </c>
      <c r="L4743">
        <v>0</v>
      </c>
    </row>
    <row r="4744" spans="1:12" x14ac:dyDescent="0.25">
      <c r="A4744">
        <f>80973135*0.00001</f>
        <v>809.73135000000002</v>
      </c>
      <c r="B4744">
        <v>3520</v>
      </c>
      <c r="C4744">
        <v>33</v>
      </c>
      <c r="D4744">
        <v>254.696</v>
      </c>
      <c r="E4744">
        <v>5219</v>
      </c>
      <c r="F4744">
        <v>1621</v>
      </c>
      <c r="G4744">
        <v>1</v>
      </c>
      <c r="H4744">
        <v>0.2</v>
      </c>
      <c r="I4744" s="1">
        <f>0</f>
        <v>0</v>
      </c>
      <c r="J4744" s="1">
        <f>45.3054</f>
        <v>45.305399999999999</v>
      </c>
      <c r="K4744">
        <v>551.77200000000005</v>
      </c>
      <c r="L4744">
        <v>0</v>
      </c>
    </row>
    <row r="4745" spans="1:12" x14ac:dyDescent="0.25">
      <c r="A4745">
        <f>80973266*0.00001</f>
        <v>809.73266000000001</v>
      </c>
      <c r="B4745">
        <v>3520</v>
      </c>
      <c r="C4745">
        <v>34</v>
      </c>
      <c r="D4745">
        <v>254.696</v>
      </c>
      <c r="E4745">
        <v>5219</v>
      </c>
      <c r="F4745">
        <v>1621</v>
      </c>
      <c r="G4745">
        <v>1</v>
      </c>
      <c r="H4745">
        <v>0.2</v>
      </c>
      <c r="I4745">
        <v>0</v>
      </c>
      <c r="J4745">
        <v>45.305399999999999</v>
      </c>
      <c r="K4745" s="1">
        <f>551.831</f>
        <v>551.83100000000002</v>
      </c>
      <c r="L4745" s="1">
        <f>0</f>
        <v>0</v>
      </c>
    </row>
    <row r="4746" spans="1:12" x14ac:dyDescent="0.25">
      <c r="A4746">
        <f>80973396*0.00001</f>
        <v>809.73396000000002</v>
      </c>
      <c r="B4746">
        <v>3520</v>
      </c>
      <c r="C4746">
        <v>35</v>
      </c>
      <c r="D4746" s="1">
        <f>254.687</f>
        <v>254.68700000000001</v>
      </c>
      <c r="E4746" s="1">
        <f>5219</f>
        <v>5219</v>
      </c>
      <c r="F4746">
        <v>1621</v>
      </c>
      <c r="G4746">
        <v>1</v>
      </c>
      <c r="H4746">
        <v>0.2</v>
      </c>
      <c r="I4746">
        <v>0</v>
      </c>
      <c r="J4746">
        <v>45.305399999999999</v>
      </c>
      <c r="K4746">
        <v>551.83100000000002</v>
      </c>
      <c r="L4746">
        <v>0</v>
      </c>
    </row>
    <row r="4747" spans="1:12" x14ac:dyDescent="0.25">
      <c r="A4747">
        <f>80973527*0.00001</f>
        <v>809.73527000000001</v>
      </c>
      <c r="B4747">
        <v>3520</v>
      </c>
      <c r="C4747">
        <v>36</v>
      </c>
      <c r="D4747">
        <v>254.68700000000001</v>
      </c>
      <c r="E4747">
        <v>5219</v>
      </c>
      <c r="F4747" s="1">
        <f>1621</f>
        <v>1621</v>
      </c>
      <c r="G4747" s="1">
        <f>1</f>
        <v>1</v>
      </c>
      <c r="H4747">
        <v>0.2</v>
      </c>
      <c r="I4747">
        <v>0</v>
      </c>
      <c r="J4747">
        <v>45.305399999999999</v>
      </c>
      <c r="K4747">
        <v>551.83100000000002</v>
      </c>
      <c r="L4747">
        <v>0</v>
      </c>
    </row>
    <row r="4748" spans="1:12" x14ac:dyDescent="0.25">
      <c r="A4748">
        <f>80973658*0.00001</f>
        <v>809.73658000000012</v>
      </c>
      <c r="B4748">
        <v>3520</v>
      </c>
      <c r="C4748">
        <v>37</v>
      </c>
      <c r="D4748" s="1">
        <f>254.697</f>
        <v>254.697</v>
      </c>
      <c r="E4748" s="1">
        <f>5219</f>
        <v>5219</v>
      </c>
      <c r="F4748" s="1">
        <f>1621</f>
        <v>1621</v>
      </c>
      <c r="G4748" s="1">
        <f>1</f>
        <v>1</v>
      </c>
      <c r="H4748" s="1">
        <f>0.2</f>
        <v>0.2</v>
      </c>
      <c r="I4748" s="1">
        <f>0</f>
        <v>0</v>
      </c>
      <c r="J4748" s="1">
        <f>45.303</f>
        <v>45.302999999999997</v>
      </c>
      <c r="K4748" s="1">
        <f>551.938</f>
        <v>551.93799999999999</v>
      </c>
      <c r="L4748" s="1">
        <f>0</f>
        <v>0</v>
      </c>
    </row>
    <row r="4749" spans="1:12" x14ac:dyDescent="0.25">
      <c r="A4749">
        <f>80974831*0.00001</f>
        <v>809.74831000000006</v>
      </c>
      <c r="B4749">
        <v>3520</v>
      </c>
      <c r="C4749">
        <v>46</v>
      </c>
      <c r="D4749">
        <v>254.697</v>
      </c>
      <c r="E4749">
        <v>5219</v>
      </c>
      <c r="F4749">
        <v>1621</v>
      </c>
      <c r="G4749">
        <v>1</v>
      </c>
      <c r="H4749" s="1">
        <f>0.2</f>
        <v>0.2</v>
      </c>
      <c r="I4749">
        <v>0</v>
      </c>
      <c r="J4749">
        <v>45.302999999999997</v>
      </c>
      <c r="K4749">
        <v>551.93799999999999</v>
      </c>
      <c r="L4749">
        <v>0</v>
      </c>
    </row>
    <row r="4750" spans="1:12" x14ac:dyDescent="0.25">
      <c r="A4750">
        <f>80974961*0.00001</f>
        <v>809.74961000000008</v>
      </c>
      <c r="B4750">
        <v>3520</v>
      </c>
      <c r="C4750">
        <v>47</v>
      </c>
      <c r="D4750">
        <v>254.697</v>
      </c>
      <c r="E4750">
        <v>5219</v>
      </c>
      <c r="F4750">
        <v>1621</v>
      </c>
      <c r="G4750">
        <v>1</v>
      </c>
      <c r="H4750">
        <v>0.2</v>
      </c>
      <c r="I4750">
        <v>0</v>
      </c>
      <c r="J4750" s="1">
        <f>45.3019</f>
        <v>45.301900000000003</v>
      </c>
      <c r="K4750">
        <v>551.93799999999999</v>
      </c>
      <c r="L4750">
        <v>0</v>
      </c>
    </row>
    <row r="4751" spans="1:12" x14ac:dyDescent="0.25">
      <c r="A4751">
        <f>80975092*0.00001</f>
        <v>809.75092000000006</v>
      </c>
      <c r="B4751">
        <v>3520</v>
      </c>
      <c r="C4751">
        <v>48</v>
      </c>
      <c r="D4751">
        <v>254.697</v>
      </c>
      <c r="E4751">
        <v>5219</v>
      </c>
      <c r="F4751">
        <v>1621</v>
      </c>
      <c r="G4751">
        <v>1</v>
      </c>
      <c r="H4751">
        <v>0.2</v>
      </c>
      <c r="I4751">
        <v>0</v>
      </c>
      <c r="J4751">
        <v>45.301900000000003</v>
      </c>
      <c r="K4751">
        <v>551.93799999999999</v>
      </c>
      <c r="L4751" s="1">
        <f>0</f>
        <v>0</v>
      </c>
    </row>
    <row r="4752" spans="1:12" x14ac:dyDescent="0.25">
      <c r="A4752">
        <f>80975223*0.00001</f>
        <v>809.75223000000005</v>
      </c>
      <c r="B4752">
        <v>3520</v>
      </c>
      <c r="C4752">
        <v>49</v>
      </c>
      <c r="D4752">
        <v>254.697</v>
      </c>
      <c r="E4752" s="1">
        <f>5220</f>
        <v>5220</v>
      </c>
      <c r="F4752">
        <v>1621</v>
      </c>
      <c r="G4752">
        <v>1</v>
      </c>
      <c r="H4752">
        <v>0.2</v>
      </c>
      <c r="I4752">
        <v>0</v>
      </c>
      <c r="J4752">
        <v>45.301900000000003</v>
      </c>
      <c r="K4752">
        <v>551.93799999999999</v>
      </c>
      <c r="L4752">
        <v>0</v>
      </c>
    </row>
    <row r="4753" spans="1:12" x14ac:dyDescent="0.25">
      <c r="A4753">
        <f>80975354*0.00001</f>
        <v>809.75354000000004</v>
      </c>
      <c r="B4753">
        <v>3520</v>
      </c>
      <c r="C4753">
        <v>50</v>
      </c>
      <c r="D4753">
        <v>254.697</v>
      </c>
      <c r="E4753">
        <v>5220</v>
      </c>
      <c r="F4753">
        <v>1621</v>
      </c>
      <c r="G4753" s="1">
        <f>1</f>
        <v>1</v>
      </c>
      <c r="H4753">
        <v>0.2</v>
      </c>
      <c r="I4753">
        <v>0</v>
      </c>
      <c r="J4753">
        <v>45.301900000000003</v>
      </c>
      <c r="K4753">
        <v>551.93799999999999</v>
      </c>
      <c r="L4753">
        <v>0</v>
      </c>
    </row>
    <row r="4754" spans="1:12" x14ac:dyDescent="0.25">
      <c r="A4754">
        <f>80975485*0.00001</f>
        <v>809.75485000000003</v>
      </c>
      <c r="B4754">
        <v>3520</v>
      </c>
      <c r="C4754">
        <v>51</v>
      </c>
      <c r="D4754">
        <v>254.697</v>
      </c>
      <c r="E4754">
        <v>5220</v>
      </c>
      <c r="F4754">
        <v>1621</v>
      </c>
      <c r="G4754">
        <v>1</v>
      </c>
      <c r="H4754">
        <v>0.2</v>
      </c>
      <c r="I4754" s="1">
        <f>0</f>
        <v>0</v>
      </c>
      <c r="J4754">
        <v>45.301900000000003</v>
      </c>
      <c r="K4754">
        <v>551.93799999999999</v>
      </c>
      <c r="L4754">
        <v>0</v>
      </c>
    </row>
    <row r="4755" spans="1:12" x14ac:dyDescent="0.25">
      <c r="A4755">
        <f>80975616*0.00001</f>
        <v>809.75616000000002</v>
      </c>
      <c r="B4755">
        <v>3520</v>
      </c>
      <c r="C4755">
        <v>52</v>
      </c>
      <c r="D4755">
        <v>254.697</v>
      </c>
      <c r="E4755">
        <v>5220</v>
      </c>
      <c r="F4755">
        <v>1621</v>
      </c>
      <c r="G4755">
        <v>1</v>
      </c>
      <c r="H4755">
        <v>0.2</v>
      </c>
      <c r="I4755">
        <v>0</v>
      </c>
      <c r="J4755">
        <v>45.301900000000003</v>
      </c>
      <c r="K4755" s="1">
        <f>552.045</f>
        <v>552.04499999999996</v>
      </c>
      <c r="L4755">
        <v>0</v>
      </c>
    </row>
    <row r="4756" spans="1:12" x14ac:dyDescent="0.25">
      <c r="A4756">
        <f>80975747*0.00001</f>
        <v>809.75747000000001</v>
      </c>
      <c r="B4756">
        <v>3520</v>
      </c>
      <c r="C4756">
        <v>53</v>
      </c>
      <c r="D4756" s="1">
        <f>254.698</f>
        <v>254.69800000000001</v>
      </c>
      <c r="E4756">
        <v>5220</v>
      </c>
      <c r="F4756">
        <v>1621</v>
      </c>
      <c r="G4756">
        <v>1</v>
      </c>
      <c r="H4756">
        <v>0.2</v>
      </c>
      <c r="I4756">
        <v>0</v>
      </c>
      <c r="J4756">
        <v>45.301900000000003</v>
      </c>
      <c r="K4756">
        <v>552.04499999999996</v>
      </c>
      <c r="L4756">
        <v>0</v>
      </c>
    </row>
    <row r="4757" spans="1:12" x14ac:dyDescent="0.25">
      <c r="A4757">
        <f>80975878*0.00001</f>
        <v>809.75878000000012</v>
      </c>
      <c r="B4757">
        <v>3520</v>
      </c>
      <c r="C4757">
        <v>54</v>
      </c>
      <c r="D4757">
        <v>254.69800000000001</v>
      </c>
      <c r="E4757" s="1">
        <f>5220</f>
        <v>5220</v>
      </c>
      <c r="F4757" s="1">
        <f>1621</f>
        <v>1621</v>
      </c>
      <c r="G4757">
        <v>1</v>
      </c>
      <c r="H4757">
        <v>0.2</v>
      </c>
      <c r="I4757">
        <v>0</v>
      </c>
      <c r="J4757">
        <v>45.301900000000003</v>
      </c>
      <c r="K4757">
        <v>552.04499999999996</v>
      </c>
      <c r="L4757">
        <v>0</v>
      </c>
    </row>
    <row r="4758" spans="1:12" x14ac:dyDescent="0.25">
      <c r="A4758">
        <f>80976008*0.00001</f>
        <v>809.76008000000002</v>
      </c>
      <c r="B4758">
        <v>3520</v>
      </c>
      <c r="C4758">
        <v>55</v>
      </c>
      <c r="D4758">
        <v>254.69800000000001</v>
      </c>
      <c r="E4758">
        <v>5220</v>
      </c>
      <c r="F4758">
        <v>1621</v>
      </c>
      <c r="G4758" s="1">
        <f>1</f>
        <v>1</v>
      </c>
      <c r="H4758" s="1">
        <f>0.2</f>
        <v>0.2</v>
      </c>
      <c r="I4758">
        <v>0</v>
      </c>
      <c r="J4758">
        <v>45.301900000000003</v>
      </c>
      <c r="K4758">
        <v>552.04499999999996</v>
      </c>
      <c r="L4758">
        <v>0</v>
      </c>
    </row>
    <row r="4759" spans="1:12" x14ac:dyDescent="0.25">
      <c r="A4759">
        <f>80976138*0.00001</f>
        <v>809.76138000000003</v>
      </c>
      <c r="B4759">
        <v>3520</v>
      </c>
      <c r="C4759">
        <v>56</v>
      </c>
      <c r="D4759">
        <v>254.69800000000001</v>
      </c>
      <c r="E4759">
        <v>5220</v>
      </c>
      <c r="F4759">
        <v>1621</v>
      </c>
      <c r="G4759">
        <v>1</v>
      </c>
      <c r="H4759">
        <v>0.2</v>
      </c>
      <c r="I4759" s="1">
        <f>0</f>
        <v>0</v>
      </c>
      <c r="J4759" s="1">
        <f>45.3016</f>
        <v>45.301600000000001</v>
      </c>
      <c r="K4759">
        <v>552.04499999999996</v>
      </c>
      <c r="L4759">
        <v>0</v>
      </c>
    </row>
    <row r="4760" spans="1:12" x14ac:dyDescent="0.25">
      <c r="A4760">
        <f>80976268*0.00001</f>
        <v>809.76268000000005</v>
      </c>
      <c r="B4760">
        <v>3520</v>
      </c>
      <c r="C4760">
        <v>57</v>
      </c>
      <c r="D4760">
        <v>254.69800000000001</v>
      </c>
      <c r="E4760">
        <v>5220</v>
      </c>
      <c r="F4760">
        <v>1621</v>
      </c>
      <c r="G4760">
        <v>1</v>
      </c>
      <c r="H4760">
        <v>0.2</v>
      </c>
      <c r="I4760">
        <v>0</v>
      </c>
      <c r="J4760">
        <v>45.301600000000001</v>
      </c>
      <c r="K4760" s="1">
        <f>552.104</f>
        <v>552.10400000000004</v>
      </c>
      <c r="L4760" s="1">
        <f>0</f>
        <v>0</v>
      </c>
    </row>
    <row r="4761" spans="1:12" x14ac:dyDescent="0.25">
      <c r="A4761">
        <f>80976398*0.00001</f>
        <v>809.76398000000006</v>
      </c>
      <c r="B4761">
        <v>3520</v>
      </c>
      <c r="C4761">
        <v>58</v>
      </c>
      <c r="D4761" s="1">
        <f>254.698</f>
        <v>254.69800000000001</v>
      </c>
      <c r="E4761" s="1">
        <f>5220</f>
        <v>5220</v>
      </c>
      <c r="F4761">
        <v>1621</v>
      </c>
      <c r="G4761">
        <v>1</v>
      </c>
      <c r="H4761">
        <v>0.2</v>
      </c>
      <c r="I4761">
        <v>0</v>
      </c>
      <c r="J4761">
        <v>45.301600000000001</v>
      </c>
      <c r="K4761">
        <v>552.10400000000004</v>
      </c>
      <c r="L4761">
        <v>0</v>
      </c>
    </row>
    <row r="4762" spans="1:12" x14ac:dyDescent="0.25">
      <c r="A4762">
        <f>80976528*0.00001</f>
        <v>809.76528000000008</v>
      </c>
      <c r="B4762">
        <v>3520</v>
      </c>
      <c r="C4762">
        <v>59</v>
      </c>
      <c r="D4762" s="1">
        <f>254.698</f>
        <v>254.69800000000001</v>
      </c>
      <c r="E4762" s="1">
        <f>5221</f>
        <v>5221</v>
      </c>
      <c r="F4762" s="1">
        <f>1621</f>
        <v>1621</v>
      </c>
      <c r="G4762" s="1">
        <f>1</f>
        <v>1</v>
      </c>
      <c r="H4762" s="1">
        <f>0.2</f>
        <v>0.2</v>
      </c>
      <c r="I4762" s="1">
        <f>0</f>
        <v>0</v>
      </c>
      <c r="J4762" s="1">
        <f>45.3019</f>
        <v>45.301900000000003</v>
      </c>
      <c r="K4762" s="1">
        <f>552.211</f>
        <v>552.21100000000001</v>
      </c>
      <c r="L4762" s="1">
        <f>0</f>
        <v>0</v>
      </c>
    </row>
    <row r="4763" spans="1:12" x14ac:dyDescent="0.25">
      <c r="A4763">
        <f>80977701*0.00001</f>
        <v>809.77701000000002</v>
      </c>
      <c r="B4763">
        <v>3520</v>
      </c>
      <c r="C4763">
        <v>68</v>
      </c>
      <c r="D4763">
        <v>254.69800000000001</v>
      </c>
      <c r="E4763">
        <v>5221</v>
      </c>
      <c r="F4763" s="1">
        <f>1621</f>
        <v>1621</v>
      </c>
      <c r="G4763">
        <v>1</v>
      </c>
      <c r="H4763">
        <v>0.2</v>
      </c>
      <c r="I4763">
        <v>0</v>
      </c>
      <c r="J4763">
        <v>45.301900000000003</v>
      </c>
      <c r="K4763">
        <v>552.21100000000001</v>
      </c>
      <c r="L4763">
        <v>0</v>
      </c>
    </row>
    <row r="4764" spans="1:12" x14ac:dyDescent="0.25">
      <c r="A4764">
        <f>80977832*0.00001</f>
        <v>809.77832000000012</v>
      </c>
      <c r="B4764">
        <v>3520</v>
      </c>
      <c r="C4764">
        <v>69</v>
      </c>
      <c r="D4764">
        <v>254.69800000000001</v>
      </c>
      <c r="E4764">
        <v>5221</v>
      </c>
      <c r="F4764">
        <v>1621</v>
      </c>
      <c r="G4764">
        <v>1</v>
      </c>
      <c r="H4764" s="1">
        <f>0.2</f>
        <v>0.2</v>
      </c>
      <c r="I4764">
        <v>0</v>
      </c>
      <c r="J4764">
        <v>45.301900000000003</v>
      </c>
      <c r="K4764">
        <v>552.21100000000001</v>
      </c>
      <c r="L4764">
        <v>0</v>
      </c>
    </row>
    <row r="4765" spans="1:12" x14ac:dyDescent="0.25">
      <c r="A4765">
        <f>80977962*0.00001</f>
        <v>809.77962000000002</v>
      </c>
      <c r="B4765">
        <v>3520</v>
      </c>
      <c r="C4765">
        <v>70</v>
      </c>
      <c r="D4765">
        <v>254.69800000000001</v>
      </c>
      <c r="E4765">
        <v>5221</v>
      </c>
      <c r="F4765">
        <v>1621</v>
      </c>
      <c r="G4765">
        <v>1</v>
      </c>
      <c r="H4765">
        <v>0.2</v>
      </c>
      <c r="I4765">
        <v>0</v>
      </c>
      <c r="J4765" s="1">
        <f>45.3018</f>
        <v>45.3018</v>
      </c>
      <c r="K4765">
        <v>552.21100000000001</v>
      </c>
      <c r="L4765">
        <v>0</v>
      </c>
    </row>
    <row r="4766" spans="1:12" x14ac:dyDescent="0.25">
      <c r="A4766">
        <f>80978092*0.00001</f>
        <v>809.78092000000004</v>
      </c>
      <c r="B4766">
        <v>3520</v>
      </c>
      <c r="C4766">
        <v>71</v>
      </c>
      <c r="D4766">
        <v>254.69800000000001</v>
      </c>
      <c r="E4766">
        <v>5221</v>
      </c>
      <c r="F4766">
        <v>1621</v>
      </c>
      <c r="G4766">
        <v>1</v>
      </c>
      <c r="H4766">
        <v>0.2</v>
      </c>
      <c r="I4766">
        <v>0</v>
      </c>
      <c r="J4766">
        <v>45.3018</v>
      </c>
      <c r="K4766">
        <v>552.21100000000001</v>
      </c>
      <c r="L4766" s="1">
        <f>0</f>
        <v>0</v>
      </c>
    </row>
    <row r="4767" spans="1:12" x14ac:dyDescent="0.25">
      <c r="A4767">
        <f>80978222*0.00001</f>
        <v>809.78222000000005</v>
      </c>
      <c r="B4767">
        <v>3520</v>
      </c>
      <c r="C4767">
        <v>72</v>
      </c>
      <c r="D4767">
        <v>254.69800000000001</v>
      </c>
      <c r="E4767" s="1">
        <f>5221</f>
        <v>5221</v>
      </c>
      <c r="F4767">
        <v>1621</v>
      </c>
      <c r="G4767">
        <v>1</v>
      </c>
      <c r="H4767">
        <v>0.2</v>
      </c>
      <c r="I4767">
        <v>0</v>
      </c>
      <c r="J4767">
        <v>45.3018</v>
      </c>
      <c r="K4767">
        <v>552.21100000000001</v>
      </c>
      <c r="L4767">
        <v>0</v>
      </c>
    </row>
    <row r="4768" spans="1:12" x14ac:dyDescent="0.25">
      <c r="A4768">
        <f>80978352*0.00001</f>
        <v>809.78352000000007</v>
      </c>
      <c r="B4768">
        <v>3520</v>
      </c>
      <c r="C4768">
        <v>73</v>
      </c>
      <c r="D4768">
        <v>254.69800000000001</v>
      </c>
      <c r="E4768">
        <v>5221</v>
      </c>
      <c r="F4768">
        <v>1621</v>
      </c>
      <c r="G4768" s="1">
        <f>1</f>
        <v>1</v>
      </c>
      <c r="H4768">
        <v>0.2</v>
      </c>
      <c r="I4768">
        <v>0</v>
      </c>
      <c r="J4768">
        <v>45.3018</v>
      </c>
      <c r="K4768">
        <v>552.21100000000001</v>
      </c>
      <c r="L4768">
        <v>0</v>
      </c>
    </row>
    <row r="4769" spans="1:12" x14ac:dyDescent="0.25">
      <c r="A4769">
        <f>80978482*0.00001</f>
        <v>809.78482000000008</v>
      </c>
      <c r="B4769">
        <v>3520</v>
      </c>
      <c r="C4769">
        <v>74</v>
      </c>
      <c r="D4769">
        <v>254.69800000000001</v>
      </c>
      <c r="E4769">
        <v>5221</v>
      </c>
      <c r="F4769">
        <v>1621</v>
      </c>
      <c r="G4769">
        <v>1</v>
      </c>
      <c r="H4769">
        <v>0.2</v>
      </c>
      <c r="I4769" s="1">
        <f>0</f>
        <v>0</v>
      </c>
      <c r="J4769">
        <v>45.3018</v>
      </c>
      <c r="K4769">
        <v>552.21100000000001</v>
      </c>
      <c r="L4769">
        <v>0</v>
      </c>
    </row>
    <row r="4770" spans="1:12" x14ac:dyDescent="0.25">
      <c r="A4770">
        <f>80978612*0.00001</f>
        <v>809.7861200000001</v>
      </c>
      <c r="B4770">
        <v>3520</v>
      </c>
      <c r="C4770">
        <v>75</v>
      </c>
      <c r="D4770">
        <v>254.69800000000001</v>
      </c>
      <c r="E4770">
        <v>5221</v>
      </c>
      <c r="F4770">
        <v>1621</v>
      </c>
      <c r="G4770">
        <v>1</v>
      </c>
      <c r="H4770">
        <v>0.2</v>
      </c>
      <c r="I4770">
        <v>0</v>
      </c>
      <c r="J4770">
        <v>45.3018</v>
      </c>
      <c r="K4770" s="1">
        <f>552.318</f>
        <v>552.31799999999998</v>
      </c>
      <c r="L4770">
        <v>0</v>
      </c>
    </row>
    <row r="4771" spans="1:12" x14ac:dyDescent="0.25">
      <c r="A4771">
        <f>80978742*0.00001</f>
        <v>809.78742000000011</v>
      </c>
      <c r="B4771">
        <v>3520</v>
      </c>
      <c r="C4771">
        <v>76</v>
      </c>
      <c r="D4771" s="1">
        <f>254.698</f>
        <v>254.69800000000001</v>
      </c>
      <c r="E4771">
        <v>5221</v>
      </c>
      <c r="F4771">
        <v>1621</v>
      </c>
      <c r="G4771">
        <v>1</v>
      </c>
      <c r="H4771">
        <v>0.2</v>
      </c>
      <c r="I4771">
        <v>0</v>
      </c>
      <c r="J4771">
        <v>45.3018</v>
      </c>
      <c r="K4771">
        <v>552.31799999999998</v>
      </c>
      <c r="L4771">
        <v>0</v>
      </c>
    </row>
    <row r="4772" spans="1:12" x14ac:dyDescent="0.25">
      <c r="A4772">
        <f>80978873*0.00001</f>
        <v>809.7887300000001</v>
      </c>
      <c r="B4772">
        <v>3520</v>
      </c>
      <c r="C4772">
        <v>77</v>
      </c>
      <c r="D4772">
        <v>254.69800000000001</v>
      </c>
      <c r="E4772" s="1">
        <f>5222</f>
        <v>5222</v>
      </c>
      <c r="F4772" s="1">
        <f>1621</f>
        <v>1621</v>
      </c>
      <c r="G4772">
        <v>1</v>
      </c>
      <c r="H4772">
        <v>0.2</v>
      </c>
      <c r="I4772">
        <v>0</v>
      </c>
      <c r="J4772">
        <v>45.3018</v>
      </c>
      <c r="K4772">
        <v>552.31799999999998</v>
      </c>
      <c r="L4772">
        <v>0</v>
      </c>
    </row>
    <row r="4773" spans="1:12" x14ac:dyDescent="0.25">
      <c r="A4773">
        <f>80979003*0.00001</f>
        <v>809.79003000000012</v>
      </c>
      <c r="B4773">
        <v>3520</v>
      </c>
      <c r="C4773">
        <v>78</v>
      </c>
      <c r="D4773">
        <v>254.69800000000001</v>
      </c>
      <c r="E4773">
        <v>5222</v>
      </c>
      <c r="F4773">
        <v>1621</v>
      </c>
      <c r="G4773" s="1">
        <f>1</f>
        <v>1</v>
      </c>
      <c r="H4773" s="1">
        <f>0.2</f>
        <v>0.2</v>
      </c>
      <c r="I4773">
        <v>0</v>
      </c>
      <c r="J4773">
        <v>45.3018</v>
      </c>
      <c r="K4773">
        <v>552.31799999999998</v>
      </c>
      <c r="L4773">
        <v>0</v>
      </c>
    </row>
    <row r="4774" spans="1:12" x14ac:dyDescent="0.25">
      <c r="A4774">
        <f>80979134*0.00001</f>
        <v>809.7913400000001</v>
      </c>
      <c r="B4774">
        <v>3520</v>
      </c>
      <c r="C4774">
        <v>79</v>
      </c>
      <c r="D4774">
        <v>254.69800000000001</v>
      </c>
      <c r="E4774">
        <v>5222</v>
      </c>
      <c r="F4774">
        <v>1621</v>
      </c>
      <c r="G4774">
        <v>1</v>
      </c>
      <c r="H4774">
        <v>0.2</v>
      </c>
      <c r="I4774" s="1">
        <f>0</f>
        <v>0</v>
      </c>
      <c r="J4774" s="1">
        <f>45.3019</f>
        <v>45.301900000000003</v>
      </c>
      <c r="K4774">
        <v>552.31799999999998</v>
      </c>
      <c r="L4774">
        <v>0</v>
      </c>
    </row>
    <row r="4775" spans="1:12" x14ac:dyDescent="0.25">
      <c r="A4775">
        <f>80979265*0.00001</f>
        <v>809.79265000000009</v>
      </c>
      <c r="B4775">
        <v>3520</v>
      </c>
      <c r="C4775">
        <v>80</v>
      </c>
      <c r="D4775">
        <v>254.69800000000001</v>
      </c>
      <c r="E4775">
        <v>5222</v>
      </c>
      <c r="F4775">
        <v>1621</v>
      </c>
      <c r="G4775">
        <v>1</v>
      </c>
      <c r="H4775">
        <v>0.2</v>
      </c>
      <c r="I4775">
        <v>0</v>
      </c>
      <c r="J4775">
        <v>45.301900000000003</v>
      </c>
      <c r="K4775" s="1">
        <f>552.377</f>
        <v>552.37699999999995</v>
      </c>
      <c r="L4775" s="1">
        <f>0</f>
        <v>0</v>
      </c>
    </row>
    <row r="4776" spans="1:12" x14ac:dyDescent="0.25">
      <c r="A4776">
        <f>80979396*0.00001</f>
        <v>809.79396000000008</v>
      </c>
      <c r="B4776">
        <v>3520</v>
      </c>
      <c r="C4776">
        <v>81</v>
      </c>
      <c r="D4776" s="1">
        <f>254.698</f>
        <v>254.69800000000001</v>
      </c>
      <c r="E4776" s="1">
        <f>5222</f>
        <v>5222</v>
      </c>
      <c r="F4776">
        <v>1621</v>
      </c>
      <c r="G4776">
        <v>1</v>
      </c>
      <c r="H4776">
        <v>0.2</v>
      </c>
      <c r="I4776">
        <v>0</v>
      </c>
      <c r="J4776">
        <v>45.301900000000003</v>
      </c>
      <c r="K4776">
        <v>552.37699999999995</v>
      </c>
      <c r="L4776">
        <v>0</v>
      </c>
    </row>
    <row r="4777" spans="1:12" x14ac:dyDescent="0.25">
      <c r="A4777">
        <f>80979527*0.00001</f>
        <v>809.79527000000007</v>
      </c>
      <c r="B4777">
        <v>3520</v>
      </c>
      <c r="C4777">
        <v>82</v>
      </c>
      <c r="D4777">
        <v>254.69800000000001</v>
      </c>
      <c r="E4777">
        <v>5222</v>
      </c>
      <c r="F4777" s="1">
        <f>1621</f>
        <v>1621</v>
      </c>
      <c r="G4777" s="1">
        <f>1</f>
        <v>1</v>
      </c>
      <c r="H4777">
        <v>0.2</v>
      </c>
      <c r="I4777">
        <v>0</v>
      </c>
      <c r="J4777">
        <v>45.301900000000003</v>
      </c>
      <c r="K4777">
        <v>552.37699999999995</v>
      </c>
      <c r="L4777">
        <v>0</v>
      </c>
    </row>
    <row r="4778" spans="1:12" x14ac:dyDescent="0.25">
      <c r="A4778">
        <f>80979658*0.00001</f>
        <v>809.79658000000006</v>
      </c>
      <c r="B4778">
        <v>3520</v>
      </c>
      <c r="C4778">
        <v>83</v>
      </c>
      <c r="D4778" s="1">
        <f>254.698</f>
        <v>254.69800000000001</v>
      </c>
      <c r="E4778" s="1">
        <f>5222</f>
        <v>5222</v>
      </c>
      <c r="F4778" s="1">
        <f>1621</f>
        <v>1621</v>
      </c>
      <c r="G4778" s="1">
        <f>1</f>
        <v>1</v>
      </c>
      <c r="H4778" s="1">
        <f>0.2</f>
        <v>0.2</v>
      </c>
      <c r="I4778" s="1">
        <f>0</f>
        <v>0</v>
      </c>
      <c r="J4778" s="1">
        <f>45.3021</f>
        <v>45.302100000000003</v>
      </c>
      <c r="K4778" s="1">
        <f>552.484</f>
        <v>552.48400000000004</v>
      </c>
      <c r="L4778" s="1">
        <f>0</f>
        <v>0</v>
      </c>
    </row>
    <row r="4779" spans="1:12" x14ac:dyDescent="0.25">
      <c r="A4779">
        <f>80980699*0.00001</f>
        <v>809.80699000000004</v>
      </c>
      <c r="B4779">
        <v>3520</v>
      </c>
      <c r="C4779">
        <v>91</v>
      </c>
      <c r="D4779">
        <v>254.69800000000001</v>
      </c>
      <c r="E4779" s="1">
        <f>5223</f>
        <v>5223</v>
      </c>
      <c r="F4779">
        <v>1621</v>
      </c>
      <c r="G4779">
        <v>1</v>
      </c>
      <c r="H4779">
        <v>0.2</v>
      </c>
      <c r="I4779">
        <v>0</v>
      </c>
      <c r="J4779">
        <v>45.302100000000003</v>
      </c>
      <c r="K4779">
        <v>552.48400000000004</v>
      </c>
      <c r="L4779">
        <v>0</v>
      </c>
    </row>
    <row r="4780" spans="1:12" x14ac:dyDescent="0.25">
      <c r="A4780">
        <f>80980829*0.00001</f>
        <v>809.80829000000006</v>
      </c>
      <c r="B4780">
        <v>3520</v>
      </c>
      <c r="C4780">
        <v>92</v>
      </c>
      <c r="D4780">
        <v>254.69800000000001</v>
      </c>
      <c r="E4780">
        <v>5223</v>
      </c>
      <c r="F4780">
        <v>1621</v>
      </c>
      <c r="G4780" s="1">
        <f>1</f>
        <v>1</v>
      </c>
      <c r="H4780">
        <v>0.2</v>
      </c>
      <c r="I4780">
        <v>0</v>
      </c>
      <c r="J4780">
        <v>45.302100000000003</v>
      </c>
      <c r="K4780">
        <v>552.48400000000004</v>
      </c>
      <c r="L4780">
        <v>0</v>
      </c>
    </row>
    <row r="4781" spans="1:12" x14ac:dyDescent="0.25">
      <c r="A4781">
        <f>80980959*0.00001</f>
        <v>809.80959000000007</v>
      </c>
      <c r="B4781">
        <v>3520</v>
      </c>
      <c r="C4781">
        <v>93</v>
      </c>
      <c r="D4781">
        <v>254.69800000000001</v>
      </c>
      <c r="E4781">
        <v>5223</v>
      </c>
      <c r="F4781">
        <v>1621</v>
      </c>
      <c r="G4781">
        <v>1</v>
      </c>
      <c r="H4781">
        <v>0.2</v>
      </c>
      <c r="I4781" s="1">
        <f>0</f>
        <v>0</v>
      </c>
      <c r="J4781">
        <v>45.302100000000003</v>
      </c>
      <c r="K4781">
        <v>552.48400000000004</v>
      </c>
      <c r="L4781">
        <v>0</v>
      </c>
    </row>
    <row r="4782" spans="1:12" x14ac:dyDescent="0.25">
      <c r="A4782">
        <f>80981090*0.00001</f>
        <v>809.81090000000006</v>
      </c>
      <c r="B4782">
        <v>3520</v>
      </c>
      <c r="C4782">
        <v>94</v>
      </c>
      <c r="D4782">
        <v>254.69800000000001</v>
      </c>
      <c r="E4782">
        <v>5223</v>
      </c>
      <c r="F4782">
        <v>1621</v>
      </c>
      <c r="G4782">
        <v>1</v>
      </c>
      <c r="H4782">
        <v>0.2</v>
      </c>
      <c r="I4782">
        <v>0</v>
      </c>
      <c r="J4782">
        <v>45.302100000000003</v>
      </c>
      <c r="K4782" s="1">
        <f>552.543</f>
        <v>552.54300000000001</v>
      </c>
      <c r="L4782">
        <v>0</v>
      </c>
    </row>
    <row r="4783" spans="1:12" x14ac:dyDescent="0.25">
      <c r="A4783">
        <f>80981221*0.00001</f>
        <v>809.81221000000005</v>
      </c>
      <c r="B4783">
        <v>3520</v>
      </c>
      <c r="C4783">
        <v>95</v>
      </c>
      <c r="D4783" s="1">
        <f>254.698</f>
        <v>254.69800000000001</v>
      </c>
      <c r="E4783">
        <v>5223</v>
      </c>
      <c r="F4783">
        <v>1621</v>
      </c>
      <c r="G4783">
        <v>1</v>
      </c>
      <c r="H4783">
        <v>0.2</v>
      </c>
      <c r="I4783">
        <v>0</v>
      </c>
      <c r="J4783">
        <v>45.302100000000003</v>
      </c>
      <c r="K4783">
        <v>552.54300000000001</v>
      </c>
      <c r="L4783">
        <v>0</v>
      </c>
    </row>
    <row r="4784" spans="1:12" x14ac:dyDescent="0.25">
      <c r="A4784">
        <f>80981351*0.00001</f>
        <v>809.81351000000006</v>
      </c>
      <c r="B4784">
        <v>3520</v>
      </c>
      <c r="C4784">
        <v>96</v>
      </c>
      <c r="D4784">
        <v>254.69800000000001</v>
      </c>
      <c r="E4784">
        <v>5223</v>
      </c>
      <c r="F4784" s="1">
        <f>1621</f>
        <v>1621</v>
      </c>
      <c r="G4784">
        <v>1</v>
      </c>
      <c r="H4784">
        <v>0.2</v>
      </c>
      <c r="I4784">
        <v>0</v>
      </c>
      <c r="J4784">
        <v>45.302100000000003</v>
      </c>
      <c r="K4784">
        <v>552.54300000000001</v>
      </c>
      <c r="L4784">
        <v>0</v>
      </c>
    </row>
    <row r="4785" spans="1:12" x14ac:dyDescent="0.25">
      <c r="A4785">
        <f>80981482*0.00001</f>
        <v>809.81482000000005</v>
      </c>
      <c r="B4785">
        <v>3520</v>
      </c>
      <c r="C4785">
        <v>97</v>
      </c>
      <c r="D4785">
        <v>254.69800000000001</v>
      </c>
      <c r="E4785">
        <v>5223</v>
      </c>
      <c r="F4785">
        <v>1621</v>
      </c>
      <c r="G4785">
        <v>1</v>
      </c>
      <c r="H4785" s="1">
        <f>0.2</f>
        <v>0.2</v>
      </c>
      <c r="I4785">
        <v>0</v>
      </c>
      <c r="J4785">
        <v>45.302100000000003</v>
      </c>
      <c r="K4785">
        <v>552.54300000000001</v>
      </c>
      <c r="L4785">
        <v>0</v>
      </c>
    </row>
    <row r="4786" spans="1:12" x14ac:dyDescent="0.25">
      <c r="A4786">
        <f>80981613*0.00001</f>
        <v>809.81613000000004</v>
      </c>
      <c r="B4786">
        <v>3520</v>
      </c>
      <c r="C4786">
        <v>98</v>
      </c>
      <c r="D4786">
        <v>254.69800000000001</v>
      </c>
      <c r="E4786">
        <v>5223</v>
      </c>
      <c r="F4786">
        <v>1621</v>
      </c>
      <c r="G4786">
        <v>1</v>
      </c>
      <c r="H4786">
        <v>0.2</v>
      </c>
      <c r="I4786">
        <v>0</v>
      </c>
      <c r="J4786" s="1">
        <f>45.3021</f>
        <v>45.302100000000003</v>
      </c>
      <c r="K4786">
        <v>552.54300000000001</v>
      </c>
      <c r="L4786">
        <v>0</v>
      </c>
    </row>
    <row r="4787" spans="1:12" x14ac:dyDescent="0.25">
      <c r="A4787">
        <f>80981744*0.00001</f>
        <v>809.81744000000003</v>
      </c>
      <c r="B4787">
        <v>3520</v>
      </c>
      <c r="C4787">
        <v>99</v>
      </c>
      <c r="D4787">
        <v>254.69800000000001</v>
      </c>
      <c r="E4787">
        <v>5223</v>
      </c>
      <c r="F4787">
        <v>1621</v>
      </c>
      <c r="G4787">
        <v>1</v>
      </c>
      <c r="H4787">
        <v>0.2</v>
      </c>
      <c r="I4787">
        <v>0</v>
      </c>
      <c r="J4787">
        <v>45.302100000000003</v>
      </c>
      <c r="K4787" s="1">
        <f>552.603</f>
        <v>552.60299999999995</v>
      </c>
      <c r="L4787" s="1">
        <f>0</f>
        <v>0</v>
      </c>
    </row>
    <row r="4788" spans="1:12" x14ac:dyDescent="0.25">
      <c r="A4788">
        <f>80981874*0.00001</f>
        <v>809.81874000000005</v>
      </c>
      <c r="B4788">
        <v>3520</v>
      </c>
      <c r="C4788">
        <v>100</v>
      </c>
      <c r="D4788" s="1">
        <f>254.696</f>
        <v>254.696</v>
      </c>
      <c r="E4788" s="1">
        <f>5223</f>
        <v>5223</v>
      </c>
      <c r="F4788">
        <v>1621</v>
      </c>
      <c r="G4788">
        <v>1</v>
      </c>
      <c r="H4788">
        <v>0.2</v>
      </c>
      <c r="I4788">
        <v>0</v>
      </c>
      <c r="J4788">
        <v>45.302100000000003</v>
      </c>
      <c r="K4788">
        <v>552.60299999999995</v>
      </c>
      <c r="L4788">
        <v>0</v>
      </c>
    </row>
    <row r="4789" spans="1:12" x14ac:dyDescent="0.25">
      <c r="A4789">
        <f>80982004*0.00001</f>
        <v>809.82004000000006</v>
      </c>
      <c r="B4789">
        <v>3520</v>
      </c>
      <c r="C4789">
        <v>101</v>
      </c>
      <c r="D4789">
        <v>254.696</v>
      </c>
      <c r="E4789">
        <v>5223</v>
      </c>
      <c r="F4789" s="1">
        <f>1621</f>
        <v>1621</v>
      </c>
      <c r="G4789" s="1">
        <f>1</f>
        <v>1</v>
      </c>
      <c r="H4789">
        <v>0.2</v>
      </c>
      <c r="I4789">
        <v>0</v>
      </c>
      <c r="J4789">
        <v>45.302100000000003</v>
      </c>
      <c r="K4789">
        <v>552.60299999999995</v>
      </c>
      <c r="L4789">
        <v>0</v>
      </c>
    </row>
    <row r="4790" spans="1:12" x14ac:dyDescent="0.25">
      <c r="A4790">
        <f>80982134*0.00001</f>
        <v>809.82134000000008</v>
      </c>
      <c r="B4790">
        <v>3520</v>
      </c>
      <c r="C4790">
        <v>102</v>
      </c>
      <c r="D4790">
        <v>254.696</v>
      </c>
      <c r="E4790">
        <v>5223</v>
      </c>
      <c r="F4790">
        <v>1621</v>
      </c>
      <c r="G4790">
        <v>1</v>
      </c>
      <c r="H4790" s="1">
        <f>0.2</f>
        <v>0.2</v>
      </c>
      <c r="I4790" s="1">
        <f>0</f>
        <v>0</v>
      </c>
      <c r="J4790">
        <v>45.302100000000003</v>
      </c>
      <c r="K4790">
        <v>552.60299999999995</v>
      </c>
      <c r="L4790">
        <v>0</v>
      </c>
    </row>
    <row r="4791" spans="1:12" x14ac:dyDescent="0.25">
      <c r="A4791">
        <f>80982264*0.00001</f>
        <v>809.82264000000009</v>
      </c>
      <c r="B4791">
        <v>3520</v>
      </c>
      <c r="C4791">
        <v>103</v>
      </c>
      <c r="D4791">
        <v>254.696</v>
      </c>
      <c r="E4791">
        <v>5223</v>
      </c>
      <c r="F4791">
        <v>1621</v>
      </c>
      <c r="G4791">
        <v>1</v>
      </c>
      <c r="H4791">
        <v>0.2</v>
      </c>
      <c r="I4791">
        <v>0</v>
      </c>
      <c r="J4791" s="1">
        <f>45.3021</f>
        <v>45.302100000000003</v>
      </c>
      <c r="K4791" s="1">
        <f>552.65</f>
        <v>552.65</v>
      </c>
      <c r="L4791">
        <v>0</v>
      </c>
    </row>
    <row r="4792" spans="1:12" x14ac:dyDescent="0.25">
      <c r="A4792">
        <f>80982394*0.00001</f>
        <v>809.82394000000011</v>
      </c>
      <c r="B4792">
        <v>3520</v>
      </c>
      <c r="C4792">
        <v>104</v>
      </c>
      <c r="D4792" s="1">
        <f>254.698</f>
        <v>254.69800000000001</v>
      </c>
      <c r="E4792">
        <v>5223</v>
      </c>
      <c r="F4792">
        <v>1621</v>
      </c>
      <c r="G4792">
        <v>1</v>
      </c>
      <c r="H4792">
        <v>0.2</v>
      </c>
      <c r="I4792">
        <v>0</v>
      </c>
      <c r="J4792">
        <v>45.302100000000003</v>
      </c>
      <c r="K4792">
        <v>552.65</v>
      </c>
      <c r="L4792" s="1">
        <f>0</f>
        <v>0</v>
      </c>
    </row>
    <row r="4793" spans="1:12" x14ac:dyDescent="0.25">
      <c r="A4793">
        <f>80982524*0.00001</f>
        <v>809.82524000000012</v>
      </c>
      <c r="B4793">
        <v>3520</v>
      </c>
      <c r="C4793">
        <v>105</v>
      </c>
      <c r="D4793" s="1">
        <f>254.689</f>
        <v>254.68899999999999</v>
      </c>
      <c r="E4793" s="1">
        <f>5224</f>
        <v>5224</v>
      </c>
      <c r="F4793" s="1">
        <f>1621</f>
        <v>1621</v>
      </c>
      <c r="G4793" s="1">
        <f>1</f>
        <v>1</v>
      </c>
      <c r="H4793" s="1">
        <f>0.2</f>
        <v>0.2</v>
      </c>
      <c r="I4793" s="1">
        <f>0</f>
        <v>0</v>
      </c>
      <c r="J4793" s="1">
        <f>45.3018</f>
        <v>45.3018</v>
      </c>
      <c r="K4793" s="1">
        <f>552.709</f>
        <v>552.70899999999995</v>
      </c>
      <c r="L4793" s="1">
        <f>0</f>
        <v>0</v>
      </c>
    </row>
    <row r="4794" spans="1:12" x14ac:dyDescent="0.25">
      <c r="A4794">
        <f>80983569*0.00001</f>
        <v>809.83569000000011</v>
      </c>
      <c r="B4794">
        <v>3520</v>
      </c>
      <c r="C4794">
        <v>113</v>
      </c>
      <c r="D4794">
        <v>254.68899999999999</v>
      </c>
      <c r="E4794">
        <v>5224</v>
      </c>
      <c r="F4794">
        <v>1621</v>
      </c>
      <c r="G4794">
        <v>1</v>
      </c>
      <c r="H4794">
        <v>0.2</v>
      </c>
      <c r="I4794">
        <v>0</v>
      </c>
      <c r="J4794">
        <v>45.3018</v>
      </c>
      <c r="K4794">
        <v>552.70899999999995</v>
      </c>
      <c r="L4794" s="1">
        <f>0</f>
        <v>0</v>
      </c>
    </row>
    <row r="4795" spans="1:12" x14ac:dyDescent="0.25">
      <c r="A4795">
        <f>80983700*0.00001</f>
        <v>809.8370000000001</v>
      </c>
      <c r="B4795">
        <v>3520</v>
      </c>
      <c r="C4795">
        <v>114</v>
      </c>
      <c r="D4795">
        <v>254.68899999999999</v>
      </c>
      <c r="E4795" s="1">
        <f>5224</f>
        <v>5224</v>
      </c>
      <c r="F4795">
        <v>1621</v>
      </c>
      <c r="G4795">
        <v>1</v>
      </c>
      <c r="H4795">
        <v>0.2</v>
      </c>
      <c r="I4795">
        <v>0</v>
      </c>
      <c r="J4795">
        <v>45.3018</v>
      </c>
      <c r="K4795">
        <v>552.70899999999995</v>
      </c>
      <c r="L4795">
        <v>0</v>
      </c>
    </row>
    <row r="4796" spans="1:12" x14ac:dyDescent="0.25">
      <c r="A4796">
        <f>80983830*0.00001</f>
        <v>809.83830000000012</v>
      </c>
      <c r="B4796">
        <v>3520</v>
      </c>
      <c r="C4796">
        <v>115</v>
      </c>
      <c r="D4796">
        <v>254.68899999999999</v>
      </c>
      <c r="E4796">
        <v>5224</v>
      </c>
      <c r="F4796">
        <v>1621</v>
      </c>
      <c r="G4796" s="1">
        <f>1</f>
        <v>1</v>
      </c>
      <c r="H4796">
        <v>0.2</v>
      </c>
      <c r="I4796">
        <v>0</v>
      </c>
      <c r="J4796">
        <v>45.3018</v>
      </c>
      <c r="K4796">
        <v>552.70899999999995</v>
      </c>
      <c r="L4796">
        <v>0</v>
      </c>
    </row>
    <row r="4797" spans="1:12" x14ac:dyDescent="0.25">
      <c r="A4797">
        <f>80983960*0.00001</f>
        <v>809.83960000000002</v>
      </c>
      <c r="B4797">
        <v>3520</v>
      </c>
      <c r="C4797">
        <v>116</v>
      </c>
      <c r="D4797">
        <v>254.68899999999999</v>
      </c>
      <c r="E4797">
        <v>5224</v>
      </c>
      <c r="F4797">
        <v>1621</v>
      </c>
      <c r="G4797">
        <v>1</v>
      </c>
      <c r="H4797">
        <v>0.2</v>
      </c>
      <c r="I4797" s="1">
        <f>0</f>
        <v>0</v>
      </c>
      <c r="J4797">
        <v>45.3018</v>
      </c>
      <c r="K4797">
        <v>552.70899999999995</v>
      </c>
      <c r="L4797">
        <v>0</v>
      </c>
    </row>
    <row r="4798" spans="1:12" x14ac:dyDescent="0.25">
      <c r="A4798">
        <f>80984090*0.00001</f>
        <v>809.84090000000003</v>
      </c>
      <c r="B4798">
        <v>3520</v>
      </c>
      <c r="C4798">
        <v>117</v>
      </c>
      <c r="D4798">
        <v>254.68899999999999</v>
      </c>
      <c r="E4798">
        <v>5224</v>
      </c>
      <c r="F4798">
        <v>1621</v>
      </c>
      <c r="G4798">
        <v>1</v>
      </c>
      <c r="H4798">
        <v>0.2</v>
      </c>
      <c r="I4798">
        <v>0</v>
      </c>
      <c r="J4798">
        <v>45.3018</v>
      </c>
      <c r="K4798" s="1">
        <f>552.816</f>
        <v>552.81600000000003</v>
      </c>
      <c r="L4798">
        <v>0</v>
      </c>
    </row>
    <row r="4799" spans="1:12" x14ac:dyDescent="0.25">
      <c r="A4799">
        <f>80984220*0.00001</f>
        <v>809.84220000000005</v>
      </c>
      <c r="B4799">
        <v>3520</v>
      </c>
      <c r="C4799">
        <v>118</v>
      </c>
      <c r="D4799" s="1">
        <f>254.698</f>
        <v>254.69800000000001</v>
      </c>
      <c r="E4799">
        <v>5224</v>
      </c>
      <c r="F4799">
        <v>1621</v>
      </c>
      <c r="G4799">
        <v>1</v>
      </c>
      <c r="H4799">
        <v>0.2</v>
      </c>
      <c r="I4799">
        <v>0</v>
      </c>
      <c r="J4799">
        <v>45.3018</v>
      </c>
      <c r="K4799">
        <v>552.81600000000003</v>
      </c>
      <c r="L4799">
        <v>0</v>
      </c>
    </row>
    <row r="4800" spans="1:12" x14ac:dyDescent="0.25">
      <c r="A4800">
        <f>80984350*0.00001</f>
        <v>809.84350000000006</v>
      </c>
      <c r="B4800">
        <v>3520</v>
      </c>
      <c r="C4800">
        <v>119</v>
      </c>
      <c r="D4800">
        <v>254.69800000000001</v>
      </c>
      <c r="E4800">
        <v>5224</v>
      </c>
      <c r="F4800" s="1">
        <f>1621</f>
        <v>1621</v>
      </c>
      <c r="G4800">
        <v>1</v>
      </c>
      <c r="H4800">
        <v>0.2</v>
      </c>
      <c r="I4800">
        <v>0</v>
      </c>
      <c r="J4800">
        <v>45.3018</v>
      </c>
      <c r="K4800">
        <v>552.81600000000003</v>
      </c>
      <c r="L4800">
        <v>0</v>
      </c>
    </row>
    <row r="4801" spans="1:12" x14ac:dyDescent="0.25">
      <c r="A4801">
        <f>80984480*0.00001</f>
        <v>809.84480000000008</v>
      </c>
      <c r="B4801">
        <v>3520</v>
      </c>
      <c r="C4801">
        <v>120</v>
      </c>
      <c r="D4801">
        <v>254.69800000000001</v>
      </c>
      <c r="E4801">
        <v>5224</v>
      </c>
      <c r="F4801">
        <v>1621</v>
      </c>
      <c r="G4801">
        <v>1</v>
      </c>
      <c r="H4801" s="1">
        <f>0.2</f>
        <v>0.2</v>
      </c>
      <c r="I4801">
        <v>0</v>
      </c>
      <c r="J4801">
        <v>45.3018</v>
      </c>
      <c r="K4801">
        <v>552.81600000000003</v>
      </c>
      <c r="L4801">
        <v>0</v>
      </c>
    </row>
    <row r="4802" spans="1:12" x14ac:dyDescent="0.25">
      <c r="A4802">
        <f>80984610*0.00001</f>
        <v>809.84610000000009</v>
      </c>
      <c r="B4802">
        <v>3520</v>
      </c>
      <c r="C4802">
        <v>121</v>
      </c>
      <c r="D4802">
        <v>254.69800000000001</v>
      </c>
      <c r="E4802">
        <v>5224</v>
      </c>
      <c r="F4802">
        <v>1621</v>
      </c>
      <c r="G4802">
        <v>1</v>
      </c>
      <c r="H4802">
        <v>0.2</v>
      </c>
      <c r="I4802">
        <v>0</v>
      </c>
      <c r="J4802" s="1">
        <f>45.3018</f>
        <v>45.3018</v>
      </c>
      <c r="K4802">
        <v>552.81600000000003</v>
      </c>
      <c r="L4802">
        <v>0</v>
      </c>
    </row>
    <row r="4803" spans="1:12" x14ac:dyDescent="0.25">
      <c r="A4803">
        <f>80984740*0.00001</f>
        <v>809.84740000000011</v>
      </c>
      <c r="B4803">
        <v>3520</v>
      </c>
      <c r="C4803">
        <v>122</v>
      </c>
      <c r="D4803">
        <v>254.69800000000001</v>
      </c>
      <c r="E4803">
        <v>5224</v>
      </c>
      <c r="F4803">
        <v>1621</v>
      </c>
      <c r="G4803">
        <v>1</v>
      </c>
      <c r="H4803">
        <v>0.2</v>
      </c>
      <c r="I4803">
        <v>0</v>
      </c>
      <c r="J4803">
        <v>45.3018</v>
      </c>
      <c r="K4803" s="1">
        <f>552.875</f>
        <v>552.875</v>
      </c>
      <c r="L4803" s="1">
        <f>0</f>
        <v>0</v>
      </c>
    </row>
    <row r="4804" spans="1:12" x14ac:dyDescent="0.25">
      <c r="A4804">
        <f>80984870*0.00001</f>
        <v>809.84870000000012</v>
      </c>
      <c r="B4804">
        <v>3520</v>
      </c>
      <c r="C4804">
        <v>123</v>
      </c>
      <c r="D4804" s="1">
        <f>254.698</f>
        <v>254.69800000000001</v>
      </c>
      <c r="E4804" s="1">
        <f>5225</f>
        <v>5225</v>
      </c>
      <c r="F4804">
        <v>1621</v>
      </c>
      <c r="G4804">
        <v>1</v>
      </c>
      <c r="H4804">
        <v>0.2</v>
      </c>
      <c r="I4804">
        <v>0</v>
      </c>
      <c r="J4804">
        <v>45.3018</v>
      </c>
      <c r="K4804">
        <v>552.875</v>
      </c>
      <c r="L4804">
        <v>0</v>
      </c>
    </row>
    <row r="4805" spans="1:12" x14ac:dyDescent="0.25">
      <c r="A4805">
        <f>80985001*0.00001</f>
        <v>809.85001000000011</v>
      </c>
      <c r="B4805">
        <v>3520</v>
      </c>
      <c r="C4805">
        <v>124</v>
      </c>
      <c r="D4805">
        <v>254.69800000000001</v>
      </c>
      <c r="E4805">
        <v>5225</v>
      </c>
      <c r="F4805" s="1">
        <f>1621</f>
        <v>1621</v>
      </c>
      <c r="G4805" s="1">
        <f>1</f>
        <v>1</v>
      </c>
      <c r="H4805">
        <v>0.2</v>
      </c>
      <c r="I4805">
        <v>0</v>
      </c>
      <c r="J4805">
        <v>45.3018</v>
      </c>
      <c r="K4805">
        <v>552.875</v>
      </c>
      <c r="L4805">
        <v>0</v>
      </c>
    </row>
    <row r="4806" spans="1:12" x14ac:dyDescent="0.25">
      <c r="A4806">
        <f>80985132*0.00001</f>
        <v>809.8513200000001</v>
      </c>
      <c r="B4806">
        <v>3520</v>
      </c>
      <c r="C4806">
        <v>125</v>
      </c>
      <c r="D4806">
        <v>254.69800000000001</v>
      </c>
      <c r="E4806">
        <v>5225</v>
      </c>
      <c r="F4806">
        <v>1621</v>
      </c>
      <c r="G4806">
        <v>1</v>
      </c>
      <c r="H4806" s="1">
        <f>0.2</f>
        <v>0.2</v>
      </c>
      <c r="I4806" s="1">
        <f>0</f>
        <v>0</v>
      </c>
      <c r="J4806">
        <v>45.3018</v>
      </c>
      <c r="K4806">
        <v>552.875</v>
      </c>
      <c r="L4806">
        <v>0</v>
      </c>
    </row>
    <row r="4807" spans="1:12" x14ac:dyDescent="0.25">
      <c r="A4807">
        <f>80985262*0.00001</f>
        <v>809.85262000000012</v>
      </c>
      <c r="B4807">
        <v>3520</v>
      </c>
      <c r="C4807">
        <v>126</v>
      </c>
      <c r="D4807">
        <v>254.69800000000001</v>
      </c>
      <c r="E4807">
        <v>5225</v>
      </c>
      <c r="F4807">
        <v>1621</v>
      </c>
      <c r="G4807">
        <v>1</v>
      </c>
      <c r="H4807">
        <v>0.2</v>
      </c>
      <c r="I4807">
        <v>0</v>
      </c>
      <c r="J4807" s="1">
        <f>45.3306</f>
        <v>45.330599999999997</v>
      </c>
      <c r="K4807" s="1">
        <f>552.923</f>
        <v>552.923</v>
      </c>
      <c r="L4807">
        <v>0</v>
      </c>
    </row>
    <row r="4808" spans="1:12" x14ac:dyDescent="0.25">
      <c r="A4808">
        <f>80985392*0.00001</f>
        <v>809.85392000000002</v>
      </c>
      <c r="B4808">
        <v>3520</v>
      </c>
      <c r="C4808">
        <v>127</v>
      </c>
      <c r="D4808" s="1">
        <f>254.651</f>
        <v>254.65100000000001</v>
      </c>
      <c r="E4808">
        <v>5225</v>
      </c>
      <c r="F4808">
        <v>1621</v>
      </c>
      <c r="G4808">
        <v>1</v>
      </c>
      <c r="H4808">
        <v>0.2</v>
      </c>
      <c r="I4808">
        <v>0</v>
      </c>
      <c r="J4808">
        <v>45.330599999999997</v>
      </c>
      <c r="K4808">
        <v>552.923</v>
      </c>
      <c r="L4808" s="1">
        <f>0</f>
        <v>0</v>
      </c>
    </row>
    <row r="4809" spans="1:12" x14ac:dyDescent="0.25">
      <c r="A4809">
        <f>80985522*0.00001</f>
        <v>809.85522000000003</v>
      </c>
      <c r="B4809">
        <v>3520</v>
      </c>
      <c r="C4809">
        <v>128</v>
      </c>
      <c r="D4809" s="1">
        <f>254.574</f>
        <v>254.57400000000001</v>
      </c>
      <c r="E4809" s="1">
        <f>5228</f>
        <v>5228</v>
      </c>
      <c r="F4809" s="1">
        <f>1621</f>
        <v>1621</v>
      </c>
      <c r="G4809" s="1">
        <f>1</f>
        <v>1</v>
      </c>
      <c r="H4809" s="1">
        <f>0.2</f>
        <v>0.2</v>
      </c>
      <c r="I4809" s="1">
        <f>0</f>
        <v>0</v>
      </c>
      <c r="J4809" s="1">
        <f>45.464</f>
        <v>45.463999999999999</v>
      </c>
      <c r="K4809" s="1">
        <f>552.982</f>
        <v>552.98199999999997</v>
      </c>
      <c r="L4809" s="1">
        <f>0</f>
        <v>0</v>
      </c>
    </row>
    <row r="4810" spans="1:12" x14ac:dyDescent="0.25">
      <c r="A4810">
        <f>80986566*0.00001</f>
        <v>809.86566000000005</v>
      </c>
      <c r="B4810">
        <v>3520</v>
      </c>
      <c r="C4810">
        <v>136</v>
      </c>
      <c r="D4810">
        <v>254.57400000000001</v>
      </c>
      <c r="E4810">
        <v>5228</v>
      </c>
      <c r="F4810">
        <v>1621</v>
      </c>
      <c r="G4810">
        <v>1</v>
      </c>
      <c r="H4810">
        <v>0.2</v>
      </c>
      <c r="I4810">
        <v>0</v>
      </c>
      <c r="J4810">
        <v>45.463999999999999</v>
      </c>
      <c r="K4810">
        <v>552.98199999999997</v>
      </c>
      <c r="L4810" s="1">
        <f>0</f>
        <v>0</v>
      </c>
    </row>
    <row r="4811" spans="1:12" x14ac:dyDescent="0.25">
      <c r="A4811">
        <f>80986697*0.00001</f>
        <v>809.86697000000004</v>
      </c>
      <c r="B4811">
        <v>3520</v>
      </c>
      <c r="C4811">
        <v>137</v>
      </c>
      <c r="D4811">
        <v>254.57400000000001</v>
      </c>
      <c r="E4811" s="1">
        <f>5230</f>
        <v>5230</v>
      </c>
      <c r="F4811">
        <v>1621</v>
      </c>
      <c r="G4811">
        <v>1</v>
      </c>
      <c r="H4811">
        <v>0.2</v>
      </c>
      <c r="I4811">
        <v>0</v>
      </c>
      <c r="J4811">
        <v>45.463999999999999</v>
      </c>
      <c r="K4811">
        <v>552.98199999999997</v>
      </c>
      <c r="L4811">
        <v>0</v>
      </c>
    </row>
    <row r="4812" spans="1:12" x14ac:dyDescent="0.25">
      <c r="A4812">
        <f>80986828*0.00001</f>
        <v>809.86828000000003</v>
      </c>
      <c r="B4812">
        <v>3520</v>
      </c>
      <c r="C4812">
        <v>138</v>
      </c>
      <c r="D4812">
        <v>254.57400000000001</v>
      </c>
      <c r="E4812">
        <v>5230</v>
      </c>
      <c r="F4812">
        <v>1621</v>
      </c>
      <c r="G4812" s="1">
        <f>1</f>
        <v>1</v>
      </c>
      <c r="H4812">
        <v>0.2</v>
      </c>
      <c r="I4812">
        <v>0</v>
      </c>
      <c r="J4812">
        <v>45.463999999999999</v>
      </c>
      <c r="K4812">
        <v>552.98199999999997</v>
      </c>
      <c r="L4812">
        <v>0</v>
      </c>
    </row>
    <row r="4813" spans="1:12" x14ac:dyDescent="0.25">
      <c r="A4813">
        <f>80986959*0.00001</f>
        <v>809.86959000000002</v>
      </c>
      <c r="B4813">
        <v>3520</v>
      </c>
      <c r="C4813">
        <v>139</v>
      </c>
      <c r="D4813">
        <v>254.57400000000001</v>
      </c>
      <c r="E4813">
        <v>5230</v>
      </c>
      <c r="F4813">
        <v>1621</v>
      </c>
      <c r="G4813">
        <v>1</v>
      </c>
      <c r="H4813">
        <v>0.2</v>
      </c>
      <c r="I4813" s="1">
        <f>0</f>
        <v>0</v>
      </c>
      <c r="J4813">
        <v>45.463999999999999</v>
      </c>
      <c r="K4813">
        <v>552.98199999999997</v>
      </c>
      <c r="L4813">
        <v>0</v>
      </c>
    </row>
    <row r="4814" spans="1:12" x14ac:dyDescent="0.25">
      <c r="A4814">
        <f>80987090*0.00001</f>
        <v>809.87090000000012</v>
      </c>
      <c r="B4814">
        <v>3520</v>
      </c>
      <c r="C4814">
        <v>140</v>
      </c>
      <c r="D4814">
        <v>254.57400000000001</v>
      </c>
      <c r="E4814">
        <v>5230</v>
      </c>
      <c r="F4814">
        <v>1621</v>
      </c>
      <c r="G4814">
        <v>1</v>
      </c>
      <c r="H4814">
        <v>0.2</v>
      </c>
      <c r="I4814">
        <v>0</v>
      </c>
      <c r="J4814">
        <v>45.463999999999999</v>
      </c>
      <c r="K4814" s="1">
        <f>553.09</f>
        <v>553.09</v>
      </c>
      <c r="L4814">
        <v>0</v>
      </c>
    </row>
    <row r="4815" spans="1:12" x14ac:dyDescent="0.25">
      <c r="A4815">
        <f>80987221*0.00001</f>
        <v>809.87221000000011</v>
      </c>
      <c r="B4815">
        <v>3520</v>
      </c>
      <c r="C4815">
        <v>141</v>
      </c>
      <c r="D4815" s="1">
        <f>254.476</f>
        <v>254.476</v>
      </c>
      <c r="E4815">
        <v>5230</v>
      </c>
      <c r="F4815">
        <v>1621</v>
      </c>
      <c r="G4815">
        <v>1</v>
      </c>
      <c r="H4815">
        <v>0.2</v>
      </c>
      <c r="I4815">
        <v>0</v>
      </c>
      <c r="J4815">
        <v>45.463999999999999</v>
      </c>
      <c r="K4815">
        <v>553.09</v>
      </c>
      <c r="L4815">
        <v>0</v>
      </c>
    </row>
    <row r="4816" spans="1:12" x14ac:dyDescent="0.25">
      <c r="A4816">
        <f>80987351*0.00001</f>
        <v>809.87351000000001</v>
      </c>
      <c r="B4816">
        <v>3520</v>
      </c>
      <c r="C4816">
        <v>142</v>
      </c>
      <c r="D4816">
        <v>254.476</v>
      </c>
      <c r="E4816">
        <v>5230</v>
      </c>
      <c r="F4816" s="1">
        <f>1621</f>
        <v>1621</v>
      </c>
      <c r="G4816">
        <v>1</v>
      </c>
      <c r="H4816">
        <v>0.2</v>
      </c>
      <c r="I4816">
        <v>0</v>
      </c>
      <c r="J4816">
        <v>45.463999999999999</v>
      </c>
      <c r="K4816">
        <v>553.09</v>
      </c>
      <c r="L4816">
        <v>0</v>
      </c>
    </row>
    <row r="4817" spans="1:12" x14ac:dyDescent="0.25">
      <c r="A4817">
        <f>80987481*0.00001</f>
        <v>809.87481000000002</v>
      </c>
      <c r="B4817">
        <v>3520</v>
      </c>
      <c r="C4817">
        <v>143</v>
      </c>
      <c r="D4817">
        <v>254.476</v>
      </c>
      <c r="E4817">
        <v>5230</v>
      </c>
      <c r="F4817">
        <v>1621</v>
      </c>
      <c r="G4817">
        <v>1</v>
      </c>
      <c r="H4817" s="1">
        <f>0.2</f>
        <v>0.2</v>
      </c>
      <c r="I4817">
        <v>0</v>
      </c>
      <c r="J4817">
        <v>45.463999999999999</v>
      </c>
      <c r="K4817">
        <v>553.09</v>
      </c>
      <c r="L4817">
        <v>0</v>
      </c>
    </row>
    <row r="4818" spans="1:12" x14ac:dyDescent="0.25">
      <c r="A4818">
        <f>80987611*0.00001</f>
        <v>809.87611000000004</v>
      </c>
      <c r="B4818">
        <v>3520</v>
      </c>
      <c r="C4818">
        <v>144</v>
      </c>
      <c r="D4818">
        <v>254.476</v>
      </c>
      <c r="E4818">
        <v>5230</v>
      </c>
      <c r="F4818">
        <v>1621</v>
      </c>
      <c r="G4818">
        <v>1</v>
      </c>
      <c r="H4818">
        <v>0.2</v>
      </c>
      <c r="I4818">
        <v>0</v>
      </c>
      <c r="J4818" s="1">
        <f>45.5473</f>
        <v>45.5473</v>
      </c>
      <c r="K4818">
        <v>553.09</v>
      </c>
      <c r="L4818">
        <v>0</v>
      </c>
    </row>
    <row r="4819" spans="1:12" x14ac:dyDescent="0.25">
      <c r="A4819">
        <f>80987742*0.00001</f>
        <v>809.87742000000003</v>
      </c>
      <c r="B4819">
        <v>3520</v>
      </c>
      <c r="C4819">
        <v>145</v>
      </c>
      <c r="D4819">
        <v>254.476</v>
      </c>
      <c r="E4819">
        <v>5230</v>
      </c>
      <c r="F4819">
        <v>1621</v>
      </c>
      <c r="G4819">
        <v>1</v>
      </c>
      <c r="H4819">
        <v>0.2</v>
      </c>
      <c r="I4819">
        <v>0</v>
      </c>
      <c r="J4819">
        <v>45.5473</v>
      </c>
      <c r="K4819" s="1">
        <f>553.149</f>
        <v>553.149</v>
      </c>
      <c r="L4819" s="1">
        <f>0</f>
        <v>0</v>
      </c>
    </row>
    <row r="4820" spans="1:12" x14ac:dyDescent="0.25">
      <c r="A4820">
        <f>80987873*0.00001</f>
        <v>809.87873000000002</v>
      </c>
      <c r="B4820">
        <v>3520</v>
      </c>
      <c r="C4820">
        <v>146</v>
      </c>
      <c r="D4820" s="1">
        <f>254.439</f>
        <v>254.43899999999999</v>
      </c>
      <c r="E4820" s="1">
        <f>5233</f>
        <v>5233</v>
      </c>
      <c r="F4820">
        <v>1621</v>
      </c>
      <c r="G4820">
        <v>1</v>
      </c>
      <c r="H4820">
        <v>0.2</v>
      </c>
      <c r="I4820">
        <v>0</v>
      </c>
      <c r="J4820">
        <v>45.5473</v>
      </c>
      <c r="K4820">
        <v>553.149</v>
      </c>
      <c r="L4820">
        <v>0</v>
      </c>
    </row>
    <row r="4821" spans="1:12" x14ac:dyDescent="0.25">
      <c r="A4821">
        <f>80988004*0.00001</f>
        <v>809.88004000000012</v>
      </c>
      <c r="B4821">
        <v>3520</v>
      </c>
      <c r="C4821">
        <v>147</v>
      </c>
      <c r="D4821">
        <v>254.43899999999999</v>
      </c>
      <c r="E4821">
        <v>5233</v>
      </c>
      <c r="F4821" s="1">
        <f>1621</f>
        <v>1621</v>
      </c>
      <c r="G4821" s="1">
        <f>1</f>
        <v>1</v>
      </c>
      <c r="H4821">
        <v>0.2</v>
      </c>
      <c r="I4821">
        <v>0</v>
      </c>
      <c r="J4821">
        <v>45.5473</v>
      </c>
      <c r="K4821">
        <v>553.149</v>
      </c>
      <c r="L4821">
        <v>0</v>
      </c>
    </row>
    <row r="4822" spans="1:12" x14ac:dyDescent="0.25">
      <c r="A4822">
        <f>80988135*0.00001</f>
        <v>809.88135000000011</v>
      </c>
      <c r="B4822">
        <v>3520</v>
      </c>
      <c r="C4822">
        <v>148</v>
      </c>
      <c r="D4822">
        <v>254.43899999999999</v>
      </c>
      <c r="E4822">
        <v>5233</v>
      </c>
      <c r="F4822">
        <v>1621</v>
      </c>
      <c r="G4822">
        <v>1</v>
      </c>
      <c r="H4822" s="1">
        <f>0.2</f>
        <v>0.2</v>
      </c>
      <c r="I4822" s="1">
        <f>0</f>
        <v>0</v>
      </c>
      <c r="J4822">
        <v>45.5473</v>
      </c>
      <c r="K4822">
        <v>553.149</v>
      </c>
      <c r="L4822">
        <v>0</v>
      </c>
    </row>
    <row r="4823" spans="1:12" x14ac:dyDescent="0.25">
      <c r="A4823">
        <f>80988265*0.00001</f>
        <v>809.88265000000001</v>
      </c>
      <c r="B4823">
        <v>3520</v>
      </c>
      <c r="C4823">
        <v>149</v>
      </c>
      <c r="D4823">
        <v>254.43899999999999</v>
      </c>
      <c r="E4823">
        <v>5233</v>
      </c>
      <c r="F4823">
        <v>1621</v>
      </c>
      <c r="G4823">
        <v>1</v>
      </c>
      <c r="H4823">
        <v>0.2</v>
      </c>
      <c r="I4823">
        <v>0</v>
      </c>
      <c r="J4823" s="1">
        <f>45.5799</f>
        <v>45.579900000000002</v>
      </c>
      <c r="K4823" s="1">
        <f>553.197</f>
        <v>553.197</v>
      </c>
      <c r="L4823">
        <v>0</v>
      </c>
    </row>
    <row r="4824" spans="1:12" x14ac:dyDescent="0.25">
      <c r="A4824">
        <f>80988395*0.00001</f>
        <v>809.88395000000003</v>
      </c>
      <c r="B4824">
        <v>3520</v>
      </c>
      <c r="C4824">
        <v>150</v>
      </c>
      <c r="D4824" s="1">
        <f>254.415</f>
        <v>254.41499999999999</v>
      </c>
      <c r="E4824">
        <v>5233</v>
      </c>
      <c r="F4824">
        <v>1621</v>
      </c>
      <c r="G4824">
        <v>1</v>
      </c>
      <c r="H4824">
        <v>0.2</v>
      </c>
      <c r="I4824">
        <v>0</v>
      </c>
      <c r="J4824">
        <v>45.579900000000002</v>
      </c>
      <c r="K4824">
        <v>553.197</v>
      </c>
      <c r="L4824" s="1">
        <f>0</f>
        <v>0</v>
      </c>
    </row>
    <row r="4825" spans="1:12" x14ac:dyDescent="0.25">
      <c r="A4825">
        <f>80988525*0.00001</f>
        <v>809.88525000000004</v>
      </c>
      <c r="B4825">
        <v>3520</v>
      </c>
      <c r="C4825">
        <v>151</v>
      </c>
      <c r="D4825">
        <v>254.41499999999999</v>
      </c>
      <c r="E4825" s="1">
        <f>5234</f>
        <v>5234</v>
      </c>
      <c r="F4825" s="1">
        <f>1621</f>
        <v>1621</v>
      </c>
      <c r="G4825">
        <v>1</v>
      </c>
      <c r="H4825">
        <v>0.2</v>
      </c>
      <c r="I4825">
        <v>0</v>
      </c>
      <c r="J4825">
        <v>45.579900000000002</v>
      </c>
      <c r="K4825">
        <v>553.197</v>
      </c>
      <c r="L4825">
        <v>0</v>
      </c>
    </row>
    <row r="4826" spans="1:12" x14ac:dyDescent="0.25">
      <c r="A4826">
        <f>80988656*0.00001</f>
        <v>809.88656000000003</v>
      </c>
      <c r="B4826">
        <v>3520</v>
      </c>
      <c r="C4826">
        <v>152</v>
      </c>
      <c r="D4826" s="1">
        <f>254.365</f>
        <v>254.36500000000001</v>
      </c>
      <c r="E4826" s="1">
        <f>5235</f>
        <v>5235</v>
      </c>
      <c r="F4826" s="1">
        <f>1621</f>
        <v>1621</v>
      </c>
      <c r="G4826" s="1">
        <f>1</f>
        <v>1</v>
      </c>
      <c r="H4826" s="1">
        <f>0.2</f>
        <v>0.2</v>
      </c>
      <c r="I4826" s="1">
        <f>0</f>
        <v>0</v>
      </c>
      <c r="J4826" s="1">
        <f>45.6207</f>
        <v>45.620699999999999</v>
      </c>
      <c r="K4826" s="1">
        <f>553.305</f>
        <v>553.30499999999995</v>
      </c>
      <c r="L4826" s="1">
        <f>0</f>
        <v>0</v>
      </c>
    </row>
    <row r="4827" spans="1:12" x14ac:dyDescent="0.25">
      <c r="A4827">
        <f>80989832*0.00001</f>
        <v>809.89832000000001</v>
      </c>
      <c r="B4827">
        <v>3520</v>
      </c>
      <c r="C4827">
        <v>161</v>
      </c>
      <c r="D4827">
        <v>254.36500000000001</v>
      </c>
      <c r="E4827">
        <v>5235</v>
      </c>
      <c r="F4827">
        <v>1621</v>
      </c>
      <c r="G4827" s="1">
        <f>1</f>
        <v>1</v>
      </c>
      <c r="H4827">
        <v>0.2</v>
      </c>
      <c r="I4827">
        <v>0</v>
      </c>
      <c r="J4827">
        <v>45.620699999999999</v>
      </c>
      <c r="K4827">
        <v>553.30499999999995</v>
      </c>
      <c r="L4827">
        <v>0</v>
      </c>
    </row>
    <row r="4828" spans="1:12" x14ac:dyDescent="0.25">
      <c r="A4828">
        <f>80989963*0.00001</f>
        <v>809.89963000000012</v>
      </c>
      <c r="B4828">
        <v>3520</v>
      </c>
      <c r="C4828">
        <v>162</v>
      </c>
      <c r="D4828">
        <v>254.36500000000001</v>
      </c>
      <c r="E4828">
        <v>5235</v>
      </c>
      <c r="F4828">
        <v>1621</v>
      </c>
      <c r="G4828">
        <v>1</v>
      </c>
      <c r="H4828">
        <v>0.2</v>
      </c>
      <c r="I4828" s="1">
        <f>0</f>
        <v>0</v>
      </c>
      <c r="J4828">
        <v>45.620699999999999</v>
      </c>
      <c r="K4828">
        <v>553.30499999999995</v>
      </c>
      <c r="L4828">
        <v>0</v>
      </c>
    </row>
    <row r="4829" spans="1:12" x14ac:dyDescent="0.25">
      <c r="A4829">
        <f>80990094*0.00001</f>
        <v>809.90094000000011</v>
      </c>
      <c r="B4829">
        <v>3520</v>
      </c>
      <c r="C4829">
        <v>163</v>
      </c>
      <c r="D4829">
        <v>254.36500000000001</v>
      </c>
      <c r="E4829">
        <v>5235</v>
      </c>
      <c r="F4829">
        <v>1621</v>
      </c>
      <c r="G4829">
        <v>1</v>
      </c>
      <c r="H4829">
        <v>0.2</v>
      </c>
      <c r="I4829">
        <v>0</v>
      </c>
      <c r="J4829">
        <v>45.620699999999999</v>
      </c>
      <c r="K4829" s="1">
        <f>553.365</f>
        <v>553.36500000000001</v>
      </c>
      <c r="L4829">
        <v>0</v>
      </c>
    </row>
    <row r="4830" spans="1:12" x14ac:dyDescent="0.25">
      <c r="A4830">
        <f>80990224*0.00001</f>
        <v>809.90224000000012</v>
      </c>
      <c r="B4830">
        <v>3520</v>
      </c>
      <c r="C4830">
        <v>164</v>
      </c>
      <c r="D4830" s="1">
        <f>254.361</f>
        <v>254.36099999999999</v>
      </c>
      <c r="E4830">
        <v>5235</v>
      </c>
      <c r="F4830">
        <v>1621</v>
      </c>
      <c r="G4830">
        <v>1</v>
      </c>
      <c r="H4830">
        <v>0.2</v>
      </c>
      <c r="I4830">
        <v>0</v>
      </c>
      <c r="J4830">
        <v>45.620699999999999</v>
      </c>
      <c r="K4830">
        <v>553.36500000000001</v>
      </c>
      <c r="L4830">
        <v>0</v>
      </c>
    </row>
    <row r="4831" spans="1:12" x14ac:dyDescent="0.25">
      <c r="A4831">
        <f>80990354*0.00001</f>
        <v>809.90354000000002</v>
      </c>
      <c r="B4831">
        <v>3520</v>
      </c>
      <c r="C4831">
        <v>165</v>
      </c>
      <c r="D4831">
        <v>254.36099999999999</v>
      </c>
      <c r="E4831">
        <v>5235</v>
      </c>
      <c r="F4831" s="1">
        <f>1621</f>
        <v>1621</v>
      </c>
      <c r="G4831">
        <v>1</v>
      </c>
      <c r="H4831">
        <v>0.2</v>
      </c>
      <c r="I4831">
        <v>0</v>
      </c>
      <c r="J4831">
        <v>45.620699999999999</v>
      </c>
      <c r="K4831">
        <v>553.36500000000001</v>
      </c>
      <c r="L4831">
        <v>0</v>
      </c>
    </row>
    <row r="4832" spans="1:12" x14ac:dyDescent="0.25">
      <c r="A4832">
        <f>80990484*0.00001</f>
        <v>809.90484000000004</v>
      </c>
      <c r="B4832">
        <v>3520</v>
      </c>
      <c r="C4832">
        <v>166</v>
      </c>
      <c r="D4832">
        <v>254.36099999999999</v>
      </c>
      <c r="E4832">
        <v>5235</v>
      </c>
      <c r="F4832">
        <v>1621</v>
      </c>
      <c r="G4832">
        <v>1</v>
      </c>
      <c r="H4832" s="1">
        <f>0.2</f>
        <v>0.2</v>
      </c>
      <c r="I4832">
        <v>0</v>
      </c>
      <c r="J4832">
        <v>45.620699999999999</v>
      </c>
      <c r="K4832">
        <v>553.36500000000001</v>
      </c>
      <c r="L4832">
        <v>0</v>
      </c>
    </row>
    <row r="4833" spans="1:16" x14ac:dyDescent="0.25">
      <c r="A4833">
        <f>80990615*0.00001</f>
        <v>809.90615000000003</v>
      </c>
      <c r="B4833">
        <v>3520</v>
      </c>
      <c r="C4833">
        <v>167</v>
      </c>
      <c r="D4833">
        <v>254.36099999999999</v>
      </c>
      <c r="E4833">
        <v>5235</v>
      </c>
      <c r="F4833">
        <v>1621</v>
      </c>
      <c r="G4833">
        <v>1</v>
      </c>
      <c r="H4833">
        <v>0.2</v>
      </c>
      <c r="I4833">
        <v>0</v>
      </c>
      <c r="J4833" s="1">
        <f>45.6493</f>
        <v>45.649299999999997</v>
      </c>
      <c r="K4833">
        <v>553.36500000000001</v>
      </c>
      <c r="L4833">
        <v>0</v>
      </c>
    </row>
    <row r="4834" spans="1:16" x14ac:dyDescent="0.25">
      <c r="A4834">
        <f>80990746*0.00001</f>
        <v>809.90746000000001</v>
      </c>
      <c r="B4834">
        <v>3520</v>
      </c>
      <c r="C4834">
        <v>168</v>
      </c>
      <c r="D4834">
        <v>254.36099999999999</v>
      </c>
      <c r="E4834">
        <v>5235</v>
      </c>
      <c r="F4834">
        <v>1621</v>
      </c>
      <c r="G4834">
        <v>1</v>
      </c>
      <c r="H4834">
        <v>0.2</v>
      </c>
      <c r="I4834">
        <v>0</v>
      </c>
      <c r="J4834">
        <v>45.649299999999997</v>
      </c>
      <c r="K4834" s="1">
        <f>553.424</f>
        <v>553.42399999999998</v>
      </c>
      <c r="L4834" s="1">
        <f>0</f>
        <v>0</v>
      </c>
    </row>
    <row r="4835" spans="1:16" x14ac:dyDescent="0.25">
      <c r="A4835">
        <f>80990877*0.00001</f>
        <v>809.90877000000012</v>
      </c>
      <c r="B4835">
        <v>3520</v>
      </c>
      <c r="C4835">
        <v>169</v>
      </c>
      <c r="D4835" s="1">
        <f>254.35</f>
        <v>254.35</v>
      </c>
      <c r="E4835" s="1">
        <f>5237</f>
        <v>5237</v>
      </c>
      <c r="F4835">
        <v>1621</v>
      </c>
      <c r="G4835">
        <v>1</v>
      </c>
      <c r="H4835">
        <v>0.2</v>
      </c>
      <c r="I4835">
        <v>0</v>
      </c>
      <c r="J4835">
        <v>45.649299999999997</v>
      </c>
      <c r="K4835">
        <v>553.42399999999998</v>
      </c>
      <c r="L4835">
        <v>0</v>
      </c>
    </row>
    <row r="4836" spans="1:16" x14ac:dyDescent="0.25">
      <c r="A4836">
        <f>80991008*0.00001</f>
        <v>809.91008000000011</v>
      </c>
      <c r="B4836">
        <v>3520</v>
      </c>
      <c r="C4836">
        <v>170</v>
      </c>
      <c r="D4836">
        <v>254.35</v>
      </c>
      <c r="E4836">
        <v>5237</v>
      </c>
      <c r="F4836" s="1">
        <f>1621</f>
        <v>1621</v>
      </c>
      <c r="G4836" s="1">
        <f>1</f>
        <v>1</v>
      </c>
      <c r="H4836">
        <v>0.2</v>
      </c>
      <c r="I4836">
        <v>0</v>
      </c>
      <c r="J4836">
        <v>45.649299999999997</v>
      </c>
      <c r="K4836">
        <v>553.42399999999998</v>
      </c>
      <c r="L4836">
        <v>0</v>
      </c>
    </row>
    <row r="4837" spans="1:16" x14ac:dyDescent="0.25">
      <c r="A4837">
        <f>80991139*0.00001</f>
        <v>809.9113900000001</v>
      </c>
      <c r="B4837">
        <v>3520</v>
      </c>
      <c r="C4837">
        <v>171</v>
      </c>
      <c r="D4837">
        <v>254.35</v>
      </c>
      <c r="E4837">
        <v>5237</v>
      </c>
      <c r="F4837">
        <v>1621</v>
      </c>
      <c r="G4837">
        <v>1</v>
      </c>
      <c r="H4837" s="1">
        <f>0.2</f>
        <v>0.2</v>
      </c>
      <c r="I4837" s="1">
        <f>0</f>
        <v>0</v>
      </c>
      <c r="J4837">
        <v>45.649299999999997</v>
      </c>
      <c r="K4837">
        <v>553.42399999999998</v>
      </c>
      <c r="L4837">
        <v>0</v>
      </c>
    </row>
    <row r="4838" spans="1:16" x14ac:dyDescent="0.25">
      <c r="A4838">
        <f>80991269*0.00001</f>
        <v>809.91269000000011</v>
      </c>
      <c r="B4838">
        <v>3520</v>
      </c>
      <c r="C4838">
        <v>172</v>
      </c>
      <c r="D4838">
        <v>254.35</v>
      </c>
      <c r="E4838">
        <v>5237</v>
      </c>
      <c r="F4838">
        <v>1621</v>
      </c>
      <c r="G4838">
        <v>1</v>
      </c>
      <c r="H4838">
        <v>0.2</v>
      </c>
      <c r="I4838">
        <v>0</v>
      </c>
      <c r="J4838" s="1">
        <f>45.6562</f>
        <v>45.656199999999998</v>
      </c>
      <c r="K4838" s="1">
        <f>553.472</f>
        <v>553.47199999999998</v>
      </c>
      <c r="L4838">
        <v>0</v>
      </c>
    </row>
    <row r="4839" spans="1:16" x14ac:dyDescent="0.25">
      <c r="A4839">
        <f>80991399*0.00001</f>
        <v>809.91399000000001</v>
      </c>
      <c r="B4839">
        <v>3520</v>
      </c>
      <c r="C4839">
        <v>173</v>
      </c>
      <c r="D4839" s="1">
        <f>254.342</f>
        <v>254.34200000000001</v>
      </c>
      <c r="E4839">
        <v>5237</v>
      </c>
      <c r="F4839">
        <v>1621</v>
      </c>
      <c r="G4839">
        <v>1</v>
      </c>
      <c r="H4839">
        <v>0.2</v>
      </c>
      <c r="I4839">
        <v>0</v>
      </c>
      <c r="J4839">
        <v>45.656199999999998</v>
      </c>
      <c r="K4839">
        <v>553.47199999999998</v>
      </c>
      <c r="L4839" s="1">
        <f>0</f>
        <v>0</v>
      </c>
    </row>
    <row r="4840" spans="1:16" x14ac:dyDescent="0.25">
      <c r="A4840">
        <f>80991529*0.00001</f>
        <v>809.91529000000003</v>
      </c>
      <c r="B4840">
        <v>3520</v>
      </c>
      <c r="C4840">
        <v>174</v>
      </c>
      <c r="D4840">
        <v>254.34200000000001</v>
      </c>
      <c r="E4840" s="1">
        <f>5237</f>
        <v>5237</v>
      </c>
      <c r="F4840" s="1">
        <f>1621</f>
        <v>1621</v>
      </c>
      <c r="G4840">
        <v>1</v>
      </c>
      <c r="H4840">
        <v>0.2</v>
      </c>
      <c r="I4840">
        <v>0</v>
      </c>
      <c r="J4840">
        <v>45.656199999999998</v>
      </c>
      <c r="K4840">
        <v>553.47199999999998</v>
      </c>
      <c r="L4840">
        <v>0</v>
      </c>
    </row>
    <row r="4841" spans="1:16" x14ac:dyDescent="0.25">
      <c r="A4841">
        <f>80991660*0.00001</f>
        <v>809.91660000000002</v>
      </c>
      <c r="B4841">
        <v>3520</v>
      </c>
      <c r="C4841">
        <v>175</v>
      </c>
      <c r="D4841" s="1">
        <f>254.329</f>
        <v>254.32900000000001</v>
      </c>
      <c r="E4841" s="1">
        <f>5238</f>
        <v>5238</v>
      </c>
      <c r="F4841" s="1">
        <f>1621</f>
        <v>1621</v>
      </c>
      <c r="G4841" s="1">
        <f>1</f>
        <v>1</v>
      </c>
      <c r="H4841" s="1">
        <f>0.2</f>
        <v>0.2</v>
      </c>
      <c r="I4841" s="1">
        <f>0</f>
        <v>0</v>
      </c>
      <c r="J4841" s="1">
        <f>45.6667</f>
        <v>45.666699999999999</v>
      </c>
      <c r="K4841" s="1">
        <f>553.556</f>
        <v>553.55600000000004</v>
      </c>
      <c r="L4841" s="1">
        <f>0</f>
        <v>0</v>
      </c>
    </row>
    <row r="4842" spans="1:16" s="2" customFormat="1" x14ac:dyDescent="0.25">
      <c r="A4842" s="2">
        <f>80992838*0.00001</f>
        <v>809.92838000000006</v>
      </c>
      <c r="B4842" s="2">
        <v>3521</v>
      </c>
      <c r="C4842" s="2">
        <v>4</v>
      </c>
      <c r="D4842" s="2">
        <v>254.32900000000001</v>
      </c>
      <c r="E4842" s="2">
        <v>5238</v>
      </c>
      <c r="F4842" s="2">
        <v>1621</v>
      </c>
      <c r="G4842" s="1">
        <f>1</f>
        <v>1</v>
      </c>
      <c r="H4842" s="2">
        <v>0.2</v>
      </c>
      <c r="I4842" s="2">
        <v>0</v>
      </c>
      <c r="J4842" s="2">
        <v>45.666699999999999</v>
      </c>
      <c r="K4842" s="2">
        <v>553.55600000000004</v>
      </c>
      <c r="L4842" s="2">
        <v>0</v>
      </c>
      <c r="P4842" s="2">
        <v>1621</v>
      </c>
    </row>
    <row r="4843" spans="1:16" x14ac:dyDescent="0.25">
      <c r="A4843">
        <f>80992969*0.00001</f>
        <v>809.92969000000005</v>
      </c>
      <c r="B4843">
        <v>3521</v>
      </c>
      <c r="C4843">
        <v>5</v>
      </c>
      <c r="D4843">
        <v>254.32900000000001</v>
      </c>
      <c r="E4843">
        <v>5238</v>
      </c>
      <c r="F4843">
        <v>1621</v>
      </c>
      <c r="G4843">
        <v>1</v>
      </c>
      <c r="H4843">
        <v>0.2</v>
      </c>
      <c r="I4843" s="1">
        <f>0</f>
        <v>0</v>
      </c>
      <c r="J4843">
        <v>45.666699999999999</v>
      </c>
      <c r="K4843">
        <v>553.55600000000004</v>
      </c>
      <c r="L4843">
        <v>0</v>
      </c>
    </row>
    <row r="4844" spans="1:16" x14ac:dyDescent="0.25">
      <c r="A4844">
        <f>80993100*0.00001</f>
        <v>809.93100000000004</v>
      </c>
      <c r="B4844">
        <v>3521</v>
      </c>
      <c r="C4844">
        <v>6</v>
      </c>
      <c r="D4844">
        <v>254.32900000000001</v>
      </c>
      <c r="E4844">
        <v>5238</v>
      </c>
      <c r="F4844">
        <v>1621</v>
      </c>
      <c r="G4844">
        <v>1</v>
      </c>
      <c r="H4844">
        <v>0.2</v>
      </c>
      <c r="I4844">
        <v>0</v>
      </c>
      <c r="J4844">
        <v>45.666699999999999</v>
      </c>
      <c r="K4844" s="1">
        <f>553.616</f>
        <v>553.61599999999999</v>
      </c>
      <c r="L4844">
        <v>0</v>
      </c>
    </row>
    <row r="4845" spans="1:16" x14ac:dyDescent="0.25">
      <c r="A4845">
        <f>80993230*0.00001</f>
        <v>809.93230000000005</v>
      </c>
      <c r="B4845">
        <v>3521</v>
      </c>
      <c r="C4845">
        <v>7</v>
      </c>
      <c r="D4845" s="1">
        <f>254.327</f>
        <v>254.327</v>
      </c>
      <c r="E4845">
        <v>5238</v>
      </c>
      <c r="F4845">
        <v>1621</v>
      </c>
      <c r="G4845">
        <v>1</v>
      </c>
      <c r="H4845">
        <v>0.2</v>
      </c>
      <c r="I4845">
        <v>0</v>
      </c>
      <c r="J4845">
        <v>45.666699999999999</v>
      </c>
      <c r="K4845">
        <v>553.61599999999999</v>
      </c>
      <c r="L4845">
        <v>0</v>
      </c>
    </row>
    <row r="4846" spans="1:16" x14ac:dyDescent="0.25">
      <c r="A4846">
        <f>80993360*0.00001</f>
        <v>809.93360000000007</v>
      </c>
      <c r="B4846">
        <v>3521</v>
      </c>
      <c r="C4846">
        <v>8</v>
      </c>
      <c r="D4846">
        <v>254.327</v>
      </c>
      <c r="E4846">
        <v>5238</v>
      </c>
      <c r="F4846" s="1">
        <f>1621</f>
        <v>1621</v>
      </c>
      <c r="G4846">
        <v>1</v>
      </c>
      <c r="H4846">
        <v>0.2</v>
      </c>
      <c r="I4846">
        <v>0</v>
      </c>
      <c r="J4846">
        <v>45.666699999999999</v>
      </c>
      <c r="K4846">
        <v>553.61599999999999</v>
      </c>
      <c r="L4846">
        <v>0</v>
      </c>
    </row>
    <row r="4847" spans="1:16" x14ac:dyDescent="0.25">
      <c r="A4847">
        <f>80993490*0.00001</f>
        <v>809.93490000000008</v>
      </c>
      <c r="B4847">
        <v>3521</v>
      </c>
      <c r="C4847">
        <v>9</v>
      </c>
      <c r="D4847">
        <v>254.327</v>
      </c>
      <c r="E4847">
        <v>5238</v>
      </c>
      <c r="F4847">
        <v>1621</v>
      </c>
      <c r="G4847">
        <v>1</v>
      </c>
      <c r="H4847" s="1">
        <f>0.2</f>
        <v>0.2</v>
      </c>
      <c r="I4847">
        <v>0</v>
      </c>
      <c r="J4847">
        <v>45.666699999999999</v>
      </c>
      <c r="K4847">
        <v>553.61599999999999</v>
      </c>
      <c r="L4847">
        <v>0</v>
      </c>
    </row>
    <row r="4848" spans="1:16" x14ac:dyDescent="0.25">
      <c r="A4848">
        <f>80993621*0.00001</f>
        <v>809.93621000000007</v>
      </c>
      <c r="B4848">
        <v>3521</v>
      </c>
      <c r="C4848">
        <v>10</v>
      </c>
      <c r="D4848">
        <v>254.327</v>
      </c>
      <c r="E4848">
        <v>5238</v>
      </c>
      <c r="F4848">
        <v>1621</v>
      </c>
      <c r="G4848">
        <v>1</v>
      </c>
      <c r="H4848">
        <v>0.2</v>
      </c>
      <c r="I4848">
        <v>0</v>
      </c>
      <c r="J4848" s="1">
        <f>45.6756</f>
        <v>45.675600000000003</v>
      </c>
      <c r="K4848">
        <v>553.61599999999999</v>
      </c>
      <c r="L4848">
        <v>0</v>
      </c>
    </row>
    <row r="4849" spans="1:12" x14ac:dyDescent="0.25">
      <c r="A4849">
        <f>80993752*0.00001</f>
        <v>809.93752000000006</v>
      </c>
      <c r="B4849">
        <v>3521</v>
      </c>
      <c r="C4849">
        <v>11</v>
      </c>
      <c r="D4849">
        <v>254.327</v>
      </c>
      <c r="E4849">
        <v>5238</v>
      </c>
      <c r="F4849">
        <v>1621</v>
      </c>
      <c r="G4849">
        <v>1</v>
      </c>
      <c r="H4849">
        <v>0.2</v>
      </c>
      <c r="I4849">
        <v>0</v>
      </c>
      <c r="J4849">
        <v>45.675600000000003</v>
      </c>
      <c r="K4849">
        <v>553.61599999999999</v>
      </c>
      <c r="L4849" s="1">
        <f>0</f>
        <v>0</v>
      </c>
    </row>
    <row r="4850" spans="1:12" x14ac:dyDescent="0.25">
      <c r="A4850">
        <f>80993883*0.00001</f>
        <v>809.93883000000005</v>
      </c>
      <c r="B4850">
        <v>3521</v>
      </c>
      <c r="C4850">
        <v>12</v>
      </c>
      <c r="D4850">
        <v>254.327</v>
      </c>
      <c r="E4850" s="1">
        <f>5239</f>
        <v>5239</v>
      </c>
      <c r="F4850">
        <v>1621</v>
      </c>
      <c r="G4850">
        <v>1</v>
      </c>
      <c r="H4850">
        <v>0.2</v>
      </c>
      <c r="I4850">
        <v>0</v>
      </c>
      <c r="J4850">
        <v>45.675600000000003</v>
      </c>
      <c r="K4850">
        <v>553.61599999999999</v>
      </c>
      <c r="L4850">
        <v>0</v>
      </c>
    </row>
    <row r="4851" spans="1:12" x14ac:dyDescent="0.25">
      <c r="A4851">
        <f>80994013*0.00001</f>
        <v>809.94013000000007</v>
      </c>
      <c r="B4851">
        <v>3521</v>
      </c>
      <c r="C4851">
        <v>13</v>
      </c>
      <c r="D4851">
        <v>254.327</v>
      </c>
      <c r="E4851">
        <v>5239</v>
      </c>
      <c r="F4851" s="1">
        <f>1621</f>
        <v>1621</v>
      </c>
      <c r="G4851" s="1">
        <f>1</f>
        <v>1</v>
      </c>
      <c r="H4851">
        <v>0.2</v>
      </c>
      <c r="I4851">
        <v>0</v>
      </c>
      <c r="J4851">
        <v>45.675600000000003</v>
      </c>
      <c r="K4851">
        <v>553.61599999999999</v>
      </c>
      <c r="L4851">
        <v>0</v>
      </c>
    </row>
    <row r="4852" spans="1:12" x14ac:dyDescent="0.25">
      <c r="A4852">
        <f>80994143*0.00001</f>
        <v>809.94143000000008</v>
      </c>
      <c r="B4852">
        <v>3521</v>
      </c>
      <c r="C4852">
        <v>14</v>
      </c>
      <c r="D4852">
        <v>254.327</v>
      </c>
      <c r="E4852">
        <v>5239</v>
      </c>
      <c r="F4852">
        <v>1621</v>
      </c>
      <c r="G4852">
        <v>1</v>
      </c>
      <c r="H4852" s="1">
        <f>0.2</f>
        <v>0.2</v>
      </c>
      <c r="I4852" s="1">
        <f>0</f>
        <v>0</v>
      </c>
      <c r="J4852">
        <v>45.675600000000003</v>
      </c>
      <c r="K4852">
        <v>553.61599999999999</v>
      </c>
      <c r="L4852">
        <v>0</v>
      </c>
    </row>
    <row r="4853" spans="1:12" x14ac:dyDescent="0.25">
      <c r="A4853">
        <f>80994273*0.00001</f>
        <v>809.9427300000001</v>
      </c>
      <c r="B4853">
        <v>3521</v>
      </c>
      <c r="C4853">
        <v>15</v>
      </c>
      <c r="D4853">
        <v>254.327</v>
      </c>
      <c r="E4853">
        <v>5239</v>
      </c>
      <c r="F4853">
        <v>1621</v>
      </c>
      <c r="G4853">
        <v>1</v>
      </c>
      <c r="H4853">
        <v>0.2</v>
      </c>
      <c r="I4853">
        <v>0</v>
      </c>
      <c r="J4853" s="1">
        <f>45.6791</f>
        <v>45.679099999999998</v>
      </c>
      <c r="K4853" s="1">
        <f>553.724</f>
        <v>553.72400000000005</v>
      </c>
      <c r="L4853">
        <v>0</v>
      </c>
    </row>
    <row r="4854" spans="1:12" x14ac:dyDescent="0.25">
      <c r="A4854">
        <f>80994403*0.00001</f>
        <v>809.94403000000011</v>
      </c>
      <c r="B4854">
        <v>3521</v>
      </c>
      <c r="C4854">
        <v>16</v>
      </c>
      <c r="D4854" s="1">
        <f>254.32</f>
        <v>254.32</v>
      </c>
      <c r="E4854">
        <v>5239</v>
      </c>
      <c r="F4854">
        <v>1621</v>
      </c>
      <c r="G4854">
        <v>1</v>
      </c>
      <c r="H4854">
        <v>0.2</v>
      </c>
      <c r="I4854">
        <v>0</v>
      </c>
      <c r="J4854">
        <v>45.679099999999998</v>
      </c>
      <c r="K4854">
        <v>553.72400000000005</v>
      </c>
      <c r="L4854" s="1">
        <f>0</f>
        <v>0</v>
      </c>
    </row>
    <row r="4855" spans="1:12" x14ac:dyDescent="0.25">
      <c r="A4855">
        <f>80994534*0.00001</f>
        <v>809.9453400000001</v>
      </c>
      <c r="B4855">
        <v>3521</v>
      </c>
      <c r="C4855">
        <v>17</v>
      </c>
      <c r="D4855">
        <v>254.32</v>
      </c>
      <c r="E4855" s="1">
        <f>5239</f>
        <v>5239</v>
      </c>
      <c r="F4855" s="1">
        <f>1621</f>
        <v>1621</v>
      </c>
      <c r="G4855">
        <v>1</v>
      </c>
      <c r="H4855">
        <v>0.2</v>
      </c>
      <c r="I4855">
        <v>0</v>
      </c>
      <c r="J4855">
        <v>45.679099999999998</v>
      </c>
      <c r="K4855">
        <v>553.72400000000005</v>
      </c>
      <c r="L4855">
        <v>0</v>
      </c>
    </row>
    <row r="4856" spans="1:12" x14ac:dyDescent="0.25">
      <c r="A4856">
        <f>80994665*0.00001</f>
        <v>809.94665000000009</v>
      </c>
      <c r="B4856">
        <v>3521</v>
      </c>
      <c r="C4856">
        <v>18</v>
      </c>
      <c r="D4856">
        <v>254.32</v>
      </c>
      <c r="E4856">
        <v>5239</v>
      </c>
      <c r="F4856">
        <v>1621</v>
      </c>
      <c r="G4856" s="1">
        <f>1</f>
        <v>1</v>
      </c>
      <c r="H4856" s="1">
        <f>0.2</f>
        <v>0.2</v>
      </c>
      <c r="I4856">
        <v>0</v>
      </c>
      <c r="J4856">
        <v>45.679099999999998</v>
      </c>
      <c r="K4856">
        <v>553.72400000000005</v>
      </c>
      <c r="L4856">
        <v>0</v>
      </c>
    </row>
    <row r="4857" spans="1:12" x14ac:dyDescent="0.25">
      <c r="A4857">
        <f>80994796*0.00001</f>
        <v>809.94796000000008</v>
      </c>
      <c r="B4857">
        <v>3521</v>
      </c>
      <c r="C4857">
        <v>19</v>
      </c>
      <c r="D4857">
        <v>254.32</v>
      </c>
      <c r="E4857">
        <v>5239</v>
      </c>
      <c r="F4857">
        <v>1621</v>
      </c>
      <c r="G4857">
        <v>1</v>
      </c>
      <c r="H4857">
        <v>0.2</v>
      </c>
      <c r="I4857" s="1">
        <f>0</f>
        <v>0</v>
      </c>
      <c r="J4857" s="1">
        <f>45.6812</f>
        <v>45.681199999999997</v>
      </c>
      <c r="K4857">
        <v>553.72400000000005</v>
      </c>
      <c r="L4857">
        <v>0</v>
      </c>
    </row>
    <row r="4858" spans="1:12" x14ac:dyDescent="0.25">
      <c r="A4858">
        <f>80994927*0.00001</f>
        <v>809.94927000000007</v>
      </c>
      <c r="B4858">
        <v>3521</v>
      </c>
      <c r="C4858">
        <v>20</v>
      </c>
      <c r="D4858" s="1">
        <f>254.316</f>
        <v>254.316</v>
      </c>
      <c r="E4858" s="1">
        <f>5240</f>
        <v>5240</v>
      </c>
      <c r="F4858" s="1">
        <f>1621</f>
        <v>1621</v>
      </c>
      <c r="G4858" s="1">
        <f>1</f>
        <v>1</v>
      </c>
      <c r="H4858" s="1">
        <f>0.2</f>
        <v>0.2</v>
      </c>
      <c r="I4858" s="1">
        <f>0</f>
        <v>0</v>
      </c>
      <c r="J4858" s="1">
        <f>45.6833</f>
        <v>45.683300000000003</v>
      </c>
      <c r="K4858" s="1">
        <f>553.831</f>
        <v>553.83100000000002</v>
      </c>
      <c r="L4858" s="1">
        <f>0</f>
        <v>0</v>
      </c>
    </row>
    <row r="4859" spans="1:12" x14ac:dyDescent="0.25">
      <c r="A4859">
        <f>80995971*0.00001</f>
        <v>809.95971000000009</v>
      </c>
      <c r="B4859">
        <v>3521</v>
      </c>
      <c r="C4859">
        <v>28</v>
      </c>
      <c r="D4859">
        <v>254.316</v>
      </c>
      <c r="E4859">
        <v>5240</v>
      </c>
      <c r="F4859">
        <v>1621</v>
      </c>
      <c r="G4859">
        <v>1</v>
      </c>
      <c r="H4859" s="1">
        <f>0.2</f>
        <v>0.2</v>
      </c>
      <c r="I4859">
        <v>0</v>
      </c>
      <c r="J4859">
        <v>45.683300000000003</v>
      </c>
      <c r="K4859">
        <v>553.83100000000002</v>
      </c>
      <c r="L4859">
        <v>0</v>
      </c>
    </row>
    <row r="4860" spans="1:12" x14ac:dyDescent="0.25">
      <c r="A4860">
        <f>80996101*0.00001</f>
        <v>809.9610100000001</v>
      </c>
      <c r="B4860">
        <v>3521</v>
      </c>
      <c r="C4860">
        <v>29</v>
      </c>
      <c r="D4860">
        <v>254.316</v>
      </c>
      <c r="E4860">
        <v>5240</v>
      </c>
      <c r="F4860">
        <v>1621</v>
      </c>
      <c r="G4860">
        <v>1</v>
      </c>
      <c r="H4860">
        <v>0.2</v>
      </c>
      <c r="I4860">
        <v>0</v>
      </c>
      <c r="J4860" s="1">
        <f>45.685</f>
        <v>45.685000000000002</v>
      </c>
      <c r="K4860">
        <v>553.83100000000002</v>
      </c>
      <c r="L4860">
        <v>0</v>
      </c>
    </row>
    <row r="4861" spans="1:12" x14ac:dyDescent="0.25">
      <c r="A4861">
        <f>80996231*0.00001</f>
        <v>809.96231000000012</v>
      </c>
      <c r="B4861">
        <v>3521</v>
      </c>
      <c r="C4861">
        <v>30</v>
      </c>
      <c r="D4861">
        <v>254.316</v>
      </c>
      <c r="E4861">
        <v>5240</v>
      </c>
      <c r="F4861">
        <v>1621</v>
      </c>
      <c r="G4861">
        <v>1</v>
      </c>
      <c r="H4861">
        <v>0.2</v>
      </c>
      <c r="I4861">
        <v>0</v>
      </c>
      <c r="J4861">
        <v>45.685000000000002</v>
      </c>
      <c r="K4861">
        <v>553.83100000000002</v>
      </c>
      <c r="L4861" s="1">
        <f>0</f>
        <v>0</v>
      </c>
    </row>
    <row r="4862" spans="1:12" x14ac:dyDescent="0.25">
      <c r="A4862">
        <f>80996361*0.00001</f>
        <v>809.96361000000002</v>
      </c>
      <c r="B4862">
        <v>3521</v>
      </c>
      <c r="C4862">
        <v>31</v>
      </c>
      <c r="D4862">
        <v>254.316</v>
      </c>
      <c r="E4862" s="1">
        <f>5240</f>
        <v>5240</v>
      </c>
      <c r="F4862">
        <v>1621</v>
      </c>
      <c r="G4862">
        <v>1</v>
      </c>
      <c r="H4862">
        <v>0.2</v>
      </c>
      <c r="I4862">
        <v>0</v>
      </c>
      <c r="J4862">
        <v>45.685000000000002</v>
      </c>
      <c r="K4862">
        <v>553.83100000000002</v>
      </c>
      <c r="L4862">
        <v>0</v>
      </c>
    </row>
    <row r="4863" spans="1:12" x14ac:dyDescent="0.25">
      <c r="A4863">
        <f>80996492*0.00001</f>
        <v>809.96492000000012</v>
      </c>
      <c r="B4863">
        <v>3521</v>
      </c>
      <c r="C4863">
        <v>32</v>
      </c>
      <c r="D4863">
        <v>254.316</v>
      </c>
      <c r="E4863">
        <v>5240</v>
      </c>
      <c r="F4863">
        <v>1621</v>
      </c>
      <c r="G4863" s="1">
        <f>1</f>
        <v>1</v>
      </c>
      <c r="H4863">
        <v>0.2</v>
      </c>
      <c r="I4863">
        <v>0</v>
      </c>
      <c r="J4863">
        <v>45.685000000000002</v>
      </c>
      <c r="K4863">
        <v>553.83100000000002</v>
      </c>
      <c r="L4863">
        <v>0</v>
      </c>
    </row>
    <row r="4864" spans="1:12" x14ac:dyDescent="0.25">
      <c r="A4864">
        <f>80996623*0.00001</f>
        <v>809.96623000000011</v>
      </c>
      <c r="B4864">
        <v>3521</v>
      </c>
      <c r="C4864">
        <v>33</v>
      </c>
      <c r="D4864">
        <v>254.316</v>
      </c>
      <c r="E4864">
        <v>5240</v>
      </c>
      <c r="F4864">
        <v>1621</v>
      </c>
      <c r="G4864">
        <v>1</v>
      </c>
      <c r="H4864">
        <v>0.2</v>
      </c>
      <c r="I4864" s="1">
        <f>0</f>
        <v>0</v>
      </c>
      <c r="J4864">
        <v>45.685000000000002</v>
      </c>
      <c r="K4864">
        <v>553.83100000000002</v>
      </c>
      <c r="L4864">
        <v>0</v>
      </c>
    </row>
    <row r="4865" spans="1:12" x14ac:dyDescent="0.25">
      <c r="A4865">
        <f>80996754*0.00001</f>
        <v>809.9675400000001</v>
      </c>
      <c r="B4865">
        <v>3521</v>
      </c>
      <c r="C4865">
        <v>34</v>
      </c>
      <c r="D4865">
        <v>254.316</v>
      </c>
      <c r="E4865">
        <v>5240</v>
      </c>
      <c r="F4865">
        <v>1621</v>
      </c>
      <c r="G4865">
        <v>1</v>
      </c>
      <c r="H4865">
        <v>0.2</v>
      </c>
      <c r="I4865">
        <v>0</v>
      </c>
      <c r="J4865">
        <v>45.685000000000002</v>
      </c>
      <c r="K4865" s="1">
        <f>553.951</f>
        <v>553.95100000000002</v>
      </c>
      <c r="L4865">
        <v>0</v>
      </c>
    </row>
    <row r="4866" spans="1:12" x14ac:dyDescent="0.25">
      <c r="A4866">
        <f>80996885*0.00001</f>
        <v>809.96885000000009</v>
      </c>
      <c r="B4866">
        <v>3521</v>
      </c>
      <c r="C4866">
        <v>35</v>
      </c>
      <c r="D4866" s="1">
        <f>254.314</f>
        <v>254.31399999999999</v>
      </c>
      <c r="E4866">
        <v>5240</v>
      </c>
      <c r="F4866">
        <v>1621</v>
      </c>
      <c r="G4866">
        <v>1</v>
      </c>
      <c r="H4866">
        <v>0.2</v>
      </c>
      <c r="I4866">
        <v>0</v>
      </c>
      <c r="J4866">
        <v>45.685000000000002</v>
      </c>
      <c r="K4866">
        <v>553.95100000000002</v>
      </c>
      <c r="L4866">
        <v>0</v>
      </c>
    </row>
    <row r="4867" spans="1:12" x14ac:dyDescent="0.25">
      <c r="A4867">
        <f>80997016*0.00001</f>
        <v>809.97016000000008</v>
      </c>
      <c r="B4867">
        <v>3521</v>
      </c>
      <c r="C4867">
        <v>36</v>
      </c>
      <c r="D4867">
        <v>254.31399999999999</v>
      </c>
      <c r="E4867">
        <v>5240</v>
      </c>
      <c r="F4867" s="1">
        <f>1621</f>
        <v>1621</v>
      </c>
      <c r="G4867">
        <v>1</v>
      </c>
      <c r="H4867">
        <v>0.2</v>
      </c>
      <c r="I4867">
        <v>0</v>
      </c>
      <c r="J4867">
        <v>45.685000000000002</v>
      </c>
      <c r="K4867">
        <v>553.95100000000002</v>
      </c>
      <c r="L4867">
        <v>0</v>
      </c>
    </row>
    <row r="4868" spans="1:12" x14ac:dyDescent="0.25">
      <c r="A4868">
        <f>80997146*0.00001</f>
        <v>809.97146000000009</v>
      </c>
      <c r="B4868">
        <v>3521</v>
      </c>
      <c r="C4868">
        <v>37</v>
      </c>
      <c r="D4868">
        <v>254.31399999999999</v>
      </c>
      <c r="E4868">
        <v>5240</v>
      </c>
      <c r="F4868">
        <v>1621</v>
      </c>
      <c r="G4868" s="1">
        <f>1</f>
        <v>1</v>
      </c>
      <c r="H4868" s="1">
        <f>0.2</f>
        <v>0.2</v>
      </c>
      <c r="I4868">
        <v>0</v>
      </c>
      <c r="J4868">
        <v>45.685000000000002</v>
      </c>
      <c r="K4868">
        <v>553.95100000000002</v>
      </c>
      <c r="L4868">
        <v>0</v>
      </c>
    </row>
    <row r="4869" spans="1:12" x14ac:dyDescent="0.25">
      <c r="A4869">
        <f>80997276*0.00001</f>
        <v>809.97276000000011</v>
      </c>
      <c r="B4869">
        <v>3521</v>
      </c>
      <c r="C4869">
        <v>38</v>
      </c>
      <c r="D4869">
        <v>254.31399999999999</v>
      </c>
      <c r="E4869">
        <v>5240</v>
      </c>
      <c r="F4869">
        <v>1621</v>
      </c>
      <c r="G4869">
        <v>1</v>
      </c>
      <c r="H4869">
        <v>0.2</v>
      </c>
      <c r="I4869" s="1">
        <f>0</f>
        <v>0</v>
      </c>
      <c r="J4869" s="1">
        <f>45.6871</f>
        <v>45.687100000000001</v>
      </c>
      <c r="K4869">
        <v>553.95100000000002</v>
      </c>
      <c r="L4869">
        <v>0</v>
      </c>
    </row>
    <row r="4870" spans="1:12" x14ac:dyDescent="0.25">
      <c r="A4870">
        <f>80997406*0.00001</f>
        <v>809.97406000000012</v>
      </c>
      <c r="B4870">
        <v>3521</v>
      </c>
      <c r="C4870">
        <v>39</v>
      </c>
      <c r="D4870">
        <v>254.31399999999999</v>
      </c>
      <c r="E4870">
        <v>5240</v>
      </c>
      <c r="F4870">
        <v>1621</v>
      </c>
      <c r="G4870">
        <v>1</v>
      </c>
      <c r="H4870">
        <v>0.2</v>
      </c>
      <c r="I4870">
        <v>0</v>
      </c>
      <c r="J4870">
        <v>45.687100000000001</v>
      </c>
      <c r="K4870" s="1">
        <f>554.011</f>
        <v>554.01099999999997</v>
      </c>
      <c r="L4870" s="1">
        <f>0</f>
        <v>0</v>
      </c>
    </row>
    <row r="4871" spans="1:12" x14ac:dyDescent="0.25">
      <c r="A4871">
        <f>80997537*0.00001</f>
        <v>809.97537000000011</v>
      </c>
      <c r="B4871">
        <v>3521</v>
      </c>
      <c r="C4871">
        <v>40</v>
      </c>
      <c r="D4871" s="1">
        <f>254.313</f>
        <v>254.31299999999999</v>
      </c>
      <c r="E4871" s="1">
        <f>5241</f>
        <v>5241</v>
      </c>
      <c r="F4871">
        <v>1621</v>
      </c>
      <c r="G4871">
        <v>1</v>
      </c>
      <c r="H4871">
        <v>0.2</v>
      </c>
      <c r="I4871">
        <v>0</v>
      </c>
      <c r="J4871">
        <v>45.687100000000001</v>
      </c>
      <c r="K4871">
        <v>554.01099999999997</v>
      </c>
      <c r="L4871">
        <v>0</v>
      </c>
    </row>
    <row r="4872" spans="1:12" x14ac:dyDescent="0.25">
      <c r="A4872">
        <f>80997668*0.00001</f>
        <v>809.9766800000001</v>
      </c>
      <c r="B4872">
        <v>3521</v>
      </c>
      <c r="C4872">
        <v>41</v>
      </c>
      <c r="D4872">
        <v>254.31299999999999</v>
      </c>
      <c r="E4872">
        <v>5241</v>
      </c>
      <c r="F4872" s="1">
        <f>1621</f>
        <v>1621</v>
      </c>
      <c r="G4872">
        <v>1</v>
      </c>
      <c r="H4872">
        <v>0.2</v>
      </c>
      <c r="I4872">
        <v>0</v>
      </c>
      <c r="J4872">
        <v>45.687100000000001</v>
      </c>
      <c r="K4872">
        <v>554.01099999999997</v>
      </c>
      <c r="L4872"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start</vt:lpstr>
      <vt:lpstr>Лист1</vt:lpstr>
      <vt:lpstr>Лист2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Vtorjenec Adsky</dc:creator>
  <cp:lastModifiedBy>Vtorjenec Adsky</cp:lastModifiedBy>
  <dcterms:created xsi:type="dcterms:W3CDTF">2015-10-01T13:33:50Z</dcterms:created>
  <dcterms:modified xsi:type="dcterms:W3CDTF">2015-10-01T13:33:50Z</dcterms:modified>
</cp:coreProperties>
</file>